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19200" windowHeight="22060" tabRatio="835" activeTab="3"/>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Coal gas analysis" sheetId="97" r:id="rId19"/>
    <sheet name="Other energy use" sheetId="77" r:id="rId20"/>
    <sheet name="Fuel aggregation" sheetId="59" r:id="rId21"/>
    <sheet name="csv_export_to_industry_analysis" sheetId="96" r:id="rId22"/>
    <sheet name="csv_metals_electricity_parent" sheetId="88" r:id="rId23"/>
    <sheet name="csv_metals_network_gas_parent" sheetId="91" r:id="rId24"/>
    <sheet name="csv_metals_steam_hot_water_pare" sheetId="89" r:id="rId25"/>
    <sheet name="csv_industry_burner_aluminium_p" sheetId="94" r:id="rId26"/>
    <sheet name="csv_industry_burner_blastfurnac" sheetId="95" r:id="rId27"/>
    <sheet name="csv_energy_distr_coal_gas_paren" sheetId="98" r:id="rId28"/>
    <sheet name="csv_energy_distr_coal_gas_child" sheetId="99" r:id="rId29"/>
    <sheet name="csv_blastfurnace_current_trans" sheetId="102" r:id="rId30"/>
    <sheet name="csv_blastfurnace_bat_trans" sheetId="103" r:id="rId31"/>
    <sheet name="csv_cokesoven_cons_coal_gas" sheetId="104" r:id="rId32"/>
    <sheet name="csv_cokesoven_cons_trans_coal" sheetId="105" r:id="rId33"/>
    <sheet name="csv_blast_current_efficiency" sheetId="106" r:id="rId34"/>
    <sheet name="csv_blast_bat_efficiency" sheetId="107" r:id="rId35"/>
    <sheet name="csv_metal_demands" sheetId="108" r:id="rId36"/>
  </sheets>
  <externalReferences>
    <externalReference r:id="rId37"/>
  </externalReferences>
  <definedNames>
    <definedName name="aluminium_production">Dashboard!$E$40</definedName>
    <definedName name="base_year">Dashboard!$E$14</definedName>
    <definedName name="country">Dashboard!$E$13</definedName>
    <definedName name="Eff_Airco" localSheetId="9">'Final demand'!#REF!</definedName>
    <definedName name="Eff_Airco" localSheetId="20">'[1]Technological specifications'!$F$25</definedName>
    <definedName name="Eff_Biomass_Heater" localSheetId="9">'Final demand'!#REF!</definedName>
    <definedName name="Eff_Biomass_Heater" localSheetId="20">'[1]Technological specifications'!$F$19</definedName>
    <definedName name="Eff_Centralized_Heater" localSheetId="4">#REF!</definedName>
    <definedName name="Eff_Centralized_Heater" localSheetId="9">'Final demand'!#REF!</definedName>
    <definedName name="Eff_Centralized_Heater" localSheetId="20">'[1]Technological specifications'!#REF!</definedName>
    <definedName name="Eff_Coal_Heater" localSheetId="9">'Final demand'!#REF!</definedName>
    <definedName name="Eff_Coal_Heater" localSheetId="20">'[1]Technological specifications'!$F$17</definedName>
    <definedName name="Eff_Distr_Heater" localSheetId="9">'Final demand'!#REF!</definedName>
    <definedName name="Eff_Distr_Heater" localSheetId="20">'[1]Technological specifications'!$F$20</definedName>
    <definedName name="Eff_Elec_Cold_Pump" localSheetId="9">'Final demand'!#REF!</definedName>
    <definedName name="Eff_Elec_Cold_Pump" localSheetId="20">'[1]Technological specifications'!$F$24</definedName>
    <definedName name="Eff_Elec_Heat_Pump" localSheetId="9">'Final demand'!#REF!</definedName>
    <definedName name="Eff_Elec_Heat_Pump" localSheetId="20">'[1]Technological specifications'!$F$14</definedName>
    <definedName name="Eff_Elec_Heater" localSheetId="9">'Final demand'!#REF!</definedName>
    <definedName name="Eff_Elec_Heater" localSheetId="20">'[1]Technological specifications'!$F$15</definedName>
    <definedName name="Eff_Fluo_Lamp" localSheetId="9">'Final demand'!#REF!</definedName>
    <definedName name="Eff_Fluo_Lamp" localSheetId="20">'[1]Technological specifications'!$F$29</definedName>
    <definedName name="Eff_Fluo_Tube" localSheetId="9">'Final demand'!#REF!</definedName>
    <definedName name="Eff_Fluo_Tube" localSheetId="20">'[1]Technological specifications'!$F$30</definedName>
    <definedName name="Eff_Gas_Cold_Pump" localSheetId="9">'Final demand'!#REF!</definedName>
    <definedName name="Eff_Gas_Cold_Pump" localSheetId="20">'[1]Technological specifications'!$F$23</definedName>
    <definedName name="Eff_Gas_Heat_Pump" localSheetId="9">'Final demand'!$E$12</definedName>
    <definedName name="Eff_Gas_Heat_Pump" localSheetId="20">'[1]Technological specifications'!$F$13</definedName>
    <definedName name="Eff_Gas_Heater" localSheetId="9">'Final demand'!$E$11</definedName>
    <definedName name="Eff_Gas_Heater" localSheetId="20">'[1]Technological specifications'!$F$12</definedName>
    <definedName name="Eff_Geothermal_Heater" localSheetId="4">#REF!</definedName>
    <definedName name="Eff_Geothermal_Heater" localSheetId="9">'Final demand'!#REF!</definedName>
    <definedName name="Eff_Geothermal_Heater" localSheetId="20">'[1]Technological specifications'!#REF!</definedName>
    <definedName name="Eff_Incan_Lamp" localSheetId="9">'Final demand'!$E$17</definedName>
    <definedName name="Eff_Incan_Lamp" localSheetId="20">'[1]Technological specifications'!$F$28</definedName>
    <definedName name="Eff_LED_Lamp" localSheetId="9">'Final demand'!#REF!</definedName>
    <definedName name="Eff_LED_Lamp" localSheetId="20">'[1]Technological specifications'!$F$31</definedName>
    <definedName name="Eff_Oil_Heater" localSheetId="9">'Final demand'!#REF!</definedName>
    <definedName name="Eff_Oil_Heater" localSheetId="20">'[1]Technological specifications'!$F$18</definedName>
    <definedName name="Eff_Solar_Heater" localSheetId="9">'Final demand'!#REF!</definedName>
    <definedName name="Eff_Solar_Heater" localSheetId="20">'[1]Technological specifications'!$F$16</definedName>
    <definedName name="Final_Demand_Comm_and_Publ_Services" localSheetId="20">'[1]Corrected energy balance'!$BN$84</definedName>
    <definedName name="Final_Demand_Electrical_Appliances" localSheetId="20">'[1]Final demand per energy carrier'!$F$41</definedName>
    <definedName name="Final_Demand_Lighting" localSheetId="20">[1]Dashboard!$D$26</definedName>
    <definedName name="Final_Demand_Other_Appliances" localSheetId="20">[1]Dashboard!$D$29</definedName>
    <definedName name="Final_Demand_Space_Cooling" localSheetId="20">[1]Dashboard!$D$25</definedName>
    <definedName name="Final_demand_Space_Heating" localSheetId="20">[1]Dashboard!$D$24</definedName>
    <definedName name="GWh_to_TJ" localSheetId="9">[1]Assumptions!$C$131</definedName>
    <definedName name="GWh_to_TJ" localSheetId="20">[1]Assumptions!$C$131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20">'[1]Technological specifications'!#REF!</definedName>
    <definedName name="Heat_Eff_Biomass_CHP" localSheetId="4">#REF!</definedName>
    <definedName name="Heat_Eff_Biomass_CHP" localSheetId="9">'Final demand'!#REF!</definedName>
    <definedName name="Heat_Eff_Biomass_CHP" localSheetId="20">'[1]Technological specifications'!#REF!</definedName>
    <definedName name="Heat_Eff_Gas_CHP" localSheetId="4">#REF!</definedName>
    <definedName name="Heat_Eff_Gas_CHP" localSheetId="9">'Final demand'!#REF!</definedName>
    <definedName name="Heat_Eff_Gas_CHP" localSheetId="20">'[1]Technological specifications'!#REF!</definedName>
    <definedName name="Perc_Final_Demand_Lighting_Fluo_Lamps" localSheetId="20">'[1]Technology split of final deman'!$G$31</definedName>
    <definedName name="Perc_Final_Demand_Lighting_Fluo_Tubes" localSheetId="20">'[1]Technology split of final deman'!$G$32</definedName>
    <definedName name="Perc_Final_Demand_Lighting_Incan_Lamps" localSheetId="20">'[1]Technology split of final deman'!$G$30</definedName>
    <definedName name="Perc_Final_Demand_Lighting_LED_Lamps" localSheetId="20">'[1]Technology split of final deman'!$G$33</definedName>
    <definedName name="Perc_Final_Demand_Space_Cooling_Airco" localSheetId="20">'[1]Technology split of final deman'!$G$25</definedName>
    <definedName name="Perc_Final_Demand_Space_Cooling_Elec_Heat_Pump" localSheetId="20">'[1]Technology split of final deman'!$G$24</definedName>
    <definedName name="Perc_Final_Demand_Space_Cooling_Gas_Heat_Pump" localSheetId="20">'[1]Technology split of final deman'!$G$23</definedName>
    <definedName name="Perc_Final_Demand_Space_Heating_Biomass_Heater" localSheetId="20">'[1]Technology split of final deman'!$G$17</definedName>
    <definedName name="Perc_Final_Demand_Space_Heating_Coal_Heater" localSheetId="20">'[1]Technology split of final deman'!$G$13</definedName>
    <definedName name="Perc_Final_Demand_Space_Heating_District_Heating" localSheetId="20">'[1]Technology split of final deman'!$G$16</definedName>
    <definedName name="Perc_Final_Demand_Space_Heating_Elec_Heat_Pump" localSheetId="20">'[1]Technology split of final deman'!$G$11</definedName>
    <definedName name="Perc_Final_Demand_Space_Heating_Elec_Heater" localSheetId="20">'[1]Technology split of final deman'!$G$12</definedName>
    <definedName name="Perc_Final_Demand_Space_Heating_Gas_Heat_Pump" localSheetId="20">'[1]Technology split of final deman'!$G$10</definedName>
    <definedName name="Perc_Final_Demand_Space_Heating_Gas_Heater" localSheetId="20">'[1]Technology split of final deman'!$G$9</definedName>
    <definedName name="Perc_Final_Demand_Space_Heating_Oil_Heater" localSheetId="20">'[1]Technology split of final deman'!$G$14</definedName>
    <definedName name="Perc_Final_Demand_Space_Heating_Solar_Heater" localSheetId="20">'[1]Technology split of final deman'!$G$18</definedName>
    <definedName name="Perc_Heat_Delivered_Biomass_Heater" localSheetId="20">'[1]Tech split of useful demand'!$G$17</definedName>
    <definedName name="Perc_Heat_Delivered_District_Heat" localSheetId="20">'[1]Tech split of useful demand'!$G$16</definedName>
    <definedName name="Perc_Heat_Delivered_Solar_Thermal" localSheetId="20">'[1]Tech split of useful demand'!$G$18</definedName>
    <definedName name="Perc_Roof_for_PV" localSheetId="20">'[1]PV solar area and production'!$E$22</definedName>
    <definedName name="share_aluminium_carbothermal_reduction">Dashboard!$E$44</definedName>
    <definedName name="share_aluminium_electrolysis_bat">Dashboard!$E$42</definedName>
    <definedName name="share_aluminium_electrolysis_current">Dashboard!$E$41</definedName>
    <definedName name="share_aluminium_melting_oven">Dashboard!$E$43</definedName>
    <definedName name="share_blast_furnace_burner_coal_gas">Dashboard!$E$24</definedName>
    <definedName name="share_blast_furnace_burner_network_gas">Dashboard!$E$25</definedName>
    <definedName name="Share_Lighting_Fluorescent_Lamp" localSheetId="20">'[1]Shares per tech per carrier'!$E$22</definedName>
    <definedName name="Share_Lighting_Fluorescent_Tube" localSheetId="20">'[1]Shares per tech per carrier'!$E$23</definedName>
    <definedName name="Share_Lighting_Incandescent_Lamp" localSheetId="20">'[1]Shares per tech per carrier'!$E$21</definedName>
    <definedName name="Share_Lighting_LED" localSheetId="20">'[1]Shares per tech per carrier'!$E$24</definedName>
    <definedName name="Share_Space_Cooling_Electric_Airco" localSheetId="20">'[1]Shares per tech per carrier'!$E$18</definedName>
    <definedName name="Share_Space_Cooling_Electric_Heat_Pump" localSheetId="20">'[1]Shares per tech per carrier'!$E$17</definedName>
    <definedName name="Share_Space_Heating_Electric_Heat_Pump" localSheetId="20">'[1]Shares per tech per carrier'!$E$13</definedName>
    <definedName name="Share_Space_Heating_Electric_Heater" localSheetId="20">'[1]Shares per tech per carrier'!$E$14</definedName>
    <definedName name="Share_Space_Heating_Network_Gas_Heat_Pump" localSheetId="20">'[1]Shares per tech per carrier'!$E$10</definedName>
    <definedName name="Share_Space_Heating_Network_Gas_Heater" localSheetId="20">'[1]Shares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20">'[1]PV solar area and production'!$E$13</definedName>
    <definedName name="Solar_PV_Roof_Residential" localSheetId="20">'[1]IEA autoproducer prod.'!$AO$10</definedName>
    <definedName name="Solar_PV_Roof_Total" localSheetId="20">'[1]Corrected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63" l="1"/>
  <c r="U69" i="63"/>
  <c r="U68" i="63"/>
  <c r="T53" i="63"/>
  <c r="T52" i="63"/>
  <c r="T51" i="63"/>
  <c r="T58" i="63"/>
  <c r="T57" i="63"/>
  <c r="T93" i="63"/>
  <c r="T92" i="63"/>
  <c r="T88" i="63"/>
  <c r="T87" i="63"/>
  <c r="T83" i="63"/>
  <c r="T82" i="63"/>
  <c r="T78" i="63"/>
  <c r="T77" i="63"/>
  <c r="T49" i="63"/>
  <c r="T48" i="63"/>
  <c r="T29" i="63"/>
  <c r="T30" i="63"/>
  <c r="D21" i="63"/>
  <c r="D18" i="63"/>
  <c r="D14" i="63"/>
  <c r="D15" i="63"/>
  <c r="D57" i="63"/>
  <c r="D58" i="63"/>
  <c r="D16" i="74"/>
  <c r="E16" i="74"/>
  <c r="D87" i="63"/>
  <c r="D88" i="63"/>
  <c r="D21" i="74"/>
  <c r="E21" i="74"/>
  <c r="U35" i="63"/>
  <c r="U34" i="63"/>
  <c r="U33" i="63"/>
  <c r="U32" i="63"/>
  <c r="E36" i="28"/>
  <c r="E34" i="28"/>
  <c r="E32" i="28"/>
  <c r="E30" i="28"/>
  <c r="E28" i="28"/>
  <c r="D68" i="63"/>
  <c r="E17" i="82"/>
  <c r="F17" i="82"/>
  <c r="B6" i="108"/>
  <c r="D12" i="64"/>
  <c r="E12" i="64"/>
  <c r="D25" i="75"/>
  <c r="U42" i="63"/>
  <c r="D42" i="63"/>
  <c r="E25" i="75"/>
  <c r="F25" i="75"/>
  <c r="B4" i="108"/>
  <c r="D13" i="64"/>
  <c r="E13" i="64"/>
  <c r="D26" i="75"/>
  <c r="D51" i="63"/>
  <c r="D52" i="63"/>
  <c r="E26" i="75"/>
  <c r="F26" i="75"/>
  <c r="B5" i="108"/>
  <c r="D11" i="64"/>
  <c r="E11" i="64"/>
  <c r="D24" i="75"/>
  <c r="D32" i="63"/>
  <c r="E24" i="75"/>
  <c r="F24" i="75"/>
  <c r="B3" i="108"/>
  <c r="D12" i="75"/>
  <c r="D29" i="63"/>
  <c r="D30" i="63"/>
  <c r="E12" i="75"/>
  <c r="F12" i="75"/>
  <c r="E13" i="74"/>
  <c r="M12" i="75"/>
  <c r="D13" i="75"/>
  <c r="T39" i="63"/>
  <c r="D39" i="63"/>
  <c r="T40" i="63"/>
  <c r="D40" i="63"/>
  <c r="E13" i="75"/>
  <c r="F13" i="75"/>
  <c r="E14" i="74"/>
  <c r="M13" i="75"/>
  <c r="D14" i="75"/>
  <c r="D48" i="63"/>
  <c r="D49" i="63"/>
  <c r="E14" i="75"/>
  <c r="F14" i="75"/>
  <c r="E15" i="74"/>
  <c r="M14" i="75"/>
  <c r="D14" i="64"/>
  <c r="E14" i="64"/>
  <c r="D15" i="75"/>
  <c r="E15" i="75"/>
  <c r="F15" i="75"/>
  <c r="M15" i="75"/>
  <c r="F18" i="75"/>
  <c r="M18" i="75"/>
  <c r="F19" i="75"/>
  <c r="M19" i="75"/>
  <c r="M21" i="75"/>
  <c r="J12" i="77"/>
  <c r="J13" i="77"/>
  <c r="J20" i="77"/>
  <c r="J22" i="77"/>
  <c r="E51" i="28"/>
  <c r="L51" i="28"/>
  <c r="P51" i="28"/>
  <c r="D17" i="64"/>
  <c r="E17" i="64"/>
  <c r="D36" i="75"/>
  <c r="D77" i="63"/>
  <c r="D78" i="63"/>
  <c r="E36" i="75"/>
  <c r="F36" i="75"/>
  <c r="D19" i="74"/>
  <c r="N36" i="75"/>
  <c r="D18" i="64"/>
  <c r="E18" i="64"/>
  <c r="D37" i="75"/>
  <c r="D82" i="63"/>
  <c r="D83" i="63"/>
  <c r="E37" i="75"/>
  <c r="F37" i="75"/>
  <c r="D20" i="74"/>
  <c r="N37" i="75"/>
  <c r="D19" i="64"/>
  <c r="E19" i="64"/>
  <c r="D38" i="75"/>
  <c r="E38" i="75"/>
  <c r="F38" i="75"/>
  <c r="N38" i="75"/>
  <c r="D20" i="64"/>
  <c r="E20" i="64"/>
  <c r="D39" i="75"/>
  <c r="D92" i="63"/>
  <c r="D93" i="63"/>
  <c r="E39" i="75"/>
  <c r="F39" i="75"/>
  <c r="D22" i="74"/>
  <c r="N39" i="75"/>
  <c r="N44" i="75"/>
  <c r="K16" i="77"/>
  <c r="K17" i="77"/>
  <c r="K21" i="77"/>
  <c r="D13" i="74"/>
  <c r="N12" i="75"/>
  <c r="D14" i="74"/>
  <c r="N13" i="75"/>
  <c r="D15" i="74"/>
  <c r="N14" i="75"/>
  <c r="N15" i="75"/>
  <c r="N21" i="75"/>
  <c r="K12" i="77"/>
  <c r="K13" i="77"/>
  <c r="K20" i="77"/>
  <c r="K22" i="77"/>
  <c r="E50" i="28"/>
  <c r="L50" i="28"/>
  <c r="P50" i="28"/>
  <c r="J18" i="75"/>
  <c r="J21" i="75"/>
  <c r="G12" i="77"/>
  <c r="G13" i="77"/>
  <c r="G20" i="77"/>
  <c r="G22" i="77"/>
  <c r="E49" i="28"/>
  <c r="L49" i="28"/>
  <c r="P49" i="28"/>
  <c r="E48" i="28"/>
  <c r="L48" i="28"/>
  <c r="P48" i="28"/>
  <c r="E47" i="28"/>
  <c r="L47" i="28"/>
  <c r="P47" i="28"/>
  <c r="P41" i="28"/>
  <c r="P24" i="28"/>
  <c r="P18" i="28"/>
  <c r="D33" i="63"/>
  <c r="H13" i="74"/>
  <c r="G24" i="75"/>
  <c r="G28" i="75"/>
  <c r="C11" i="67"/>
  <c r="E29" i="28"/>
  <c r="I13" i="74"/>
  <c r="H24" i="75"/>
  <c r="H28" i="75"/>
  <c r="D11" i="67"/>
  <c r="E31" i="28"/>
  <c r="D34" i="63"/>
  <c r="K13" i="74"/>
  <c r="I24" i="75"/>
  <c r="I28" i="75"/>
  <c r="E11" i="67"/>
  <c r="E33" i="28"/>
  <c r="I18" i="75"/>
  <c r="I21" i="75"/>
  <c r="F12" i="77"/>
  <c r="E19" i="67"/>
  <c r="E37" i="28"/>
  <c r="U65" i="63"/>
  <c r="D65" i="63"/>
  <c r="E12" i="82"/>
  <c r="F12" i="82"/>
  <c r="U66" i="63"/>
  <c r="D66" i="63"/>
  <c r="E11" i="81"/>
  <c r="I12" i="82"/>
  <c r="I14" i="82"/>
  <c r="E15" i="67"/>
  <c r="E35" i="28"/>
  <c r="L14" i="28"/>
  <c r="P14" i="28"/>
  <c r="L18" i="28"/>
  <c r="M18" i="28"/>
  <c r="L24" i="28"/>
  <c r="M24" i="28"/>
  <c r="L29" i="28"/>
  <c r="M29" i="28"/>
  <c r="L31" i="28"/>
  <c r="M31" i="28"/>
  <c r="L33" i="28"/>
  <c r="M33" i="28"/>
  <c r="L35" i="28"/>
  <c r="M35" i="28"/>
  <c r="L37" i="28"/>
  <c r="M37" i="28"/>
  <c r="L41" i="28"/>
  <c r="M41" i="28"/>
  <c r="L53" i="28"/>
  <c r="M53" i="28"/>
  <c r="M14" i="28"/>
  <c r="L13" i="28"/>
  <c r="M13" i="28"/>
  <c r="U43" i="63"/>
  <c r="U44" i="63"/>
  <c r="U70" i="63"/>
  <c r="D70" i="63"/>
  <c r="D44" i="63"/>
  <c r="D43" i="63"/>
  <c r="D35" i="63"/>
  <c r="D53" i="63"/>
  <c r="E11" i="59"/>
  <c r="F11" i="59"/>
  <c r="E12" i="86"/>
  <c r="D12" i="86"/>
  <c r="F12" i="86"/>
  <c r="B3" i="107"/>
  <c r="E11" i="86"/>
  <c r="D11" i="86"/>
  <c r="F11" i="86"/>
  <c r="B3" i="106"/>
  <c r="E12" i="59"/>
  <c r="F12" i="59"/>
  <c r="E16" i="86"/>
  <c r="G17" i="59"/>
  <c r="D16" i="86"/>
  <c r="F16" i="86"/>
  <c r="B5" i="104"/>
  <c r="H11" i="81"/>
  <c r="B4" i="105"/>
  <c r="G12" i="59"/>
  <c r="I11" i="81"/>
  <c r="B3" i="105"/>
  <c r="L17" i="59"/>
  <c r="B4" i="104"/>
  <c r="D11" i="81"/>
  <c r="B3" i="104"/>
  <c r="G11" i="59"/>
  <c r="K14" i="74"/>
  <c r="I14" i="74"/>
  <c r="H14" i="74"/>
  <c r="F14" i="74"/>
  <c r="B5" i="103"/>
  <c r="B4" i="103"/>
  <c r="B3" i="103"/>
  <c r="B5" i="102"/>
  <c r="B4" i="102"/>
  <c r="B3" i="102"/>
  <c r="E13" i="86"/>
  <c r="D13" i="86"/>
  <c r="E19" i="74"/>
  <c r="M36" i="75"/>
  <c r="E20" i="74"/>
  <c r="M37" i="75"/>
  <c r="M38" i="75"/>
  <c r="E22" i="74"/>
  <c r="M39" i="75"/>
  <c r="F42" i="75"/>
  <c r="M42" i="75"/>
  <c r="I22" i="77"/>
  <c r="C7" i="96"/>
  <c r="C8" i="96"/>
  <c r="C10" i="96"/>
  <c r="C11" i="96"/>
  <c r="C12" i="96"/>
  <c r="G25" i="75"/>
  <c r="H15" i="74"/>
  <c r="G26" i="75"/>
  <c r="B4" i="96"/>
  <c r="H25" i="75"/>
  <c r="C4" i="96"/>
  <c r="I25" i="75"/>
  <c r="D4" i="96"/>
  <c r="E4" i="96"/>
  <c r="F4" i="96"/>
  <c r="J15" i="74"/>
  <c r="L26" i="75"/>
  <c r="L28" i="75"/>
  <c r="H11" i="67"/>
  <c r="G4" i="96"/>
  <c r="L15" i="74"/>
  <c r="M26" i="75"/>
  <c r="M28" i="75"/>
  <c r="I11" i="67"/>
  <c r="H4" i="96"/>
  <c r="I4" i="96"/>
  <c r="J4" i="96"/>
  <c r="D17" i="82"/>
  <c r="G11" i="81"/>
  <c r="G17" i="82"/>
  <c r="G19" i="82"/>
  <c r="C12" i="67"/>
  <c r="B5" i="96"/>
  <c r="H17" i="82"/>
  <c r="H19" i="82"/>
  <c r="D12" i="67"/>
  <c r="C5" i="96"/>
  <c r="I17" i="82"/>
  <c r="I19" i="82"/>
  <c r="E12" i="67"/>
  <c r="D5" i="96"/>
  <c r="E5" i="96"/>
  <c r="F5" i="96"/>
  <c r="G5" i="96"/>
  <c r="H5" i="96"/>
  <c r="I5" i="96"/>
  <c r="J5" i="96"/>
  <c r="B7" i="96"/>
  <c r="D12" i="82"/>
  <c r="D7" i="96"/>
  <c r="E7" i="96"/>
  <c r="F7" i="96"/>
  <c r="G7" i="96"/>
  <c r="H7" i="96"/>
  <c r="N12" i="82"/>
  <c r="N14" i="82"/>
  <c r="J15" i="67"/>
  <c r="I7" i="96"/>
  <c r="J7" i="96"/>
  <c r="B8" i="96"/>
  <c r="D8" i="96"/>
  <c r="E8" i="96"/>
  <c r="F8" i="96"/>
  <c r="G8" i="96"/>
  <c r="H8" i="96"/>
  <c r="I8" i="96"/>
  <c r="J8" i="96"/>
  <c r="B10" i="96"/>
  <c r="D10" i="96"/>
  <c r="J19" i="75"/>
  <c r="F19" i="67"/>
  <c r="E10" i="96"/>
  <c r="F10" i="96"/>
  <c r="G10" i="96"/>
  <c r="I19" i="67"/>
  <c r="H10" i="96"/>
  <c r="J19" i="67"/>
  <c r="I10" i="96"/>
  <c r="J10" i="96"/>
  <c r="B11" i="96"/>
  <c r="D11" i="96"/>
  <c r="J42" i="75"/>
  <c r="J44" i="75"/>
  <c r="G16" i="77"/>
  <c r="F20" i="67"/>
  <c r="E11" i="96"/>
  <c r="F11" i="96"/>
  <c r="G11" i="96"/>
  <c r="M44" i="75"/>
  <c r="J16" i="77"/>
  <c r="I20" i="67"/>
  <c r="H11" i="96"/>
  <c r="J20" i="67"/>
  <c r="I11" i="96"/>
  <c r="J11" i="96"/>
  <c r="E21" i="59"/>
  <c r="D11" i="77"/>
  <c r="D13" i="77"/>
  <c r="D20" i="77"/>
  <c r="E22" i="59"/>
  <c r="D15" i="77"/>
  <c r="D17" i="77"/>
  <c r="D21" i="77"/>
  <c r="D22" i="77"/>
  <c r="C21" i="67"/>
  <c r="B12" i="96"/>
  <c r="D12" i="96"/>
  <c r="H21" i="59"/>
  <c r="G11" i="77"/>
  <c r="H22" i="59"/>
  <c r="G15" i="77"/>
  <c r="G17" i="77"/>
  <c r="G21" i="77"/>
  <c r="F21" i="67"/>
  <c r="E12" i="96"/>
  <c r="I21" i="59"/>
  <c r="H11" i="77"/>
  <c r="H13" i="77"/>
  <c r="H20" i="77"/>
  <c r="I22" i="59"/>
  <c r="H15" i="77"/>
  <c r="H17" i="77"/>
  <c r="H21" i="77"/>
  <c r="H22" i="77"/>
  <c r="G21" i="67"/>
  <c r="F12" i="96"/>
  <c r="H21" i="67"/>
  <c r="G12" i="96"/>
  <c r="K21" i="59"/>
  <c r="J11" i="77"/>
  <c r="K22" i="59"/>
  <c r="J15" i="77"/>
  <c r="J17" i="77"/>
  <c r="J21" i="77"/>
  <c r="I21" i="67"/>
  <c r="H12" i="96"/>
  <c r="L21" i="59"/>
  <c r="K11" i="77"/>
  <c r="L22" i="59"/>
  <c r="K15" i="77"/>
  <c r="J21" i="67"/>
  <c r="I12" i="96"/>
  <c r="M21" i="59"/>
  <c r="L11" i="77"/>
  <c r="L13" i="77"/>
  <c r="L20" i="77"/>
  <c r="M22" i="59"/>
  <c r="L15" i="77"/>
  <c r="L17" i="77"/>
  <c r="L21" i="77"/>
  <c r="L22" i="77"/>
  <c r="K21" i="67"/>
  <c r="J12" i="96"/>
  <c r="A5" i="96"/>
  <c r="A6" i="96"/>
  <c r="A7" i="96"/>
  <c r="A8" i="96"/>
  <c r="A9" i="96"/>
  <c r="A10" i="96"/>
  <c r="A11" i="96"/>
  <c r="A12" i="96"/>
  <c r="C8" i="34"/>
  <c r="C5" i="34"/>
  <c r="I44" i="75"/>
  <c r="F16" i="77"/>
  <c r="E20" i="67"/>
  <c r="G20" i="59"/>
  <c r="G15" i="59"/>
  <c r="C6" i="34"/>
  <c r="C7" i="34"/>
  <c r="K21" i="75"/>
  <c r="H12" i="77"/>
  <c r="G19" i="67"/>
  <c r="L21" i="75"/>
  <c r="I12" i="77"/>
  <c r="H19" i="67"/>
  <c r="O21" i="75"/>
  <c r="L12" i="77"/>
  <c r="K19" i="67"/>
  <c r="K44" i="75"/>
  <c r="H16" i="77"/>
  <c r="G20" i="67"/>
  <c r="L44" i="75"/>
  <c r="I16" i="77"/>
  <c r="H20" i="67"/>
  <c r="O44" i="75"/>
  <c r="L16" i="77"/>
  <c r="K20" i="67"/>
  <c r="F15" i="67"/>
  <c r="G15" i="67"/>
  <c r="H15" i="67"/>
  <c r="I15" i="67"/>
  <c r="K15" i="67"/>
  <c r="J28" i="75"/>
  <c r="F11" i="67"/>
  <c r="K28" i="75"/>
  <c r="G11" i="67"/>
  <c r="N28" i="75"/>
  <c r="J11" i="67"/>
  <c r="O28" i="75"/>
  <c r="K11" i="67"/>
  <c r="F12" i="67"/>
  <c r="G12" i="67"/>
  <c r="H12" i="67"/>
  <c r="I12" i="67"/>
  <c r="J12" i="67"/>
  <c r="K12" i="67"/>
  <c r="H21" i="75"/>
  <c r="E12" i="77"/>
  <c r="H44" i="75"/>
  <c r="E16" i="77"/>
  <c r="G21" i="75"/>
  <c r="D12" i="77"/>
  <c r="G44" i="75"/>
  <c r="D16" i="77"/>
  <c r="F13" i="74"/>
  <c r="M25" i="59"/>
  <c r="M20" i="59"/>
  <c r="M17" i="59"/>
  <c r="M16" i="59"/>
  <c r="M15" i="59"/>
  <c r="M12" i="59"/>
  <c r="M11" i="59"/>
  <c r="G25" i="59"/>
  <c r="G22" i="59"/>
  <c r="G21" i="59"/>
  <c r="G16" i="59"/>
  <c r="D14" i="97"/>
  <c r="D15" i="97"/>
  <c r="D16" i="97"/>
  <c r="H25" i="59"/>
  <c r="H20" i="59"/>
  <c r="H17" i="59"/>
  <c r="H16" i="59"/>
  <c r="H15" i="59"/>
  <c r="H12" i="59"/>
  <c r="H11" i="59"/>
  <c r="D28" i="97"/>
  <c r="D27" i="97"/>
  <c r="D23" i="97"/>
  <c r="D22" i="97"/>
  <c r="D21" i="97"/>
  <c r="D48" i="97"/>
  <c r="D49" i="97"/>
  <c r="D50" i="97"/>
  <c r="E48" i="97"/>
  <c r="B3" i="99"/>
  <c r="E49" i="97"/>
  <c r="B4" i="99"/>
  <c r="E50" i="97"/>
  <c r="B5" i="99"/>
  <c r="D40" i="97"/>
  <c r="D41" i="97"/>
  <c r="D42" i="97"/>
  <c r="D43" i="97"/>
  <c r="D56" i="97"/>
  <c r="D54" i="97"/>
  <c r="D55" i="97"/>
  <c r="E54" i="97"/>
  <c r="B3" i="98"/>
  <c r="E55" i="97"/>
  <c r="B4" i="98"/>
  <c r="D33" i="97"/>
  <c r="D34" i="97"/>
  <c r="D35" i="97"/>
  <c r="D36" i="97"/>
  <c r="D37" i="97"/>
  <c r="D51" i="97"/>
  <c r="E51" i="97"/>
  <c r="E56" i="97"/>
  <c r="J21" i="59"/>
  <c r="I11" i="77"/>
  <c r="J22" i="59"/>
  <c r="I15" i="77"/>
  <c r="L15" i="59"/>
  <c r="K15" i="59"/>
  <c r="J15" i="59"/>
  <c r="I15" i="59"/>
  <c r="E15" i="59"/>
  <c r="E25" i="59"/>
  <c r="E20" i="59"/>
  <c r="E17" i="59"/>
  <c r="E16" i="59"/>
  <c r="E15" i="77"/>
  <c r="F15" i="77"/>
  <c r="E11" i="77"/>
  <c r="F11" i="77"/>
  <c r="C19" i="67"/>
  <c r="D31" i="83"/>
  <c r="D22" i="83"/>
  <c r="D34" i="83"/>
  <c r="J14" i="82"/>
  <c r="K14" i="82"/>
  <c r="L14" i="82"/>
  <c r="M14" i="82"/>
  <c r="O14" i="82"/>
  <c r="G14" i="82"/>
  <c r="C15" i="67"/>
  <c r="J19" i="82"/>
  <c r="K19" i="82"/>
  <c r="L19" i="82"/>
  <c r="M19" i="82"/>
  <c r="N19" i="82"/>
  <c r="O19" i="82"/>
  <c r="D19" i="83"/>
  <c r="D38" i="83"/>
  <c r="A3" i="96"/>
  <c r="A4" i="96"/>
  <c r="H14" i="82"/>
  <c r="F16" i="74"/>
  <c r="F15" i="74"/>
  <c r="C20" i="67"/>
  <c r="F19" i="74"/>
  <c r="F20" i="74"/>
  <c r="F21" i="74"/>
  <c r="F22" i="74"/>
  <c r="B2" i="96"/>
  <c r="C2" i="96"/>
  <c r="D2" i="96"/>
  <c r="E2" i="96"/>
  <c r="F2" i="96"/>
  <c r="G2" i="96"/>
  <c r="H2" i="96"/>
  <c r="I2" i="96"/>
  <c r="J2" i="96"/>
  <c r="D12" i="84"/>
  <c r="D11" i="84"/>
  <c r="E12" i="84"/>
  <c r="B4" i="95"/>
  <c r="E11" i="84"/>
  <c r="B3" i="95"/>
  <c r="D16" i="84"/>
  <c r="D15" i="84"/>
  <c r="D17" i="84"/>
  <c r="D18" i="84"/>
  <c r="E16" i="84"/>
  <c r="B4" i="94"/>
  <c r="E17" i="84"/>
  <c r="B5" i="94"/>
  <c r="E18" i="84"/>
  <c r="B6" i="94"/>
  <c r="E15" i="84"/>
  <c r="B3" i="94"/>
  <c r="D37" i="83"/>
  <c r="E38" i="83"/>
  <c r="B4" i="89"/>
  <c r="E37" i="83"/>
  <c r="B3" i="89"/>
  <c r="D29" i="83"/>
  <c r="D28" i="83"/>
  <c r="D30" i="83"/>
  <c r="E29" i="83"/>
  <c r="B4" i="91"/>
  <c r="E30" i="83"/>
  <c r="B5" i="91"/>
  <c r="E31" i="83"/>
  <c r="B6" i="91"/>
  <c r="E28" i="83"/>
  <c r="B3" i="91"/>
  <c r="D12" i="83"/>
  <c r="D11" i="83"/>
  <c r="D13" i="83"/>
  <c r="D14" i="83"/>
  <c r="D15" i="83"/>
  <c r="D16" i="83"/>
  <c r="D17" i="83"/>
  <c r="D18" i="83"/>
  <c r="E12" i="83"/>
  <c r="B4" i="88"/>
  <c r="E13" i="83"/>
  <c r="B5" i="88"/>
  <c r="E14" i="83"/>
  <c r="B6" i="88"/>
  <c r="E15" i="83"/>
  <c r="B7" i="88"/>
  <c r="E16" i="83"/>
  <c r="B8" i="88"/>
  <c r="E17" i="83"/>
  <c r="B9" i="88"/>
  <c r="E18" i="83"/>
  <c r="B10" i="88"/>
  <c r="E19" i="83"/>
  <c r="B11" i="88"/>
  <c r="E11" i="83"/>
  <c r="B3" i="88"/>
  <c r="F13" i="86"/>
  <c r="E34" i="83"/>
  <c r="E22" i="83"/>
  <c r="D25" i="83"/>
  <c r="E25" i="83"/>
  <c r="J11" i="81"/>
  <c r="G20" i="74"/>
  <c r="G21" i="74"/>
  <c r="G22" i="74"/>
  <c r="G16" i="74"/>
  <c r="M15" i="74"/>
  <c r="G15" i="74"/>
  <c r="G14" i="74"/>
  <c r="M14" i="74"/>
  <c r="G19" i="74"/>
  <c r="M13" i="74"/>
  <c r="G13" i="74"/>
  <c r="L25" i="59"/>
  <c r="K25" i="59"/>
  <c r="J25" i="59"/>
  <c r="I25" i="59"/>
  <c r="L20" i="59"/>
  <c r="K20" i="59"/>
  <c r="J20" i="59"/>
  <c r="I20"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<sst xmlns="http://schemas.openxmlformats.org/spreadsheetml/2006/main" count="1167" uniqueCount="628">
  <si>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</si>
  <si>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</si>
  <si>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</si>
  <si>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</si>
  <si>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</si>
  <si>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</si>
  <si>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</si>
  <si>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</si>
  <si>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</si>
  <si>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</si>
  <si>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</si>
  <si>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</si>
  <si>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</si>
  <si>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</si>
  <si>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</si>
  <si>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</si>
  <si>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</si>
  <si>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</si>
  <si>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</si>
  <si>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</si>
  <si>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</si>
  <si>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</si>
  <si>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</si>
  <si>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</si>
  <si>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</si>
  <si>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</si>
  <si>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</si>
  <si>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</si>
  <si>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</si>
  <si>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</si>
  <si>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</si>
  <si>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</si>
  <si>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</si>
  <si>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</si>
  <si>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</si>
  <si>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</si>
  <si>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</si>
  <si>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</si>
  <si>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</si>
  <si>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</si>
  <si>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</si>
  <si>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</si>
  <si>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</si>
  <si>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</si>
  <si>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</si>
  <si>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</si>
  <si>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</si>
  <si>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</si>
  <si>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</si>
  <si>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</si>
  <si>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</si>
  <si>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</si>
  <si>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</si>
  <si>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</si>
  <si>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</si>
  <si>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</si>
  <si>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</si>
  <si>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</si>
  <si>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</si>
  <si>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</si>
  <si>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</si>
  <si>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</si>
  <si>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</si>
  <si>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</si>
  <si>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</si>
  <si>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</si>
  <si>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</si>
  <si>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</si>
  <si>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</si>
  <si>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</si>
  <si>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</si>
  <si>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</si>
  <si>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</si>
  <si>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</si>
  <si>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</si>
  <si>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</si>
  <si>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</si>
  <si>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</si>
  <si>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</si>
  <si>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</si>
  <si>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</si>
  <si>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</si>
  <si>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</si>
  <si>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</si>
  <si>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</si>
  <si>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</si>
  <si>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</si>
  <si>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</si>
  <si>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</si>
  <si>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</si>
  <si>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</si>
  <si>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</si>
  <si>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</si>
  <si>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</si>
  <si>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</si>
  <si>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</si>
  <si>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</si>
  <si>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</si>
  <si>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</si>
  <si>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</si>
  <si>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</si>
  <si>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</si>
  <si>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</si>
  <si>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</si>
  <si>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</si>
  <si>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</si>
  <si>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</si>
  <si>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</si>
  <si>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</si>
  <si>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</si>
  <si>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</si>
  <si>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</si>
  <si>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</si>
  <si>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</si>
  <si>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</si>
  <si>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</si>
  <si>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</si>
  <si>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</si>
  <si>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</si>
  <si>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</si>
  <si>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</si>
  <si>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</si>
  <si>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</si>
  <si>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</si>
  <si>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</si>
  <si>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</si>
  <si>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</si>
  <si>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</si>
  <si>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</si>
  <si>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</si>
  <si>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</si>
  <si>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</si>
  <si>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</si>
  <si>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</si>
  <si>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</si>
  <si>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</si>
  <si>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</si>
  <si>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</si>
  <si>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</si>
  <si>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</si>
  <si>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</si>
  <si>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</si>
  <si>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</si>
  <si>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</si>
  <si>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</si>
  <si>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</si>
  <si>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</si>
  <si>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</si>
  <si>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</si>
  <si>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</si>
  <si>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</si>
  <si>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</si>
  <si>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</si>
  <si>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</si>
  <si>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</si>
  <si>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</si>
  <si>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</si>
  <si>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</si>
  <si>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</si>
  <si>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</si>
  <si>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</si>
  <si>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</si>
  <si>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</si>
  <si>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</si>
  <si>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</si>
  <si>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</si>
  <si>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</si>
  <si>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</si>
  <si>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</si>
  <si>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</si>
  <si>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</si>
  <si>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</si>
  <si>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</si>
  <si>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</si>
  <si>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</si>
  <si>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</si>
  <si>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</si>
  <si>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</si>
  <si>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</si>
  <si>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</si>
  <si>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</si>
  <si>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</si>
  <si>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</si>
  <si>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</si>
  <si>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</si>
  <si>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</si>
  <si>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</si>
  <si>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</si>
  <si>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</si>
  <si>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</si>
  <si>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</si>
  <si>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</si>
  <si>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</si>
  <si>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</si>
  <si>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</si>
  <si>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</si>
  <si>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</si>
  <si>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</si>
  <si>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</si>
  <si>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</si>
  <si>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</si>
  <si>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</si>
  <si>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</si>
  <si>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</si>
  <si>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Wouter Terlouw</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</si>
  <si>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</si>
  <si>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</si>
  <si>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</si>
  <si>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</si>
  <si>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</si>
  <si>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</si>
  <si>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</si>
  <si>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</si>
  <si>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</si>
  <si>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</si>
  <si>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</si>
  <si>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</si>
  <si>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</si>
  <si>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</si>
  <si>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</si>
  <si>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</si>
  <si>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</si>
  <si>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</si>
  <si>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</si>
  <si>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</si>
  <si>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</si>
  <si>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</si>
  <si>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</si>
  <si>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</si>
  <si>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</si>
  <si>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</si>
  <si>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</si>
  <si>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</si>
  <si>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</si>
  <si>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</si>
  <si>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</si>
  <si>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</si>
  <si>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</si>
  <si>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</si>
  <si>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</si>
  <si>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</si>
  <si>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</si>
  <si>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</si>
  <si>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</si>
  <si>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</si>
  <si>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</si>
  <si>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</si>
  <si>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</si>
  <si>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</si>
  <si>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</si>
  <si>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</si>
  <si>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</si>
  <si>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</si>
  <si>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Input</t>
  </si>
  <si>
    <t>Output</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</si>
  <si>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</si>
  <si>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</si>
  <si>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</si>
  <si>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</si>
  <si>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</si>
  <si>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</si>
  <si>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</si>
  <si>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</si>
  <si>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</si>
  <si>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</si>
  <si>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</si>
  <si>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</si>
  <si>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</si>
  <si>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</si>
  <si>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</si>
  <si>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</si>
  <si>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</si>
  <si>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</si>
  <si>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</si>
  <si>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</si>
  <si>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</si>
  <si>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</si>
  <si>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</si>
  <si>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</si>
  <si>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</si>
  <si>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</si>
  <si>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</si>
  <si>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</si>
  <si>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</si>
  <si>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</si>
  <si>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</si>
  <si>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</si>
  <si>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</si>
  <si>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</si>
  <si>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</si>
  <si>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</si>
  <si>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</si>
  <si>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</si>
  <si>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</si>
  <si>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</si>
  <si>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</si>
  <si>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</si>
  <si>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</si>
  <si>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</si>
  <si>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</si>
  <si>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</si>
  <si>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</si>
  <si>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</si>
  <si>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</si>
  <si>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</si>
  <si>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</si>
  <si>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</si>
  <si>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</si>
  <si>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</si>
  <si>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</si>
  <si>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</si>
  <si>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</si>
  <si>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</si>
  <si>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</si>
  <si>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</si>
  <si>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</si>
  <si>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</si>
  <si>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</si>
  <si>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</si>
  <si>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</si>
  <si>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</si>
  <si>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</si>
  <si>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</si>
  <si>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</si>
  <si>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</si>
  <si>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</si>
  <si>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</si>
  <si>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</si>
  <si>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</si>
  <si>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</si>
  <si>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</si>
  <si>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</si>
  <si>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</si>
  <si>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</si>
  <si>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</si>
  <si>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</si>
  <si>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</si>
  <si>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</si>
  <si>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</si>
  <si>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</si>
  <si>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</si>
  <si>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</si>
  <si>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</si>
  <si>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</si>
  <si>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</si>
  <si>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</si>
  <si>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</si>
  <si>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</si>
  <si>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</si>
  <si>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</si>
  <si>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</si>
  <si>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</si>
  <si>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</si>
  <si>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</si>
  <si>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</si>
  <si>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</si>
  <si>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</si>
  <si>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</si>
  <si>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</si>
  <si>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</si>
  <si>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</si>
  <si>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</si>
  <si>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</si>
  <si>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</si>
  <si>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</si>
  <si>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</si>
  <si>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</si>
  <si>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</si>
  <si>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</si>
  <si>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</si>
  <si>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</si>
  <si>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</si>
  <si>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</si>
  <si>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</si>
  <si>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</si>
  <si>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</si>
  <si>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</si>
  <si>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</si>
  <si>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</si>
  <si>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</si>
  <si>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</si>
  <si>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</si>
  <si>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</si>
  <si>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</si>
  <si>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</si>
  <si>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</si>
  <si>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</si>
  <si>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</si>
  <si>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</si>
  <si>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</si>
  <si>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</si>
  <si>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</si>
  <si>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</si>
  <si>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</si>
  <si>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</si>
  <si>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</si>
  <si>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</si>
  <si>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</si>
  <si>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</si>
  <si>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</si>
  <si>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</si>
  <si>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</si>
  <si>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</si>
  <si>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</si>
  <si>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scheme val="minor"/>
      </rPr>
      <t>except in transformation</t>
    </r>
    <r>
      <rPr>
        <sz val="12"/>
        <rFont val="Calibri"/>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</si>
  <si>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</si>
  <si>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</si>
  <si>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</si>
  <si>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</si>
  <si>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</si>
  <si>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</si>
  <si>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</si>
  <si>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</si>
  <si>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</si>
  <si>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</si>
  <si>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</si>
  <si>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</si>
  <si>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</si>
  <si>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</si>
  <si>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</si>
  <si>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</si>
  <si>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</si>
  <si>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</si>
  <si>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</si>
  <si>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</si>
  <si>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energy_export_coal_gas</t>
  </si>
  <si>
    <t>energy_cokes_oven_consumption_coal_gas</t>
  </si>
  <si>
    <t>industry_final_demand_coal_gas</t>
  </si>
  <si>
    <t>Output (parent shares)</t>
  </si>
  <si>
    <t>energy_import_coal_gas</t>
  </si>
  <si>
    <t>energy_steel_blastfurnace_bat_transformation_cokes</t>
  </si>
  <si>
    <t>energy_steel_blastfurnace_current_transformation_cokes</t>
  </si>
  <si>
    <t>energy_cokesoven_transformation_coal</t>
  </si>
  <si>
    <t>Input (child shares)</t>
  </si>
  <si>
    <t>Share</t>
  </si>
  <si>
    <t>Calculation of shares</t>
  </si>
  <si>
    <t>Total converter demand</t>
  </si>
  <si>
    <t>Calculation of export of coal gas</t>
  </si>
  <si>
    <t>Calculation of import of coal gas</t>
  </si>
  <si>
    <t>unknown</t>
  </si>
  <si>
    <t>Energy flows from analysis</t>
  </si>
  <si>
    <t>Converter demand obtained from the energy balance</t>
  </si>
  <si>
    <r>
      <t xml:space="preserve">Consumption and transformation in blast furnaces and cokes ovens are covered by different parts of the energy balance. The consumption part of the graph can be easily calculated using the final demand of the carriers. However, the transformation part need to be calculated seperately.This sheet is used to calculate the splits in order to build the transformation sub-graph. The calculation is initialized using the </t>
    </r>
    <r>
      <rPr>
        <i/>
        <sz val="12"/>
        <color theme="1"/>
        <rFont val="Calibri"/>
        <scheme val="minor"/>
      </rPr>
      <t>energy_distribution_coal_gas</t>
    </r>
    <r>
      <rPr>
        <sz val="12"/>
        <color theme="1"/>
        <rFont val="Calibri"/>
        <family val="2"/>
        <scheme val="minor"/>
      </rPr>
      <t xml:space="preserve"> converter, by calculating its demand from the energy balance and defining its shares using this analysis.</t>
    </r>
  </si>
  <si>
    <t>Coal gas analysis</t>
  </si>
  <si>
    <t>energy_cokesoven_consumption_coal_gas</t>
  </si>
  <si>
    <t>energy_distribution_coal_gas_parent_share</t>
  </si>
  <si>
    <t>energy_distribution_coal_gas_child_share</t>
  </si>
  <si>
    <t>Calculation of data for transformation sub-graph</t>
  </si>
  <si>
    <t>CSV-file containing the parent shares for the industry sector transformation sub-graph</t>
  </si>
  <si>
    <t>CSV-file containing the child shares for the industry sector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</si>
  <si>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</si>
  <si>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</si>
  <si>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</si>
  <si>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</si>
  <si>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</si>
  <si>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</si>
  <si>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</si>
  <si>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</si>
  <si>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</si>
  <si>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Blast funaces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</si>
  <si>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</si>
  <si>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</si>
  <si>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</si>
  <si>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</si>
  <si>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</si>
  <si>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</si>
  <si>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</si>
  <si>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TEMPORARY | CSV-file containing new output efficiencies of converters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</si>
  <si>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</si>
  <si>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</si>
  <si>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</si>
  <si>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</si>
  <si>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</si>
  <si>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</si>
  <si>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</si>
  <si>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csv_energy_distribution_coal_gas_parent_share</t>
  </si>
  <si>
    <t>csv_energy_distribution_coal_gas_child_share</t>
  </si>
  <si>
    <t>csv_metal_efficiencies</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</si>
  <si>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</si>
  <si>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</si>
  <si>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</si>
  <si>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</si>
  <si>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</si>
  <si>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</si>
  <si>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</si>
  <si>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</si>
  <si>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</si>
  <si>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</si>
  <si>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</si>
  <si>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</si>
  <si>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</si>
  <si>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</si>
  <si>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</si>
  <si>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</si>
  <si>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</si>
  <si>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</si>
  <si>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</si>
  <si>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</si>
  <si>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</si>
  <si>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</si>
  <si>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</si>
  <si>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</si>
  <si>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Calculation of coal gas distribution shares</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</si>
  <si>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</si>
  <si>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</si>
  <si>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</si>
  <si>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</si>
  <si>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</si>
  <si>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</si>
  <si>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</si>
  <si>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</si>
  <si>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</si>
  <si>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</si>
  <si>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</si>
  <si>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</si>
  <si>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</si>
  <si>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</si>
  <si>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</si>
  <si>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</si>
  <si>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</si>
  <si>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</si>
  <si>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</si>
  <si>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</si>
  <si>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</si>
  <si>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</si>
  <si>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</si>
  <si>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</si>
  <si>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</si>
  <si>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</si>
  <si>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</si>
  <si>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</si>
  <si>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</si>
  <si>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</si>
  <si>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</si>
  <si>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</si>
  <si>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</si>
  <si>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</si>
  <si>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</si>
  <si>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</si>
  <si>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</si>
  <si>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</si>
  <si>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</si>
  <si>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</si>
  <si>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</si>
  <si>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</si>
  <si>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</si>
  <si>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</si>
  <si>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</si>
  <si>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</si>
  <si>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</si>
  <si>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</si>
  <si>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</si>
  <si>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</si>
  <si>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</si>
  <si>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</si>
  <si>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</si>
  <si>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</si>
  <si>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</si>
  <si>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</si>
  <si>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</si>
  <si>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</si>
  <si>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</si>
  <si>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</si>
  <si>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</si>
  <si>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</si>
  <si>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</si>
  <si>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removed technical specs</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</si>
  <si>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</si>
  <si>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</si>
  <si>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</si>
  <si>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</si>
  <si>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</si>
  <si>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</si>
  <si>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</si>
  <si>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</si>
  <si>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</si>
  <si>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</si>
  <si>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</si>
  <si>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</si>
  <si>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</si>
  <si>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</si>
  <si>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</si>
  <si>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</si>
  <si>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</si>
  <si>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CSV-file containing demands of transformation converters</t>
  </si>
  <si>
    <t>It is now possible to define a non-zero technology share for the cyclone oven. Adapted Dashboard, Introduction and Assumptions.</t>
  </si>
  <si>
    <t>Added buttons on Dashboard</t>
  </si>
  <si>
    <t>a</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</si>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</sst>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i/>
      <sz val="12"/>
      <name val="Calibri"/>
      <scheme val="minor"/>
    </font>
    <font>
      <b/>
      <sz val="12"/>
      <color rgb="FF000000"/>
      <name val="Calibri"/>
      <family val="2"/>
      <scheme val="minor"/>
    </font>
    <font>
      <b/>
      <u/>
      <sz val="12"/>
      <name val="Calibri"/>
      <scheme val="minor"/>
    </font>
    <font>
      <i/>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u/>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55">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89">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9" fillId="3" borderId="6" xfId="0" applyFont="1" applyFill="1" applyBorder="1" applyAlignment="1">
      <alignment vertical="center"/>
    </xf>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0" borderId="7" xfId="0" applyFont="1" applyFill="1" applyBorder="1"/>
    <xf numFmtId="0" fontId="7" fillId="0" borderId="16"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2" fillId="2" borderId="20" xfId="0" applyFont="1" applyFill="1" applyBorder="1"/>
    <xf numFmtId="0" fontId="14" fillId="2" borderId="13" xfId="0" applyFont="1" applyFill="1" applyBorder="1"/>
    <xf numFmtId="0" fontId="0" fillId="0" borderId="19" xfId="0"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0" fillId="2" borderId="19" xfId="0" applyFill="1" applyBorder="1" applyAlignment="1">
      <alignment vertical="top"/>
    </xf>
    <xf numFmtId="0" fontId="7" fillId="2" borderId="16" xfId="0" applyFont="1" applyFill="1" applyBorder="1"/>
    <xf numFmtId="0" fontId="11" fillId="0" borderId="14" xfId="0" applyFont="1" applyFill="1" applyBorder="1"/>
    <xf numFmtId="0" fontId="12" fillId="2" borderId="15" xfId="0" applyFont="1" applyFill="1" applyBorder="1"/>
    <xf numFmtId="0" fontId="0" fillId="0" borderId="43" xfId="0"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22" fillId="2" borderId="13" xfId="0" applyFont="1" applyFill="1" applyBorder="1"/>
    <xf numFmtId="0" fontId="23" fillId="2" borderId="0" xfId="0" applyFont="1" applyFill="1" applyBorder="1"/>
    <xf numFmtId="0" fontId="23" fillId="2" borderId="14" xfId="0" applyFont="1" applyFill="1" applyBorder="1"/>
    <xf numFmtId="0" fontId="6" fillId="2" borderId="13" xfId="0" applyFont="1" applyFill="1" applyBorder="1" applyAlignment="1">
      <alignment vertical="top"/>
    </xf>
    <xf numFmtId="0" fontId="6" fillId="2" borderId="17" xfId="0" applyFont="1" applyFill="1" applyBorder="1"/>
    <xf numFmtId="0" fontId="6" fillId="2" borderId="18" xfId="0" applyFont="1" applyFill="1" applyBorder="1"/>
    <xf numFmtId="0" fontId="6" fillId="2" borderId="19" xfId="0" applyFont="1" applyFill="1" applyBorder="1"/>
    <xf numFmtId="0" fontId="7" fillId="2" borderId="12"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6" fillId="2" borderId="0" xfId="0" applyFont="1" applyFill="1" applyBorder="1" applyAlignment="1">
      <alignment vertical="top"/>
    </xf>
    <xf numFmtId="0" fontId="6" fillId="2" borderId="14" xfId="0" applyFont="1" applyFill="1" applyBorder="1" applyAlignment="1">
      <alignment vertical="top"/>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11" fillId="0" borderId="14" xfId="0" applyFont="1" applyFill="1" applyBorder="1" applyAlignment="1">
      <alignment wrapText="1"/>
    </xf>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1" fillId="0" borderId="14" xfId="0" applyFont="1" applyFill="1" applyBorder="1" applyAlignment="1">
      <alignment vertical="top"/>
    </xf>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0" fontId="11" fillId="0" borderId="43" xfId="0" applyFont="1" applyFill="1" applyBorder="1"/>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1" fontId="0" fillId="2" borderId="0" xfId="0" applyNumberFormat="1" applyFill="1"/>
    <xf numFmtId="2" fontId="0" fillId="2" borderId="0" xfId="0" applyNumberFormat="1" applyFill="1" applyBorder="1"/>
    <xf numFmtId="0" fontId="0" fillId="2" borderId="0" xfId="0" applyNumberFormat="1" applyFill="1" applyBorder="1"/>
    <xf numFmtId="1" fontId="0" fillId="2" borderId="0" xfId="0" applyNumberFormat="1" applyFont="1" applyFill="1" applyBorder="1"/>
    <xf numFmtId="0" fontId="7" fillId="2" borderId="0" xfId="0" applyNumberFormat="1" applyFont="1" applyFill="1" applyBorder="1" applyAlignment="1">
      <alignment horizontal="center"/>
    </xf>
    <xf numFmtId="0" fontId="7" fillId="2" borderId="18" xfId="0" applyNumberFormat="1" applyFont="1" applyFill="1" applyBorder="1" applyAlignment="1">
      <alignment horizontal="center"/>
    </xf>
    <xf numFmtId="0" fontId="0" fillId="2" borderId="17" xfId="0" applyNumberFormat="1" applyFill="1" applyBorder="1"/>
    <xf numFmtId="0" fontId="0" fillId="2" borderId="13" xfId="0" applyNumberFormat="1" applyFill="1" applyBorder="1"/>
    <xf numFmtId="0" fontId="0" fillId="2" borderId="14" xfId="0" applyNumberFormat="1" applyFill="1" applyBorder="1"/>
    <xf numFmtId="0" fontId="12" fillId="2" borderId="13" xfId="0" applyNumberFormat="1" applyFont="1" applyFill="1" applyBorder="1"/>
    <xf numFmtId="0" fontId="7" fillId="2" borderId="13" xfId="0" applyNumberFormat="1" applyFont="1" applyFill="1" applyBorder="1"/>
    <xf numFmtId="0" fontId="7" fillId="2" borderId="7" xfId="0" applyNumberFormat="1" applyFont="1" applyFill="1" applyBorder="1" applyAlignment="1">
      <alignment horizontal="center"/>
    </xf>
    <xf numFmtId="0" fontId="0" fillId="2" borderId="15" xfId="0" applyNumberFormat="1" applyFill="1" applyBorder="1"/>
    <xf numFmtId="2" fontId="7" fillId="2" borderId="0" xfId="0" applyNumberFormat="1" applyFont="1" applyFill="1" applyBorder="1"/>
    <xf numFmtId="0" fontId="0" fillId="2" borderId="0" xfId="0" applyFill="1" applyBorder="1" applyAlignment="1">
      <alignment horizontal="left" vertical="top" wrapText="1"/>
    </xf>
    <xf numFmtId="2" fontId="0" fillId="2" borderId="3" xfId="0" applyNumberFormat="1" applyFill="1" applyBorder="1"/>
    <xf numFmtId="1" fontId="0" fillId="2" borderId="2" xfId="0" applyNumberFormat="1" applyFill="1" applyBorder="1"/>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13" fillId="8" borderId="0" xfId="0"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0" fontId="7" fillId="2" borderId="14" xfId="0" applyNumberFormat="1" applyFont="1" applyFill="1" applyBorder="1"/>
    <xf numFmtId="0" fontId="7" fillId="0" borderId="14" xfId="0" applyNumberFormat="1" applyFont="1" applyFill="1" applyBorder="1"/>
    <xf numFmtId="0" fontId="7" fillId="0" borderId="19" xfId="0" applyNumberFormat="1" applyFont="1" applyFill="1" applyBorder="1"/>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1" fontId="0" fillId="2" borderId="11" xfId="0" applyNumberFormat="1" applyFill="1" applyBorder="1"/>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0" fillId="2" borderId="0" xfId="0" applyNumberFormat="1" applyFill="1" applyBorder="1"/>
    <xf numFmtId="3" fontId="0" fillId="2" borderId="7" xfId="0" applyNumberFormat="1" applyFill="1" applyBorder="1"/>
    <xf numFmtId="3" fontId="7" fillId="2" borderId="0" xfId="0" applyNumberFormat="1" applyFont="1" applyFill="1" applyBorder="1"/>
    <xf numFmtId="3" fontId="0" fillId="0" borderId="0" xfId="0" applyNumberFormat="1" applyFont="1" applyFill="1" applyBorder="1"/>
    <xf numFmtId="3" fontId="0" fillId="0" borderId="7" xfId="0" applyNumberFormat="1" applyFont="1" applyFill="1" applyBorder="1"/>
    <xf numFmtId="3" fontId="10" fillId="0" borderId="0" xfId="0" applyNumberFormat="1" applyFont="1" applyFill="1" applyBorder="1"/>
    <xf numFmtId="3" fontId="10" fillId="2" borderId="0" xfId="0" applyNumberFormat="1" applyFont="1" applyFill="1" applyBorder="1"/>
    <xf numFmtId="3" fontId="11" fillId="0" borderId="0" xfId="0" applyNumberFormat="1" applyFont="1" applyFill="1" applyBorder="1"/>
    <xf numFmtId="3" fontId="0" fillId="0" borderId="0" xfId="0" applyNumberFormat="1" applyFont="1" applyFill="1" applyBorder="1" applyAlignment="1">
      <alignment horizontal="right"/>
    </xf>
    <xf numFmtId="3" fontId="0" fillId="2" borderId="0" xfId="0" applyNumberFormat="1" applyFont="1" applyFill="1" applyBorder="1"/>
    <xf numFmtId="3" fontId="10" fillId="0" borderId="18" xfId="0" applyNumberFormat="1" applyFont="1" applyFill="1" applyBorder="1" applyAlignment="1">
      <alignment horizontal="right"/>
    </xf>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0" fontId="7" fillId="2" borderId="15" xfId="0" applyNumberFormat="1" applyFont="1" applyFill="1" applyBorder="1"/>
    <xf numFmtId="3" fontId="7" fillId="2" borderId="7" xfId="0" applyNumberFormat="1" applyFont="1" applyFill="1" applyBorder="1"/>
    <xf numFmtId="0" fontId="7" fillId="2" borderId="16" xfId="0" applyNumberFormat="1" applyFont="1" applyFill="1" applyBorder="1"/>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0" fontId="0" fillId="2" borderId="13" xfId="0" applyNumberFormat="1" applyFill="1" applyBorder="1" applyAlignment="1">
      <alignment horizontal="left"/>
    </xf>
    <xf numFmtId="0" fontId="0" fillId="2" borderId="15" xfId="0" applyNumberFormat="1" applyFill="1" applyBorder="1" applyAlignment="1">
      <alignment horizontal="left"/>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5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Normal" xfId="0" builtinId="0"/>
    <cellStyle name="Percent" xfId="1" builtinId="5"/>
    <cellStyle name="Percent 2" xfId="772"/>
  </cellStyles>
  <dxfs count="22">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externalLink" Target="externalLinks/externalLink1.xml"/><Relationship Id="rId38" Type="http://schemas.openxmlformats.org/officeDocument/2006/relationships/theme" Target="theme/theme1.xml"/><Relationship Id="rId39" Type="http://schemas.openxmlformats.org/officeDocument/2006/relationships/styles" Target="styles.xml"/><Relationship Id="rId40" Type="http://schemas.openxmlformats.org/officeDocument/2006/relationships/sharedStrings" Target="sharedStrings.xml"/><Relationship Id="rId41"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40</xdr:row>
      <xdr:rowOff>0</xdr:rowOff>
    </xdr:from>
    <xdr:to>
      <xdr:col>32</xdr:col>
      <xdr:colOff>0</xdr:colOff>
      <xdr:row>43</xdr:row>
      <xdr:rowOff>0</xdr:rowOff>
    </xdr:to>
    <xdr:sp macro="" textlink="">
      <xdr:nvSpPr>
        <xdr:cNvPr id="125" name="Rectangle 124"/>
        <xdr:cNvSpPr/>
      </xdr:nvSpPr>
      <xdr:spPr>
        <a:xfrm>
          <a:off x="5613400" y="791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41</xdr:row>
      <xdr:rowOff>95250</xdr:rowOff>
    </xdr:to>
    <xdr:cxnSp macro="">
      <xdr:nvCxnSpPr>
        <xdr:cNvPr id="137" name="Elbow Connector 195"/>
        <xdr:cNvCxnSpPr>
          <a:stCxn id="125" idx="3"/>
          <a:endCxn id="324" idx="1"/>
        </xdr:cNvCxnSpPr>
      </xdr:nvCxnSpPr>
      <xdr:spPr>
        <a:xfrm flipV="1">
          <a:off x="6908800" y="759460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41</xdr:row>
      <xdr:rowOff>95250</xdr:rowOff>
    </xdr:to>
    <xdr:cxnSp macro="">
      <xdr:nvCxnSpPr>
        <xdr:cNvPr id="80" name="Elbow Connector 79"/>
        <xdr:cNvCxnSpPr>
          <a:stCxn id="31" idx="3"/>
          <a:endCxn id="125" idx="1"/>
        </xdr:cNvCxnSpPr>
      </xdr:nvCxnSpPr>
      <xdr:spPr>
        <a:xfrm>
          <a:off x="1727200" y="3308350"/>
          <a:ext cx="3886200" cy="4762500"/>
        </a:xfrm>
        <a:prstGeom prst="bentConnector3">
          <a:avLst>
            <a:gd name="adj1" fmla="val 8921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78</xdr:col>
      <xdr:colOff>0</xdr:colOff>
      <xdr:row>39</xdr:row>
      <xdr:rowOff>12700</xdr:rowOff>
    </xdr:from>
    <xdr:to>
      <xdr:col>84</xdr:col>
      <xdr:colOff>0</xdr:colOff>
      <xdr:row>42</xdr:row>
      <xdr:rowOff>12700</xdr:rowOff>
    </xdr:to>
    <xdr:sp macro="" textlink="">
      <xdr:nvSpPr>
        <xdr:cNvPr id="65" name="Rectangle 64"/>
        <xdr:cNvSpPr/>
      </xdr:nvSpPr>
      <xdr:spPr>
        <a:xfrm>
          <a:off x="16840200" y="7607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coal gas distribution parent share</a:t>
          </a:r>
          <a:endParaRPr lang="en-US" u="sng"/>
        </a:p>
      </xdr:txBody>
    </xdr:sp>
    <xdr:clientData/>
  </xdr:twoCellAnchor>
  <xdr:twoCellAnchor>
    <xdr:from>
      <xdr:col>54</xdr:col>
      <xdr:colOff>0</xdr:colOff>
      <xdr:row>41</xdr:row>
      <xdr:rowOff>0</xdr:rowOff>
    </xdr:from>
    <xdr:to>
      <xdr:col>60</xdr:col>
      <xdr:colOff>0</xdr:colOff>
      <xdr:row>44</xdr:row>
      <xdr:rowOff>0</xdr:rowOff>
    </xdr:to>
    <xdr:sp macro="" textlink="">
      <xdr:nvSpPr>
        <xdr:cNvPr id="66" name="Rectangle 65"/>
        <xdr:cNvSpPr/>
      </xdr:nvSpPr>
      <xdr:spPr>
        <a:xfrm>
          <a:off x="116586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gas</a:t>
          </a:r>
          <a:r>
            <a:rPr lang="en-US" baseline="0"/>
            <a:t> analysis</a:t>
          </a:r>
          <a:endParaRPr lang="en-US"/>
        </a:p>
      </xdr:txBody>
    </xdr:sp>
    <xdr:clientData/>
  </xdr:twoCellAnchor>
  <xdr:twoCellAnchor>
    <xdr:from>
      <xdr:col>78</xdr:col>
      <xdr:colOff>0</xdr:colOff>
      <xdr:row>43</xdr:row>
      <xdr:rowOff>12700</xdr:rowOff>
    </xdr:from>
    <xdr:to>
      <xdr:col>84</xdr:col>
      <xdr:colOff>0</xdr:colOff>
      <xdr:row>46</xdr:row>
      <xdr:rowOff>12700</xdr:rowOff>
    </xdr:to>
    <xdr:sp macro="" textlink="">
      <xdr:nvSpPr>
        <xdr:cNvPr id="67" name="Rectangle 66"/>
        <xdr:cNvSpPr/>
      </xdr:nvSpPr>
      <xdr:spPr>
        <a:xfrm>
          <a:off x="16840200" y="8369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coal gas distribution child share</a:t>
          </a:r>
          <a:endParaRPr lang="en-US" u="sng"/>
        </a:p>
      </xdr:txBody>
    </xdr:sp>
    <xdr:clientData/>
  </xdr:twoCellAnchor>
  <xdr:twoCellAnchor>
    <xdr:from>
      <xdr:col>60</xdr:col>
      <xdr:colOff>0</xdr:colOff>
      <xdr:row>40</xdr:row>
      <xdr:rowOff>107950</xdr:rowOff>
    </xdr:from>
    <xdr:to>
      <xdr:col>78</xdr:col>
      <xdr:colOff>0</xdr:colOff>
      <xdr:row>42</xdr:row>
      <xdr:rowOff>95250</xdr:rowOff>
    </xdr:to>
    <xdr:cxnSp macro="">
      <xdr:nvCxnSpPr>
        <xdr:cNvPr id="70" name="Elbow Connector 69"/>
        <xdr:cNvCxnSpPr>
          <a:stCxn id="66" idx="3"/>
          <a:endCxn id="65" idx="1"/>
        </xdr:cNvCxnSpPr>
      </xdr:nvCxnSpPr>
      <xdr:spPr>
        <a:xfrm flipV="1">
          <a:off x="12954000" y="7893050"/>
          <a:ext cx="3886200" cy="368300"/>
        </a:xfrm>
        <a:prstGeom prst="bentConnector3">
          <a:avLst>
            <a:gd name="adj1" fmla="val 89215"/>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0</xdr:colOff>
      <xdr:row>42</xdr:row>
      <xdr:rowOff>95250</xdr:rowOff>
    </xdr:from>
    <xdr:to>
      <xdr:col>78</xdr:col>
      <xdr:colOff>0</xdr:colOff>
      <xdr:row>44</xdr:row>
      <xdr:rowOff>107950</xdr:rowOff>
    </xdr:to>
    <xdr:cxnSp macro="">
      <xdr:nvCxnSpPr>
        <xdr:cNvPr id="71" name="Elbow Connector 70"/>
        <xdr:cNvCxnSpPr>
          <a:stCxn id="66" idx="3"/>
          <a:endCxn id="67" idx="1"/>
        </xdr:cNvCxnSpPr>
      </xdr:nvCxnSpPr>
      <xdr:spPr>
        <a:xfrm>
          <a:off x="12954000" y="8261350"/>
          <a:ext cx="3886200" cy="393700"/>
        </a:xfrm>
        <a:prstGeom prst="bentConnector3">
          <a:avLst>
            <a:gd name="adj1" fmla="val 8954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21</xdr:row>
      <xdr:rowOff>95250</xdr:rowOff>
    </xdr:from>
    <xdr:to>
      <xdr:col>54</xdr:col>
      <xdr:colOff>0</xdr:colOff>
      <xdr:row>42</xdr:row>
      <xdr:rowOff>95250</xdr:rowOff>
    </xdr:to>
    <xdr:cxnSp macro="">
      <xdr:nvCxnSpPr>
        <xdr:cNvPr id="78" name="Elbow Connector 77"/>
        <xdr:cNvCxnSpPr>
          <a:stCxn id="149" idx="3"/>
          <a:endCxn id="66" idx="1"/>
        </xdr:cNvCxnSpPr>
      </xdr:nvCxnSpPr>
      <xdr:spPr>
        <a:xfrm>
          <a:off x="9931400" y="4260850"/>
          <a:ext cx="1727200" cy="40005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46</xdr:col>
      <xdr:colOff>0</xdr:colOff>
      <xdr:row>29</xdr:row>
      <xdr:rowOff>0</xdr:rowOff>
    </xdr:from>
    <xdr:to>
      <xdr:col>54</xdr:col>
      <xdr:colOff>0</xdr:colOff>
      <xdr:row>42</xdr:row>
      <xdr:rowOff>95250</xdr:rowOff>
    </xdr:to>
    <xdr:cxnSp macro="">
      <xdr:nvCxnSpPr>
        <xdr:cNvPr id="81" name="Elbow Connector 80"/>
        <xdr:cNvCxnSpPr>
          <a:stCxn id="133" idx="3"/>
          <a:endCxn id="66" idx="1"/>
        </xdr:cNvCxnSpPr>
      </xdr:nvCxnSpPr>
      <xdr:spPr>
        <a:xfrm>
          <a:off x="9931400" y="5689600"/>
          <a:ext cx="1727200" cy="25717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46</xdr:col>
      <xdr:colOff>0</xdr:colOff>
      <xdr:row>39</xdr:row>
      <xdr:rowOff>0</xdr:rowOff>
    </xdr:from>
    <xdr:to>
      <xdr:col>54</xdr:col>
      <xdr:colOff>0</xdr:colOff>
      <xdr:row>42</xdr:row>
      <xdr:rowOff>95250</xdr:rowOff>
    </xdr:to>
    <xdr:cxnSp macro="">
      <xdr:nvCxnSpPr>
        <xdr:cNvPr id="84" name="Elbow Connector 83"/>
        <xdr:cNvCxnSpPr>
          <a:stCxn id="324" idx="3"/>
          <a:endCxn id="66" idx="1"/>
        </xdr:cNvCxnSpPr>
      </xdr:nvCxnSpPr>
      <xdr:spPr>
        <a:xfrm>
          <a:off x="9931400" y="7594600"/>
          <a:ext cx="1727200" cy="6667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77</xdr:col>
      <xdr:colOff>203200</xdr:colOff>
      <xdr:row>47</xdr:row>
      <xdr:rowOff>38100</xdr:rowOff>
    </xdr:from>
    <xdr:to>
      <xdr:col>83</xdr:col>
      <xdr:colOff>203200</xdr:colOff>
      <xdr:row>49</xdr:row>
      <xdr:rowOff>0</xdr:rowOff>
    </xdr:to>
    <xdr:sp macro="" textlink="">
      <xdr:nvSpPr>
        <xdr:cNvPr id="75" name="Rectangle 74"/>
        <xdr:cNvSpPr/>
      </xdr:nvSpPr>
      <xdr:spPr>
        <a:xfrm>
          <a:off x="16827500" y="9156700"/>
          <a:ext cx="1295400" cy="3429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metal_</a:t>
          </a:r>
          <a:r>
            <a:rPr lang="en-US" u="none" baseline="0"/>
            <a:t>efficiencies</a:t>
          </a:r>
          <a:endParaRPr lang="en-US" u="sng"/>
        </a:p>
      </xdr:txBody>
    </xdr:sp>
    <xdr:clientData/>
  </xdr:twoCellAnchor>
  <xdr:twoCellAnchor>
    <xdr:from>
      <xdr:col>32</xdr:col>
      <xdr:colOff>0</xdr:colOff>
      <xdr:row>26</xdr:row>
      <xdr:rowOff>95250</xdr:rowOff>
    </xdr:from>
    <xdr:to>
      <xdr:col>77</xdr:col>
      <xdr:colOff>203200</xdr:colOff>
      <xdr:row>48</xdr:row>
      <xdr:rowOff>19050</xdr:rowOff>
    </xdr:to>
    <xdr:cxnSp macro="">
      <xdr:nvCxnSpPr>
        <xdr:cNvPr id="76" name="Elbow Connector 75"/>
        <xdr:cNvCxnSpPr>
          <a:stCxn id="572" idx="3"/>
          <a:endCxn id="75" idx="1"/>
        </xdr:cNvCxnSpPr>
      </xdr:nvCxnSpPr>
      <xdr:spPr>
        <a:xfrm>
          <a:off x="6908800" y="5213350"/>
          <a:ext cx="9918700" cy="4114800"/>
        </a:xfrm>
        <a:prstGeom prst="bentConnector3">
          <a:avLst>
            <a:gd name="adj1" fmla="val 505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41</xdr:row>
      <xdr:rowOff>95250</xdr:rowOff>
    </xdr:from>
    <xdr:to>
      <xdr:col>77</xdr:col>
      <xdr:colOff>203200</xdr:colOff>
      <xdr:row>48</xdr:row>
      <xdr:rowOff>19050</xdr:rowOff>
    </xdr:to>
    <xdr:cxnSp macro="">
      <xdr:nvCxnSpPr>
        <xdr:cNvPr id="79" name="Elbow Connector 78"/>
        <xdr:cNvCxnSpPr>
          <a:stCxn id="125" idx="3"/>
          <a:endCxn id="75" idx="1"/>
        </xdr:cNvCxnSpPr>
      </xdr:nvCxnSpPr>
      <xdr:spPr>
        <a:xfrm>
          <a:off x="6908800" y="8070850"/>
          <a:ext cx="9918700" cy="1257300"/>
        </a:xfrm>
        <a:prstGeom prst="bentConnector3">
          <a:avLst>
            <a:gd name="adj1" fmla="val 493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77</xdr:col>
      <xdr:colOff>203200</xdr:colOff>
      <xdr:row>49</xdr:row>
      <xdr:rowOff>0</xdr:rowOff>
    </xdr:from>
    <xdr:to>
      <xdr:col>83</xdr:col>
      <xdr:colOff>203200</xdr:colOff>
      <xdr:row>50</xdr:row>
      <xdr:rowOff>152400</xdr:rowOff>
    </xdr:to>
    <xdr:sp macro="" textlink="">
      <xdr:nvSpPr>
        <xdr:cNvPr id="73" name="Rectangle 72"/>
        <xdr:cNvSpPr/>
      </xdr:nvSpPr>
      <xdr:spPr>
        <a:xfrm>
          <a:off x="16827500" y="9499600"/>
          <a:ext cx="1295400" cy="3429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metal_demands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88900</xdr:colOff>
      <xdr:row>6</xdr:row>
      <xdr:rowOff>152400</xdr:rowOff>
    </xdr:from>
    <xdr:to>
      <xdr:col>5</xdr:col>
      <xdr:colOff>38100</xdr:colOff>
      <xdr:row>6</xdr:row>
      <xdr:rowOff>1826086</xdr:rowOff>
    </xdr:to>
    <xdr:grpSp>
      <xdr:nvGrpSpPr>
        <xdr:cNvPr id="2" name="Group 1"/>
        <xdr:cNvGrpSpPr/>
      </xdr:nvGrpSpPr>
      <xdr:grpSpPr>
        <a:xfrm>
          <a:off x="914400" y="2324100"/>
          <a:ext cx="5918200" cy="1673686"/>
          <a:chOff x="2301045" y="3499447"/>
          <a:chExt cx="6038622" cy="1673686"/>
        </a:xfrm>
      </xdr:grpSpPr>
      <xdr:sp macro="" textlink="">
        <xdr:nvSpPr>
          <xdr:cNvPr id="3" name="Rectangle 2"/>
          <xdr:cNvSpPr/>
        </xdr:nvSpPr>
        <xdr:spPr>
          <a:xfrm>
            <a:off x="3851484" y="3501227"/>
            <a:ext cx="2227584" cy="1671906"/>
          </a:xfrm>
          <a:prstGeom prst="rect">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400" i="1"/>
              <a:t>energy_distribution</a:t>
            </a:r>
          </a:p>
          <a:p>
            <a:pPr algn="ctr"/>
            <a:r>
              <a:rPr lang="en-US" sz="1400" i="1"/>
              <a:t>_coal_gas</a:t>
            </a:r>
          </a:p>
        </xdr:txBody>
      </xdr:sp>
      <xdr:cxnSp macro="">
        <xdr:nvCxnSpPr>
          <xdr:cNvPr id="4" name="Straight Arrow Connector 3"/>
          <xdr:cNvCxnSpPr/>
        </xdr:nvCxnSpPr>
        <xdr:spPr>
          <a:xfrm flipH="1">
            <a:off x="6065382" y="3820214"/>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5" name="TextBox 4"/>
          <xdr:cNvSpPr txBox="1"/>
        </xdr:nvSpPr>
        <xdr:spPr>
          <a:xfrm>
            <a:off x="6206066" y="3499447"/>
            <a:ext cx="2133601" cy="233397"/>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energy_import_coal_gas</a:t>
            </a:r>
          </a:p>
        </xdr:txBody>
      </xdr:sp>
      <xdr:cxnSp macro="">
        <xdr:nvCxnSpPr>
          <xdr:cNvPr id="6" name="Straight Arrow Connector 5"/>
          <xdr:cNvCxnSpPr/>
        </xdr:nvCxnSpPr>
        <xdr:spPr>
          <a:xfrm flipH="1">
            <a:off x="6085564" y="4260816"/>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7" name="TextBox 6"/>
          <xdr:cNvSpPr txBox="1"/>
        </xdr:nvSpPr>
        <xdr:spPr>
          <a:xfrm>
            <a:off x="6217781" y="3846912"/>
            <a:ext cx="2113419" cy="36881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energy_steel_blastfurnace_</a:t>
            </a:r>
          </a:p>
          <a:p>
            <a:pPr>
              <a:lnSpc>
                <a:spcPct val="80000"/>
              </a:lnSpc>
            </a:pPr>
            <a:r>
              <a:rPr lang="en-US" sz="1050"/>
              <a:t>current_transformation_cokes</a:t>
            </a:r>
          </a:p>
        </xdr:txBody>
      </xdr:sp>
      <xdr:cxnSp macro="">
        <xdr:nvCxnSpPr>
          <xdr:cNvPr id="8" name="Straight Arrow Connector 7"/>
          <xdr:cNvCxnSpPr/>
        </xdr:nvCxnSpPr>
        <xdr:spPr>
          <a:xfrm flipH="1">
            <a:off x="6085564" y="4674720"/>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9" name="TextBox 8"/>
          <xdr:cNvSpPr txBox="1"/>
        </xdr:nvSpPr>
        <xdr:spPr>
          <a:xfrm>
            <a:off x="6217781" y="4260816"/>
            <a:ext cx="2113419" cy="36881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energy_steel_blastfurnace_bat_</a:t>
            </a:r>
          </a:p>
          <a:p>
            <a:pPr>
              <a:lnSpc>
                <a:spcPct val="80000"/>
              </a:lnSpc>
            </a:pPr>
            <a:r>
              <a:rPr lang="en-US" sz="1050"/>
              <a:t>transformation_cokes</a:t>
            </a:r>
          </a:p>
        </xdr:txBody>
      </xdr:sp>
      <xdr:cxnSp macro="">
        <xdr:nvCxnSpPr>
          <xdr:cNvPr id="10" name="Straight Arrow Connector 9"/>
          <xdr:cNvCxnSpPr/>
        </xdr:nvCxnSpPr>
        <xdr:spPr>
          <a:xfrm flipH="1">
            <a:off x="6065382" y="5088624"/>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1" name="TextBox 10"/>
          <xdr:cNvSpPr txBox="1"/>
        </xdr:nvSpPr>
        <xdr:spPr>
          <a:xfrm>
            <a:off x="6197599" y="4674720"/>
            <a:ext cx="2133601" cy="36881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energy_cokesoven_</a:t>
            </a:r>
          </a:p>
          <a:p>
            <a:pPr>
              <a:lnSpc>
                <a:spcPct val="80000"/>
              </a:lnSpc>
            </a:pPr>
            <a:r>
              <a:rPr lang="en-US" sz="1050"/>
              <a:t>transformation_coal</a:t>
            </a:r>
          </a:p>
        </xdr:txBody>
      </xdr:sp>
      <xdr:cxnSp macro="">
        <xdr:nvCxnSpPr>
          <xdr:cNvPr id="12" name="Straight Arrow Connector 11"/>
          <xdr:cNvCxnSpPr/>
        </xdr:nvCxnSpPr>
        <xdr:spPr>
          <a:xfrm flipH="1">
            <a:off x="2375631" y="4054186"/>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3" name="TextBox 12"/>
          <xdr:cNvSpPr txBox="1"/>
        </xdr:nvSpPr>
        <xdr:spPr>
          <a:xfrm>
            <a:off x="2314647" y="3733419"/>
            <a:ext cx="1536837" cy="226985"/>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energy_export_coal_gas</a:t>
            </a:r>
          </a:p>
        </xdr:txBody>
      </xdr:sp>
      <xdr:cxnSp macro="">
        <xdr:nvCxnSpPr>
          <xdr:cNvPr id="14" name="Straight Arrow Connector 13"/>
          <xdr:cNvCxnSpPr/>
        </xdr:nvCxnSpPr>
        <xdr:spPr>
          <a:xfrm flipH="1">
            <a:off x="2395813" y="4494788"/>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5" name="TextBox 14"/>
          <xdr:cNvSpPr txBox="1"/>
        </xdr:nvSpPr>
        <xdr:spPr>
          <a:xfrm>
            <a:off x="2301045" y="4080884"/>
            <a:ext cx="1550439" cy="36881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energy_cokesoven_</a:t>
            </a:r>
          </a:p>
          <a:p>
            <a:pPr>
              <a:lnSpc>
                <a:spcPct val="80000"/>
              </a:lnSpc>
            </a:pPr>
            <a:r>
              <a:rPr lang="en-US" sz="1050"/>
              <a:t>consumption_coal_gas</a:t>
            </a:r>
          </a:p>
        </xdr:txBody>
      </xdr:sp>
      <xdr:cxnSp macro="">
        <xdr:nvCxnSpPr>
          <xdr:cNvPr id="16" name="Straight Arrow Connector 15"/>
          <xdr:cNvCxnSpPr/>
        </xdr:nvCxnSpPr>
        <xdr:spPr>
          <a:xfrm flipH="1">
            <a:off x="2395813" y="4908692"/>
            <a:ext cx="1475853"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7" name="TextBox 16"/>
          <xdr:cNvSpPr txBox="1"/>
        </xdr:nvSpPr>
        <xdr:spPr>
          <a:xfrm>
            <a:off x="2301045" y="4494788"/>
            <a:ext cx="1550439" cy="36881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80000"/>
              </a:lnSpc>
            </a:pPr>
            <a:r>
              <a:rPr lang="en-US" sz="1050"/>
              <a:t>industry_final_demand_coal_gas</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189</v>
      </c>
    </row>
    <row r="4" spans="2:4">
      <c r="B4" s="3" t="s">
        <v>1</v>
      </c>
      <c r="C4" s="4" t="s">
        <v>619</v>
      </c>
      <c r="D4" s="5"/>
    </row>
    <row r="5" spans="2:4">
      <c r="B5" s="6" t="s">
        <v>2</v>
      </c>
      <c r="C5" s="24">
        <f>MAX(Changelog!D:D)</f>
        <v>1.43</v>
      </c>
      <c r="D5" s="7"/>
    </row>
    <row r="6" spans="2:4">
      <c r="B6" s="6" t="s">
        <v>248</v>
      </c>
      <c r="C6" s="24">
        <f>country</f>
        <v>0</v>
      </c>
      <c r="D6" s="7"/>
    </row>
    <row r="7" spans="2:4">
      <c r="B7" s="6" t="s">
        <v>249</v>
      </c>
      <c r="C7" s="116">
        <f>base_year</f>
        <v>0</v>
      </c>
      <c r="D7" s="7"/>
    </row>
    <row r="8" spans="2:4">
      <c r="B8" s="6" t="s">
        <v>3</v>
      </c>
      <c r="C8" s="86">
        <f>MAX(Changelog!B:B)</f>
        <v>41618</v>
      </c>
      <c r="D8" s="7"/>
    </row>
    <row r="9" spans="2:4">
      <c r="B9" s="6" t="s">
        <v>4</v>
      </c>
      <c r="C9" s="8" t="s">
        <v>204</v>
      </c>
      <c r="D9" s="7"/>
    </row>
    <row r="10" spans="2:4">
      <c r="B10" s="9" t="s">
        <v>19</v>
      </c>
      <c r="C10" s="10" t="s">
        <v>5</v>
      </c>
      <c r="D10" s="11"/>
    </row>
    <row r="12" spans="2:4">
      <c r="B12" s="3" t="s">
        <v>8</v>
      </c>
      <c r="C12" s="4"/>
      <c r="D12" s="5"/>
    </row>
    <row r="13" spans="2:4">
      <c r="B13" s="19"/>
      <c r="C13" s="8"/>
      <c r="D13" s="7"/>
    </row>
    <row r="14" spans="2:4">
      <c r="B14" s="19" t="s">
        <v>9</v>
      </c>
      <c r="C14" s="20" t="s">
        <v>10</v>
      </c>
      <c r="D14" s="7"/>
    </row>
    <row r="15" spans="2:4" ht="16" thickBot="1">
      <c r="B15" s="19"/>
      <c r="C15" s="14" t="s">
        <v>11</v>
      </c>
      <c r="D15" s="7"/>
    </row>
    <row r="16" spans="2:4" ht="16" thickBot="1">
      <c r="B16" s="19"/>
      <c r="C16" s="21" t="s">
        <v>12</v>
      </c>
      <c r="D16" s="7"/>
    </row>
    <row r="17" spans="2:4">
      <c r="B17" s="19"/>
      <c r="C17" s="8" t="s">
        <v>13</v>
      </c>
      <c r="D17" s="7"/>
    </row>
    <row r="18" spans="2:4">
      <c r="B18" s="19"/>
      <c r="C18" s="8"/>
      <c r="D18" s="7"/>
    </row>
    <row r="19" spans="2:4">
      <c r="B19" s="19" t="s">
        <v>297</v>
      </c>
      <c r="C19" s="22" t="s">
        <v>200</v>
      </c>
      <c r="D19" s="7"/>
    </row>
    <row r="20" spans="2:4">
      <c r="B20" s="19"/>
      <c r="C20" s="82" t="s">
        <v>24</v>
      </c>
      <c r="D20" s="7"/>
    </row>
    <row r="21" spans="2:4">
      <c r="B21" s="19"/>
      <c r="C21" s="81" t="s">
        <v>16</v>
      </c>
      <c r="D21" s="7"/>
    </row>
    <row r="22" spans="2:4">
      <c r="B22" s="17"/>
      <c r="C22" s="23" t="s">
        <v>14</v>
      </c>
      <c r="D22" s="7"/>
    </row>
    <row r="23" spans="2:4">
      <c r="B23" s="17"/>
      <c r="C23" s="83" t="s">
        <v>201</v>
      </c>
      <c r="D23" s="7"/>
    </row>
    <row r="24" spans="2:4">
      <c r="B24" s="17"/>
      <c r="C24" s="84" t="s">
        <v>15</v>
      </c>
      <c r="D24" s="7"/>
    </row>
    <row r="25" spans="2:4">
      <c r="B25" s="17"/>
      <c r="C25" s="70" t="s">
        <v>17</v>
      </c>
      <c r="D25" s="7"/>
    </row>
    <row r="26" spans="2:4">
      <c r="B26" s="18"/>
      <c r="C26" s="10"/>
      <c r="D26" s="11"/>
    </row>
    <row r="28" spans="2:4">
      <c r="B28" s="3" t="s">
        <v>18</v>
      </c>
      <c r="C28" s="4"/>
      <c r="D28" s="5"/>
    </row>
    <row r="29" spans="2:4">
      <c r="B29" s="17"/>
      <c r="C29" s="8"/>
      <c r="D29" s="7"/>
    </row>
    <row r="30" spans="2:4">
      <c r="B30" s="17"/>
      <c r="C30" s="8"/>
      <c r="D30" s="7"/>
    </row>
    <row r="31" spans="2:4">
      <c r="B31" s="17"/>
      <c r="C31" s="8"/>
      <c r="D31" s="7"/>
    </row>
    <row r="32" spans="2:4">
      <c r="B32" s="17"/>
      <c r="C32" s="8"/>
      <c r="D32" s="7"/>
    </row>
    <row r="33" spans="2:4">
      <c r="B33" s="17"/>
      <c r="C33" s="8"/>
      <c r="D33" s="7"/>
    </row>
    <row r="34" spans="2:4">
      <c r="B34" s="17"/>
      <c r="C34" s="8"/>
      <c r="D34" s="7"/>
    </row>
    <row r="35" spans="2:4">
      <c r="B35" s="17"/>
      <c r="C35" s="8"/>
      <c r="D35" s="7"/>
    </row>
    <row r="36" spans="2:4">
      <c r="B36" s="17"/>
      <c r="C36" s="8"/>
      <c r="D36" s="7"/>
    </row>
    <row r="37" spans="2:4">
      <c r="B37" s="17"/>
      <c r="C37" s="8"/>
      <c r="D37" s="7"/>
    </row>
    <row r="38" spans="2:4">
      <c r="B38" s="18"/>
      <c r="C38" s="10"/>
      <c r="D38" s="11"/>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9"/>
  <sheetViews>
    <sheetView workbookViewId="0"/>
  </sheetViews>
  <sheetFormatPr baseColWidth="10" defaultRowHeight="15" x14ac:dyDescent="0"/>
  <cols>
    <col min="1" max="1" width="10.83203125" style="1"/>
    <col min="2" max="2" width="21.6640625" style="1" customWidth="1"/>
    <col min="3" max="5" width="14.33203125" style="1" customWidth="1"/>
    <col min="6" max="6" width="14.33203125" style="106" customWidth="1"/>
    <col min="7" max="11" width="14.33203125" style="1" customWidth="1"/>
    <col min="12" max="16384" width="10.83203125" style="1"/>
  </cols>
  <sheetData>
    <row r="1" spans="1:17">
      <c r="B1" s="92"/>
      <c r="C1" s="92"/>
      <c r="D1" s="92"/>
      <c r="E1" s="92"/>
      <c r="F1" s="92"/>
      <c r="G1" s="92"/>
      <c r="H1" s="92"/>
      <c r="I1" s="92"/>
      <c r="J1" s="92"/>
      <c r="K1" s="92"/>
      <c r="L1" s="92"/>
      <c r="M1" s="92"/>
      <c r="N1" s="92"/>
    </row>
    <row r="2" spans="1:17" ht="20">
      <c r="A2" s="92"/>
      <c r="B2" s="91" t="s">
        <v>261</v>
      </c>
      <c r="C2" s="8"/>
      <c r="D2" s="8"/>
      <c r="E2" s="8"/>
      <c r="F2" s="8"/>
      <c r="G2" s="8"/>
      <c r="H2" s="92"/>
      <c r="I2" s="92"/>
      <c r="J2" s="92"/>
      <c r="K2" s="92"/>
      <c r="L2" s="92"/>
      <c r="M2" s="92"/>
      <c r="N2" s="92"/>
    </row>
    <row r="3" spans="1:17">
      <c r="A3" s="92"/>
      <c r="C3" s="8"/>
      <c r="D3" s="8"/>
      <c r="E3" s="8"/>
      <c r="F3" s="8"/>
      <c r="G3" s="8"/>
      <c r="H3" s="92"/>
      <c r="I3" s="92"/>
      <c r="J3" s="92"/>
      <c r="K3" s="92"/>
      <c r="L3" s="92"/>
      <c r="M3" s="92"/>
      <c r="N3" s="92"/>
    </row>
    <row r="4" spans="1:17">
      <c r="A4" s="92"/>
      <c r="B4" s="3" t="s">
        <v>83</v>
      </c>
      <c r="C4" s="4"/>
      <c r="D4" s="4"/>
      <c r="E4" s="4"/>
      <c r="F4" s="5"/>
      <c r="G4" s="92"/>
      <c r="H4" s="92"/>
      <c r="I4" s="92"/>
      <c r="J4" s="92"/>
      <c r="K4" s="92"/>
      <c r="L4" s="92"/>
      <c r="M4" s="92"/>
    </row>
    <row r="5" spans="1:17" ht="31" customHeight="1">
      <c r="A5" s="92"/>
      <c r="B5" s="677" t="s">
        <v>353</v>
      </c>
      <c r="C5" s="678"/>
      <c r="D5" s="678"/>
      <c r="E5" s="678"/>
      <c r="F5" s="679"/>
      <c r="G5" s="92"/>
      <c r="H5" s="92"/>
      <c r="I5" s="92"/>
      <c r="J5" s="92"/>
      <c r="K5" s="92"/>
      <c r="L5" s="92"/>
      <c r="M5" s="92"/>
    </row>
    <row r="6" spans="1:17" ht="16" thickBot="1">
      <c r="A6" s="92"/>
      <c r="B6" s="92"/>
      <c r="C6" s="92"/>
      <c r="D6" s="92"/>
      <c r="E6" s="92"/>
      <c r="F6" s="92"/>
      <c r="G6" s="92"/>
      <c r="H6" s="92"/>
      <c r="I6" s="92"/>
      <c r="J6" s="92"/>
      <c r="K6" s="92"/>
      <c r="L6" s="92"/>
      <c r="M6" s="92"/>
      <c r="N6" s="92"/>
    </row>
    <row r="7" spans="1:17">
      <c r="A7" s="92"/>
      <c r="B7" s="190" t="s">
        <v>261</v>
      </c>
      <c r="C7" s="191"/>
      <c r="D7" s="192"/>
      <c r="E7" s="192"/>
      <c r="F7" s="192"/>
      <c r="G7" s="192"/>
      <c r="H7" s="192"/>
      <c r="I7" s="192"/>
      <c r="J7" s="192"/>
      <c r="K7" s="200"/>
      <c r="L7" s="92"/>
      <c r="M7" s="92"/>
      <c r="N7" s="92"/>
    </row>
    <row r="8" spans="1:17">
      <c r="A8" s="92"/>
      <c r="B8" s="193"/>
      <c r="C8" s="194"/>
      <c r="D8" s="194"/>
      <c r="E8" s="194"/>
      <c r="F8" s="194"/>
      <c r="G8" s="194"/>
      <c r="H8" s="194"/>
      <c r="I8" s="194"/>
      <c r="J8" s="194"/>
      <c r="K8" s="202"/>
      <c r="L8" s="92"/>
      <c r="M8" s="92"/>
      <c r="N8" s="92"/>
    </row>
    <row r="9" spans="1:17" ht="30">
      <c r="A9" s="92"/>
      <c r="B9" s="206"/>
      <c r="C9" s="329" t="s">
        <v>330</v>
      </c>
      <c r="D9" s="329" t="s">
        <v>331</v>
      </c>
      <c r="E9" s="329" t="s">
        <v>332</v>
      </c>
      <c r="F9" s="329" t="s">
        <v>454</v>
      </c>
      <c r="G9" s="329" t="s">
        <v>456</v>
      </c>
      <c r="H9" s="329" t="s">
        <v>455</v>
      </c>
      <c r="I9" s="329" t="s">
        <v>333</v>
      </c>
      <c r="J9" s="329" t="s">
        <v>334</v>
      </c>
      <c r="K9" s="330" t="s">
        <v>335</v>
      </c>
      <c r="L9" s="92"/>
      <c r="M9" s="92"/>
      <c r="N9" s="92"/>
      <c r="O9" s="92"/>
      <c r="P9" s="92"/>
      <c r="Q9" s="92"/>
    </row>
    <row r="10" spans="1:17">
      <c r="A10" s="92"/>
      <c r="B10" s="195" t="s">
        <v>209</v>
      </c>
      <c r="C10" s="414"/>
      <c r="D10" s="414"/>
      <c r="E10" s="414"/>
      <c r="F10" s="414"/>
      <c r="G10" s="414"/>
      <c r="H10" s="414"/>
      <c r="I10" s="414"/>
      <c r="J10" s="414"/>
      <c r="K10" s="377"/>
      <c r="L10" s="92"/>
      <c r="M10" s="92"/>
      <c r="N10" s="92"/>
      <c r="O10" s="92"/>
      <c r="P10" s="92"/>
      <c r="Q10" s="92"/>
    </row>
    <row r="11" spans="1:17">
      <c r="A11" s="92"/>
      <c r="B11" s="196" t="s">
        <v>126</v>
      </c>
      <c r="C11" s="426" t="e">
        <f>'Steel and alu demand'!G28</f>
        <v>#DIV/0!</v>
      </c>
      <c r="D11" s="426" t="e">
        <f>'Steel and alu demand'!H28</f>
        <v>#DIV/0!</v>
      </c>
      <c r="E11" s="426" t="e">
        <f>'Steel and alu demand'!I28</f>
        <v>#DIV/0!</v>
      </c>
      <c r="F11" s="426">
        <f>'Steel and alu demand'!J28</f>
        <v>0</v>
      </c>
      <c r="G11" s="426">
        <f>'Steel and alu demand'!K28</f>
        <v>0</v>
      </c>
      <c r="H11" s="426" t="e">
        <f>'Steel and alu demand'!L28</f>
        <v>#DIV/0!</v>
      </c>
      <c r="I11" s="426" t="e">
        <f>'Steel and alu demand'!M28</f>
        <v>#DIV/0!</v>
      </c>
      <c r="J11" s="426">
        <f>'Steel and alu demand'!N28</f>
        <v>0</v>
      </c>
      <c r="K11" s="361">
        <f>'Steel and alu demand'!O28</f>
        <v>0</v>
      </c>
      <c r="L11" s="92"/>
      <c r="M11" s="92"/>
      <c r="N11" s="92"/>
      <c r="O11" s="92"/>
      <c r="P11" s="92"/>
      <c r="Q11" s="92"/>
    </row>
    <row r="12" spans="1:17">
      <c r="A12" s="92"/>
      <c r="B12" s="196" t="s">
        <v>127</v>
      </c>
      <c r="C12" s="426" t="e">
        <f>'Cokes demand'!G19</f>
        <v>#DIV/0!</v>
      </c>
      <c r="D12" s="426" t="e">
        <f>'Cokes demand'!H19</f>
        <v>#DIV/0!</v>
      </c>
      <c r="E12" s="426" t="e">
        <f>'Cokes demand'!I19</f>
        <v>#DIV/0!</v>
      </c>
      <c r="F12" s="426">
        <f>'Cokes demand'!J19</f>
        <v>0</v>
      </c>
      <c r="G12" s="426">
        <f>'Cokes demand'!K19</f>
        <v>0</v>
      </c>
      <c r="H12" s="426">
        <f>'Cokes demand'!L19</f>
        <v>0</v>
      </c>
      <c r="I12" s="426">
        <f>'Cokes demand'!M19</f>
        <v>0</v>
      </c>
      <c r="J12" s="426">
        <f>'Cokes demand'!N19</f>
        <v>0</v>
      </c>
      <c r="K12" s="361">
        <f>'Cokes demand'!O19</f>
        <v>0</v>
      </c>
      <c r="L12" s="92"/>
      <c r="M12" s="92"/>
      <c r="N12" s="92"/>
      <c r="O12" s="92"/>
      <c r="P12" s="92"/>
      <c r="Q12" s="92"/>
    </row>
    <row r="13" spans="1:17">
      <c r="A13" s="92"/>
      <c r="B13" s="549"/>
      <c r="C13" s="550"/>
      <c r="D13" s="550"/>
      <c r="E13" s="550"/>
      <c r="F13" s="550"/>
      <c r="G13" s="550"/>
      <c r="H13" s="550"/>
      <c r="I13" s="550"/>
      <c r="J13" s="550"/>
      <c r="K13" s="500"/>
      <c r="L13" s="92"/>
      <c r="M13" s="92"/>
      <c r="N13" s="92"/>
      <c r="O13" s="92"/>
      <c r="P13" s="92"/>
      <c r="Q13" s="92"/>
    </row>
    <row r="14" spans="1:17">
      <c r="A14" s="92"/>
      <c r="B14" s="197" t="s">
        <v>132</v>
      </c>
      <c r="C14" s="427"/>
      <c r="D14" s="427"/>
      <c r="E14" s="427"/>
      <c r="F14" s="427"/>
      <c r="G14" s="427"/>
      <c r="H14" s="427"/>
      <c r="I14" s="427"/>
      <c r="J14" s="427"/>
      <c r="K14" s="363"/>
      <c r="L14" s="92"/>
      <c r="M14" s="92"/>
      <c r="N14" s="92"/>
      <c r="O14" s="92"/>
      <c r="P14" s="92"/>
      <c r="Q14" s="92"/>
    </row>
    <row r="15" spans="1:17">
      <c r="A15" s="92"/>
      <c r="B15" s="196" t="s">
        <v>127</v>
      </c>
      <c r="C15" s="426">
        <f>'Cokes demand'!G14</f>
        <v>0</v>
      </c>
      <c r="D15" s="502" t="s">
        <v>339</v>
      </c>
      <c r="E15" s="426" t="e">
        <f>'Cokes demand'!I14</f>
        <v>#DIV/0!</v>
      </c>
      <c r="F15" s="426">
        <f>'Cokes demand'!J14</f>
        <v>0</v>
      </c>
      <c r="G15" s="426">
        <f>'Cokes demand'!K14</f>
        <v>0</v>
      </c>
      <c r="H15" s="426">
        <f>'Cokes demand'!L14</f>
        <v>0</v>
      </c>
      <c r="I15" s="426">
        <f>'Cokes demand'!M14</f>
        <v>0</v>
      </c>
      <c r="J15" s="426" t="e">
        <f>'Cokes demand'!N14</f>
        <v>#DIV/0!</v>
      </c>
      <c r="K15" s="361">
        <f>'Cokes demand'!O14</f>
        <v>0</v>
      </c>
      <c r="L15" s="92"/>
      <c r="M15" s="92"/>
      <c r="N15" s="92"/>
      <c r="O15" s="92"/>
      <c r="P15" s="92"/>
      <c r="Q15" s="92"/>
    </row>
    <row r="16" spans="1:17">
      <c r="A16" s="92"/>
      <c r="B16" s="196" t="s">
        <v>126</v>
      </c>
      <c r="C16" s="583" t="s">
        <v>339</v>
      </c>
      <c r="D16" s="502" t="s">
        <v>339</v>
      </c>
      <c r="E16" s="583" t="s">
        <v>339</v>
      </c>
      <c r="F16" s="583" t="s">
        <v>339</v>
      </c>
      <c r="G16" s="583" t="s">
        <v>339</v>
      </c>
      <c r="H16" s="583" t="s">
        <v>339</v>
      </c>
      <c r="I16" s="583" t="s">
        <v>339</v>
      </c>
      <c r="J16" s="583" t="s">
        <v>339</v>
      </c>
      <c r="K16" s="584" t="s">
        <v>339</v>
      </c>
      <c r="L16" s="92"/>
      <c r="M16" s="92"/>
      <c r="N16" s="92"/>
      <c r="O16" s="92"/>
      <c r="P16" s="92"/>
      <c r="Q16" s="92"/>
    </row>
    <row r="17" spans="1:17">
      <c r="A17" s="92"/>
      <c r="B17" s="549"/>
      <c r="C17" s="550"/>
      <c r="D17" s="550"/>
      <c r="E17" s="550"/>
      <c r="F17" s="550"/>
      <c r="G17" s="550"/>
      <c r="H17" s="550"/>
      <c r="I17" s="550"/>
      <c r="J17" s="550"/>
      <c r="K17" s="500"/>
      <c r="L17" s="92"/>
      <c r="M17" s="92"/>
      <c r="N17" s="92"/>
      <c r="O17" s="92"/>
      <c r="P17" s="92"/>
      <c r="Q17" s="92"/>
    </row>
    <row r="18" spans="1:17">
      <c r="A18" s="92"/>
      <c r="B18" s="197" t="s">
        <v>142</v>
      </c>
      <c r="C18" s="427"/>
      <c r="D18" s="427"/>
      <c r="E18" s="427"/>
      <c r="F18" s="427"/>
      <c r="G18" s="427"/>
      <c r="H18" s="427"/>
      <c r="I18" s="427"/>
      <c r="J18" s="427"/>
      <c r="K18" s="363"/>
      <c r="L18" s="92"/>
      <c r="M18" s="92"/>
      <c r="N18" s="92"/>
      <c r="O18" s="92"/>
      <c r="P18" s="92"/>
      <c r="Q18" s="92"/>
    </row>
    <row r="19" spans="1:17">
      <c r="A19" s="92"/>
      <c r="B19" s="196" t="s">
        <v>289</v>
      </c>
      <c r="C19" s="428">
        <f>'Other energy use'!D12</f>
        <v>0</v>
      </c>
      <c r="D19" s="552" t="s">
        <v>339</v>
      </c>
      <c r="E19" s="428" t="e">
        <f>'Other energy use'!F12</f>
        <v>#DIV/0!</v>
      </c>
      <c r="F19" s="428" t="e">
        <f>'Other energy use'!G12</f>
        <v>#DIV/0!</v>
      </c>
      <c r="G19" s="428">
        <f>'Other energy use'!H12</f>
        <v>0</v>
      </c>
      <c r="H19" s="428">
        <f>'Other energy use'!I12</f>
        <v>0</v>
      </c>
      <c r="I19" s="428" t="e">
        <f>'Other energy use'!J12</f>
        <v>#DIV/0!</v>
      </c>
      <c r="J19" s="428" t="e">
        <f>'Other energy use'!K12</f>
        <v>#DIV/0!</v>
      </c>
      <c r="K19" s="429">
        <f>'Other energy use'!L12</f>
        <v>0</v>
      </c>
      <c r="L19" s="92"/>
      <c r="M19" s="92"/>
      <c r="N19" s="92"/>
      <c r="O19" s="92"/>
      <c r="P19" s="92"/>
      <c r="Q19" s="92"/>
    </row>
    <row r="20" spans="1:17">
      <c r="A20" s="92"/>
      <c r="B20" s="196" t="s">
        <v>290</v>
      </c>
      <c r="C20" s="428">
        <f>'Other energy use'!D16</f>
        <v>0</v>
      </c>
      <c r="D20" s="551" t="s">
        <v>339</v>
      </c>
      <c r="E20" s="428">
        <f>'Other energy use'!F16</f>
        <v>0</v>
      </c>
      <c r="F20" s="428" t="e">
        <f>'Other energy use'!G16</f>
        <v>#DIV/0!</v>
      </c>
      <c r="G20" s="428">
        <f>'Other energy use'!H16</f>
        <v>0</v>
      </c>
      <c r="H20" s="428">
        <f>'Other energy use'!I16</f>
        <v>0</v>
      </c>
      <c r="I20" s="428" t="e">
        <f>'Other energy use'!J16</f>
        <v>#DIV/0!</v>
      </c>
      <c r="J20" s="428" t="e">
        <f>'Other energy use'!K16</f>
        <v>#DIV/0!</v>
      </c>
      <c r="K20" s="429">
        <f>'Other energy use'!L16</f>
        <v>0</v>
      </c>
      <c r="L20" s="92"/>
      <c r="M20" s="92"/>
      <c r="N20" s="92"/>
      <c r="O20" s="92"/>
      <c r="P20" s="92"/>
      <c r="Q20" s="92"/>
    </row>
    <row r="21" spans="1:17">
      <c r="A21" s="92"/>
      <c r="B21" s="196" t="s">
        <v>288</v>
      </c>
      <c r="C21" s="428">
        <f>'Other energy use'!D22</f>
        <v>0</v>
      </c>
      <c r="D21" s="551" t="s">
        <v>339</v>
      </c>
      <c r="E21" s="551" t="s">
        <v>339</v>
      </c>
      <c r="F21" s="428" t="e">
        <f>'Other energy use'!G22</f>
        <v>#DIV/0!</v>
      </c>
      <c r="G21" s="428">
        <f>'Other energy use'!H22</f>
        <v>0</v>
      </c>
      <c r="H21" s="552">
        <f>'Other energy use'!I22</f>
        <v>0</v>
      </c>
      <c r="I21" s="428" t="e">
        <f>'Other energy use'!J22</f>
        <v>#DIV/0!</v>
      </c>
      <c r="J21" s="428" t="e">
        <f>'Other energy use'!K22</f>
        <v>#DIV/0!</v>
      </c>
      <c r="K21" s="429">
        <f>'Other energy use'!L22</f>
        <v>0</v>
      </c>
      <c r="L21" s="92"/>
      <c r="M21" s="92"/>
      <c r="N21" s="92"/>
      <c r="O21" s="92"/>
      <c r="P21" s="92"/>
      <c r="Q21" s="92"/>
    </row>
    <row r="22" spans="1:17" ht="16" thickBot="1">
      <c r="A22" s="92"/>
      <c r="B22" s="205"/>
      <c r="C22" s="430"/>
      <c r="D22" s="430"/>
      <c r="E22" s="430"/>
      <c r="F22" s="430"/>
      <c r="G22" s="430"/>
      <c r="H22" s="430"/>
      <c r="I22" s="430"/>
      <c r="J22" s="430"/>
      <c r="K22" s="425"/>
      <c r="L22" s="92"/>
      <c r="M22" s="92"/>
      <c r="N22" s="92"/>
      <c r="O22" s="92"/>
      <c r="P22" s="92"/>
      <c r="Q22" s="92"/>
    </row>
    <row r="23" spans="1:17">
      <c r="A23" s="92"/>
      <c r="B23" s="92"/>
      <c r="C23" s="92"/>
      <c r="D23" s="92"/>
      <c r="E23" s="92"/>
      <c r="F23" s="92"/>
      <c r="G23" s="92"/>
      <c r="H23" s="92"/>
      <c r="I23" s="92"/>
      <c r="J23" s="92"/>
      <c r="K23" s="92"/>
      <c r="L23" s="92"/>
      <c r="M23" s="92"/>
      <c r="N23" s="92"/>
      <c r="O23" s="92"/>
      <c r="P23" s="92"/>
      <c r="Q23" s="92"/>
    </row>
    <row r="24" spans="1:17">
      <c r="A24" s="92"/>
      <c r="B24" s="92"/>
      <c r="C24" s="92"/>
      <c r="D24" s="92"/>
      <c r="E24" s="92"/>
      <c r="F24" s="92"/>
      <c r="G24" s="92"/>
      <c r="H24" s="92"/>
      <c r="I24" s="92"/>
      <c r="J24" s="92"/>
      <c r="K24" s="92"/>
      <c r="L24" s="92"/>
      <c r="M24" s="92"/>
      <c r="N24" s="92"/>
      <c r="O24" s="92"/>
      <c r="P24" s="92"/>
      <c r="Q24" s="92"/>
    </row>
    <row r="25" spans="1:17">
      <c r="A25" s="92"/>
      <c r="B25" s="92"/>
      <c r="C25" s="92"/>
      <c r="D25" s="92"/>
      <c r="E25" s="92"/>
      <c r="F25" s="92"/>
      <c r="G25" s="92"/>
      <c r="H25" s="92"/>
      <c r="I25" s="92"/>
      <c r="J25" s="92"/>
      <c r="K25" s="92"/>
      <c r="L25" s="92"/>
      <c r="M25" s="92"/>
      <c r="N25" s="92"/>
      <c r="O25" s="92"/>
      <c r="P25" s="92"/>
      <c r="Q25" s="92"/>
    </row>
    <row r="26" spans="1:17">
      <c r="A26" s="92"/>
      <c r="B26" s="92"/>
      <c r="C26" s="92"/>
      <c r="D26" s="92"/>
      <c r="E26" s="92"/>
      <c r="F26" s="92"/>
      <c r="G26" s="92"/>
      <c r="H26" s="92"/>
      <c r="I26" s="92"/>
      <c r="J26" s="92"/>
      <c r="K26" s="92"/>
      <c r="L26" s="92"/>
      <c r="M26" s="92"/>
      <c r="N26" s="92"/>
      <c r="O26" s="92"/>
      <c r="P26" s="92"/>
      <c r="Q26" s="92"/>
    </row>
    <row r="27" spans="1:17">
      <c r="A27" s="92"/>
      <c r="B27" s="92"/>
      <c r="C27" s="92"/>
      <c r="D27" s="92"/>
      <c r="E27" s="92"/>
      <c r="F27" s="92"/>
      <c r="G27" s="92"/>
      <c r="H27" s="92"/>
      <c r="I27" s="92"/>
      <c r="J27" s="92"/>
      <c r="K27" s="92"/>
      <c r="L27" s="92"/>
      <c r="M27" s="92"/>
      <c r="N27" s="92"/>
      <c r="O27" s="92"/>
      <c r="P27" s="92"/>
      <c r="Q27" s="92"/>
    </row>
    <row r="28" spans="1:17">
      <c r="A28" s="92"/>
      <c r="B28" s="92"/>
      <c r="C28" s="92"/>
      <c r="D28" s="92"/>
      <c r="E28" s="92"/>
      <c r="F28" s="92"/>
      <c r="G28" s="92"/>
      <c r="H28" s="92"/>
      <c r="I28" s="92"/>
      <c r="J28" s="92"/>
      <c r="K28" s="92"/>
      <c r="L28" s="92"/>
      <c r="M28" s="92"/>
      <c r="N28" s="92"/>
      <c r="O28" s="92"/>
      <c r="P28" s="92"/>
      <c r="Q28" s="92"/>
    </row>
    <row r="29" spans="1:17">
      <c r="A29" s="92"/>
      <c r="B29" s="92"/>
      <c r="C29" s="92"/>
      <c r="D29" s="92"/>
      <c r="E29" s="92"/>
      <c r="F29" s="92"/>
      <c r="G29" s="92"/>
      <c r="H29" s="92"/>
      <c r="I29" s="92"/>
      <c r="J29" s="92"/>
      <c r="K29" s="92"/>
      <c r="L29" s="92"/>
      <c r="M29" s="92"/>
      <c r="N29" s="92"/>
      <c r="O29" s="92"/>
      <c r="P29" s="92"/>
      <c r="Q29" s="92"/>
    </row>
    <row r="30" spans="1:17">
      <c r="A30" s="92"/>
      <c r="B30" s="92"/>
      <c r="C30" s="92"/>
      <c r="D30" s="92"/>
      <c r="E30" s="92"/>
      <c r="F30" s="92"/>
      <c r="G30" s="92"/>
      <c r="H30" s="92"/>
      <c r="I30" s="92"/>
      <c r="J30" s="92"/>
      <c r="K30" s="92"/>
      <c r="L30" s="92"/>
      <c r="M30" s="92"/>
      <c r="N30" s="92"/>
      <c r="O30" s="92"/>
      <c r="P30" s="92"/>
      <c r="Q30" s="92"/>
    </row>
    <row r="31" spans="1:17">
      <c r="A31" s="92"/>
      <c r="B31" s="92"/>
      <c r="C31" s="92"/>
      <c r="D31" s="92"/>
      <c r="E31" s="92"/>
      <c r="F31" s="92"/>
      <c r="G31" s="92"/>
      <c r="H31" s="92"/>
      <c r="I31" s="92"/>
      <c r="J31" s="92"/>
      <c r="K31" s="92"/>
      <c r="L31" s="92"/>
      <c r="M31" s="92"/>
      <c r="N31" s="92"/>
      <c r="O31" s="92"/>
      <c r="P31" s="92"/>
      <c r="Q31" s="92"/>
    </row>
    <row r="32" spans="1:17">
      <c r="D32" s="92"/>
      <c r="E32" s="92"/>
      <c r="F32" s="92"/>
      <c r="G32" s="92"/>
      <c r="H32" s="92"/>
      <c r="I32" s="92"/>
      <c r="J32" s="92"/>
      <c r="K32" s="92"/>
      <c r="L32" s="92"/>
      <c r="M32" s="92"/>
      <c r="N32" s="92"/>
      <c r="O32" s="92"/>
      <c r="P32" s="92"/>
      <c r="Q32" s="92"/>
    </row>
    <row r="33" spans="4:17">
      <c r="D33" s="92"/>
      <c r="E33" s="92"/>
      <c r="F33" s="92"/>
      <c r="G33" s="92"/>
      <c r="H33" s="92"/>
      <c r="I33" s="92"/>
      <c r="J33" s="92"/>
      <c r="K33" s="92"/>
      <c r="L33" s="92"/>
      <c r="M33" s="92"/>
      <c r="N33" s="92"/>
      <c r="O33" s="92"/>
      <c r="P33" s="92"/>
      <c r="Q33" s="92"/>
    </row>
    <row r="34" spans="4:17">
      <c r="D34" s="92"/>
      <c r="E34" s="92"/>
      <c r="F34" s="92"/>
      <c r="G34" s="92"/>
      <c r="H34" s="92"/>
      <c r="I34" s="92"/>
      <c r="J34" s="92"/>
      <c r="K34" s="92"/>
      <c r="L34" s="92"/>
      <c r="M34" s="92"/>
      <c r="N34" s="92"/>
      <c r="O34" s="92"/>
      <c r="P34" s="92"/>
      <c r="Q34" s="92"/>
    </row>
    <row r="35" spans="4:17">
      <c r="D35" s="92"/>
      <c r="E35" s="92"/>
      <c r="F35" s="92"/>
      <c r="G35" s="92"/>
      <c r="H35" s="92"/>
      <c r="I35" s="92"/>
      <c r="J35" s="92"/>
      <c r="K35" s="92"/>
      <c r="L35" s="92"/>
      <c r="M35" s="92"/>
      <c r="N35" s="92"/>
      <c r="O35" s="92"/>
      <c r="P35" s="92"/>
      <c r="Q35" s="92"/>
    </row>
    <row r="36" spans="4:17">
      <c r="D36" s="92"/>
      <c r="E36" s="92"/>
      <c r="F36" s="92"/>
      <c r="G36" s="92"/>
      <c r="H36" s="92"/>
      <c r="I36" s="92"/>
      <c r="J36" s="92"/>
      <c r="K36" s="92"/>
      <c r="L36" s="92"/>
      <c r="M36" s="92"/>
      <c r="N36" s="92"/>
      <c r="O36" s="92"/>
      <c r="P36" s="92"/>
      <c r="Q36" s="92"/>
    </row>
    <row r="37" spans="4:17">
      <c r="D37" s="92"/>
      <c r="E37" s="92"/>
      <c r="F37" s="92"/>
      <c r="G37" s="92"/>
      <c r="H37" s="92"/>
      <c r="I37" s="92"/>
      <c r="J37" s="92"/>
      <c r="K37" s="92"/>
      <c r="L37" s="92"/>
      <c r="M37" s="92"/>
      <c r="N37" s="92"/>
      <c r="O37" s="92"/>
      <c r="P37" s="92"/>
      <c r="Q37" s="92"/>
    </row>
    <row r="38" spans="4:17">
      <c r="D38" s="92"/>
      <c r="E38" s="92"/>
      <c r="F38" s="92"/>
      <c r="G38" s="92"/>
      <c r="H38" s="92"/>
      <c r="I38" s="92"/>
      <c r="J38" s="92"/>
      <c r="K38" s="92"/>
      <c r="L38" s="92"/>
      <c r="M38" s="92"/>
      <c r="N38" s="92"/>
      <c r="O38" s="92"/>
      <c r="P38" s="92"/>
      <c r="Q38" s="92"/>
    </row>
    <row r="39" spans="4:17">
      <c r="D39" s="92"/>
      <c r="E39" s="92"/>
      <c r="F39" s="92"/>
      <c r="G39" s="92"/>
      <c r="H39" s="92"/>
      <c r="I39" s="92"/>
      <c r="J39" s="92"/>
      <c r="K39" s="92"/>
      <c r="L39" s="92"/>
      <c r="M39" s="92"/>
      <c r="N39" s="92"/>
      <c r="O39" s="92"/>
      <c r="P39" s="92"/>
      <c r="Q39" s="92"/>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E3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271</v>
      </c>
    </row>
    <row r="4" spans="2:5">
      <c r="B4" s="3" t="s">
        <v>83</v>
      </c>
      <c r="C4" s="4"/>
      <c r="D4" s="4"/>
      <c r="E4" s="5"/>
    </row>
    <row r="5" spans="2:5" ht="30" customHeight="1">
      <c r="B5" s="680" t="s">
        <v>326</v>
      </c>
      <c r="C5" s="681"/>
      <c r="D5" s="681"/>
      <c r="E5" s="682"/>
    </row>
    <row r="6" spans="2:5" ht="16" thickBot="1"/>
    <row r="7" spans="2:5" s="257" customFormat="1">
      <c r="B7" s="255" t="s">
        <v>271</v>
      </c>
      <c r="C7" s="256"/>
      <c r="D7" s="558"/>
      <c r="E7" s="559"/>
    </row>
    <row r="8" spans="2:5" s="257" customFormat="1">
      <c r="B8" s="554"/>
      <c r="C8" s="555"/>
      <c r="D8" s="414"/>
      <c r="E8" s="560"/>
    </row>
    <row r="9" spans="2:5" s="257" customFormat="1">
      <c r="B9" s="554" t="s">
        <v>534</v>
      </c>
      <c r="C9" s="555"/>
      <c r="D9" s="556" t="s">
        <v>533</v>
      </c>
      <c r="E9" s="557" t="s">
        <v>434</v>
      </c>
    </row>
    <row r="10" spans="2:5">
      <c r="B10" s="542" t="s">
        <v>103</v>
      </c>
      <c r="C10" s="176"/>
      <c r="D10" s="397"/>
      <c r="E10" s="177"/>
    </row>
    <row r="11" spans="2:5" ht="30">
      <c r="B11" s="543"/>
      <c r="C11" s="181" t="s">
        <v>216</v>
      </c>
      <c r="D11" s="398" t="e">
        <f>'Steel and alu demand'!N12</f>
        <v>#DIV/0!</v>
      </c>
      <c r="E11" s="290" t="e">
        <f t="shared" ref="E11:E19" si="0">D11/SUM($D$11:$D$19)</f>
        <v>#DIV/0!</v>
      </c>
    </row>
    <row r="12" spans="2:5" ht="30">
      <c r="B12" s="543"/>
      <c r="C12" s="181" t="s">
        <v>219</v>
      </c>
      <c r="D12" s="398" t="e">
        <f>'Steel and alu demand'!N13</f>
        <v>#DIV/0!</v>
      </c>
      <c r="E12" s="290" t="e">
        <f t="shared" si="0"/>
        <v>#DIV/0!</v>
      </c>
    </row>
    <row r="13" spans="2:5">
      <c r="B13" s="543"/>
      <c r="C13" s="181" t="s">
        <v>220</v>
      </c>
      <c r="D13" s="398" t="e">
        <f>'Steel and alu demand'!N14</f>
        <v>#DIV/0!</v>
      </c>
      <c r="E13" s="290" t="e">
        <f t="shared" si="0"/>
        <v>#DIV/0!</v>
      </c>
    </row>
    <row r="14" spans="2:5">
      <c r="B14" s="543"/>
      <c r="C14" s="181" t="s">
        <v>221</v>
      </c>
      <c r="D14" s="398" t="e">
        <f>'Steel and alu demand'!N15</f>
        <v>#DIV/0!</v>
      </c>
      <c r="E14" s="290" t="e">
        <f t="shared" si="0"/>
        <v>#DIV/0!</v>
      </c>
    </row>
    <row r="15" spans="2:5" ht="30">
      <c r="B15" s="543"/>
      <c r="C15" s="182" t="s">
        <v>228</v>
      </c>
      <c r="D15" s="398" t="e">
        <f>'Steel and alu demand'!N36</f>
        <v>#DIV/0!</v>
      </c>
      <c r="E15" s="290" t="e">
        <f t="shared" si="0"/>
        <v>#DIV/0!</v>
      </c>
    </row>
    <row r="16" spans="2:5" ht="30">
      <c r="B16" s="543"/>
      <c r="C16" s="182" t="s">
        <v>229</v>
      </c>
      <c r="D16" s="398" t="e">
        <f>'Steel and alu demand'!N37</f>
        <v>#DIV/0!</v>
      </c>
      <c r="E16" s="290" t="e">
        <f t="shared" si="0"/>
        <v>#DIV/0!</v>
      </c>
    </row>
    <row r="17" spans="2:5">
      <c r="B17" s="543"/>
      <c r="C17" s="182" t="s">
        <v>230</v>
      </c>
      <c r="D17" s="398" t="e">
        <f>'Steel and alu demand'!N38</f>
        <v>#DIV/0!</v>
      </c>
      <c r="E17" s="290" t="e">
        <f t="shared" si="0"/>
        <v>#DIV/0!</v>
      </c>
    </row>
    <row r="18" spans="2:5">
      <c r="B18" s="543"/>
      <c r="C18" s="16" t="s">
        <v>231</v>
      </c>
      <c r="D18" s="398" t="e">
        <f>'Steel and alu demand'!N39</f>
        <v>#DIV/0!</v>
      </c>
      <c r="E18" s="290" t="e">
        <f t="shared" si="0"/>
        <v>#DIV/0!</v>
      </c>
    </row>
    <row r="19" spans="2:5">
      <c r="B19" s="543"/>
      <c r="C19" s="16" t="s">
        <v>273</v>
      </c>
      <c r="D19" s="398" t="e">
        <f>'Other energy use'!K22</f>
        <v>#DIV/0!</v>
      </c>
      <c r="E19" s="290" t="e">
        <f t="shared" si="0"/>
        <v>#DIV/0!</v>
      </c>
    </row>
    <row r="20" spans="2:5">
      <c r="B20" s="35"/>
      <c r="C20" s="7"/>
      <c r="D20" s="399"/>
      <c r="E20" s="291"/>
    </row>
    <row r="21" spans="2:5">
      <c r="B21" s="542" t="s">
        <v>194</v>
      </c>
      <c r="C21" s="176"/>
      <c r="D21" s="400"/>
      <c r="E21" s="292"/>
    </row>
    <row r="22" spans="2:5">
      <c r="B22" s="543"/>
      <c r="C22" s="16" t="s">
        <v>245</v>
      </c>
      <c r="D22" s="398">
        <f>'Other energy use'!D22</f>
        <v>0</v>
      </c>
      <c r="E22" s="290" t="e">
        <f>D22/SUM($D$22)</f>
        <v>#DIV/0!</v>
      </c>
    </row>
    <row r="23" spans="2:5">
      <c r="B23" s="544"/>
      <c r="C23" s="7"/>
      <c r="D23" s="399"/>
      <c r="E23" s="293"/>
    </row>
    <row r="24" spans="2:5">
      <c r="B24" s="542" t="s">
        <v>207</v>
      </c>
      <c r="C24" s="176"/>
      <c r="D24" s="400"/>
      <c r="E24" s="292"/>
    </row>
    <row r="25" spans="2:5">
      <c r="B25" s="543"/>
      <c r="C25" s="16" t="s">
        <v>238</v>
      </c>
      <c r="D25" s="398" t="e">
        <f>'Steel and alu demand'!I18</f>
        <v>#DIV/0!</v>
      </c>
      <c r="E25" s="290" t="e">
        <f>D25/SUM($D$25)</f>
        <v>#DIV/0!</v>
      </c>
    </row>
    <row r="26" spans="2:5">
      <c r="B26" s="543"/>
      <c r="C26" s="7"/>
      <c r="D26" s="399"/>
      <c r="E26" s="293"/>
    </row>
    <row r="27" spans="2:5">
      <c r="B27" s="542" t="s">
        <v>272</v>
      </c>
      <c r="C27" s="176"/>
      <c r="D27" s="400"/>
      <c r="E27" s="292"/>
    </row>
    <row r="28" spans="2:5">
      <c r="B28" s="543"/>
      <c r="C28" s="16" t="s">
        <v>238</v>
      </c>
      <c r="D28" s="398" t="e">
        <f>'Steel and alu demand'!J18</f>
        <v>#DIV/0!</v>
      </c>
      <c r="E28" s="290" t="e">
        <f>D28/SUM($D$28:$D$31)</f>
        <v>#DIV/0!</v>
      </c>
    </row>
    <row r="29" spans="2:5">
      <c r="B29" s="543"/>
      <c r="C29" s="16" t="s">
        <v>242</v>
      </c>
      <c r="D29" s="398" t="e">
        <f>'Steel and alu demand'!J19</f>
        <v>#DIV/0!</v>
      </c>
      <c r="E29" s="290" t="e">
        <f t="shared" ref="E29:E31" si="1">D29/SUM($D$28:$D$31)</f>
        <v>#DIV/0!</v>
      </c>
    </row>
    <row r="30" spans="2:5">
      <c r="B30" s="543"/>
      <c r="C30" s="16" t="s">
        <v>244</v>
      </c>
      <c r="D30" s="398" t="e">
        <f>'Steel and alu demand'!J42</f>
        <v>#DIV/0!</v>
      </c>
      <c r="E30" s="290" t="e">
        <f t="shared" si="1"/>
        <v>#DIV/0!</v>
      </c>
    </row>
    <row r="31" spans="2:5">
      <c r="B31" s="543"/>
      <c r="C31" s="16" t="s">
        <v>245</v>
      </c>
      <c r="D31" s="398" t="e">
        <f>'Other energy use'!G22</f>
        <v>#DIV/0!</v>
      </c>
      <c r="E31" s="290" t="e">
        <f t="shared" si="1"/>
        <v>#DIV/0!</v>
      </c>
    </row>
    <row r="32" spans="2:5">
      <c r="B32" s="543"/>
      <c r="C32" s="7"/>
      <c r="D32" s="399"/>
      <c r="E32" s="293"/>
    </row>
    <row r="33" spans="2:5">
      <c r="B33" s="542" t="s">
        <v>51</v>
      </c>
      <c r="C33" s="176"/>
      <c r="D33" s="400"/>
      <c r="E33" s="292"/>
    </row>
    <row r="34" spans="2:5">
      <c r="B34" s="543"/>
      <c r="C34" s="16" t="s">
        <v>245</v>
      </c>
      <c r="D34" s="398">
        <f>'Other energy use'!H22</f>
        <v>0</v>
      </c>
      <c r="E34" s="290" t="e">
        <f>D34/SUM($D$34)</f>
        <v>#DIV/0!</v>
      </c>
    </row>
    <row r="35" spans="2:5">
      <c r="B35" s="543"/>
      <c r="C35" s="7"/>
      <c r="D35" s="399"/>
      <c r="E35" s="293"/>
    </row>
    <row r="36" spans="2:5">
      <c r="B36" s="542" t="s">
        <v>104</v>
      </c>
      <c r="C36" s="176"/>
      <c r="D36" s="400"/>
      <c r="E36" s="292"/>
    </row>
    <row r="37" spans="2:5">
      <c r="B37" s="543"/>
      <c r="C37" s="16" t="s">
        <v>220</v>
      </c>
      <c r="D37" s="398" t="e">
        <f>'Steel and alu demand'!M14</f>
        <v>#DIV/0!</v>
      </c>
      <c r="E37" s="290" t="e">
        <f>D37/SUM($D$37:$D$38)</f>
        <v>#DIV/0!</v>
      </c>
    </row>
    <row r="38" spans="2:5">
      <c r="B38" s="543"/>
      <c r="C38" s="16" t="s">
        <v>273</v>
      </c>
      <c r="D38" s="398" t="e">
        <f>'Other energy use'!J22</f>
        <v>#DIV/0!</v>
      </c>
      <c r="E38" s="290" t="e">
        <f>D38/SUM($D$37:$D$38)</f>
        <v>#DIV/0!</v>
      </c>
    </row>
    <row r="39" spans="2:5" ht="16" thickBot="1">
      <c r="B39" s="545"/>
      <c r="C39" s="179"/>
      <c r="D39" s="401"/>
      <c r="E39" s="18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1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351</v>
      </c>
    </row>
    <row r="4" spans="2:5">
      <c r="B4" s="3" t="s">
        <v>83</v>
      </c>
      <c r="C4" s="4"/>
      <c r="D4" s="4"/>
      <c r="E4" s="5"/>
    </row>
    <row r="5" spans="2:5" ht="30" customHeight="1">
      <c r="B5" s="680" t="s">
        <v>352</v>
      </c>
      <c r="C5" s="681"/>
      <c r="D5" s="681"/>
      <c r="E5" s="682"/>
    </row>
    <row r="6" spans="2:5" ht="16" thickBot="1"/>
    <row r="7" spans="2:5">
      <c r="B7" s="255" t="s">
        <v>351</v>
      </c>
      <c r="C7" s="175"/>
      <c r="D7" s="558"/>
      <c r="E7" s="559"/>
    </row>
    <row r="8" spans="2:5">
      <c r="B8" s="554"/>
      <c r="C8" s="561"/>
      <c r="D8" s="414"/>
      <c r="E8" s="560"/>
    </row>
    <row r="9" spans="2:5">
      <c r="B9" s="554" t="s">
        <v>236</v>
      </c>
      <c r="C9" s="561"/>
      <c r="D9" s="556" t="s">
        <v>533</v>
      </c>
      <c r="E9" s="557" t="s">
        <v>434</v>
      </c>
    </row>
    <row r="10" spans="2:5">
      <c r="B10" s="542" t="s">
        <v>238</v>
      </c>
      <c r="C10" s="176"/>
      <c r="D10" s="397"/>
      <c r="E10" s="177"/>
    </row>
    <row r="11" spans="2:5">
      <c r="B11" s="543"/>
      <c r="C11" s="181" t="s">
        <v>275</v>
      </c>
      <c r="D11" s="398" t="e">
        <f>'Steel and alu demand'!M12</f>
        <v>#DIV/0!</v>
      </c>
      <c r="E11" s="290" t="e">
        <f>D11/SUM($D$11:$D$12)</f>
        <v>#DIV/0!</v>
      </c>
    </row>
    <row r="12" spans="2:5">
      <c r="B12" s="543"/>
      <c r="C12" s="181" t="s">
        <v>276</v>
      </c>
      <c r="D12" s="398" t="e">
        <f>'Steel and alu demand'!M13</f>
        <v>#DIV/0!</v>
      </c>
      <c r="E12" s="290" t="e">
        <f>D12/SUM($D$11:$D$12)</f>
        <v>#DIV/0!</v>
      </c>
    </row>
    <row r="13" spans="2:5">
      <c r="B13" s="35"/>
      <c r="C13" s="183"/>
      <c r="D13" s="399"/>
      <c r="E13" s="291"/>
    </row>
    <row r="14" spans="2:5">
      <c r="B14" s="542" t="s">
        <v>274</v>
      </c>
      <c r="C14" s="184"/>
      <c r="D14" s="400"/>
      <c r="E14" s="292"/>
    </row>
    <row r="15" spans="2:5">
      <c r="B15" s="543"/>
      <c r="C15" s="185" t="s">
        <v>277</v>
      </c>
      <c r="D15" s="398" t="e">
        <f>'Steel and alu demand'!M36</f>
        <v>#DIV/0!</v>
      </c>
      <c r="E15" s="294" t="e">
        <f>D15/SUM($D$15:$D$18)</f>
        <v>#DIV/0!</v>
      </c>
    </row>
    <row r="16" spans="2:5">
      <c r="B16" s="178"/>
      <c r="C16" s="185" t="s">
        <v>278</v>
      </c>
      <c r="D16" s="398" t="e">
        <f>'Steel and alu demand'!M37</f>
        <v>#DIV/0!</v>
      </c>
      <c r="E16" s="294" t="e">
        <f t="shared" ref="E16:E18" si="0">D16/SUM($D$15:$D$18)</f>
        <v>#DIV/0!</v>
      </c>
    </row>
    <row r="17" spans="2:5">
      <c r="B17" s="178"/>
      <c r="C17" s="185" t="s">
        <v>230</v>
      </c>
      <c r="D17" s="398" t="e">
        <f>'Steel and alu demand'!M38</f>
        <v>#DIV/0!</v>
      </c>
      <c r="E17" s="294" t="e">
        <f t="shared" si="0"/>
        <v>#DIV/0!</v>
      </c>
    </row>
    <row r="18" spans="2:5">
      <c r="B18" s="178"/>
      <c r="C18" s="186" t="s">
        <v>231</v>
      </c>
      <c r="D18" s="398" t="e">
        <f>'Steel and alu demand'!M39</f>
        <v>#DIV/0!</v>
      </c>
      <c r="E18" s="294" t="e">
        <f t="shared" si="0"/>
        <v>#DIV/0!</v>
      </c>
    </row>
    <row r="19" spans="2:5" ht="16" thickBot="1">
      <c r="B19" s="248"/>
      <c r="C19" s="249"/>
      <c r="D19" s="401"/>
      <c r="E19" s="18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G17"/>
  <sheetViews>
    <sheetView workbookViewId="0"/>
  </sheetViews>
  <sheetFormatPr baseColWidth="10" defaultRowHeight="15" x14ac:dyDescent="0"/>
  <cols>
    <col min="1" max="1" width="10.83203125" style="92"/>
    <col min="2" max="2" width="15.83203125" style="92" customWidth="1"/>
    <col min="3" max="3" width="18.33203125" style="92" customWidth="1"/>
    <col min="4" max="11" width="21.6640625" style="92" customWidth="1"/>
    <col min="12" max="16384" width="10.83203125" style="92"/>
  </cols>
  <sheetData>
    <row r="2" spans="2:7" ht="20">
      <c r="B2" s="91" t="s">
        <v>285</v>
      </c>
      <c r="C2" s="8"/>
      <c r="D2" s="8"/>
      <c r="E2" s="8"/>
      <c r="F2" s="8"/>
      <c r="G2" s="8"/>
    </row>
    <row r="3" spans="2:7">
      <c r="B3" s="1"/>
      <c r="C3" s="8"/>
      <c r="D3" s="8"/>
      <c r="E3" s="8"/>
      <c r="F3" s="8"/>
      <c r="G3" s="8"/>
    </row>
    <row r="4" spans="2:7">
      <c r="B4" s="3" t="s">
        <v>83</v>
      </c>
      <c r="C4" s="4"/>
      <c r="D4" s="4"/>
      <c r="E4" s="5"/>
    </row>
    <row r="5" spans="2:7" ht="30" customHeight="1">
      <c r="B5" s="677" t="s">
        <v>314</v>
      </c>
      <c r="C5" s="678"/>
      <c r="D5" s="678"/>
      <c r="E5" s="679"/>
    </row>
    <row r="6" spans="2:7" ht="16" thickBot="1"/>
    <row r="7" spans="2:7">
      <c r="B7" s="25" t="s">
        <v>503</v>
      </c>
      <c r="C7" s="175"/>
      <c r="D7" s="80"/>
      <c r="E7" s="26"/>
      <c r="F7" s="27"/>
    </row>
    <row r="8" spans="2:7">
      <c r="B8" s="28"/>
      <c r="C8" s="7"/>
      <c r="D8" s="8"/>
      <c r="E8" s="8"/>
      <c r="F8" s="29"/>
    </row>
    <row r="9" spans="2:7" ht="30">
      <c r="B9" s="522" t="s">
        <v>236</v>
      </c>
      <c r="C9" s="512"/>
      <c r="D9" s="94" t="s">
        <v>556</v>
      </c>
      <c r="E9" s="94" t="s">
        <v>557</v>
      </c>
      <c r="F9" s="95" t="s">
        <v>287</v>
      </c>
    </row>
    <row r="10" spans="2:7">
      <c r="B10" s="42" t="s">
        <v>241</v>
      </c>
      <c r="C10" s="513"/>
      <c r="D10" s="122"/>
      <c r="E10" s="122"/>
      <c r="F10" s="120"/>
    </row>
    <row r="11" spans="2:7">
      <c r="B11" s="510"/>
      <c r="C11" s="516" t="s">
        <v>275</v>
      </c>
      <c r="D11" s="426" t="e">
        <f>SUM(technical_specs!D29:D30)</f>
        <v>#DIV/0!</v>
      </c>
      <c r="E11" s="426" t="e">
        <f>SUM(technical_specs!D32:D33)</f>
        <v>#DIV/0!</v>
      </c>
      <c r="F11" s="264" t="e">
        <f>E11/D11</f>
        <v>#DIV/0!</v>
      </c>
    </row>
    <row r="12" spans="2:7">
      <c r="B12" s="510"/>
      <c r="C12" s="516" t="s">
        <v>276</v>
      </c>
      <c r="D12" s="426" t="e">
        <f>SUM(technical_specs!D39:D40)</f>
        <v>#DIV/0!</v>
      </c>
      <c r="E12" s="426" t="e">
        <f>SUM(technical_specs!D42:D43)</f>
        <v>#DIV/0!</v>
      </c>
      <c r="F12" s="264" t="e">
        <f>E12/D12</f>
        <v>#DIV/0!</v>
      </c>
    </row>
    <row r="13" spans="2:7">
      <c r="B13" s="510"/>
      <c r="C13" s="516" t="s">
        <v>220</v>
      </c>
      <c r="D13" s="426" t="e">
        <f>SUM(technical_specs!D48:D49)</f>
        <v>#DIV/0!</v>
      </c>
      <c r="E13" s="426" t="e">
        <f>SUM(technical_specs!D51:D52)</f>
        <v>#DIV/0!</v>
      </c>
      <c r="F13" s="264" t="e">
        <f>E13/D13</f>
        <v>#DIV/0!</v>
      </c>
    </row>
    <row r="14" spans="2:7">
      <c r="B14" s="547"/>
      <c r="C14" s="548"/>
      <c r="D14" s="546"/>
      <c r="E14" s="546"/>
      <c r="F14" s="109"/>
    </row>
    <row r="15" spans="2:7">
      <c r="B15" s="42" t="s">
        <v>206</v>
      </c>
      <c r="C15" s="513"/>
      <c r="D15" s="189"/>
      <c r="E15" s="189"/>
      <c r="F15" s="120"/>
    </row>
    <row r="16" spans="2:7">
      <c r="B16" s="510"/>
      <c r="C16" s="516" t="s">
        <v>222</v>
      </c>
      <c r="D16" s="188" t="e">
        <f>SUM(technical_specs!D65:D66)</f>
        <v>#DIV/0!</v>
      </c>
      <c r="E16" s="188" t="e">
        <f>SUM(technical_specs!D68)</f>
        <v>#DIV/0!</v>
      </c>
      <c r="F16" s="264" t="e">
        <f>E16/D16</f>
        <v>#DIV/0!</v>
      </c>
    </row>
    <row r="17" spans="2:6" ht="16" thickBot="1">
      <c r="B17" s="100"/>
      <c r="C17" s="515"/>
      <c r="D17" s="123"/>
      <c r="E17" s="123"/>
      <c r="F17" s="121"/>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B2:O47"/>
  <sheetViews>
    <sheetView workbookViewId="0"/>
  </sheetViews>
  <sheetFormatPr baseColWidth="10" defaultRowHeight="15" x14ac:dyDescent="0"/>
  <cols>
    <col min="1" max="1" width="10.83203125" style="151"/>
    <col min="2" max="2" width="25.83203125" style="151" customWidth="1"/>
    <col min="3" max="3" width="35.83203125" style="151" customWidth="1"/>
    <col min="4" max="4" width="15.83203125" style="151" customWidth="1"/>
    <col min="5" max="5" width="16.5" style="151" customWidth="1"/>
    <col min="6" max="15" width="15.83203125" style="151" customWidth="1"/>
    <col min="16" max="16384" width="10.83203125" style="151"/>
  </cols>
  <sheetData>
    <row r="2" spans="2:15" ht="20">
      <c r="B2" s="187" t="s">
        <v>260</v>
      </c>
      <c r="C2" s="187"/>
      <c r="D2" s="150"/>
      <c r="E2" s="150"/>
    </row>
    <row r="3" spans="2:15">
      <c r="D3" s="150"/>
      <c r="E3" s="150"/>
      <c r="F3" s="150"/>
      <c r="G3" s="150"/>
    </row>
    <row r="4" spans="2:15">
      <c r="B4" s="152" t="s">
        <v>83</v>
      </c>
      <c r="C4" s="562"/>
      <c r="D4" s="153"/>
      <c r="E4" s="153"/>
      <c r="F4" s="153"/>
      <c r="G4" s="154"/>
    </row>
    <row r="5" spans="2:15" ht="29" customHeight="1">
      <c r="B5" s="683" t="s">
        <v>324</v>
      </c>
      <c r="C5" s="684"/>
      <c r="D5" s="684"/>
      <c r="E5" s="684"/>
      <c r="F5" s="684"/>
      <c r="G5" s="685"/>
    </row>
    <row r="6" spans="2:15" ht="16" thickBot="1"/>
    <row r="7" spans="2:15" s="159" customFormat="1">
      <c r="B7" s="163" t="s">
        <v>500</v>
      </c>
      <c r="C7" s="160"/>
      <c r="D7" s="160"/>
      <c r="E7" s="364"/>
      <c r="F7" s="364"/>
      <c r="G7" s="365"/>
      <c r="H7" s="364"/>
      <c r="I7" s="366"/>
      <c r="J7" s="366"/>
      <c r="K7" s="366"/>
      <c r="L7" s="366"/>
      <c r="M7" s="366"/>
      <c r="N7" s="366"/>
      <c r="O7" s="367"/>
    </row>
    <row r="8" spans="2:15" s="159" customFormat="1">
      <c r="B8" s="164"/>
      <c r="C8" s="148"/>
      <c r="D8" s="161"/>
      <c r="E8" s="368"/>
      <c r="F8" s="368"/>
      <c r="G8" s="369"/>
      <c r="H8" s="368"/>
      <c r="I8" s="370"/>
      <c r="J8" s="370"/>
      <c r="K8" s="370"/>
      <c r="L8" s="370"/>
      <c r="M8" s="370"/>
      <c r="N8" s="370"/>
      <c r="O8" s="371"/>
    </row>
    <row r="9" spans="2:15" s="159" customFormat="1" ht="30">
      <c r="B9" s="353"/>
      <c r="C9" s="354"/>
      <c r="D9" s="354" t="s">
        <v>246</v>
      </c>
      <c r="E9" s="372" t="s">
        <v>336</v>
      </c>
      <c r="F9" s="372" t="s">
        <v>329</v>
      </c>
      <c r="G9" s="373" t="s">
        <v>330</v>
      </c>
      <c r="H9" s="372" t="s">
        <v>331</v>
      </c>
      <c r="I9" s="372" t="s">
        <v>332</v>
      </c>
      <c r="J9" s="372" t="s">
        <v>454</v>
      </c>
      <c r="K9" s="372" t="s">
        <v>456</v>
      </c>
      <c r="L9" s="372" t="s">
        <v>455</v>
      </c>
      <c r="M9" s="372" t="s">
        <v>333</v>
      </c>
      <c r="N9" s="372" t="s">
        <v>334</v>
      </c>
      <c r="O9" s="374" t="s">
        <v>335</v>
      </c>
    </row>
    <row r="10" spans="2:15" s="159" customFormat="1">
      <c r="B10" s="165"/>
      <c r="C10" s="129"/>
      <c r="D10" s="129"/>
      <c r="E10" s="375"/>
      <c r="F10" s="375"/>
      <c r="G10" s="376"/>
      <c r="H10" s="375"/>
      <c r="I10" s="375"/>
      <c r="J10" s="375"/>
      <c r="K10" s="375"/>
      <c r="L10" s="375"/>
      <c r="M10" s="375"/>
      <c r="N10" s="375"/>
      <c r="O10" s="377"/>
    </row>
    <row r="11" spans="2:15" s="159" customFormat="1">
      <c r="B11" s="568" t="s">
        <v>255</v>
      </c>
      <c r="C11" s="129"/>
      <c r="D11" s="129"/>
      <c r="E11" s="375"/>
      <c r="F11" s="375"/>
      <c r="G11" s="376"/>
      <c r="H11" s="375"/>
      <c r="I11" s="375"/>
      <c r="J11" s="375"/>
      <c r="K11" s="375"/>
      <c r="L11" s="375"/>
      <c r="M11" s="375"/>
      <c r="N11" s="375"/>
      <c r="O11" s="377"/>
    </row>
    <row r="12" spans="2:15" s="159" customFormat="1">
      <c r="B12" s="569"/>
      <c r="C12" s="567" t="s">
        <v>216</v>
      </c>
      <c r="D12" s="131">
        <f>'Steel and alu prod'!E11</f>
        <v>0</v>
      </c>
      <c r="E12" s="360" t="e">
        <f>SUM(technical_specs!D29:D30)</f>
        <v>#DIV/0!</v>
      </c>
      <c r="F12" s="378" t="e">
        <f>D12*E12</f>
        <v>#DIV/0!</v>
      </c>
      <c r="G12" s="379"/>
      <c r="H12" s="380"/>
      <c r="I12" s="380"/>
      <c r="J12" s="380"/>
      <c r="K12" s="380"/>
      <c r="L12" s="380"/>
      <c r="M12" s="378" t="e">
        <f>$F12*'Steel and alu eff'!E13</f>
        <v>#DIV/0!</v>
      </c>
      <c r="N12" s="378" t="e">
        <f>$F12*'Steel and alu eff'!D13</f>
        <v>#DIV/0!</v>
      </c>
      <c r="O12" s="381"/>
    </row>
    <row r="13" spans="2:15" s="159" customFormat="1">
      <c r="B13" s="569"/>
      <c r="C13" s="567" t="s">
        <v>219</v>
      </c>
      <c r="D13" s="131">
        <f>'Steel and alu prod'!E12</f>
        <v>0</v>
      </c>
      <c r="E13" s="360" t="e">
        <f>SUM(technical_specs!D39:D40)</f>
        <v>#DIV/0!</v>
      </c>
      <c r="F13" s="378" t="e">
        <f t="shared" ref="F13:F15" si="0">D13*E13</f>
        <v>#DIV/0!</v>
      </c>
      <c r="G13" s="379"/>
      <c r="H13" s="380"/>
      <c r="I13" s="380"/>
      <c r="J13" s="380"/>
      <c r="K13" s="380"/>
      <c r="L13" s="380"/>
      <c r="M13" s="378" t="e">
        <f>$F13*'Steel and alu eff'!E14</f>
        <v>#DIV/0!</v>
      </c>
      <c r="N13" s="378" t="e">
        <f>$F13*'Steel and alu eff'!D14</f>
        <v>#DIV/0!</v>
      </c>
      <c r="O13" s="381"/>
    </row>
    <row r="14" spans="2:15" s="159" customFormat="1">
      <c r="B14" s="569"/>
      <c r="C14" s="567" t="s">
        <v>220</v>
      </c>
      <c r="D14" s="131">
        <f>'Steel and alu prod'!E13</f>
        <v>0</v>
      </c>
      <c r="E14" s="360" t="e">
        <f>SUM(technical_specs!D48:D49)</f>
        <v>#DIV/0!</v>
      </c>
      <c r="F14" s="378" t="e">
        <f t="shared" si="0"/>
        <v>#DIV/0!</v>
      </c>
      <c r="G14" s="379"/>
      <c r="H14" s="380"/>
      <c r="I14" s="380"/>
      <c r="J14" s="380"/>
      <c r="K14" s="380"/>
      <c r="L14" s="380"/>
      <c r="M14" s="378" t="e">
        <f>$F14*'Steel and alu eff'!E15</f>
        <v>#DIV/0!</v>
      </c>
      <c r="N14" s="378" t="e">
        <f>$F14*'Steel and alu eff'!D15</f>
        <v>#DIV/0!</v>
      </c>
      <c r="O14" s="381"/>
    </row>
    <row r="15" spans="2:15" s="159" customFormat="1">
      <c r="B15" s="569"/>
      <c r="C15" s="567" t="s">
        <v>221</v>
      </c>
      <c r="D15" s="131">
        <f>'Steel and alu prod'!E14</f>
        <v>0</v>
      </c>
      <c r="E15" s="360" t="e">
        <f>SUM(technical_specs!D57:D58)</f>
        <v>#DIV/0!</v>
      </c>
      <c r="F15" s="378" t="e">
        <f t="shared" si="0"/>
        <v>#DIV/0!</v>
      </c>
      <c r="G15" s="379"/>
      <c r="H15" s="380"/>
      <c r="I15" s="380"/>
      <c r="J15" s="380"/>
      <c r="K15" s="380"/>
      <c r="L15" s="380"/>
      <c r="M15" s="378" t="e">
        <f>$F15*'Steel and alu eff'!E16</f>
        <v>#DIV/0!</v>
      </c>
      <c r="N15" s="378" t="e">
        <f>$F15*'Steel and alu eff'!D16</f>
        <v>#DIV/0!</v>
      </c>
      <c r="O15" s="381"/>
    </row>
    <row r="16" spans="2:15" s="159" customFormat="1">
      <c r="B16" s="570"/>
      <c r="C16" s="564"/>
      <c r="D16" s="132"/>
      <c r="E16" s="362"/>
      <c r="F16" s="362"/>
      <c r="G16" s="382"/>
      <c r="H16" s="362"/>
      <c r="I16" s="370"/>
      <c r="J16" s="370"/>
      <c r="K16" s="370"/>
      <c r="L16" s="370"/>
      <c r="M16" s="370"/>
      <c r="N16" s="370"/>
      <c r="O16" s="371"/>
    </row>
    <row r="17" spans="2:15" s="159" customFormat="1">
      <c r="B17" s="568" t="s">
        <v>267</v>
      </c>
      <c r="C17" s="129"/>
      <c r="D17" s="129"/>
      <c r="E17" s="375"/>
      <c r="F17" s="375"/>
      <c r="G17" s="376"/>
      <c r="H17" s="375"/>
      <c r="I17" s="370"/>
      <c r="J17" s="370"/>
      <c r="K17" s="370"/>
      <c r="L17" s="370"/>
      <c r="M17" s="370"/>
      <c r="N17" s="370"/>
      <c r="O17" s="371"/>
    </row>
    <row r="18" spans="2:15" s="159" customFormat="1">
      <c r="B18" s="569"/>
      <c r="C18" s="567" t="s">
        <v>238</v>
      </c>
      <c r="D18" s="132"/>
      <c r="E18" s="362"/>
      <c r="F18" s="378" t="e">
        <f>(SUM(M12:M13))/technical_specs!D14</f>
        <v>#DIV/0!</v>
      </c>
      <c r="G18" s="383"/>
      <c r="H18" s="378"/>
      <c r="I18" s="380" t="e">
        <f>F18*share_blast_furnace_burner_coal_gas</f>
        <v>#DIV/0!</v>
      </c>
      <c r="J18" s="380" t="e">
        <f>F18*share_blast_furnace_burner_network_gas</f>
        <v>#DIV/0!</v>
      </c>
      <c r="K18" s="380"/>
      <c r="L18" s="380"/>
      <c r="M18" s="380" t="e">
        <f>-F18*technical_specs!D14</f>
        <v>#DIV/0!</v>
      </c>
      <c r="N18" s="380"/>
      <c r="O18" s="381"/>
    </row>
    <row r="19" spans="2:15" s="159" customFormat="1">
      <c r="B19" s="569"/>
      <c r="C19" s="567" t="s">
        <v>242</v>
      </c>
      <c r="D19" s="132"/>
      <c r="E19" s="362"/>
      <c r="F19" s="378" t="e">
        <f>M15/technical_specs!D15</f>
        <v>#DIV/0!</v>
      </c>
      <c r="G19" s="383"/>
      <c r="H19" s="378"/>
      <c r="I19" s="380"/>
      <c r="J19" s="380" t="e">
        <f>F19</f>
        <v>#DIV/0!</v>
      </c>
      <c r="K19" s="380"/>
      <c r="L19" s="380"/>
      <c r="M19" s="380" t="e">
        <f>-F19*technical_specs!D15</f>
        <v>#DIV/0!</v>
      </c>
      <c r="N19" s="380"/>
      <c r="O19" s="381"/>
    </row>
    <row r="20" spans="2:15" s="159" customFormat="1">
      <c r="B20" s="162"/>
      <c r="C20" s="563"/>
      <c r="D20" s="132"/>
      <c r="E20" s="362"/>
      <c r="F20" s="362"/>
      <c r="G20" s="382"/>
      <c r="H20" s="362"/>
      <c r="I20" s="370"/>
      <c r="J20" s="370"/>
      <c r="K20" s="370"/>
      <c r="L20" s="370"/>
      <c r="M20" s="370"/>
      <c r="N20" s="370"/>
      <c r="O20" s="371"/>
    </row>
    <row r="21" spans="2:15" s="159" customFormat="1">
      <c r="B21" s="166" t="s">
        <v>268</v>
      </c>
      <c r="C21" s="565"/>
      <c r="D21" s="167"/>
      <c r="E21" s="384"/>
      <c r="F21" s="384"/>
      <c r="G21" s="385">
        <f t="shared" ref="G21:O21" si="1">SUM(G12:G20)</f>
        <v>0</v>
      </c>
      <c r="H21" s="386">
        <f t="shared" si="1"/>
        <v>0</v>
      </c>
      <c r="I21" s="386" t="e">
        <f t="shared" si="1"/>
        <v>#DIV/0!</v>
      </c>
      <c r="J21" s="386" t="e">
        <f t="shared" si="1"/>
        <v>#DIV/0!</v>
      </c>
      <c r="K21" s="386">
        <f t="shared" si="1"/>
        <v>0</v>
      </c>
      <c r="L21" s="386">
        <f t="shared" si="1"/>
        <v>0</v>
      </c>
      <c r="M21" s="386" t="e">
        <f t="shared" si="1"/>
        <v>#DIV/0!</v>
      </c>
      <c r="N21" s="386" t="e">
        <f t="shared" si="1"/>
        <v>#DIV/0!</v>
      </c>
      <c r="O21" s="387">
        <f t="shared" si="1"/>
        <v>0</v>
      </c>
    </row>
    <row r="22" spans="2:15" s="159" customFormat="1">
      <c r="B22" s="162"/>
      <c r="C22" s="563"/>
      <c r="D22" s="132"/>
      <c r="E22" s="362"/>
      <c r="F22" s="362"/>
      <c r="G22" s="382"/>
      <c r="H22" s="362"/>
      <c r="I22" s="370"/>
      <c r="J22" s="370"/>
      <c r="K22" s="370"/>
      <c r="L22" s="370"/>
      <c r="M22" s="370"/>
      <c r="N22" s="370"/>
      <c r="O22" s="371"/>
    </row>
    <row r="23" spans="2:15" s="159" customFormat="1">
      <c r="B23" s="568" t="s">
        <v>209</v>
      </c>
      <c r="C23" s="129"/>
      <c r="D23" s="129"/>
      <c r="E23" s="375"/>
      <c r="F23" s="375"/>
      <c r="G23" s="376"/>
      <c r="H23" s="375"/>
      <c r="I23" s="370"/>
      <c r="J23" s="370"/>
      <c r="K23" s="370"/>
      <c r="L23" s="370"/>
      <c r="M23" s="370"/>
      <c r="N23" s="370"/>
      <c r="O23" s="371"/>
    </row>
    <row r="24" spans="2:15" s="159" customFormat="1">
      <c r="B24" s="162"/>
      <c r="C24" s="567" t="s">
        <v>216</v>
      </c>
      <c r="D24" s="131">
        <f>'Steel and alu prod'!E11</f>
        <v>0</v>
      </c>
      <c r="E24" s="360" t="e">
        <f>SUM(technical_specs!D32:D33)</f>
        <v>#DIV/0!</v>
      </c>
      <c r="F24" s="378" t="e">
        <f>D24*E24</f>
        <v>#DIV/0!</v>
      </c>
      <c r="G24" s="383" t="e">
        <f>-$F24*'Steel and alu eff'!H13</f>
        <v>#DIV/0!</v>
      </c>
      <c r="H24" s="378" t="e">
        <f>-$F24*'Steel and alu eff'!I13</f>
        <v>#DIV/0!</v>
      </c>
      <c r="I24" s="380" t="e">
        <f>F24*'Steel and alu eff'!K13</f>
        <v>#DIV/0!</v>
      </c>
      <c r="J24" s="380"/>
      <c r="K24" s="380"/>
      <c r="L24" s="380"/>
      <c r="M24" s="380"/>
      <c r="N24" s="380"/>
      <c r="O24" s="381"/>
    </row>
    <row r="25" spans="2:15" s="159" customFormat="1">
      <c r="B25" s="162"/>
      <c r="C25" s="567" t="s">
        <v>219</v>
      </c>
      <c r="D25" s="131">
        <f>'Steel and alu prod'!E12</f>
        <v>0</v>
      </c>
      <c r="E25" s="360" t="e">
        <f>SUM(technical_specs!D42:D43)</f>
        <v>#DIV/0!</v>
      </c>
      <c r="F25" s="378" t="e">
        <f t="shared" ref="F25:F26" si="2">D25*E25</f>
        <v>#DIV/0!</v>
      </c>
      <c r="G25" s="383" t="e">
        <f>-$F25*'Steel and alu eff'!H14</f>
        <v>#DIV/0!</v>
      </c>
      <c r="H25" s="378" t="e">
        <f>-$F25*'Steel and alu eff'!I14</f>
        <v>#DIV/0!</v>
      </c>
      <c r="I25" s="380" t="e">
        <f>F25*'Steel and alu eff'!K14</f>
        <v>#DIV/0!</v>
      </c>
      <c r="J25" s="380"/>
      <c r="K25" s="380"/>
      <c r="L25" s="380"/>
      <c r="M25" s="380"/>
      <c r="N25" s="380"/>
      <c r="O25" s="381"/>
    </row>
    <row r="26" spans="2:15" s="159" customFormat="1">
      <c r="B26" s="162"/>
      <c r="C26" s="567" t="s">
        <v>220</v>
      </c>
      <c r="D26" s="131">
        <f>'Steel and alu prod'!E13</f>
        <v>0</v>
      </c>
      <c r="E26" s="360" t="e">
        <f>SUM(technical_specs!D51:D52)</f>
        <v>#DIV/0!</v>
      </c>
      <c r="F26" s="378" t="e">
        <f t="shared" si="2"/>
        <v>#DIV/0!</v>
      </c>
      <c r="G26" s="383" t="e">
        <f>-$F26*'Steel and alu eff'!H15</f>
        <v>#DIV/0!</v>
      </c>
      <c r="H26" s="378"/>
      <c r="I26" s="380"/>
      <c r="J26" s="380"/>
      <c r="K26" s="380"/>
      <c r="L26" s="380" t="e">
        <f>-F26*'Steel and alu eff'!J15</f>
        <v>#DIV/0!</v>
      </c>
      <c r="M26" s="380" t="e">
        <f>F26*'Steel and alu eff'!L15</f>
        <v>#DIV/0!</v>
      </c>
      <c r="N26" s="380"/>
      <c r="O26" s="381"/>
    </row>
    <row r="27" spans="2:15" s="159" customFormat="1">
      <c r="B27" s="162"/>
      <c r="C27" s="563"/>
      <c r="D27" s="132"/>
      <c r="E27" s="362"/>
      <c r="F27" s="362"/>
      <c r="G27" s="382"/>
      <c r="H27" s="362"/>
      <c r="I27" s="370"/>
      <c r="J27" s="370"/>
      <c r="K27" s="370"/>
      <c r="L27" s="370"/>
      <c r="M27" s="370"/>
      <c r="N27" s="370"/>
      <c r="O27" s="371"/>
    </row>
    <row r="28" spans="2:15" s="159" customFormat="1">
      <c r="B28" s="166" t="s">
        <v>269</v>
      </c>
      <c r="C28" s="565"/>
      <c r="D28" s="167"/>
      <c r="E28" s="384"/>
      <c r="F28" s="384"/>
      <c r="G28" s="385" t="e">
        <f t="shared" ref="G28:O28" si="3">SUM(G24:G27)</f>
        <v>#DIV/0!</v>
      </c>
      <c r="H28" s="386" t="e">
        <f t="shared" si="3"/>
        <v>#DIV/0!</v>
      </c>
      <c r="I28" s="386" t="e">
        <f t="shared" si="3"/>
        <v>#DIV/0!</v>
      </c>
      <c r="J28" s="386">
        <f t="shared" si="3"/>
        <v>0</v>
      </c>
      <c r="K28" s="386">
        <f t="shared" si="3"/>
        <v>0</v>
      </c>
      <c r="L28" s="386" t="e">
        <f t="shared" si="3"/>
        <v>#DIV/0!</v>
      </c>
      <c r="M28" s="386" t="e">
        <f t="shared" si="3"/>
        <v>#DIV/0!</v>
      </c>
      <c r="N28" s="386">
        <f t="shared" si="3"/>
        <v>0</v>
      </c>
      <c r="O28" s="387">
        <f t="shared" si="3"/>
        <v>0</v>
      </c>
    </row>
    <row r="29" spans="2:15" s="159" customFormat="1" ht="16" thickBot="1">
      <c r="B29" s="171"/>
      <c r="C29" s="172"/>
      <c r="D29" s="172"/>
      <c r="E29" s="388"/>
      <c r="F29" s="388"/>
      <c r="G29" s="389"/>
      <c r="H29" s="388"/>
      <c r="I29" s="388"/>
      <c r="J29" s="388"/>
      <c r="K29" s="388"/>
      <c r="L29" s="388"/>
      <c r="M29" s="388"/>
      <c r="N29" s="388"/>
      <c r="O29" s="390"/>
    </row>
    <row r="30" spans="2:15" s="159" customFormat="1" ht="16" thickBot="1">
      <c r="B30" s="148"/>
      <c r="C30" s="148"/>
      <c r="D30" s="148"/>
      <c r="E30" s="370"/>
      <c r="F30" s="370"/>
      <c r="G30" s="370"/>
      <c r="H30" s="370"/>
      <c r="I30" s="370"/>
      <c r="J30" s="370"/>
      <c r="K30" s="370"/>
      <c r="L30" s="370"/>
      <c r="M30" s="370"/>
      <c r="N30" s="370"/>
      <c r="O30" s="370"/>
    </row>
    <row r="31" spans="2:15" s="159" customFormat="1">
      <c r="B31" s="163" t="s">
        <v>501</v>
      </c>
      <c r="C31" s="160"/>
      <c r="D31" s="160"/>
      <c r="E31" s="364"/>
      <c r="F31" s="364"/>
      <c r="G31" s="365"/>
      <c r="H31" s="364"/>
      <c r="I31" s="366"/>
      <c r="J31" s="366"/>
      <c r="K31" s="366"/>
      <c r="L31" s="366"/>
      <c r="M31" s="366"/>
      <c r="N31" s="366"/>
      <c r="O31" s="367"/>
    </row>
    <row r="32" spans="2:15" s="159" customFormat="1">
      <c r="B32" s="164"/>
      <c r="C32" s="148"/>
      <c r="D32" s="161"/>
      <c r="E32" s="368"/>
      <c r="F32" s="368"/>
      <c r="G32" s="369"/>
      <c r="H32" s="368"/>
      <c r="I32" s="370"/>
      <c r="J32" s="370"/>
      <c r="K32" s="370"/>
      <c r="L32" s="370"/>
      <c r="M32" s="370"/>
      <c r="N32" s="370"/>
      <c r="O32" s="371"/>
    </row>
    <row r="33" spans="2:15" s="159" customFormat="1" ht="30">
      <c r="B33" s="353"/>
      <c r="C33" s="354"/>
      <c r="D33" s="354" t="s">
        <v>246</v>
      </c>
      <c r="E33" s="372" t="s">
        <v>336</v>
      </c>
      <c r="F33" s="372" t="s">
        <v>329</v>
      </c>
      <c r="G33" s="373" t="s">
        <v>330</v>
      </c>
      <c r="H33" s="372" t="s">
        <v>331</v>
      </c>
      <c r="I33" s="372" t="s">
        <v>332</v>
      </c>
      <c r="J33" s="372" t="s">
        <v>454</v>
      </c>
      <c r="K33" s="372" t="s">
        <v>456</v>
      </c>
      <c r="L33" s="372" t="s">
        <v>455</v>
      </c>
      <c r="M33" s="372" t="s">
        <v>333</v>
      </c>
      <c r="N33" s="372" t="s">
        <v>334</v>
      </c>
      <c r="O33" s="391" t="s">
        <v>335</v>
      </c>
    </row>
    <row r="34" spans="2:15" s="159" customFormat="1">
      <c r="B34" s="165"/>
      <c r="C34" s="129"/>
      <c r="D34" s="129"/>
      <c r="E34" s="375"/>
      <c r="F34" s="375"/>
      <c r="G34" s="376"/>
      <c r="H34" s="375"/>
      <c r="I34" s="375"/>
      <c r="J34" s="375"/>
      <c r="K34" s="375"/>
      <c r="L34" s="375"/>
      <c r="M34" s="375"/>
      <c r="N34" s="375"/>
      <c r="O34" s="377"/>
    </row>
    <row r="35" spans="2:15" s="159" customFormat="1">
      <c r="B35" s="568" t="s">
        <v>255</v>
      </c>
      <c r="C35" s="129"/>
      <c r="D35" s="129"/>
      <c r="E35" s="375"/>
      <c r="F35" s="375"/>
      <c r="G35" s="376"/>
      <c r="H35" s="375"/>
      <c r="I35" s="375"/>
      <c r="J35" s="375"/>
      <c r="K35" s="375"/>
      <c r="L35" s="375"/>
      <c r="M35" s="375"/>
      <c r="N35" s="375"/>
      <c r="O35" s="377"/>
    </row>
    <row r="36" spans="2:15" s="159" customFormat="1">
      <c r="B36" s="569"/>
      <c r="C36" s="567" t="s">
        <v>228</v>
      </c>
      <c r="D36" s="131">
        <f>'Steel and alu prod'!E17</f>
        <v>0</v>
      </c>
      <c r="E36" s="360" t="e">
        <f>SUM(technical_specs!D77:D78)</f>
        <v>#DIV/0!</v>
      </c>
      <c r="F36" s="378" t="e">
        <f>D36*E36</f>
        <v>#DIV/0!</v>
      </c>
      <c r="G36" s="379"/>
      <c r="H36" s="380"/>
      <c r="I36" s="380"/>
      <c r="J36" s="380"/>
      <c r="K36" s="380"/>
      <c r="L36" s="380"/>
      <c r="M36" s="378" t="e">
        <f>F36*'Steel and alu eff'!E19</f>
        <v>#DIV/0!</v>
      </c>
      <c r="N36" s="378" t="e">
        <f>F36*'Steel and alu eff'!D19</f>
        <v>#DIV/0!</v>
      </c>
      <c r="O36" s="381"/>
    </row>
    <row r="37" spans="2:15" s="159" customFormat="1">
      <c r="B37" s="569"/>
      <c r="C37" s="567" t="s">
        <v>229</v>
      </c>
      <c r="D37" s="131">
        <f>'Steel and alu prod'!E18</f>
        <v>0</v>
      </c>
      <c r="E37" s="360" t="e">
        <f>SUM(technical_specs!D82:D83)</f>
        <v>#DIV/0!</v>
      </c>
      <c r="F37" s="378" t="e">
        <f t="shared" ref="F37:F39" si="4">D37*E37</f>
        <v>#DIV/0!</v>
      </c>
      <c r="G37" s="379"/>
      <c r="H37" s="380"/>
      <c r="I37" s="380"/>
      <c r="J37" s="380"/>
      <c r="K37" s="380"/>
      <c r="L37" s="380"/>
      <c r="M37" s="378" t="e">
        <f>F37*'Steel and alu eff'!E20</f>
        <v>#DIV/0!</v>
      </c>
      <c r="N37" s="378" t="e">
        <f>F37*'Steel and alu eff'!D20</f>
        <v>#DIV/0!</v>
      </c>
      <c r="O37" s="381"/>
    </row>
    <row r="38" spans="2:15" s="159" customFormat="1">
      <c r="B38" s="569"/>
      <c r="C38" s="567" t="s">
        <v>230</v>
      </c>
      <c r="D38" s="131">
        <f>'Steel and alu prod'!E19</f>
        <v>0</v>
      </c>
      <c r="E38" s="360" t="e">
        <f>SUM(technical_specs!D87:D88)</f>
        <v>#DIV/0!</v>
      </c>
      <c r="F38" s="378" t="e">
        <f t="shared" si="4"/>
        <v>#DIV/0!</v>
      </c>
      <c r="G38" s="379"/>
      <c r="H38" s="380"/>
      <c r="I38" s="380"/>
      <c r="J38" s="380"/>
      <c r="K38" s="380"/>
      <c r="L38" s="380"/>
      <c r="M38" s="378" t="e">
        <f>F38*'Steel and alu eff'!E21</f>
        <v>#DIV/0!</v>
      </c>
      <c r="N38" s="378" t="e">
        <f>F38*'Steel and alu eff'!D21</f>
        <v>#DIV/0!</v>
      </c>
      <c r="O38" s="381"/>
    </row>
    <row r="39" spans="2:15" s="159" customFormat="1">
      <c r="B39" s="569"/>
      <c r="C39" s="567" t="s">
        <v>231</v>
      </c>
      <c r="D39" s="131">
        <f>'Steel and alu prod'!E20</f>
        <v>0</v>
      </c>
      <c r="E39" s="360" t="e">
        <f>SUM(technical_specs!D92:D93)</f>
        <v>#DIV/0!</v>
      </c>
      <c r="F39" s="378" t="e">
        <f t="shared" si="4"/>
        <v>#DIV/0!</v>
      </c>
      <c r="G39" s="379"/>
      <c r="H39" s="380"/>
      <c r="I39" s="380"/>
      <c r="J39" s="380"/>
      <c r="K39" s="380"/>
      <c r="L39" s="380"/>
      <c r="M39" s="378" t="e">
        <f>F39*'Steel and alu eff'!E22</f>
        <v>#DIV/0!</v>
      </c>
      <c r="N39" s="378" t="e">
        <f>F39*'Steel and alu eff'!D22</f>
        <v>#DIV/0!</v>
      </c>
      <c r="O39" s="381"/>
    </row>
    <row r="40" spans="2:15" s="159" customFormat="1">
      <c r="B40" s="570"/>
      <c r="C40" s="564"/>
      <c r="D40" s="132"/>
      <c r="E40" s="362"/>
      <c r="F40" s="362"/>
      <c r="G40" s="382"/>
      <c r="H40" s="362"/>
      <c r="I40" s="370"/>
      <c r="J40" s="370"/>
      <c r="K40" s="370"/>
      <c r="L40" s="370"/>
      <c r="M40" s="370"/>
      <c r="N40" s="370"/>
      <c r="O40" s="371"/>
    </row>
    <row r="41" spans="2:15" s="159" customFormat="1">
      <c r="B41" s="568" t="s">
        <v>267</v>
      </c>
      <c r="C41" s="129"/>
      <c r="D41" s="129"/>
      <c r="E41" s="375"/>
      <c r="F41" s="375"/>
      <c r="G41" s="376"/>
      <c r="H41" s="375"/>
      <c r="I41" s="370"/>
      <c r="J41" s="370"/>
      <c r="K41" s="370"/>
      <c r="L41" s="370"/>
      <c r="M41" s="370"/>
      <c r="N41" s="370"/>
      <c r="O41" s="371"/>
    </row>
    <row r="42" spans="2:15" s="159" customFormat="1">
      <c r="B42" s="569"/>
      <c r="C42" s="567" t="s">
        <v>244</v>
      </c>
      <c r="D42" s="132"/>
      <c r="E42" s="362"/>
      <c r="F42" s="378" t="e">
        <f>SUM(M36:M39)/technical_specs!D18</f>
        <v>#DIV/0!</v>
      </c>
      <c r="G42" s="383"/>
      <c r="H42" s="378"/>
      <c r="I42" s="380"/>
      <c r="J42" s="380" t="e">
        <f>F42</f>
        <v>#DIV/0!</v>
      </c>
      <c r="K42" s="380"/>
      <c r="L42" s="380"/>
      <c r="M42" s="380" t="e">
        <f>-F42*technical_specs!D18</f>
        <v>#DIV/0!</v>
      </c>
      <c r="N42" s="380"/>
      <c r="O42" s="381"/>
    </row>
    <row r="43" spans="2:15" s="159" customFormat="1">
      <c r="B43" s="569"/>
      <c r="C43" s="563"/>
      <c r="D43" s="132"/>
      <c r="E43" s="362"/>
      <c r="F43" s="362"/>
      <c r="G43" s="382"/>
      <c r="H43" s="362"/>
      <c r="I43" s="370"/>
      <c r="J43" s="370"/>
      <c r="K43" s="370"/>
      <c r="L43" s="370"/>
      <c r="M43" s="370"/>
      <c r="N43" s="370"/>
      <c r="O43" s="371"/>
    </row>
    <row r="44" spans="2:15" s="159" customFormat="1">
      <c r="B44" s="166" t="s">
        <v>268</v>
      </c>
      <c r="C44" s="565"/>
      <c r="D44" s="167"/>
      <c r="E44" s="384"/>
      <c r="F44" s="384"/>
      <c r="G44" s="385">
        <f t="shared" ref="G44:O44" si="5">SUM(G36:G43)</f>
        <v>0</v>
      </c>
      <c r="H44" s="386">
        <f t="shared" si="5"/>
        <v>0</v>
      </c>
      <c r="I44" s="386">
        <f t="shared" si="5"/>
        <v>0</v>
      </c>
      <c r="J44" s="386" t="e">
        <f t="shared" si="5"/>
        <v>#DIV/0!</v>
      </c>
      <c r="K44" s="386">
        <f t="shared" si="5"/>
        <v>0</v>
      </c>
      <c r="L44" s="386">
        <f t="shared" si="5"/>
        <v>0</v>
      </c>
      <c r="M44" s="386" t="e">
        <f t="shared" si="5"/>
        <v>#DIV/0!</v>
      </c>
      <c r="N44" s="386" t="e">
        <f t="shared" si="5"/>
        <v>#DIV/0!</v>
      </c>
      <c r="O44" s="387">
        <f t="shared" si="5"/>
        <v>0</v>
      </c>
    </row>
    <row r="45" spans="2:15" s="159" customFormat="1" ht="16" thickBot="1">
      <c r="B45" s="169"/>
      <c r="C45" s="566"/>
      <c r="D45" s="170"/>
      <c r="E45" s="392"/>
      <c r="F45" s="392"/>
      <c r="G45" s="393"/>
      <c r="H45" s="392"/>
      <c r="I45" s="388"/>
      <c r="J45" s="388"/>
      <c r="K45" s="388"/>
      <c r="L45" s="388"/>
      <c r="M45" s="388"/>
      <c r="N45" s="388"/>
      <c r="O45" s="390"/>
    </row>
    <row r="46" spans="2:15">
      <c r="B46" s="150"/>
      <c r="C46" s="150"/>
      <c r="D46" s="150"/>
      <c r="E46" s="150"/>
      <c r="F46" s="150"/>
      <c r="G46" s="150"/>
      <c r="H46" s="150"/>
      <c r="I46" s="150"/>
      <c r="J46" s="150"/>
      <c r="K46" s="150"/>
      <c r="L46" s="150"/>
      <c r="M46" s="150"/>
      <c r="N46" s="150"/>
    </row>
    <row r="47" spans="2:15">
      <c r="B47" s="150"/>
      <c r="C47" s="150"/>
      <c r="D47" s="150"/>
      <c r="E47" s="150"/>
      <c r="F47" s="150"/>
      <c r="G47" s="150"/>
      <c r="H47" s="150"/>
      <c r="I47" s="150"/>
      <c r="J47" s="150"/>
      <c r="K47" s="150"/>
      <c r="L47" s="150"/>
      <c r="M47" s="150"/>
      <c r="N47" s="150"/>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E21"/>
  <sheetViews>
    <sheetView workbookViewId="0"/>
  </sheetViews>
  <sheetFormatPr baseColWidth="10" defaultRowHeight="15" x14ac:dyDescent="0"/>
  <cols>
    <col min="1" max="1" width="10.83203125" style="92"/>
    <col min="2" max="2" width="12.5" style="92" customWidth="1"/>
    <col min="3" max="3" width="35.83203125" style="92" customWidth="1"/>
    <col min="4" max="5" width="15.83203125" style="92" customWidth="1"/>
    <col min="6" max="9" width="21.6640625" style="92" customWidth="1"/>
    <col min="10" max="16384" width="10.83203125" style="92"/>
  </cols>
  <sheetData>
    <row r="2" spans="2:5" ht="20">
      <c r="B2" s="91" t="s">
        <v>247</v>
      </c>
      <c r="C2" s="91"/>
      <c r="D2" s="8"/>
      <c r="E2" s="8"/>
    </row>
    <row r="3" spans="2:5">
      <c r="B3" s="1"/>
      <c r="C3" s="1"/>
      <c r="D3" s="8"/>
      <c r="E3" s="8"/>
    </row>
    <row r="4" spans="2:5">
      <c r="B4" s="3" t="s">
        <v>83</v>
      </c>
      <c r="C4" s="13"/>
      <c r="D4" s="4"/>
      <c r="E4" s="5"/>
    </row>
    <row r="5" spans="2:5" ht="47" customHeight="1">
      <c r="B5" s="680" t="s">
        <v>323</v>
      </c>
      <c r="C5" s="681"/>
      <c r="D5" s="681"/>
      <c r="E5" s="682"/>
    </row>
    <row r="6" spans="2:5" ht="16" thickBot="1"/>
    <row r="7" spans="2:5">
      <c r="B7" s="93" t="s">
        <v>498</v>
      </c>
      <c r="C7" s="26"/>
      <c r="D7" s="80"/>
      <c r="E7" s="27"/>
    </row>
    <row r="8" spans="2:5">
      <c r="B8" s="28"/>
      <c r="C8" s="7"/>
      <c r="D8" s="8"/>
      <c r="E8" s="29"/>
    </row>
    <row r="9" spans="2:5">
      <c r="B9" s="509"/>
      <c r="C9" s="512"/>
      <c r="D9" s="94" t="s">
        <v>250</v>
      </c>
      <c r="E9" s="95" t="s">
        <v>246</v>
      </c>
    </row>
    <row r="10" spans="2:5">
      <c r="B10" s="42" t="s">
        <v>241</v>
      </c>
      <c r="C10" s="513"/>
      <c r="D10" s="122"/>
      <c r="E10" s="120"/>
    </row>
    <row r="11" spans="2:5">
      <c r="B11" s="510"/>
      <c r="C11" s="516" t="s">
        <v>216</v>
      </c>
      <c r="D11" s="117">
        <f>share_steel_blast_furnace_current</f>
        <v>0</v>
      </c>
      <c r="E11" s="264">
        <f>D11*steel_production</f>
        <v>0</v>
      </c>
    </row>
    <row r="12" spans="2:5">
      <c r="B12" s="510"/>
      <c r="C12" s="516" t="s">
        <v>219</v>
      </c>
      <c r="D12" s="117">
        <f>share_steel_blast_furnace_bat</f>
        <v>0</v>
      </c>
      <c r="E12" s="264">
        <f>D12*steel_production</f>
        <v>0</v>
      </c>
    </row>
    <row r="13" spans="2:5">
      <c r="B13" s="510"/>
      <c r="C13" s="516" t="s">
        <v>220</v>
      </c>
      <c r="D13" s="117">
        <f>share_steel_cyclone</f>
        <v>0</v>
      </c>
      <c r="E13" s="264">
        <f>D13*steel_production</f>
        <v>0</v>
      </c>
    </row>
    <row r="14" spans="2:5">
      <c r="B14" s="510"/>
      <c r="C14" s="516" t="s">
        <v>221</v>
      </c>
      <c r="D14" s="117">
        <f>share_steel_electric</f>
        <v>0</v>
      </c>
      <c r="E14" s="264">
        <f>D14*steel_production</f>
        <v>0</v>
      </c>
    </row>
    <row r="15" spans="2:5">
      <c r="B15" s="168"/>
      <c r="C15" s="516"/>
      <c r="D15" s="118"/>
      <c r="E15" s="120"/>
    </row>
    <row r="16" spans="2:5">
      <c r="B16" s="511" t="s">
        <v>243</v>
      </c>
      <c r="C16" s="517"/>
      <c r="D16" s="118"/>
      <c r="E16" s="120"/>
    </row>
    <row r="17" spans="2:5">
      <c r="B17" s="510"/>
      <c r="C17" s="516" t="s">
        <v>228</v>
      </c>
      <c r="D17" s="117">
        <f>share_aluminium_electrolysis_current</f>
        <v>0</v>
      </c>
      <c r="E17" s="581">
        <f>D17*aluminium_production</f>
        <v>0</v>
      </c>
    </row>
    <row r="18" spans="2:5">
      <c r="B18" s="510"/>
      <c r="C18" s="516" t="s">
        <v>229</v>
      </c>
      <c r="D18" s="117">
        <f>share_aluminium_electrolysis_bat</f>
        <v>0</v>
      </c>
      <c r="E18" s="581">
        <f>D18*aluminium_production</f>
        <v>0</v>
      </c>
    </row>
    <row r="19" spans="2:5">
      <c r="B19" s="510"/>
      <c r="C19" s="516" t="s">
        <v>230</v>
      </c>
      <c r="D19" s="117">
        <f>share_aluminium_melting_oven</f>
        <v>0</v>
      </c>
      <c r="E19" s="581">
        <f>D19*aluminium_production</f>
        <v>0</v>
      </c>
    </row>
    <row r="20" spans="2:5">
      <c r="B20" s="510"/>
      <c r="C20" s="516" t="s">
        <v>231</v>
      </c>
      <c r="D20" s="119">
        <f>share_aluminium_carbothermal_reduction</f>
        <v>0</v>
      </c>
      <c r="E20" s="581">
        <f>D20*aluminium_production</f>
        <v>0</v>
      </c>
    </row>
    <row r="21" spans="2:5" ht="16" thickBot="1">
      <c r="B21" s="100"/>
      <c r="C21" s="518"/>
      <c r="D21" s="123"/>
      <c r="E21" s="121"/>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M23"/>
  <sheetViews>
    <sheetView workbookViewId="0"/>
  </sheetViews>
  <sheetFormatPr baseColWidth="10" defaultRowHeight="15" x14ac:dyDescent="0"/>
  <cols>
    <col min="1" max="1" width="10.83203125" style="92"/>
    <col min="2" max="2" width="12.5" style="92" customWidth="1"/>
    <col min="3" max="3" width="31.83203125" style="92" customWidth="1"/>
    <col min="4" max="13" width="15.83203125" style="92" customWidth="1"/>
    <col min="14" max="16384" width="10.83203125" style="92"/>
  </cols>
  <sheetData>
    <row r="2" spans="2:13" ht="20">
      <c r="B2" s="91" t="s">
        <v>259</v>
      </c>
      <c r="C2" s="111"/>
      <c r="D2" s="111"/>
      <c r="E2" s="111"/>
      <c r="F2" s="111"/>
      <c r="G2" s="111"/>
    </row>
    <row r="3" spans="2:13">
      <c r="C3" s="111"/>
      <c r="D3" s="111"/>
      <c r="E3" s="111"/>
      <c r="F3" s="111"/>
      <c r="G3" s="111"/>
    </row>
    <row r="4" spans="2:13">
      <c r="B4" s="51" t="s">
        <v>83</v>
      </c>
      <c r="C4" s="113"/>
      <c r="D4" s="113"/>
      <c r="E4" s="113"/>
      <c r="F4" s="136"/>
    </row>
    <row r="5" spans="2:13" ht="30" customHeight="1">
      <c r="B5" s="686" t="s">
        <v>495</v>
      </c>
      <c r="C5" s="687"/>
      <c r="D5" s="687"/>
      <c r="E5" s="687"/>
      <c r="F5" s="688"/>
    </row>
    <row r="6" spans="2:13" ht="15" customHeight="1">
      <c r="B6" s="352"/>
      <c r="C6" s="352"/>
      <c r="D6" s="352"/>
      <c r="E6" s="352"/>
      <c r="F6" s="352"/>
    </row>
    <row r="7" spans="2:13" ht="173" customHeight="1">
      <c r="B7" s="352"/>
      <c r="C7" s="352"/>
      <c r="D7" s="352"/>
      <c r="E7" s="352"/>
      <c r="F7" s="352"/>
    </row>
    <row r="8" spans="2:13" ht="16" thickBot="1"/>
    <row r="9" spans="2:13">
      <c r="B9" s="229" t="s">
        <v>499</v>
      </c>
      <c r="C9" s="523"/>
      <c r="D9" s="241"/>
      <c r="E9" s="124"/>
      <c r="F9" s="124"/>
      <c r="G9" s="124"/>
      <c r="H9" s="534"/>
      <c r="I9" s="137"/>
      <c r="J9" s="137"/>
      <c r="K9" s="137"/>
      <c r="L9" s="137"/>
      <c r="M9" s="138"/>
    </row>
    <row r="10" spans="2:13">
      <c r="B10" s="112"/>
      <c r="C10" s="524"/>
      <c r="D10" s="125" t="s">
        <v>530</v>
      </c>
      <c r="E10" s="125"/>
      <c r="F10" s="126" t="s">
        <v>529</v>
      </c>
      <c r="G10" s="125"/>
      <c r="H10" s="139" t="s">
        <v>528</v>
      </c>
      <c r="I10" s="140"/>
      <c r="J10" s="140"/>
      <c r="K10" s="139" t="s">
        <v>527</v>
      </c>
      <c r="L10" s="140"/>
      <c r="M10" s="141"/>
    </row>
    <row r="11" spans="2:13">
      <c r="B11" s="522"/>
      <c r="C11" s="525"/>
      <c r="D11" s="127" t="s">
        <v>103</v>
      </c>
      <c r="E11" s="127" t="s">
        <v>104</v>
      </c>
      <c r="F11" s="128" t="s">
        <v>256</v>
      </c>
      <c r="G11" s="127" t="s">
        <v>257</v>
      </c>
      <c r="H11" s="142" t="s">
        <v>194</v>
      </c>
      <c r="I11" s="143" t="s">
        <v>206</v>
      </c>
      <c r="J11" s="247" t="s">
        <v>258</v>
      </c>
      <c r="K11" s="142" t="s">
        <v>207</v>
      </c>
      <c r="L11" s="143" t="s">
        <v>104</v>
      </c>
      <c r="M11" s="144" t="s">
        <v>257</v>
      </c>
    </row>
    <row r="12" spans="2:13">
      <c r="B12" s="42" t="s">
        <v>241</v>
      </c>
      <c r="C12" s="513"/>
      <c r="D12" s="129"/>
      <c r="E12" s="129"/>
      <c r="F12" s="130"/>
      <c r="G12" s="129"/>
      <c r="H12" s="130"/>
      <c r="I12" s="129"/>
      <c r="J12" s="129"/>
      <c r="K12" s="130"/>
      <c r="L12" s="129"/>
      <c r="M12" s="145"/>
    </row>
    <row r="13" spans="2:13">
      <c r="B13" s="510"/>
      <c r="C13" s="516" t="s">
        <v>216</v>
      </c>
      <c r="D13" s="259" t="e">
        <f>technical_specs!D29/(technical_specs!D29+technical_specs!D30)</f>
        <v>#DIV/0!</v>
      </c>
      <c r="E13" s="259" t="e">
        <f>technical_specs!D30/(technical_specs!D29+technical_specs!D30)</f>
        <v>#DIV/0!</v>
      </c>
      <c r="F13" s="260" t="e">
        <f>1/(technical_specs!D29+technical_specs!D30)</f>
        <v>#DIV/0!</v>
      </c>
      <c r="G13" s="259" t="e">
        <f>1-F13</f>
        <v>#DIV/0!</v>
      </c>
      <c r="H13" s="260" t="e">
        <f>technical_specs!D32/(technical_specs!D32+technical_specs!D33)</f>
        <v>#DIV/0!</v>
      </c>
      <c r="I13" s="259" t="e">
        <f>technical_specs!D33/(technical_specs!D32+technical_specs!D33)</f>
        <v>#DIV/0!</v>
      </c>
      <c r="J13" s="527" t="s">
        <v>339</v>
      </c>
      <c r="K13" s="260" t="e">
        <f>technical_specs!D34/(technical_specs!D32+technical_specs!D33)</f>
        <v>#DIV/0!</v>
      </c>
      <c r="L13" s="527" t="s">
        <v>339</v>
      </c>
      <c r="M13" s="261" t="e">
        <f>1-K13</f>
        <v>#DIV/0!</v>
      </c>
    </row>
    <row r="14" spans="2:13">
      <c r="B14" s="510"/>
      <c r="C14" s="516" t="s">
        <v>219</v>
      </c>
      <c r="D14" s="259" t="e">
        <f>technical_specs!D39/(technical_specs!D39+technical_specs!D40)</f>
        <v>#DIV/0!</v>
      </c>
      <c r="E14" s="259" t="e">
        <f>technical_specs!D40/(technical_specs!D39+technical_specs!D40)</f>
        <v>#DIV/0!</v>
      </c>
      <c r="F14" s="260" t="e">
        <f>1/(technical_specs!D39+technical_specs!D40)</f>
        <v>#DIV/0!</v>
      </c>
      <c r="G14" s="259" t="e">
        <f>1-F14</f>
        <v>#DIV/0!</v>
      </c>
      <c r="H14" s="260" t="e">
        <f>technical_specs!D42/(technical_specs!D42+technical_specs!D43)</f>
        <v>#DIV/0!</v>
      </c>
      <c r="I14" s="259" t="e">
        <f>technical_specs!D43/(technical_specs!D42+technical_specs!D43)</f>
        <v>#DIV/0!</v>
      </c>
      <c r="J14" s="527" t="s">
        <v>339</v>
      </c>
      <c r="K14" s="260" t="e">
        <f>technical_specs!D44/(technical_specs!D42+technical_specs!D43)</f>
        <v>#DIV/0!</v>
      </c>
      <c r="L14" s="527" t="s">
        <v>339</v>
      </c>
      <c r="M14" s="261" t="e">
        <f>1-K14</f>
        <v>#DIV/0!</v>
      </c>
    </row>
    <row r="15" spans="2:13">
      <c r="B15" s="510"/>
      <c r="C15" s="516" t="s">
        <v>220</v>
      </c>
      <c r="D15" s="259" t="e">
        <f>technical_specs!D48/(technical_specs!D48+technical_specs!D49)</f>
        <v>#DIV/0!</v>
      </c>
      <c r="E15" s="259" t="e">
        <f>technical_specs!D49/(technical_specs!D48+technical_specs!D49)</f>
        <v>#DIV/0!</v>
      </c>
      <c r="F15" s="260" t="e">
        <f>1/(technical_specs!D48+technical_specs!D49)</f>
        <v>#DIV/0!</v>
      </c>
      <c r="G15" s="259" t="e">
        <f>1-F15</f>
        <v>#DIV/0!</v>
      </c>
      <c r="H15" s="260" t="e">
        <f>technical_specs!D51/(technical_specs!D51+technical_specs!D52)</f>
        <v>#DIV/0!</v>
      </c>
      <c r="I15" s="527" t="s">
        <v>339</v>
      </c>
      <c r="J15" s="259" t="e">
        <f>technical_specs!D52/(technical_specs!D51+technical_specs!D52)</f>
        <v>#DIV/0!</v>
      </c>
      <c r="K15" s="528" t="s">
        <v>339</v>
      </c>
      <c r="L15" s="259" t="e">
        <f>technical_specs!D53/(technical_specs!D51+technical_specs!D52)</f>
        <v>#DIV/0!</v>
      </c>
      <c r="M15" s="261" t="e">
        <f>1-L15</f>
        <v>#DIV/0!</v>
      </c>
    </row>
    <row r="16" spans="2:13">
      <c r="B16" s="510"/>
      <c r="C16" s="516" t="s">
        <v>221</v>
      </c>
      <c r="D16" s="259" t="e">
        <f>technical_specs!D57/(technical_specs!D57+technical_specs!D58)</f>
        <v>#DIV/0!</v>
      </c>
      <c r="E16" s="259" t="e">
        <f>technical_specs!D58/(technical_specs!D57+technical_specs!D58)</f>
        <v>#DIV/0!</v>
      </c>
      <c r="F16" s="260" t="e">
        <f>1/(technical_specs!D57+technical_specs!D58)</f>
        <v>#DIV/0!</v>
      </c>
      <c r="G16" s="259" t="e">
        <f>1-F16</f>
        <v>#DIV/0!</v>
      </c>
      <c r="H16" s="528" t="s">
        <v>339</v>
      </c>
      <c r="I16" s="527" t="s">
        <v>339</v>
      </c>
      <c r="J16" s="527" t="s">
        <v>339</v>
      </c>
      <c r="K16" s="528" t="s">
        <v>339</v>
      </c>
      <c r="L16" s="527" t="s">
        <v>339</v>
      </c>
      <c r="M16" s="529" t="s">
        <v>339</v>
      </c>
    </row>
    <row r="17" spans="2:13">
      <c r="B17" s="282"/>
      <c r="C17" s="530"/>
      <c r="D17" s="531"/>
      <c r="E17" s="531"/>
      <c r="F17" s="532"/>
      <c r="G17" s="531"/>
      <c r="H17" s="532"/>
      <c r="I17" s="531"/>
      <c r="J17" s="531"/>
      <c r="K17" s="532"/>
      <c r="L17" s="531"/>
      <c r="M17" s="533"/>
    </row>
    <row r="18" spans="2:13">
      <c r="B18" s="511" t="s">
        <v>243</v>
      </c>
      <c r="C18" s="514"/>
      <c r="D18" s="132"/>
      <c r="E18" s="132"/>
      <c r="F18" s="133"/>
      <c r="G18" s="132"/>
      <c r="H18" s="133"/>
      <c r="I18" s="132"/>
      <c r="J18" s="132"/>
      <c r="K18" s="133"/>
      <c r="L18" s="132"/>
      <c r="M18" s="146"/>
    </row>
    <row r="19" spans="2:13">
      <c r="B19" s="510"/>
      <c r="C19" s="516" t="s">
        <v>228</v>
      </c>
      <c r="D19" s="259" t="e">
        <f>technical_specs!D77/(technical_specs!D77+technical_specs!D78)</f>
        <v>#DIV/0!</v>
      </c>
      <c r="E19" s="259" t="e">
        <f>technical_specs!D78/(technical_specs!D77+technical_specs!D78)</f>
        <v>#DIV/0!</v>
      </c>
      <c r="F19" s="260" t="e">
        <f>1/(technical_specs!D77+technical_specs!D78)</f>
        <v>#DIV/0!</v>
      </c>
      <c r="G19" s="259" t="e">
        <f>1-F19</f>
        <v>#DIV/0!</v>
      </c>
      <c r="H19" s="133"/>
      <c r="I19" s="132"/>
      <c r="J19" s="132"/>
      <c r="K19" s="133"/>
      <c r="L19" s="132"/>
      <c r="M19" s="146"/>
    </row>
    <row r="20" spans="2:13">
      <c r="B20" s="510"/>
      <c r="C20" s="516" t="s">
        <v>229</v>
      </c>
      <c r="D20" s="259" t="e">
        <f>technical_specs!D82/(technical_specs!D82+technical_specs!D83)</f>
        <v>#DIV/0!</v>
      </c>
      <c r="E20" s="259" t="e">
        <f>technical_specs!D83/(technical_specs!D82+technical_specs!D83)</f>
        <v>#DIV/0!</v>
      </c>
      <c r="F20" s="260" t="e">
        <f>1/(technical_specs!D82+technical_specs!D83)</f>
        <v>#DIV/0!</v>
      </c>
      <c r="G20" s="259" t="e">
        <f t="shared" ref="G20:G22" si="0">1-F20</f>
        <v>#DIV/0!</v>
      </c>
      <c r="H20" s="133"/>
      <c r="I20" s="132"/>
      <c r="J20" s="132"/>
      <c r="K20" s="133"/>
      <c r="L20" s="132"/>
      <c r="M20" s="146"/>
    </row>
    <row r="21" spans="2:13">
      <c r="B21" s="510"/>
      <c r="C21" s="516" t="s">
        <v>230</v>
      </c>
      <c r="D21" s="259" t="e">
        <f>technical_specs!D87/(technical_specs!D87+technical_specs!D88)</f>
        <v>#DIV/0!</v>
      </c>
      <c r="E21" s="259" t="e">
        <f>technical_specs!D88/(technical_specs!D87+technical_specs!D88)</f>
        <v>#DIV/0!</v>
      </c>
      <c r="F21" s="260" t="e">
        <f>1/(technical_specs!D87+technical_specs!D88)</f>
        <v>#DIV/0!</v>
      </c>
      <c r="G21" s="259" t="e">
        <f t="shared" si="0"/>
        <v>#DIV/0!</v>
      </c>
      <c r="H21" s="133"/>
      <c r="I21" s="132"/>
      <c r="J21" s="132"/>
      <c r="K21" s="133"/>
      <c r="L21" s="132"/>
      <c r="M21" s="146"/>
    </row>
    <row r="22" spans="2:13">
      <c r="B22" s="510"/>
      <c r="C22" s="516" t="s">
        <v>231</v>
      </c>
      <c r="D22" s="262" t="e">
        <f>technical_specs!D92/(technical_specs!D92+technical_specs!D93)</f>
        <v>#DIV/0!</v>
      </c>
      <c r="E22" s="262" t="e">
        <f>technical_specs!D93/(technical_specs!D92+technical_specs!D93)</f>
        <v>#DIV/0!</v>
      </c>
      <c r="F22" s="263" t="e">
        <f>1/(technical_specs!D92+technical_specs!D93)</f>
        <v>#DIV/0!</v>
      </c>
      <c r="G22" s="259" t="e">
        <f t="shared" si="0"/>
        <v>#DIV/0!</v>
      </c>
      <c r="H22" s="147"/>
      <c r="I22" s="148"/>
      <c r="J22" s="148"/>
      <c r="K22" s="147"/>
      <c r="L22" s="148"/>
      <c r="M22" s="146"/>
    </row>
    <row r="23" spans="2:13" ht="16" thickBot="1">
      <c r="B23" s="114"/>
      <c r="C23" s="526"/>
      <c r="D23" s="134"/>
      <c r="E23" s="134"/>
      <c r="F23" s="135"/>
      <c r="G23" s="134"/>
      <c r="H23" s="135"/>
      <c r="I23" s="134"/>
      <c r="J23" s="134"/>
      <c r="K23" s="135"/>
      <c r="L23" s="134"/>
      <c r="M23" s="149"/>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O22"/>
  <sheetViews>
    <sheetView workbookViewId="0"/>
  </sheetViews>
  <sheetFormatPr baseColWidth="10" defaultRowHeight="15" x14ac:dyDescent="0"/>
  <cols>
    <col min="1" max="1" width="10.83203125" style="151"/>
    <col min="2" max="3" width="25.83203125" style="151" customWidth="1"/>
    <col min="4" max="15" width="15.83203125" style="151" customWidth="1"/>
    <col min="16" max="16384" width="10.83203125" style="151"/>
  </cols>
  <sheetData>
    <row r="2" spans="2:15" ht="20">
      <c r="B2" s="187" t="s">
        <v>294</v>
      </c>
      <c r="C2" s="187"/>
      <c r="D2" s="150"/>
      <c r="E2" s="150"/>
    </row>
    <row r="3" spans="2:15">
      <c r="D3" s="150"/>
      <c r="E3" s="150"/>
      <c r="F3" s="150"/>
      <c r="G3" s="150"/>
      <c r="H3" s="150"/>
    </row>
    <row r="4" spans="2:15">
      <c r="B4" s="152" t="s">
        <v>83</v>
      </c>
      <c r="C4" s="562"/>
      <c r="D4" s="153"/>
      <c r="E4" s="153"/>
      <c r="F4" s="154"/>
      <c r="G4" s="150"/>
    </row>
    <row r="5" spans="2:15" ht="30" customHeight="1">
      <c r="B5" s="683" t="s">
        <v>325</v>
      </c>
      <c r="C5" s="684"/>
      <c r="D5" s="684"/>
      <c r="E5" s="684"/>
      <c r="F5" s="685"/>
      <c r="G5" s="667"/>
    </row>
    <row r="6" spans="2:15" ht="16" thickBot="1"/>
    <row r="7" spans="2:15" s="159" customFormat="1">
      <c r="B7" s="163" t="s">
        <v>294</v>
      </c>
      <c r="C7" s="160"/>
      <c r="D7" s="364"/>
      <c r="E7" s="160"/>
      <c r="F7" s="364"/>
      <c r="G7" s="365"/>
      <c r="H7" s="364"/>
      <c r="I7" s="366"/>
      <c r="J7" s="366"/>
      <c r="K7" s="366"/>
      <c r="L7" s="366"/>
      <c r="M7" s="366"/>
      <c r="N7" s="366"/>
      <c r="O7" s="367"/>
    </row>
    <row r="8" spans="2:15" s="159" customFormat="1">
      <c r="B8" s="164"/>
      <c r="C8" s="148"/>
      <c r="D8" s="368"/>
      <c r="E8" s="161"/>
      <c r="F8" s="368"/>
      <c r="G8" s="369"/>
      <c r="H8" s="368"/>
      <c r="I8" s="370"/>
      <c r="J8" s="370"/>
      <c r="K8" s="370"/>
      <c r="L8" s="370"/>
      <c r="M8" s="370"/>
      <c r="N8" s="370"/>
      <c r="O8" s="371"/>
    </row>
    <row r="9" spans="2:15" s="254" customFormat="1" ht="30">
      <c r="B9" s="353"/>
      <c r="C9" s="354"/>
      <c r="D9" s="372" t="s">
        <v>338</v>
      </c>
      <c r="E9" s="354" t="s">
        <v>337</v>
      </c>
      <c r="F9" s="372" t="s">
        <v>329</v>
      </c>
      <c r="G9" s="373" t="s">
        <v>330</v>
      </c>
      <c r="H9" s="372" t="s">
        <v>331</v>
      </c>
      <c r="I9" s="372" t="s">
        <v>332</v>
      </c>
      <c r="J9" s="372" t="s">
        <v>454</v>
      </c>
      <c r="K9" s="372" t="s">
        <v>456</v>
      </c>
      <c r="L9" s="372" t="s">
        <v>455</v>
      </c>
      <c r="M9" s="372" t="s">
        <v>333</v>
      </c>
      <c r="N9" s="372" t="s">
        <v>334</v>
      </c>
      <c r="O9" s="391" t="s">
        <v>335</v>
      </c>
    </row>
    <row r="10" spans="2:15" s="254" customFormat="1">
      <c r="B10" s="165"/>
      <c r="C10" s="129"/>
      <c r="D10" s="375"/>
      <c r="E10" s="129"/>
      <c r="F10" s="375"/>
      <c r="G10" s="376"/>
      <c r="H10" s="375"/>
      <c r="I10" s="375"/>
      <c r="J10" s="375"/>
      <c r="K10" s="375"/>
      <c r="L10" s="375"/>
      <c r="M10" s="375"/>
      <c r="N10" s="375"/>
      <c r="O10" s="377"/>
    </row>
    <row r="11" spans="2:15" s="254" customFormat="1">
      <c r="B11" s="568" t="s">
        <v>255</v>
      </c>
      <c r="C11" s="571"/>
      <c r="D11" s="375"/>
      <c r="E11" s="129"/>
      <c r="F11" s="375"/>
      <c r="G11" s="376"/>
      <c r="H11" s="375"/>
      <c r="I11" s="375"/>
      <c r="J11" s="375"/>
      <c r="K11" s="375"/>
      <c r="L11" s="375"/>
      <c r="M11" s="375"/>
      <c r="N11" s="375"/>
      <c r="O11" s="377"/>
    </row>
    <row r="12" spans="2:15" s="159" customFormat="1">
      <c r="B12" s="162"/>
      <c r="C12" s="563" t="s">
        <v>222</v>
      </c>
      <c r="D12" s="360">
        <f>'Fuel aggregation'!F12</f>
        <v>0</v>
      </c>
      <c r="E12" s="131" t="e">
        <f>SUM(technical_specs!D65:D66)</f>
        <v>#DIV/0!</v>
      </c>
      <c r="F12" s="378" t="e">
        <f>D12*E12</f>
        <v>#DIV/0!</v>
      </c>
      <c r="G12" s="379"/>
      <c r="H12" s="380"/>
      <c r="I12" s="380" t="e">
        <f>F12*'Cokes eff'!E11</f>
        <v>#DIV/0!</v>
      </c>
      <c r="J12" s="380"/>
      <c r="K12" s="380"/>
      <c r="L12" s="380"/>
      <c r="M12" s="378"/>
      <c r="N12" s="378" t="e">
        <f>F12*'Cokes eff'!D11</f>
        <v>#DIV/0!</v>
      </c>
      <c r="O12" s="381"/>
    </row>
    <row r="13" spans="2:15" s="159" customFormat="1">
      <c r="B13" s="162"/>
      <c r="C13" s="563"/>
      <c r="D13" s="362"/>
      <c r="E13" s="132"/>
      <c r="F13" s="362"/>
      <c r="G13" s="382"/>
      <c r="H13" s="362"/>
      <c r="I13" s="370"/>
      <c r="J13" s="370"/>
      <c r="K13" s="370"/>
      <c r="L13" s="370"/>
      <c r="M13" s="370"/>
      <c r="N13" s="370"/>
      <c r="O13" s="371"/>
    </row>
    <row r="14" spans="2:15" s="159" customFormat="1">
      <c r="B14" s="166" t="s">
        <v>268</v>
      </c>
      <c r="C14" s="565"/>
      <c r="D14" s="384"/>
      <c r="E14" s="167"/>
      <c r="F14" s="384"/>
      <c r="G14" s="385">
        <f t="shared" ref="G14:O14" si="0">SUM(G12:G13)</f>
        <v>0</v>
      </c>
      <c r="H14" s="386">
        <f t="shared" si="0"/>
        <v>0</v>
      </c>
      <c r="I14" s="386" t="e">
        <f t="shared" si="0"/>
        <v>#DIV/0!</v>
      </c>
      <c r="J14" s="386">
        <f t="shared" si="0"/>
        <v>0</v>
      </c>
      <c r="K14" s="386">
        <f t="shared" si="0"/>
        <v>0</v>
      </c>
      <c r="L14" s="386">
        <f t="shared" si="0"/>
        <v>0</v>
      </c>
      <c r="M14" s="386">
        <f t="shared" si="0"/>
        <v>0</v>
      </c>
      <c r="N14" s="386" t="e">
        <f t="shared" si="0"/>
        <v>#DIV/0!</v>
      </c>
      <c r="O14" s="387">
        <f t="shared" si="0"/>
        <v>0</v>
      </c>
    </row>
    <row r="15" spans="2:15" s="159" customFormat="1">
      <c r="B15" s="162"/>
      <c r="C15" s="563"/>
      <c r="D15" s="362"/>
      <c r="E15" s="132"/>
      <c r="F15" s="362"/>
      <c r="G15" s="382"/>
      <c r="H15" s="362"/>
      <c r="I15" s="370"/>
      <c r="J15" s="370"/>
      <c r="K15" s="370"/>
      <c r="L15" s="370"/>
      <c r="M15" s="370"/>
      <c r="N15" s="370"/>
      <c r="O15" s="371"/>
    </row>
    <row r="16" spans="2:15" s="254" customFormat="1">
      <c r="B16" s="568" t="s">
        <v>209</v>
      </c>
      <c r="C16" s="571"/>
      <c r="D16" s="375"/>
      <c r="E16" s="129"/>
      <c r="F16" s="375"/>
      <c r="G16" s="376"/>
      <c r="H16" s="375"/>
      <c r="I16" s="394"/>
      <c r="J16" s="394"/>
      <c r="K16" s="394"/>
      <c r="L16" s="394"/>
      <c r="M16" s="394"/>
      <c r="N16" s="394"/>
      <c r="O16" s="395"/>
    </row>
    <row r="17" spans="2:15" s="159" customFormat="1">
      <c r="B17" s="162"/>
      <c r="C17" s="563" t="s">
        <v>222</v>
      </c>
      <c r="D17" s="360">
        <f>'Fuel aggregation'!F12</f>
        <v>0</v>
      </c>
      <c r="E17" s="231" t="e">
        <f>technical_specs!D68</f>
        <v>#DIV/0!</v>
      </c>
      <c r="F17" s="378" t="e">
        <f>D17*E17</f>
        <v>#DIV/0!</v>
      </c>
      <c r="G17" s="383" t="e">
        <f>-F17*'Cokes eff'!G11</f>
        <v>#DIV/0!</v>
      </c>
      <c r="H17" s="378" t="e">
        <f>F17*'Cokes eff'!H11</f>
        <v>#DIV/0!</v>
      </c>
      <c r="I17" s="380" t="e">
        <f>F17*'Cokes eff'!I11</f>
        <v>#DIV/0!</v>
      </c>
      <c r="J17" s="380"/>
      <c r="K17" s="380"/>
      <c r="L17" s="380"/>
      <c r="M17" s="380"/>
      <c r="N17" s="380"/>
      <c r="O17" s="381"/>
    </row>
    <row r="18" spans="2:15" s="159" customFormat="1">
      <c r="B18" s="162"/>
      <c r="C18" s="563"/>
      <c r="D18" s="362"/>
      <c r="E18" s="132"/>
      <c r="F18" s="362"/>
      <c r="G18" s="382"/>
      <c r="H18" s="362"/>
      <c r="I18" s="370"/>
      <c r="J18" s="370"/>
      <c r="K18" s="370"/>
      <c r="L18" s="370"/>
      <c r="M18" s="370"/>
      <c r="N18" s="370"/>
      <c r="O18" s="371"/>
    </row>
    <row r="19" spans="2:15" s="159" customFormat="1">
      <c r="B19" s="166" t="s">
        <v>269</v>
      </c>
      <c r="C19" s="565"/>
      <c r="D19" s="384"/>
      <c r="E19" s="167"/>
      <c r="F19" s="384"/>
      <c r="G19" s="385" t="e">
        <f t="shared" ref="G19:O19" si="1">SUM(G17:G18)</f>
        <v>#DIV/0!</v>
      </c>
      <c r="H19" s="386" t="e">
        <f t="shared" si="1"/>
        <v>#DIV/0!</v>
      </c>
      <c r="I19" s="386" t="e">
        <f t="shared" si="1"/>
        <v>#DIV/0!</v>
      </c>
      <c r="J19" s="386">
        <f t="shared" si="1"/>
        <v>0</v>
      </c>
      <c r="K19" s="386">
        <f t="shared" si="1"/>
        <v>0</v>
      </c>
      <c r="L19" s="386">
        <f t="shared" si="1"/>
        <v>0</v>
      </c>
      <c r="M19" s="386">
        <f t="shared" si="1"/>
        <v>0</v>
      </c>
      <c r="N19" s="386">
        <f t="shared" si="1"/>
        <v>0</v>
      </c>
      <c r="O19" s="387">
        <f t="shared" si="1"/>
        <v>0</v>
      </c>
    </row>
    <row r="20" spans="2:15" s="159" customFormat="1" ht="16" thickBot="1">
      <c r="B20" s="171"/>
      <c r="C20" s="172"/>
      <c r="D20" s="388"/>
      <c r="E20" s="172"/>
      <c r="F20" s="388"/>
      <c r="G20" s="389"/>
      <c r="H20" s="388"/>
      <c r="I20" s="388"/>
      <c r="J20" s="388"/>
      <c r="K20" s="388"/>
      <c r="L20" s="388"/>
      <c r="M20" s="388"/>
      <c r="N20" s="388"/>
      <c r="O20" s="390"/>
    </row>
    <row r="21" spans="2:15" s="159" customFormat="1">
      <c r="B21" s="148"/>
      <c r="C21" s="148"/>
      <c r="D21" s="148"/>
      <c r="E21" s="148"/>
      <c r="F21" s="148"/>
      <c r="G21" s="148"/>
      <c r="H21" s="148"/>
      <c r="I21" s="148"/>
      <c r="J21" s="148"/>
      <c r="K21" s="148"/>
      <c r="L21" s="148"/>
      <c r="M21" s="148"/>
      <c r="N21" s="148"/>
    </row>
    <row r="22" spans="2:15">
      <c r="B22" s="150"/>
      <c r="C22" s="150"/>
      <c r="D22" s="150"/>
      <c r="E22" s="150"/>
      <c r="F22" s="150"/>
      <c r="G22" s="150"/>
      <c r="H22" s="150"/>
      <c r="I22" s="150"/>
      <c r="J22" s="150"/>
      <c r="K22" s="150"/>
      <c r="L22" s="150"/>
      <c r="M22" s="150"/>
      <c r="N22" s="150"/>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B2:J12"/>
  <sheetViews>
    <sheetView workbookViewId="0"/>
  </sheetViews>
  <sheetFormatPr baseColWidth="10" defaultRowHeight="15" x14ac:dyDescent="0"/>
  <cols>
    <col min="1" max="1" width="10.83203125" style="92"/>
    <col min="2" max="3" width="15.83203125" style="92" customWidth="1"/>
    <col min="4" max="10" width="18.83203125" style="92" customWidth="1"/>
    <col min="11" max="16384" width="10.83203125" style="92"/>
  </cols>
  <sheetData>
    <row r="2" spans="2:10" ht="20">
      <c r="B2" s="91" t="s">
        <v>270</v>
      </c>
      <c r="C2" s="111"/>
      <c r="D2" s="111"/>
      <c r="E2" s="111"/>
      <c r="F2" s="111"/>
    </row>
    <row r="3" spans="2:10">
      <c r="C3" s="111"/>
      <c r="D3" s="111"/>
      <c r="E3" s="111"/>
      <c r="F3" s="111"/>
    </row>
    <row r="4" spans="2:10">
      <c r="B4" s="51" t="s">
        <v>83</v>
      </c>
      <c r="C4" s="113"/>
      <c r="D4" s="113"/>
      <c r="E4" s="113"/>
      <c r="F4" s="136"/>
    </row>
    <row r="5" spans="2:10" ht="45" customHeight="1">
      <c r="B5" s="686" t="s">
        <v>496</v>
      </c>
      <c r="C5" s="687"/>
      <c r="D5" s="687"/>
      <c r="E5" s="687"/>
      <c r="F5" s="688"/>
    </row>
    <row r="6" spans="2:10" ht="16" thickBot="1"/>
    <row r="7" spans="2:10">
      <c r="B7" s="229" t="s">
        <v>499</v>
      </c>
      <c r="C7" s="523"/>
      <c r="D7" s="124"/>
      <c r="E7" s="124"/>
      <c r="F7" s="124"/>
      <c r="G7" s="137"/>
      <c r="H7" s="137"/>
      <c r="I7" s="137"/>
      <c r="J7" s="138"/>
    </row>
    <row r="8" spans="2:10">
      <c r="B8" s="112"/>
      <c r="C8" s="524"/>
      <c r="D8" s="125" t="s">
        <v>530</v>
      </c>
      <c r="E8" s="125"/>
      <c r="F8" s="126" t="s">
        <v>529</v>
      </c>
      <c r="G8" s="139" t="s">
        <v>528</v>
      </c>
      <c r="H8" s="139" t="s">
        <v>527</v>
      </c>
      <c r="I8" s="140"/>
      <c r="J8" s="141"/>
    </row>
    <row r="9" spans="2:10">
      <c r="B9" s="522"/>
      <c r="C9" s="525"/>
      <c r="D9" s="536" t="s">
        <v>103</v>
      </c>
      <c r="E9" s="536" t="s">
        <v>207</v>
      </c>
      <c r="F9" s="537" t="s">
        <v>257</v>
      </c>
      <c r="G9" s="538" t="s">
        <v>194</v>
      </c>
      <c r="H9" s="538" t="s">
        <v>206</v>
      </c>
      <c r="I9" s="521" t="s">
        <v>207</v>
      </c>
      <c r="J9" s="539" t="s">
        <v>257</v>
      </c>
    </row>
    <row r="10" spans="2:10">
      <c r="B10" s="42" t="s">
        <v>206</v>
      </c>
      <c r="C10" s="513"/>
      <c r="D10" s="129"/>
      <c r="E10" s="129"/>
      <c r="F10" s="130"/>
      <c r="G10" s="130"/>
      <c r="H10" s="130"/>
      <c r="I10" s="129"/>
      <c r="J10" s="145"/>
    </row>
    <row r="11" spans="2:10">
      <c r="B11" s="535"/>
      <c r="C11" s="516" t="s">
        <v>222</v>
      </c>
      <c r="D11" s="259" t="e">
        <f>technical_specs!D66/(technical_specs!D65+technical_specs!D66)</f>
        <v>#DIV/0!</v>
      </c>
      <c r="E11" s="259" t="e">
        <f>technical_specs!D65/(technical_specs!D65+technical_specs!D66)</f>
        <v>#DIV/0!</v>
      </c>
      <c r="F11" s="260">
        <v>1</v>
      </c>
      <c r="G11" s="287" t="e">
        <f>technical_specs!D68/technical_specs!D68</f>
        <v>#DIV/0!</v>
      </c>
      <c r="H11" s="287" t="e">
        <f>technical_specs!D69/technical_specs!D68</f>
        <v>#DIV/0!</v>
      </c>
      <c r="I11" s="288" t="e">
        <f>technical_specs!D70/technical_specs!D68</f>
        <v>#DIV/0!</v>
      </c>
      <c r="J11" s="289" t="e">
        <f>1-H11-I11</f>
        <v>#DIV/0!</v>
      </c>
    </row>
    <row r="12" spans="2:10" ht="16" thickBot="1">
      <c r="B12" s="114"/>
      <c r="C12" s="526"/>
      <c r="D12" s="134"/>
      <c r="E12" s="134"/>
      <c r="F12" s="135"/>
      <c r="G12" s="135"/>
      <c r="H12" s="135"/>
      <c r="I12" s="134"/>
      <c r="J12" s="149"/>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A2:G61"/>
  <sheetViews>
    <sheetView workbookViewId="0"/>
  </sheetViews>
  <sheetFormatPr baseColWidth="10" defaultRowHeight="15" x14ac:dyDescent="0"/>
  <cols>
    <col min="1" max="1" width="10.83203125" style="1"/>
    <col min="2" max="2" width="48.83203125" style="1" bestFit="1" customWidth="1"/>
    <col min="3" max="3" width="2.83203125" style="306" customWidth="1"/>
    <col min="4" max="4" width="13.33203125" style="1" customWidth="1"/>
    <col min="5" max="5" width="13.33203125" style="106" customWidth="1"/>
    <col min="6" max="6" width="13.33203125" style="1" customWidth="1"/>
    <col min="7" max="16384" width="10.83203125" style="1"/>
  </cols>
  <sheetData>
    <row r="2" spans="1:7" ht="20">
      <c r="B2" s="2" t="s">
        <v>443</v>
      </c>
    </row>
    <row r="4" spans="1:7">
      <c r="B4" s="3" t="s">
        <v>83</v>
      </c>
      <c r="C4" s="322"/>
      <c r="D4" s="4"/>
      <c r="E4" s="321"/>
    </row>
    <row r="5" spans="1:7" ht="90" customHeight="1">
      <c r="B5" s="668" t="s">
        <v>442</v>
      </c>
      <c r="C5" s="673"/>
      <c r="D5" s="673"/>
      <c r="E5" s="669"/>
    </row>
    <row r="6" spans="1:7" ht="16" customHeight="1">
      <c r="B6" s="320"/>
      <c r="C6" s="320"/>
      <c r="D6" s="320"/>
      <c r="E6" s="320"/>
    </row>
    <row r="7" spans="1:7" ht="152" customHeight="1">
      <c r="B7" s="320"/>
      <c r="C7" s="320"/>
      <c r="D7" s="320"/>
      <c r="E7" s="320"/>
    </row>
    <row r="8" spans="1:7" ht="16" customHeight="1" thickBot="1">
      <c r="B8" s="320"/>
      <c r="C8" s="320"/>
      <c r="D8" s="320"/>
      <c r="E8" s="320"/>
    </row>
    <row r="9" spans="1:7">
      <c r="A9" s="8"/>
      <c r="B9" s="25" t="s">
        <v>502</v>
      </c>
      <c r="C9" s="45"/>
      <c r="D9" s="396"/>
      <c r="E9" s="27"/>
      <c r="F9" s="307"/>
      <c r="G9" s="8"/>
    </row>
    <row r="10" spans="1:7">
      <c r="A10" s="8"/>
      <c r="B10" s="28"/>
      <c r="C10" s="8"/>
      <c r="D10" s="402"/>
      <c r="E10" s="29"/>
      <c r="F10" s="307"/>
      <c r="G10" s="8"/>
    </row>
    <row r="11" spans="1:7">
      <c r="A11" s="8"/>
      <c r="B11" s="38"/>
      <c r="C11" s="10"/>
      <c r="D11" s="403"/>
      <c r="E11" s="237"/>
      <c r="F11" s="307"/>
      <c r="G11" s="8"/>
    </row>
    <row r="12" spans="1:7">
      <c r="A12" s="8"/>
      <c r="B12" s="316"/>
      <c r="C12" s="310"/>
      <c r="D12" s="404"/>
      <c r="E12" s="314"/>
      <c r="F12" s="307"/>
      <c r="G12" s="8"/>
    </row>
    <row r="13" spans="1:7">
      <c r="A13" s="8"/>
      <c r="B13" s="572" t="s">
        <v>441</v>
      </c>
      <c r="C13" s="317"/>
      <c r="D13" s="573" t="s">
        <v>332</v>
      </c>
      <c r="E13" s="314"/>
      <c r="F13" s="307"/>
      <c r="G13" s="8"/>
    </row>
    <row r="14" spans="1:7">
      <c r="A14" s="8"/>
      <c r="B14" s="579" t="s">
        <v>459</v>
      </c>
      <c r="C14" s="310"/>
      <c r="D14" s="405">
        <f>'Fuel aggregation'!G11</f>
        <v>0</v>
      </c>
      <c r="E14" s="314"/>
      <c r="F14" s="307"/>
      <c r="G14" s="8"/>
    </row>
    <row r="15" spans="1:7">
      <c r="A15" s="8"/>
      <c r="B15" s="580" t="s">
        <v>127</v>
      </c>
      <c r="C15" s="317" t="s">
        <v>340</v>
      </c>
      <c r="D15" s="406">
        <f>'Fuel aggregation'!G12</f>
        <v>0</v>
      </c>
      <c r="E15" s="314"/>
      <c r="F15" s="307"/>
      <c r="G15" s="8"/>
    </row>
    <row r="16" spans="1:7">
      <c r="A16" s="8"/>
      <c r="B16" s="313" t="s">
        <v>436</v>
      </c>
      <c r="C16" s="310"/>
      <c r="D16" s="407">
        <f>D14+D15</f>
        <v>0</v>
      </c>
      <c r="E16" s="314"/>
      <c r="F16" s="319"/>
      <c r="G16" s="8"/>
    </row>
    <row r="17" spans="1:7">
      <c r="A17" s="8"/>
      <c r="B17" s="313"/>
      <c r="C17" s="310"/>
      <c r="D17" s="408"/>
      <c r="E17" s="314"/>
      <c r="F17" s="319"/>
      <c r="G17" s="8"/>
    </row>
    <row r="18" spans="1:7">
      <c r="A18" s="8"/>
      <c r="B18" s="313"/>
      <c r="C18" s="310"/>
      <c r="D18" s="408"/>
      <c r="E18" s="314"/>
      <c r="F18" s="319"/>
      <c r="G18" s="8"/>
    </row>
    <row r="19" spans="1:7">
      <c r="A19" s="8"/>
      <c r="B19" s="572" t="s">
        <v>440</v>
      </c>
      <c r="C19" s="317"/>
      <c r="D19" s="573" t="s">
        <v>332</v>
      </c>
      <c r="E19" s="314"/>
      <c r="F19" s="319"/>
      <c r="G19" s="8"/>
    </row>
    <row r="20" spans="1:7">
      <c r="A20" s="8"/>
      <c r="B20" s="315" t="s">
        <v>253</v>
      </c>
      <c r="C20" s="310"/>
      <c r="D20" s="408"/>
      <c r="E20" s="314"/>
      <c r="F20" s="319"/>
      <c r="G20" s="8"/>
    </row>
    <row r="21" spans="1:7">
      <c r="A21" s="8"/>
      <c r="B21" s="313" t="s">
        <v>432</v>
      </c>
      <c r="C21" s="310"/>
      <c r="D21" s="409" t="e">
        <f>'Cokes demand'!I19</f>
        <v>#DIV/0!</v>
      </c>
      <c r="E21" s="314"/>
      <c r="F21" s="319"/>
      <c r="G21" s="8"/>
    </row>
    <row r="22" spans="1:7">
      <c r="A22" s="8"/>
      <c r="B22" s="313" t="s">
        <v>431</v>
      </c>
      <c r="C22" s="310"/>
      <c r="D22" s="409" t="e">
        <f>'Steel and alu demand'!I24</f>
        <v>#DIV/0!</v>
      </c>
      <c r="E22" s="314"/>
      <c r="F22" s="319"/>
      <c r="G22" s="8"/>
    </row>
    <row r="23" spans="1:7">
      <c r="A23" s="8"/>
      <c r="B23" s="313" t="s">
        <v>430</v>
      </c>
      <c r="C23" s="310"/>
      <c r="D23" s="409" t="e">
        <f>'Steel and alu demand'!I25</f>
        <v>#DIV/0!</v>
      </c>
      <c r="E23" s="314"/>
      <c r="F23" s="319"/>
      <c r="G23" s="8"/>
    </row>
    <row r="24" spans="1:7">
      <c r="A24" s="8"/>
      <c r="B24" s="313" t="s">
        <v>429</v>
      </c>
      <c r="C24" s="310"/>
      <c r="D24" s="410" t="s">
        <v>439</v>
      </c>
      <c r="E24" s="314"/>
      <c r="F24" s="319"/>
      <c r="G24" s="8"/>
    </row>
    <row r="25" spans="1:7">
      <c r="A25" s="8"/>
      <c r="B25" s="313"/>
      <c r="C25" s="310"/>
      <c r="D25" s="408"/>
      <c r="E25" s="314"/>
      <c r="F25" s="319"/>
      <c r="G25" s="8"/>
    </row>
    <row r="26" spans="1:7">
      <c r="A26" s="8"/>
      <c r="B26" s="315" t="s">
        <v>254</v>
      </c>
      <c r="C26" s="310"/>
      <c r="D26" s="408"/>
      <c r="E26" s="314"/>
      <c r="F26" s="319"/>
      <c r="G26" s="8"/>
    </row>
    <row r="27" spans="1:7">
      <c r="A27" s="8"/>
      <c r="B27" s="313" t="s">
        <v>427</v>
      </c>
      <c r="C27" s="310"/>
      <c r="D27" s="405" t="e">
        <f>SUM('Final demand'!E19:E21)</f>
        <v>#DIV/0!</v>
      </c>
      <c r="E27" s="314"/>
      <c r="F27" s="319"/>
      <c r="G27" s="8"/>
    </row>
    <row r="28" spans="1:7">
      <c r="A28" s="8"/>
      <c r="B28" s="313" t="s">
        <v>426</v>
      </c>
      <c r="C28" s="310"/>
      <c r="D28" s="405" t="e">
        <f>'Cokes demand'!I14</f>
        <v>#DIV/0!</v>
      </c>
      <c r="E28" s="314"/>
      <c r="F28" s="319"/>
      <c r="G28" s="8"/>
    </row>
    <row r="29" spans="1:7">
      <c r="A29" s="8"/>
      <c r="B29" s="313" t="s">
        <v>425</v>
      </c>
      <c r="C29" s="310"/>
      <c r="D29" s="410" t="s">
        <v>439</v>
      </c>
      <c r="E29" s="314"/>
      <c r="F29" s="319"/>
      <c r="G29" s="8"/>
    </row>
    <row r="30" spans="1:7">
      <c r="A30" s="8"/>
      <c r="B30" s="313"/>
      <c r="C30" s="310"/>
      <c r="D30" s="408"/>
      <c r="E30" s="314"/>
      <c r="F30" s="319"/>
      <c r="G30" s="8"/>
    </row>
    <row r="31" spans="1:7">
      <c r="A31" s="8"/>
      <c r="B31" s="313"/>
      <c r="C31" s="310"/>
      <c r="D31" s="408"/>
      <c r="E31" s="314"/>
      <c r="F31" s="319"/>
      <c r="G31" s="8"/>
    </row>
    <row r="32" spans="1:7">
      <c r="A32" s="8"/>
      <c r="B32" s="572" t="s">
        <v>438</v>
      </c>
      <c r="C32" s="317"/>
      <c r="D32" s="573" t="s">
        <v>332</v>
      </c>
      <c r="E32" s="314"/>
      <c r="F32" s="307"/>
      <c r="G32" s="8"/>
    </row>
    <row r="33" spans="1:7">
      <c r="A33" s="8"/>
      <c r="B33" s="313" t="s">
        <v>436</v>
      </c>
      <c r="C33" s="310"/>
      <c r="D33" s="405">
        <f>D16</f>
        <v>0</v>
      </c>
      <c r="E33" s="314"/>
      <c r="F33" s="307"/>
      <c r="G33" s="8"/>
    </row>
    <row r="34" spans="1:7">
      <c r="A34" s="8"/>
      <c r="B34" s="313" t="s">
        <v>432</v>
      </c>
      <c r="C34" s="310"/>
      <c r="D34" s="405" t="e">
        <f>D21</f>
        <v>#DIV/0!</v>
      </c>
      <c r="E34" s="314"/>
      <c r="F34" s="307"/>
      <c r="G34" s="8"/>
    </row>
    <row r="35" spans="1:7">
      <c r="A35" s="8"/>
      <c r="B35" s="313" t="s">
        <v>431</v>
      </c>
      <c r="C35" s="310"/>
      <c r="D35" s="405" t="e">
        <f>D22</f>
        <v>#DIV/0!</v>
      </c>
      <c r="E35" s="314"/>
      <c r="F35" s="307"/>
      <c r="G35" s="8"/>
    </row>
    <row r="36" spans="1:7">
      <c r="A36" s="8"/>
      <c r="B36" s="318" t="s">
        <v>430</v>
      </c>
      <c r="C36" s="317" t="s">
        <v>339</v>
      </c>
      <c r="D36" s="406" t="e">
        <f>D23</f>
        <v>#DIV/0!</v>
      </c>
      <c r="E36" s="314"/>
      <c r="F36" s="307"/>
      <c r="G36" s="8"/>
    </row>
    <row r="37" spans="1:7">
      <c r="A37" s="8"/>
      <c r="B37" s="313" t="s">
        <v>429</v>
      </c>
      <c r="C37" s="310"/>
      <c r="D37" s="407" t="e">
        <f>D33-D34-D35-D36</f>
        <v>#DIV/0!</v>
      </c>
      <c r="E37" s="314"/>
      <c r="F37" s="307"/>
      <c r="G37" s="8"/>
    </row>
    <row r="38" spans="1:7">
      <c r="A38" s="8"/>
      <c r="B38" s="313"/>
      <c r="C38" s="310"/>
      <c r="D38" s="411"/>
      <c r="E38" s="314"/>
      <c r="F38" s="307"/>
      <c r="G38" s="8"/>
    </row>
    <row r="39" spans="1:7">
      <c r="A39" s="8"/>
      <c r="B39" s="572" t="s">
        <v>437</v>
      </c>
      <c r="C39" s="317"/>
      <c r="D39" s="573" t="s">
        <v>332</v>
      </c>
      <c r="E39" s="314"/>
      <c r="F39" s="307"/>
      <c r="G39" s="8"/>
    </row>
    <row r="40" spans="1:7">
      <c r="A40" s="8"/>
      <c r="B40" s="313" t="s">
        <v>436</v>
      </c>
      <c r="C40" s="310"/>
      <c r="D40" s="405">
        <f>D16</f>
        <v>0</v>
      </c>
      <c r="E40" s="314"/>
      <c r="F40" s="307"/>
      <c r="G40" s="8"/>
    </row>
    <row r="41" spans="1:7">
      <c r="A41" s="8"/>
      <c r="B41" s="313" t="s">
        <v>427</v>
      </c>
      <c r="C41" s="310"/>
      <c r="D41" s="405" t="e">
        <f>D27</f>
        <v>#DIV/0!</v>
      </c>
      <c r="E41" s="314"/>
      <c r="F41" s="307"/>
      <c r="G41" s="8"/>
    </row>
    <row r="42" spans="1:7">
      <c r="A42" s="8"/>
      <c r="B42" s="318" t="s">
        <v>426</v>
      </c>
      <c r="C42" s="317" t="s">
        <v>339</v>
      </c>
      <c r="D42" s="406" t="e">
        <f>D28</f>
        <v>#DIV/0!</v>
      </c>
      <c r="E42" s="314"/>
      <c r="F42" s="307"/>
      <c r="G42" s="8"/>
    </row>
    <row r="43" spans="1:7">
      <c r="A43" s="8"/>
      <c r="B43" s="313" t="s">
        <v>425</v>
      </c>
      <c r="C43" s="310"/>
      <c r="D43" s="407" t="e">
        <f>D40-D41-D42</f>
        <v>#DIV/0!</v>
      </c>
      <c r="E43" s="314"/>
      <c r="F43" s="307"/>
      <c r="G43" s="8"/>
    </row>
    <row r="44" spans="1:7">
      <c r="A44" s="8"/>
      <c r="B44" s="313"/>
      <c r="C44" s="310"/>
      <c r="D44" s="411"/>
      <c r="E44" s="314"/>
      <c r="F44" s="307"/>
      <c r="G44" s="8"/>
    </row>
    <row r="45" spans="1:7">
      <c r="A45" s="8"/>
      <c r="B45" s="313"/>
      <c r="C45" s="310"/>
      <c r="D45" s="411"/>
      <c r="E45" s="314"/>
      <c r="F45" s="307"/>
      <c r="G45" s="8"/>
    </row>
    <row r="46" spans="1:7">
      <c r="A46" s="8"/>
      <c r="B46" s="572" t="s">
        <v>435</v>
      </c>
      <c r="C46" s="317"/>
      <c r="D46" s="573" t="s">
        <v>332</v>
      </c>
      <c r="E46" s="574" t="s">
        <v>434</v>
      </c>
      <c r="F46" s="307"/>
      <c r="G46" s="8"/>
    </row>
    <row r="47" spans="1:7">
      <c r="A47" s="8"/>
      <c r="B47" s="315" t="s">
        <v>433</v>
      </c>
      <c r="C47" s="310"/>
      <c r="D47" s="411"/>
      <c r="E47" s="314"/>
      <c r="F47" s="307"/>
      <c r="G47" s="8"/>
    </row>
    <row r="48" spans="1:7">
      <c r="A48" s="8"/>
      <c r="B48" s="313" t="s">
        <v>432</v>
      </c>
      <c r="C48" s="310"/>
      <c r="D48" s="407" t="e">
        <f>D21</f>
        <v>#DIV/0!</v>
      </c>
      <c r="E48" s="356" t="e">
        <f>D48/SUM($D$48:$D$50)</f>
        <v>#DIV/0!</v>
      </c>
      <c r="F48" s="307"/>
      <c r="G48" s="8"/>
    </row>
    <row r="49" spans="1:7">
      <c r="A49" s="8"/>
      <c r="B49" s="313" t="s">
        <v>431</v>
      </c>
      <c r="C49" s="310"/>
      <c r="D49" s="407" t="e">
        <f>D22</f>
        <v>#DIV/0!</v>
      </c>
      <c r="E49" s="356" t="e">
        <f>D49/SUM($D$48:$D$50)</f>
        <v>#DIV/0!</v>
      </c>
      <c r="F49" s="307"/>
      <c r="G49" s="8"/>
    </row>
    <row r="50" spans="1:7">
      <c r="A50" s="8"/>
      <c r="B50" s="313" t="s">
        <v>430</v>
      </c>
      <c r="C50" s="310"/>
      <c r="D50" s="407" t="e">
        <f>D23</f>
        <v>#DIV/0!</v>
      </c>
      <c r="E50" s="356" t="e">
        <f>D50/SUM($D$48:$D$50)</f>
        <v>#DIV/0!</v>
      </c>
      <c r="F50" s="307"/>
      <c r="G50" s="8"/>
    </row>
    <row r="51" spans="1:7">
      <c r="A51" s="8"/>
      <c r="B51" s="313" t="s">
        <v>429</v>
      </c>
      <c r="C51" s="310"/>
      <c r="D51" s="407" t="e">
        <f>D37</f>
        <v>#DIV/0!</v>
      </c>
      <c r="E51" s="356" t="e">
        <f>D51/SUM($D$48:$D$50)</f>
        <v>#DIV/0!</v>
      </c>
      <c r="F51" s="307"/>
      <c r="G51" s="8"/>
    </row>
    <row r="52" spans="1:7">
      <c r="A52" s="8"/>
      <c r="B52" s="313"/>
      <c r="C52" s="310"/>
      <c r="D52" s="411"/>
      <c r="E52" s="355"/>
      <c r="F52" s="307"/>
      <c r="G52" s="8"/>
    </row>
    <row r="53" spans="1:7">
      <c r="A53" s="8"/>
      <c r="B53" s="315" t="s">
        <v>428</v>
      </c>
      <c r="C53" s="310"/>
      <c r="D53" s="411"/>
      <c r="E53" s="355"/>
      <c r="F53" s="307"/>
      <c r="G53" s="8"/>
    </row>
    <row r="54" spans="1:7">
      <c r="A54" s="8"/>
      <c r="B54" s="313" t="s">
        <v>427</v>
      </c>
      <c r="C54" s="310"/>
      <c r="D54" s="407" t="e">
        <f>D27</f>
        <v>#DIV/0!</v>
      </c>
      <c r="E54" s="356" t="e">
        <f>D54/SUM($D$54:$D$56)</f>
        <v>#DIV/0!</v>
      </c>
      <c r="F54" s="308"/>
      <c r="G54" s="8"/>
    </row>
    <row r="55" spans="1:7">
      <c r="A55" s="8"/>
      <c r="B55" s="313" t="s">
        <v>426</v>
      </c>
      <c r="C55" s="310"/>
      <c r="D55" s="407" t="e">
        <f>D28</f>
        <v>#DIV/0!</v>
      </c>
      <c r="E55" s="356" t="e">
        <f>D55/SUM($D$54:$D$56)</f>
        <v>#DIV/0!</v>
      </c>
      <c r="F55" s="308"/>
      <c r="G55" s="8"/>
    </row>
    <row r="56" spans="1:7" ht="16" thickBot="1">
      <c r="A56" s="8"/>
      <c r="B56" s="312" t="s">
        <v>425</v>
      </c>
      <c r="C56" s="311"/>
      <c r="D56" s="412" t="e">
        <f>D43</f>
        <v>#DIV/0!</v>
      </c>
      <c r="E56" s="357" t="e">
        <f>D56/SUM($D$54:$D$56)</f>
        <v>#DIV/0!</v>
      </c>
      <c r="F56" s="308"/>
      <c r="G56" s="8"/>
    </row>
    <row r="57" spans="1:7">
      <c r="A57" s="8"/>
      <c r="B57" s="308"/>
      <c r="C57" s="310"/>
      <c r="D57" s="309"/>
      <c r="E57" s="308"/>
      <c r="F57" s="308"/>
      <c r="G57" s="8"/>
    </row>
    <row r="58" spans="1:7">
      <c r="A58" s="8"/>
      <c r="B58" s="308"/>
      <c r="C58" s="310"/>
      <c r="D58" s="309"/>
      <c r="E58" s="308"/>
      <c r="F58" s="307"/>
      <c r="G58" s="8"/>
    </row>
    <row r="59" spans="1:7">
      <c r="A59" s="8"/>
      <c r="B59" s="8"/>
      <c r="C59" s="8"/>
      <c r="D59" s="252"/>
      <c r="E59" s="8"/>
      <c r="F59" s="307"/>
      <c r="G59" s="8"/>
    </row>
    <row r="60" spans="1:7">
      <c r="C60" s="1"/>
      <c r="D60" s="306"/>
      <c r="E60" s="1"/>
      <c r="F60" s="106"/>
    </row>
    <row r="61" spans="1:7">
      <c r="C61" s="1"/>
      <c r="D61" s="306"/>
      <c r="E61" s="1"/>
      <c r="F61" s="106"/>
    </row>
  </sheetData>
  <mergeCells count="1">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5"/>
  <sheetViews>
    <sheetView workbookViewId="0"/>
  </sheetViews>
  <sheetFormatPr baseColWidth="10" defaultRowHeight="15" x14ac:dyDescent="0"/>
  <cols>
    <col min="1" max="1" width="10.83203125" style="1"/>
    <col min="2" max="2" width="17.6640625" style="1" bestFit="1" customWidth="1"/>
    <col min="3" max="3" width="47.33203125" style="1" bestFit="1" customWidth="1"/>
    <col min="4" max="4" width="9.33203125" style="106" customWidth="1"/>
    <col min="5" max="16384" width="10.83203125" style="1"/>
  </cols>
  <sheetData>
    <row r="2" spans="2:4" ht="20">
      <c r="B2" s="2" t="s">
        <v>0</v>
      </c>
    </row>
    <row r="4" spans="2:4">
      <c r="B4" s="12" t="s">
        <v>3</v>
      </c>
      <c r="C4" s="13" t="s">
        <v>6</v>
      </c>
      <c r="D4" s="326" t="s">
        <v>7</v>
      </c>
    </row>
    <row r="5" spans="2:4">
      <c r="B5" s="6"/>
      <c r="C5" s="14"/>
      <c r="D5" s="327"/>
    </row>
    <row r="6" spans="2:4">
      <c r="B6" s="87">
        <v>41470</v>
      </c>
      <c r="C6" s="212" t="s">
        <v>251</v>
      </c>
      <c r="D6" s="213">
        <v>1</v>
      </c>
    </row>
    <row r="7" spans="2:4">
      <c r="B7" s="214">
        <v>41470</v>
      </c>
      <c r="C7" s="215" t="s">
        <v>252</v>
      </c>
      <c r="D7" s="242">
        <v>1.01</v>
      </c>
    </row>
    <row r="8" spans="2:4">
      <c r="B8" s="214">
        <v>41471</v>
      </c>
      <c r="C8" s="215" t="s">
        <v>291</v>
      </c>
      <c r="D8" s="242">
        <v>1.02</v>
      </c>
    </row>
    <row r="9" spans="2:4">
      <c r="B9" s="214">
        <v>41472</v>
      </c>
      <c r="C9" s="215" t="s">
        <v>292</v>
      </c>
      <c r="D9" s="242">
        <v>1.03</v>
      </c>
    </row>
    <row r="10" spans="2:4">
      <c r="B10" s="214">
        <v>41473</v>
      </c>
      <c r="C10" s="215" t="s">
        <v>292</v>
      </c>
      <c r="D10" s="242">
        <v>1.04</v>
      </c>
    </row>
    <row r="11" spans="2:4" ht="45">
      <c r="B11" s="214">
        <v>41478</v>
      </c>
      <c r="C11" s="216" t="s">
        <v>300</v>
      </c>
      <c r="D11" s="242">
        <v>1.05</v>
      </c>
    </row>
    <row r="12" spans="2:4" ht="30">
      <c r="B12" s="214">
        <v>41479</v>
      </c>
      <c r="C12" s="224" t="s">
        <v>322</v>
      </c>
      <c r="D12" s="242">
        <v>1.06</v>
      </c>
    </row>
    <row r="13" spans="2:4" ht="90">
      <c r="B13" s="214">
        <v>41479</v>
      </c>
      <c r="C13" s="216" t="s">
        <v>327</v>
      </c>
      <c r="D13" s="242">
        <v>1.07</v>
      </c>
    </row>
    <row r="14" spans="2:4">
      <c r="B14" s="214">
        <v>41479</v>
      </c>
      <c r="C14" s="215" t="s">
        <v>328</v>
      </c>
      <c r="D14" s="242">
        <v>1.08</v>
      </c>
    </row>
    <row r="15" spans="2:4" ht="30">
      <c r="B15" s="214">
        <v>41479</v>
      </c>
      <c r="C15" s="216" t="s">
        <v>346</v>
      </c>
      <c r="D15" s="242">
        <v>1.0900000000000001</v>
      </c>
    </row>
    <row r="16" spans="2:4" ht="30">
      <c r="B16" s="214">
        <v>41480</v>
      </c>
      <c r="C16" s="216" t="s">
        <v>354</v>
      </c>
      <c r="D16" s="242">
        <v>1.1000000000000001</v>
      </c>
    </row>
    <row r="17" spans="2:4" ht="30">
      <c r="B17" s="214">
        <v>41480</v>
      </c>
      <c r="C17" s="216" t="s">
        <v>355</v>
      </c>
      <c r="D17" s="242">
        <v>1.1100000000000001</v>
      </c>
    </row>
    <row r="18" spans="2:4">
      <c r="B18" s="214">
        <v>41480</v>
      </c>
      <c r="C18" s="215" t="s">
        <v>393</v>
      </c>
      <c r="D18" s="242">
        <v>1.1200000000000001</v>
      </c>
    </row>
    <row r="19" spans="2:4">
      <c r="B19" s="214">
        <v>41480</v>
      </c>
      <c r="C19" s="215" t="s">
        <v>391</v>
      </c>
      <c r="D19" s="242">
        <v>1.1299999999999999</v>
      </c>
    </row>
    <row r="20" spans="2:4">
      <c r="B20" s="214">
        <v>41480</v>
      </c>
      <c r="C20" s="215" t="s">
        <v>392</v>
      </c>
      <c r="D20" s="242">
        <v>1.1399999999999999</v>
      </c>
    </row>
    <row r="21" spans="2:4" ht="30">
      <c r="B21" s="214">
        <v>41481</v>
      </c>
      <c r="C21" s="216" t="s">
        <v>411</v>
      </c>
      <c r="D21" s="242">
        <v>1.1499999999999999</v>
      </c>
    </row>
    <row r="22" spans="2:4">
      <c r="B22" s="214">
        <v>41484</v>
      </c>
      <c r="C22" s="215" t="s">
        <v>418</v>
      </c>
      <c r="D22" s="242">
        <v>1.1599999999999999</v>
      </c>
    </row>
    <row r="23" spans="2:4" ht="45">
      <c r="B23" s="214">
        <v>41484</v>
      </c>
      <c r="C23" s="216" t="s">
        <v>424</v>
      </c>
      <c r="D23" s="242">
        <v>1.17</v>
      </c>
    </row>
    <row r="24" spans="2:4">
      <c r="B24" s="214">
        <v>41484</v>
      </c>
      <c r="C24" s="216" t="s">
        <v>450</v>
      </c>
      <c r="D24" s="242">
        <v>1.18</v>
      </c>
    </row>
    <row r="25" spans="2:4" ht="30">
      <c r="B25" s="214">
        <v>41484</v>
      </c>
      <c r="C25" s="216" t="s">
        <v>451</v>
      </c>
      <c r="D25" s="242">
        <v>1.19</v>
      </c>
    </row>
    <row r="26" spans="2:4">
      <c r="B26" s="214">
        <v>41484</v>
      </c>
      <c r="C26" s="216" t="s">
        <v>457</v>
      </c>
      <c r="D26" s="242">
        <v>1.2</v>
      </c>
    </row>
    <row r="27" spans="2:4" ht="30">
      <c r="B27" s="214">
        <v>41485</v>
      </c>
      <c r="C27" s="216" t="s">
        <v>458</v>
      </c>
      <c r="D27" s="242">
        <v>1.21</v>
      </c>
    </row>
    <row r="28" spans="2:4" ht="30">
      <c r="B28" s="214">
        <v>41485</v>
      </c>
      <c r="C28" s="216" t="s">
        <v>460</v>
      </c>
      <c r="D28" s="242">
        <v>1.22</v>
      </c>
    </row>
    <row r="29" spans="2:4" ht="45">
      <c r="B29" s="214">
        <v>41485</v>
      </c>
      <c r="C29" s="216" t="s">
        <v>463</v>
      </c>
      <c r="D29" s="242">
        <v>1.23</v>
      </c>
    </row>
    <row r="30" spans="2:4">
      <c r="B30" s="214">
        <v>41486</v>
      </c>
      <c r="C30" s="216" t="s">
        <v>468</v>
      </c>
      <c r="D30" s="242">
        <v>1.24</v>
      </c>
    </row>
    <row r="31" spans="2:4">
      <c r="B31" s="214">
        <v>41487</v>
      </c>
      <c r="C31" s="216" t="s">
        <v>469</v>
      </c>
      <c r="D31" s="242">
        <v>1.25</v>
      </c>
    </row>
    <row r="32" spans="2:4">
      <c r="B32" s="214">
        <v>41487</v>
      </c>
      <c r="C32" s="216" t="s">
        <v>479</v>
      </c>
      <c r="D32" s="242">
        <v>1.26</v>
      </c>
    </row>
    <row r="33" spans="2:4" ht="45">
      <c r="B33" s="214">
        <v>41488</v>
      </c>
      <c r="C33" s="216" t="s">
        <v>484</v>
      </c>
      <c r="D33" s="242">
        <v>1.27</v>
      </c>
    </row>
    <row r="34" spans="2:4">
      <c r="B34" s="214">
        <v>41488</v>
      </c>
      <c r="C34" s="216" t="s">
        <v>485</v>
      </c>
      <c r="D34" s="242">
        <v>1.28</v>
      </c>
    </row>
    <row r="35" spans="2:4">
      <c r="B35" s="214">
        <v>41491</v>
      </c>
      <c r="C35" s="216" t="s">
        <v>504</v>
      </c>
      <c r="D35" s="242">
        <v>1.29</v>
      </c>
    </row>
    <row r="36" spans="2:4">
      <c r="B36" s="214">
        <v>41492</v>
      </c>
      <c r="C36" s="216" t="s">
        <v>506</v>
      </c>
      <c r="D36" s="242">
        <v>1.3</v>
      </c>
    </row>
    <row r="37" spans="2:4">
      <c r="B37" s="214">
        <v>41494</v>
      </c>
      <c r="C37" s="216" t="s">
        <v>548</v>
      </c>
      <c r="D37" s="242">
        <v>1.31</v>
      </c>
    </row>
    <row r="38" spans="2:4">
      <c r="B38" s="214">
        <v>41500</v>
      </c>
      <c r="C38" s="216" t="s">
        <v>552</v>
      </c>
      <c r="D38" s="242">
        <v>1.32</v>
      </c>
    </row>
    <row r="39" spans="2:4" ht="60">
      <c r="B39" s="214">
        <v>41502</v>
      </c>
      <c r="C39" s="216" t="s">
        <v>554</v>
      </c>
      <c r="D39" s="242">
        <v>1.33</v>
      </c>
    </row>
    <row r="40" spans="2:4" ht="45">
      <c r="B40" s="214">
        <v>41505</v>
      </c>
      <c r="C40" s="216" t="s">
        <v>555</v>
      </c>
      <c r="D40" s="242">
        <v>1.34</v>
      </c>
    </row>
    <row r="41" spans="2:4">
      <c r="B41" s="592">
        <v>41507</v>
      </c>
      <c r="C41" s="593" t="s">
        <v>586</v>
      </c>
      <c r="D41" s="242">
        <v>1.35</v>
      </c>
    </row>
    <row r="42" spans="2:4">
      <c r="B42" s="214"/>
      <c r="C42" s="216"/>
      <c r="D42" s="242">
        <v>1.36</v>
      </c>
    </row>
    <row r="43" spans="2:4">
      <c r="B43" s="592">
        <v>41534</v>
      </c>
      <c r="C43" s="216" t="s">
        <v>566</v>
      </c>
      <c r="D43" s="242">
        <v>1.37</v>
      </c>
    </row>
    <row r="44" spans="2:4" ht="60">
      <c r="B44" s="214">
        <v>41556</v>
      </c>
      <c r="C44" s="216" t="s">
        <v>577</v>
      </c>
      <c r="D44" s="242" t="s">
        <v>339</v>
      </c>
    </row>
    <row r="45" spans="2:4">
      <c r="B45" s="214">
        <v>41556</v>
      </c>
      <c r="C45" s="216" t="s">
        <v>582</v>
      </c>
      <c r="D45" s="242" t="s">
        <v>339</v>
      </c>
    </row>
    <row r="46" spans="2:4" ht="45">
      <c r="B46" s="214">
        <v>41576</v>
      </c>
      <c r="C46" s="216" t="s">
        <v>585</v>
      </c>
      <c r="D46" s="242">
        <v>1.38</v>
      </c>
    </row>
    <row r="47" spans="2:4" ht="45">
      <c r="B47" s="214">
        <v>41576</v>
      </c>
      <c r="C47" s="216" t="s">
        <v>588</v>
      </c>
      <c r="D47" s="242">
        <v>1.39</v>
      </c>
    </row>
    <row r="48" spans="2:4" ht="30">
      <c r="B48" s="214">
        <v>41576</v>
      </c>
      <c r="C48" s="216" t="s">
        <v>589</v>
      </c>
      <c r="D48" s="242">
        <v>1.4</v>
      </c>
    </row>
    <row r="49" spans="2:4" ht="30">
      <c r="B49" s="214">
        <v>41576</v>
      </c>
      <c r="C49" s="216" t="s">
        <v>590</v>
      </c>
      <c r="D49" s="242">
        <v>1.41</v>
      </c>
    </row>
    <row r="50" spans="2:4">
      <c r="B50" s="214">
        <v>41577</v>
      </c>
      <c r="C50" s="216" t="s">
        <v>591</v>
      </c>
      <c r="D50" s="242">
        <v>1.42</v>
      </c>
    </row>
    <row r="51" spans="2:4">
      <c r="B51" s="214">
        <v>41618</v>
      </c>
      <c r="C51" s="216" t="s">
        <v>618</v>
      </c>
      <c r="D51" s="242">
        <v>1.43</v>
      </c>
    </row>
    <row r="52" spans="2:4">
      <c r="B52" s="214"/>
      <c r="C52" s="216"/>
      <c r="D52" s="242"/>
    </row>
    <row r="53" spans="2:4">
      <c r="B53" s="214"/>
      <c r="C53" s="216"/>
      <c r="D53" s="242"/>
    </row>
    <row r="54" spans="2:4">
      <c r="B54" s="214"/>
      <c r="C54" s="215"/>
      <c r="D54" s="242"/>
    </row>
    <row r="55" spans="2:4">
      <c r="B55" s="18"/>
      <c r="C55" s="10"/>
      <c r="D55" s="3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A2:L23"/>
  <sheetViews>
    <sheetView workbookViewId="0"/>
  </sheetViews>
  <sheetFormatPr baseColWidth="10" defaultRowHeight="15" x14ac:dyDescent="0"/>
  <cols>
    <col min="1" max="1" width="10.83203125" style="92"/>
    <col min="2" max="2" width="45.83203125" style="92" customWidth="1"/>
    <col min="3" max="3" width="2.83203125" style="296" customWidth="1"/>
    <col min="4" max="12" width="15.83203125" style="92" customWidth="1"/>
    <col min="13" max="16384" width="10.83203125" style="92"/>
  </cols>
  <sheetData>
    <row r="2" spans="1:12" ht="20">
      <c r="B2" s="91" t="s">
        <v>310</v>
      </c>
      <c r="C2" s="283"/>
      <c r="D2" s="8"/>
      <c r="E2" s="8"/>
      <c r="F2" s="8"/>
      <c r="G2" s="8"/>
      <c r="H2" s="8"/>
    </row>
    <row r="3" spans="1:12">
      <c r="B3" s="1"/>
      <c r="C3" s="295"/>
      <c r="D3" s="8"/>
      <c r="E3" s="8"/>
      <c r="F3" s="8"/>
      <c r="G3" s="8"/>
      <c r="H3" s="8"/>
    </row>
    <row r="4" spans="1:12">
      <c r="B4" s="225" t="s">
        <v>83</v>
      </c>
      <c r="C4" s="284"/>
      <c r="D4" s="226"/>
      <c r="E4" s="226"/>
      <c r="F4" s="226"/>
      <c r="G4" s="227"/>
    </row>
    <row r="5" spans="1:12" s="228" customFormat="1" ht="75" customHeight="1">
      <c r="B5" s="686" t="s">
        <v>405</v>
      </c>
      <c r="C5" s="687"/>
      <c r="D5" s="687"/>
      <c r="E5" s="687"/>
      <c r="F5" s="687"/>
      <c r="G5" s="688"/>
    </row>
    <row r="6" spans="1:12" ht="16" thickBot="1"/>
    <row r="7" spans="1:12">
      <c r="B7" s="25" t="s">
        <v>310</v>
      </c>
      <c r="C7" s="285"/>
      <c r="D7" s="232"/>
      <c r="E7" s="233"/>
      <c r="F7" s="233"/>
      <c r="G7" s="233"/>
      <c r="H7" s="233"/>
      <c r="I7" s="233"/>
      <c r="J7" s="233"/>
      <c r="K7" s="233"/>
      <c r="L7" s="245"/>
    </row>
    <row r="8" spans="1:12">
      <c r="B8" s="28"/>
      <c r="C8" s="297"/>
      <c r="D8" s="370"/>
      <c r="E8" s="370"/>
      <c r="F8" s="370"/>
      <c r="G8" s="370"/>
      <c r="H8" s="370"/>
      <c r="I8" s="370"/>
      <c r="J8" s="370"/>
      <c r="K8" s="370"/>
      <c r="L8" s="371"/>
    </row>
    <row r="9" spans="1:12">
      <c r="B9" s="107"/>
      <c r="C9" s="286"/>
      <c r="D9" s="413" t="s">
        <v>330</v>
      </c>
      <c r="E9" s="413" t="s">
        <v>331</v>
      </c>
      <c r="F9" s="413" t="s">
        <v>332</v>
      </c>
      <c r="G9" s="413" t="s">
        <v>454</v>
      </c>
      <c r="H9" s="413" t="s">
        <v>456</v>
      </c>
      <c r="I9" s="413" t="s">
        <v>455</v>
      </c>
      <c r="J9" s="413" t="s">
        <v>333</v>
      </c>
      <c r="K9" s="413" t="s">
        <v>334</v>
      </c>
      <c r="L9" s="374" t="s">
        <v>335</v>
      </c>
    </row>
    <row r="10" spans="1:12">
      <c r="B10" s="281"/>
      <c r="C10" s="298"/>
      <c r="D10" s="414"/>
      <c r="E10" s="414"/>
      <c r="F10" s="414"/>
      <c r="G10" s="414"/>
      <c r="H10" s="414"/>
      <c r="I10" s="414"/>
      <c r="J10" s="414"/>
      <c r="K10" s="414"/>
      <c r="L10" s="377"/>
    </row>
    <row r="11" spans="1:12">
      <c r="B11" s="168" t="s">
        <v>262</v>
      </c>
      <c r="C11" s="299"/>
      <c r="D11" s="360">
        <f>'Fuel aggregation'!E21</f>
        <v>0</v>
      </c>
      <c r="E11" s="502" t="str">
        <f>'Fuel aggregation'!F21</f>
        <v>-</v>
      </c>
      <c r="F11" s="360">
        <f>'Fuel aggregation'!G21</f>
        <v>0</v>
      </c>
      <c r="G11" s="360">
        <f>'Fuel aggregation'!H21</f>
        <v>0</v>
      </c>
      <c r="H11" s="360">
        <f>'Fuel aggregation'!I21</f>
        <v>0</v>
      </c>
      <c r="I11" s="360">
        <f>'Fuel aggregation'!J21</f>
        <v>0</v>
      </c>
      <c r="J11" s="360">
        <f>'Fuel aggregation'!K21</f>
        <v>0</v>
      </c>
      <c r="K11" s="360">
        <f>'Fuel aggregation'!L21</f>
        <v>0</v>
      </c>
      <c r="L11" s="361">
        <f>'Fuel aggregation'!M21</f>
        <v>0</v>
      </c>
    </row>
    <row r="12" spans="1:12">
      <c r="A12" s="234"/>
      <c r="B12" s="282" t="s">
        <v>408</v>
      </c>
      <c r="C12" s="300" t="s">
        <v>339</v>
      </c>
      <c r="D12" s="415">
        <f>'Steel and alu demand'!G21</f>
        <v>0</v>
      </c>
      <c r="E12" s="415">
        <f>'Steel and alu demand'!H21</f>
        <v>0</v>
      </c>
      <c r="F12" s="415" t="e">
        <f>'Steel and alu demand'!I21</f>
        <v>#DIV/0!</v>
      </c>
      <c r="G12" s="415" t="e">
        <f>'Steel and alu demand'!J21</f>
        <v>#DIV/0!</v>
      </c>
      <c r="H12" s="415">
        <f>'Steel and alu demand'!K21</f>
        <v>0</v>
      </c>
      <c r="I12" s="415">
        <f>'Steel and alu demand'!L21</f>
        <v>0</v>
      </c>
      <c r="J12" s="415" t="e">
        <f>'Steel and alu demand'!M21</f>
        <v>#DIV/0!</v>
      </c>
      <c r="K12" s="415" t="e">
        <f>'Steel and alu demand'!N21</f>
        <v>#DIV/0!</v>
      </c>
      <c r="L12" s="416">
        <f>'Steel and alu demand'!O21</f>
        <v>0</v>
      </c>
    </row>
    <row r="13" spans="1:12" ht="30">
      <c r="B13" s="168" t="s">
        <v>407</v>
      </c>
      <c r="C13" s="299"/>
      <c r="D13" s="378">
        <f>D11-D12</f>
        <v>0</v>
      </c>
      <c r="E13" s="541" t="s">
        <v>339</v>
      </c>
      <c r="F13" s="541" t="s">
        <v>339</v>
      </c>
      <c r="G13" s="378" t="e">
        <f t="shared" ref="G13:L13" si="0">G11-G12</f>
        <v>#DIV/0!</v>
      </c>
      <c r="H13" s="378">
        <f t="shared" si="0"/>
        <v>0</v>
      </c>
      <c r="I13" s="541" t="s">
        <v>339</v>
      </c>
      <c r="J13" s="378" t="e">
        <f t="shared" si="0"/>
        <v>#DIV/0!</v>
      </c>
      <c r="K13" s="378" t="e">
        <f t="shared" si="0"/>
        <v>#DIV/0!</v>
      </c>
      <c r="L13" s="417">
        <f t="shared" si="0"/>
        <v>0</v>
      </c>
    </row>
    <row r="14" spans="1:12">
      <c r="B14" s="168"/>
      <c r="C14" s="299"/>
      <c r="D14" s="362"/>
      <c r="E14" s="362"/>
      <c r="F14" s="418"/>
      <c r="G14" s="362"/>
      <c r="H14" s="362"/>
      <c r="I14" s="362"/>
      <c r="J14" s="362"/>
      <c r="K14" s="362"/>
      <c r="L14" s="363"/>
    </row>
    <row r="15" spans="1:12">
      <c r="B15" s="168" t="s">
        <v>347</v>
      </c>
      <c r="C15" s="299"/>
      <c r="D15" s="360">
        <f>'Fuel aggregation'!E22</f>
        <v>0</v>
      </c>
      <c r="E15" s="502" t="str">
        <f>'Fuel aggregation'!F22</f>
        <v>-</v>
      </c>
      <c r="F15" s="360">
        <f>'Fuel aggregation'!G22</f>
        <v>0</v>
      </c>
      <c r="G15" s="360">
        <f>'Fuel aggregation'!H22</f>
        <v>0</v>
      </c>
      <c r="H15" s="360">
        <f>'Fuel aggregation'!I22</f>
        <v>0</v>
      </c>
      <c r="I15" s="360">
        <f>'Fuel aggregation'!J22</f>
        <v>0</v>
      </c>
      <c r="J15" s="360">
        <f>'Fuel aggregation'!K22</f>
        <v>0</v>
      </c>
      <c r="K15" s="360">
        <f>'Fuel aggregation'!L22</f>
        <v>0</v>
      </c>
      <c r="L15" s="361">
        <f>'Fuel aggregation'!M22</f>
        <v>0</v>
      </c>
    </row>
    <row r="16" spans="1:12">
      <c r="A16" s="234"/>
      <c r="B16" s="282" t="s">
        <v>409</v>
      </c>
      <c r="C16" s="300" t="s">
        <v>339</v>
      </c>
      <c r="D16" s="415">
        <f>'Steel and alu demand'!G44</f>
        <v>0</v>
      </c>
      <c r="E16" s="415">
        <f>'Steel and alu demand'!H44</f>
        <v>0</v>
      </c>
      <c r="F16" s="415">
        <f>'Steel and alu demand'!I44</f>
        <v>0</v>
      </c>
      <c r="G16" s="415" t="e">
        <f>'Steel and alu demand'!J44</f>
        <v>#DIV/0!</v>
      </c>
      <c r="H16" s="415">
        <f>'Steel and alu demand'!K44</f>
        <v>0</v>
      </c>
      <c r="I16" s="415">
        <f>'Steel and alu demand'!L44</f>
        <v>0</v>
      </c>
      <c r="J16" s="415" t="e">
        <f>'Steel and alu demand'!M44</f>
        <v>#DIV/0!</v>
      </c>
      <c r="K16" s="415" t="e">
        <f>'Steel and alu demand'!N44</f>
        <v>#DIV/0!</v>
      </c>
      <c r="L16" s="416">
        <f>'Steel and alu demand'!O44</f>
        <v>0</v>
      </c>
    </row>
    <row r="17" spans="1:12" ht="30">
      <c r="B17" s="168" t="s">
        <v>410</v>
      </c>
      <c r="C17" s="299"/>
      <c r="D17" s="378">
        <f>D15-D16</f>
        <v>0</v>
      </c>
      <c r="E17" s="541" t="s">
        <v>339</v>
      </c>
      <c r="F17" s="541" t="s">
        <v>339</v>
      </c>
      <c r="G17" s="378" t="e">
        <f t="shared" ref="G17:L17" si="1">G15-G16</f>
        <v>#DIV/0!</v>
      </c>
      <c r="H17" s="378">
        <f t="shared" si="1"/>
        <v>0</v>
      </c>
      <c r="I17" s="541" t="s">
        <v>339</v>
      </c>
      <c r="J17" s="378" t="e">
        <f t="shared" si="1"/>
        <v>#DIV/0!</v>
      </c>
      <c r="K17" s="378" t="e">
        <f t="shared" si="1"/>
        <v>#DIV/0!</v>
      </c>
      <c r="L17" s="417">
        <f t="shared" si="1"/>
        <v>0</v>
      </c>
    </row>
    <row r="18" spans="1:12">
      <c r="B18" s="168"/>
      <c r="C18" s="299"/>
      <c r="D18" s="419"/>
      <c r="E18" s="419"/>
      <c r="F18" s="420"/>
      <c r="G18" s="419"/>
      <c r="H18" s="419"/>
      <c r="I18" s="419"/>
      <c r="J18" s="419"/>
      <c r="K18" s="419"/>
      <c r="L18" s="421"/>
    </row>
    <row r="19" spans="1:12">
      <c r="B19" s="168"/>
      <c r="C19" s="299"/>
      <c r="D19" s="362"/>
      <c r="E19" s="362"/>
      <c r="F19" s="418"/>
      <c r="G19" s="362"/>
      <c r="H19" s="362"/>
      <c r="I19" s="362"/>
      <c r="J19" s="362"/>
      <c r="K19" s="362"/>
      <c r="L19" s="363"/>
    </row>
    <row r="20" spans="1:12" ht="30">
      <c r="B20" s="168" t="s">
        <v>407</v>
      </c>
      <c r="C20" s="299"/>
      <c r="D20" s="360">
        <f>D13</f>
        <v>0</v>
      </c>
      <c r="E20" s="502" t="s">
        <v>339</v>
      </c>
      <c r="F20" s="502" t="s">
        <v>339</v>
      </c>
      <c r="G20" s="360" t="e">
        <f t="shared" ref="G20:L20" si="2">G13</f>
        <v>#DIV/0!</v>
      </c>
      <c r="H20" s="360">
        <f t="shared" si="2"/>
        <v>0</v>
      </c>
      <c r="I20" s="502" t="s">
        <v>339</v>
      </c>
      <c r="J20" s="360" t="e">
        <f t="shared" si="2"/>
        <v>#DIV/0!</v>
      </c>
      <c r="K20" s="360" t="e">
        <f t="shared" si="2"/>
        <v>#DIV/0!</v>
      </c>
      <c r="L20" s="361">
        <f t="shared" si="2"/>
        <v>0</v>
      </c>
    </row>
    <row r="21" spans="1:12" ht="30">
      <c r="A21" s="234"/>
      <c r="B21" s="282" t="s">
        <v>410</v>
      </c>
      <c r="C21" s="300" t="s">
        <v>340</v>
      </c>
      <c r="D21" s="415">
        <f>D17</f>
        <v>0</v>
      </c>
      <c r="E21" s="503" t="s">
        <v>339</v>
      </c>
      <c r="F21" s="503" t="s">
        <v>339</v>
      </c>
      <c r="G21" s="415" t="e">
        <f t="shared" ref="G21:L21" si="3">G17</f>
        <v>#DIV/0!</v>
      </c>
      <c r="H21" s="415">
        <f t="shared" si="3"/>
        <v>0</v>
      </c>
      <c r="I21" s="503" t="s">
        <v>339</v>
      </c>
      <c r="J21" s="415" t="e">
        <f t="shared" si="3"/>
        <v>#DIV/0!</v>
      </c>
      <c r="K21" s="415" t="e">
        <f t="shared" si="3"/>
        <v>#DIV/0!</v>
      </c>
      <c r="L21" s="416">
        <f t="shared" si="3"/>
        <v>0</v>
      </c>
    </row>
    <row r="22" spans="1:12">
      <c r="B22" s="168" t="s">
        <v>620</v>
      </c>
      <c r="C22" s="299"/>
      <c r="D22" s="422">
        <f>SUM(D20:D21)</f>
        <v>0</v>
      </c>
      <c r="E22" s="540" t="s">
        <v>339</v>
      </c>
      <c r="F22" s="540" t="s">
        <v>339</v>
      </c>
      <c r="G22" s="422" t="e">
        <f t="shared" ref="G22:L22" si="4">SUM(G20:G21)</f>
        <v>#DIV/0!</v>
      </c>
      <c r="H22" s="422">
        <f t="shared" si="4"/>
        <v>0</v>
      </c>
      <c r="I22" s="422">
        <f t="shared" si="4"/>
        <v>0</v>
      </c>
      <c r="J22" s="422" t="e">
        <f t="shared" si="4"/>
        <v>#DIV/0!</v>
      </c>
      <c r="K22" s="422" t="e">
        <f t="shared" si="4"/>
        <v>#DIV/0!</v>
      </c>
      <c r="L22" s="423">
        <f t="shared" si="4"/>
        <v>0</v>
      </c>
    </row>
    <row r="23" spans="1:12" ht="16" thickBot="1">
      <c r="B23" s="100"/>
      <c r="C23" s="301"/>
      <c r="D23" s="424"/>
      <c r="E23" s="424"/>
      <c r="F23" s="424"/>
      <c r="G23" s="424"/>
      <c r="H23" s="424"/>
      <c r="I23" s="424"/>
      <c r="J23" s="424"/>
      <c r="K23" s="424"/>
      <c r="L23" s="425"/>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92"/>
    <col min="2" max="2" width="25.83203125" style="92" customWidth="1"/>
    <col min="3" max="3" width="26.83203125" style="92" customWidth="1"/>
    <col min="4" max="4" width="2.83203125" style="92" customWidth="1"/>
    <col min="5" max="13" width="15.83203125" style="92" customWidth="1"/>
    <col min="14" max="16384" width="10.83203125" style="92"/>
  </cols>
  <sheetData>
    <row r="2" spans="2:13" ht="20">
      <c r="B2" s="91" t="s">
        <v>205</v>
      </c>
      <c r="C2" s="91"/>
      <c r="D2" s="91"/>
      <c r="E2" s="8"/>
      <c r="F2" s="8"/>
      <c r="G2" s="8"/>
      <c r="H2" s="8"/>
      <c r="I2" s="8"/>
    </row>
    <row r="3" spans="2:13">
      <c r="B3" s="1"/>
      <c r="C3" s="1"/>
      <c r="D3" s="1"/>
      <c r="E3" s="8"/>
      <c r="F3" s="8"/>
      <c r="G3" s="8"/>
      <c r="H3" s="8"/>
      <c r="I3" s="8"/>
    </row>
    <row r="4" spans="2:13">
      <c r="B4" s="3" t="s">
        <v>83</v>
      </c>
      <c r="C4" s="13"/>
      <c r="D4" s="13"/>
      <c r="E4" s="4"/>
      <c r="F4" s="4"/>
      <c r="G4" s="4"/>
      <c r="H4" s="5"/>
      <c r="I4" s="8"/>
    </row>
    <row r="5" spans="2:13" ht="90" customHeight="1">
      <c r="B5" s="686" t="s">
        <v>494</v>
      </c>
      <c r="C5" s="687"/>
      <c r="D5" s="687"/>
      <c r="E5" s="687"/>
      <c r="F5" s="687"/>
      <c r="G5" s="687"/>
      <c r="H5" s="688"/>
      <c r="I5" s="8"/>
    </row>
    <row r="6" spans="2:13" ht="16" thickBot="1"/>
    <row r="7" spans="2:13">
      <c r="B7" s="272" t="s">
        <v>263</v>
      </c>
      <c r="C7" s="198"/>
      <c r="D7" s="273"/>
      <c r="E7" s="198"/>
      <c r="F7" s="199"/>
      <c r="G7" s="199"/>
      <c r="H7" s="199"/>
      <c r="I7" s="199"/>
      <c r="J7" s="199"/>
      <c r="K7" s="199"/>
      <c r="L7" s="199"/>
      <c r="M7" s="200"/>
    </row>
    <row r="8" spans="2:13">
      <c r="B8" s="265"/>
      <c r="C8" s="201"/>
      <c r="D8" s="274"/>
      <c r="E8" s="201"/>
      <c r="F8" s="201"/>
      <c r="G8" s="201"/>
      <c r="H8" s="201"/>
      <c r="I8" s="201"/>
      <c r="J8" s="201"/>
      <c r="K8" s="201"/>
      <c r="L8" s="201"/>
      <c r="M8" s="202"/>
    </row>
    <row r="9" spans="2:13">
      <c r="B9" s="266" t="s">
        <v>526</v>
      </c>
      <c r="C9" s="504"/>
      <c r="D9" s="275"/>
      <c r="E9" s="203" t="s">
        <v>330</v>
      </c>
      <c r="F9" s="203" t="s">
        <v>331</v>
      </c>
      <c r="G9" s="203" t="s">
        <v>332</v>
      </c>
      <c r="H9" s="203" t="s">
        <v>454</v>
      </c>
      <c r="I9" s="203" t="s">
        <v>456</v>
      </c>
      <c r="J9" s="203" t="s">
        <v>455</v>
      </c>
      <c r="K9" s="203" t="s">
        <v>333</v>
      </c>
      <c r="L9" s="203" t="s">
        <v>334</v>
      </c>
      <c r="M9" s="243" t="s">
        <v>335</v>
      </c>
    </row>
    <row r="10" spans="2:13">
      <c r="B10" s="267" t="s">
        <v>209</v>
      </c>
      <c r="C10" s="505"/>
      <c r="D10" s="276"/>
      <c r="E10" s="204"/>
      <c r="F10" s="204"/>
      <c r="G10" s="204"/>
      <c r="H10" s="204"/>
      <c r="I10" s="204"/>
      <c r="J10" s="204"/>
      <c r="K10" s="204"/>
      <c r="L10" s="204"/>
      <c r="M10" s="244"/>
    </row>
    <row r="11" spans="2:13">
      <c r="B11" s="268"/>
      <c r="C11" s="519" t="s">
        <v>126</v>
      </c>
      <c r="D11" s="277"/>
      <c r="E11" s="360">
        <f>SUM('Corrected energy balance step 2'!C28:J28,'Corrected energy balance step 2'!L28:N28,'Corrected energy balance step 2'!S28)</f>
        <v>0</v>
      </c>
      <c r="F11" s="360">
        <f>'Corrected energy balance step 2'!K28</f>
        <v>0</v>
      </c>
      <c r="G11" s="360">
        <f>SUM('Corrected energy balance step 2'!P28:R28)</f>
        <v>0</v>
      </c>
      <c r="H11" s="360">
        <f>SUM('Corrected energy balance step 2'!T28,'Corrected energy balance step 2'!AV28)</f>
        <v>0</v>
      </c>
      <c r="I11" s="360">
        <f>SUM('Corrected energy balance step 2'!U28:AQ28)</f>
        <v>0</v>
      </c>
      <c r="J11" s="360">
        <f>SUM('Corrected energy balance step 2'!AU28,'Corrected energy balance step 2'!AZ28)</f>
        <v>0</v>
      </c>
      <c r="K11" s="360">
        <f>'Corrected energy balance step 2'!BM28</f>
        <v>0</v>
      </c>
      <c r="L11" s="360">
        <f>'Corrected energy balance step 2'!BL28</f>
        <v>0</v>
      </c>
      <c r="M11" s="361">
        <f>SUM('Corrected energy balance step 2'!O28,'Corrected energy balance step 2'!U28,'Corrected energy balance step 2'!AT28,'Corrected energy balance step 2'!AW28:AY28,'Corrected energy balance step 2'!BA28,'Corrected energy balance step 2'!BB28:BK28)</f>
        <v>0</v>
      </c>
    </row>
    <row r="12" spans="2:13">
      <c r="B12" s="268"/>
      <c r="C12" s="519" t="s">
        <v>127</v>
      </c>
      <c r="D12" s="277"/>
      <c r="E12" s="360">
        <f>SUM('Corrected energy balance step 2'!C30:J30,'Corrected energy balance step 2'!L30:N30,'Corrected energy balance step 2'!S30)</f>
        <v>0</v>
      </c>
      <c r="F12" s="360">
        <f>'Corrected energy balance step 2'!K30</f>
        <v>0</v>
      </c>
      <c r="G12" s="360">
        <f>SUM('Corrected energy balance step 2'!P30:R30)</f>
        <v>0</v>
      </c>
      <c r="H12" s="360">
        <f>SUM('Corrected energy balance step 2'!T30,'Corrected energy balance step 2'!AV30)</f>
        <v>0</v>
      </c>
      <c r="I12" s="360">
        <f>SUM('Corrected energy balance step 2'!U30:AQ30)</f>
        <v>0</v>
      </c>
      <c r="J12" s="360">
        <f>SUM('Corrected energy balance step 2'!AU30,'Corrected energy balance step 2'!AZ30)</f>
        <v>0</v>
      </c>
      <c r="K12" s="360">
        <f>'Corrected energy balance step 2'!BM30</f>
        <v>0</v>
      </c>
      <c r="L12" s="360">
        <f>'Corrected energy balance step 2'!BL30</f>
        <v>0</v>
      </c>
      <c r="M12" s="361">
        <f>SUM('Corrected energy balance step 2'!O30,'Corrected energy balance step 2'!U30,'Corrected energy balance step 2'!AT30,'Corrected energy balance step 2'!AW30:AY30,'Corrected energy balance step 2'!BA30,'Corrected energy balance step 2'!BB30:BK30)</f>
        <v>0</v>
      </c>
    </row>
    <row r="13" spans="2:13">
      <c r="B13" s="497"/>
      <c r="C13" s="506"/>
      <c r="D13" s="498"/>
      <c r="E13" s="499"/>
      <c r="F13" s="499"/>
      <c r="G13" s="499"/>
      <c r="H13" s="499"/>
      <c r="I13" s="499"/>
      <c r="J13" s="499"/>
      <c r="K13" s="499"/>
      <c r="L13" s="499"/>
      <c r="M13" s="500"/>
    </row>
    <row r="14" spans="2:13">
      <c r="B14" s="269" t="s">
        <v>132</v>
      </c>
      <c r="C14" s="507"/>
      <c r="D14" s="278"/>
      <c r="E14" s="362"/>
      <c r="F14" s="362"/>
      <c r="G14" s="362"/>
      <c r="H14" s="362"/>
      <c r="I14" s="362"/>
      <c r="J14" s="362"/>
      <c r="K14" s="362"/>
      <c r="L14" s="362"/>
      <c r="M14" s="363"/>
    </row>
    <row r="15" spans="2:13" ht="45">
      <c r="B15" s="268"/>
      <c r="C15" s="519" t="s">
        <v>356</v>
      </c>
      <c r="D15" s="277"/>
      <c r="E15" s="360">
        <f>SUM('Corrected energy balance step 2'!C40:J40,'Corrected energy balance step 2'!K40:N40,'Corrected energy balance step 2'!S40)-SUM('Corrected energy balance step 2'!C53:J53,'Corrected energy balance step 2'!K53:N53,'Corrected energy balance step 2'!S53)</f>
        <v>0</v>
      </c>
      <c r="F15" s="502" t="s">
        <v>339</v>
      </c>
      <c r="G15" s="360">
        <f>SUM('Corrected energy balance step 2'!P40:R40)-SUM('Corrected energy balance step 2'!P53:R53)</f>
        <v>0</v>
      </c>
      <c r="H15" s="360">
        <f>SUM('Corrected energy balance step 2'!T40,'Corrected energy balance step 2'!AV40)-SUM('Corrected energy balance step 2'!T53,'Corrected energy balance step 2'!AV53)</f>
        <v>0</v>
      </c>
      <c r="I15" s="360">
        <f>SUM('Corrected energy balance step 2'!U40:AQ40)-SUM('Corrected energy balance step 2'!U53:AQ53)</f>
        <v>0</v>
      </c>
      <c r="J15" s="360">
        <f>SUM('Corrected energy balance step 2'!AU40,'Corrected energy balance step 2'!AZ40)-SUM('Corrected energy balance step 2'!AU53,'Corrected energy balance step 2'!AZ53)</f>
        <v>0</v>
      </c>
      <c r="K15" s="360">
        <f>'Corrected energy balance step 2'!BM40-'Corrected energy balance step 2'!BM53</f>
        <v>0</v>
      </c>
      <c r="L15" s="360">
        <f>'Corrected energy balance step 2'!BL40-'Corrected energy balance step 2'!BL53</f>
        <v>0</v>
      </c>
      <c r="M15" s="361">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70"/>
      <c r="C16" s="520" t="s">
        <v>126</v>
      </c>
      <c r="D16" s="279"/>
      <c r="E16" s="360">
        <f>SUM('Corrected energy balance step 2'!C43:J43,'Corrected energy balance step 2'!K43:N43,'Corrected energy balance step 2'!S43)</f>
        <v>0</v>
      </c>
      <c r="F16" s="502" t="s">
        <v>339</v>
      </c>
      <c r="G16" s="360">
        <f>SUM('Corrected energy balance step 2'!P43:R43)</f>
        <v>0</v>
      </c>
      <c r="H16" s="360">
        <f>SUM('Corrected energy balance step 2'!T43,'Corrected energy balance step 2'!AV43)</f>
        <v>0</v>
      </c>
      <c r="I16" s="360">
        <f>SUM('Corrected energy balance step 2'!U43:AQ43)</f>
        <v>0</v>
      </c>
      <c r="J16" s="360">
        <f>SUM('Corrected energy balance step 2'!AU43,'Corrected energy balance step 2'!AZ43)</f>
        <v>0</v>
      </c>
      <c r="K16" s="360">
        <f>'Corrected energy balance step 2'!BM43</f>
        <v>0</v>
      </c>
      <c r="L16" s="360">
        <f>'Corrected energy balance step 2'!BL43</f>
        <v>0</v>
      </c>
      <c r="M16" s="361">
        <f>SUM('Corrected energy balance step 2'!O43,'Corrected energy balance step 2'!U43,'Corrected energy balance step 2'!AT43,'Corrected energy balance step 2'!AW43:AY43,'Corrected energy balance step 2'!BA43,'Corrected energy balance step 2'!BB43:BK43)</f>
        <v>0</v>
      </c>
    </row>
    <row r="17" spans="2:13">
      <c r="B17" s="270"/>
      <c r="C17" s="520" t="s">
        <v>127</v>
      </c>
      <c r="D17" s="279"/>
      <c r="E17" s="360">
        <f>SUM('Corrected energy balance step 2'!C46:J46,'Corrected energy balance step 2'!K46:N46,'Corrected energy balance step 2'!S46)</f>
        <v>0</v>
      </c>
      <c r="F17" s="502" t="s">
        <v>339</v>
      </c>
      <c r="G17" s="360">
        <f>SUM('Corrected energy balance step 2'!P46:R46)</f>
        <v>0</v>
      </c>
      <c r="H17" s="360">
        <f>SUM('Corrected energy balance step 2'!T46,'Corrected energy balance step 2'!AV46)</f>
        <v>0</v>
      </c>
      <c r="I17" s="360">
        <f>SUM('Corrected energy balance step 2'!U46:AQ46)</f>
        <v>0</v>
      </c>
      <c r="J17" s="360">
        <f>SUM('Corrected energy balance step 2'!AU46,'Corrected energy balance step 2'!AZ46)</f>
        <v>0</v>
      </c>
      <c r="K17" s="360">
        <f>'Corrected energy balance step 2'!BM46</f>
        <v>0</v>
      </c>
      <c r="L17" s="360">
        <f>'Corrected energy balance step 2'!BL46</f>
        <v>0</v>
      </c>
      <c r="M17" s="361">
        <f>SUM('Corrected energy balance step 2'!O46,'Corrected energy balance step 2'!U46,'Corrected energy balance step 2'!AT46,'Corrected energy balance step 2'!AW46:AY46,'Corrected energy balance step 2'!BA46,'Corrected energy balance step 2'!BB46:BK46)</f>
        <v>0</v>
      </c>
    </row>
    <row r="18" spans="2:13">
      <c r="B18" s="497"/>
      <c r="C18" s="506"/>
      <c r="D18" s="498"/>
      <c r="E18" s="499"/>
      <c r="F18" s="501"/>
      <c r="G18" s="499"/>
      <c r="H18" s="499"/>
      <c r="I18" s="499"/>
      <c r="J18" s="499"/>
      <c r="K18" s="499"/>
      <c r="L18" s="499"/>
      <c r="M18" s="500"/>
    </row>
    <row r="19" spans="2:13">
      <c r="B19" s="269" t="s">
        <v>142</v>
      </c>
      <c r="C19" s="507"/>
      <c r="D19" s="278"/>
      <c r="E19" s="362"/>
      <c r="F19" s="496"/>
      <c r="G19" s="362"/>
      <c r="H19" s="362"/>
      <c r="I19" s="362"/>
      <c r="J19" s="362"/>
      <c r="K19" s="362"/>
      <c r="L19" s="362"/>
      <c r="M19" s="363"/>
    </row>
    <row r="20" spans="2:13">
      <c r="B20" s="268"/>
      <c r="C20" s="519" t="s">
        <v>25</v>
      </c>
      <c r="D20" s="277"/>
      <c r="E20" s="360">
        <f>SUM('Corrected energy balance step 2'!C60:J60,'Corrected energy balance step 2'!K60:N60,'Corrected energy balance step 2'!S60)</f>
        <v>0</v>
      </c>
      <c r="F20" s="502" t="s">
        <v>339</v>
      </c>
      <c r="G20" s="360">
        <f>SUM('Corrected energy balance step 2'!P60:R60)</f>
        <v>0</v>
      </c>
      <c r="H20" s="360">
        <f>SUM('Corrected energy balance step 2'!T60,'Corrected energy balance step 2'!AV60)</f>
        <v>0</v>
      </c>
      <c r="I20" s="360">
        <f>SUM('Corrected energy balance step 2'!U60:AQ60)</f>
        <v>0</v>
      </c>
      <c r="J20" s="360">
        <f>SUM('Corrected energy balance step 2'!AU60,'Corrected energy balance step 2'!AZ60)</f>
        <v>0</v>
      </c>
      <c r="K20" s="360">
        <f>'Corrected energy balance step 2'!BM60</f>
        <v>0</v>
      </c>
      <c r="L20" s="360">
        <f>'Corrected energy balance step 2'!BL60</f>
        <v>0</v>
      </c>
      <c r="M20" s="361">
        <f>SUM('Corrected energy balance step 2'!O60,'Corrected energy balance step 2'!U60,'Corrected energy balance step 2'!AT60,'Corrected energy balance step 2'!AW60:AY60,'Corrected energy balance step 2'!BA60,'Corrected energy balance step 2'!BB60:BK60)</f>
        <v>0</v>
      </c>
    </row>
    <row r="21" spans="2:13">
      <c r="B21" s="270"/>
      <c r="C21" s="520" t="s">
        <v>143</v>
      </c>
      <c r="D21" s="279"/>
      <c r="E21" s="360">
        <f>SUM('Corrected energy balance step 2'!C61:J61,'Corrected energy balance step 2'!K61:N61,'Corrected energy balance step 2'!S61)</f>
        <v>0</v>
      </c>
      <c r="F21" s="502" t="s">
        <v>339</v>
      </c>
      <c r="G21" s="360">
        <f>SUM('Corrected energy balance step 2'!P61:R61)</f>
        <v>0</v>
      </c>
      <c r="H21" s="360">
        <f>SUM('Corrected energy balance step 2'!T61,'Corrected energy balance step 2'!AV61)</f>
        <v>0</v>
      </c>
      <c r="I21" s="360">
        <f>SUM('Corrected energy balance step 2'!U61:AQ61)</f>
        <v>0</v>
      </c>
      <c r="J21" s="360">
        <f>SUM('Corrected energy balance step 2'!AU61,'Corrected energy balance step 2'!AZ61)</f>
        <v>0</v>
      </c>
      <c r="K21" s="360">
        <f>'Corrected energy balance step 2'!BM61</f>
        <v>0</v>
      </c>
      <c r="L21" s="360">
        <f>'Corrected energy balance step 2'!BL61</f>
        <v>0</v>
      </c>
      <c r="M21" s="361">
        <f>SUM('Corrected energy balance step 2'!O61,'Corrected energy balance step 2'!U61,'Corrected energy balance step 2'!AT61,'Corrected energy balance step 2'!AW61:AY61,'Corrected energy balance step 2'!BA61,'Corrected energy balance step 2'!BB61:BK61)</f>
        <v>0</v>
      </c>
    </row>
    <row r="22" spans="2:13">
      <c r="B22" s="270"/>
      <c r="C22" s="520" t="s">
        <v>145</v>
      </c>
      <c r="D22" s="279"/>
      <c r="E22" s="360">
        <f>SUM('Corrected energy balance step 2'!C63:J63,'Corrected energy balance step 2'!K63:N63,'Corrected energy balance step 2'!S63)</f>
        <v>0</v>
      </c>
      <c r="F22" s="502" t="s">
        <v>339</v>
      </c>
      <c r="G22" s="360">
        <f>SUM('Corrected energy balance step 2'!P63:R63)</f>
        <v>0</v>
      </c>
      <c r="H22" s="360">
        <f>SUM('Corrected energy balance step 2'!T63,'Corrected energy balance step 2'!AV63)</f>
        <v>0</v>
      </c>
      <c r="I22" s="360">
        <f>SUM('Corrected energy balance step 2'!U63:AQ63)</f>
        <v>0</v>
      </c>
      <c r="J22" s="360">
        <f>SUM('Corrected energy balance step 2'!AU63,'Corrected energy balance step 2'!AZ63)</f>
        <v>0</v>
      </c>
      <c r="K22" s="360">
        <f>'Corrected energy balance step 2'!BM63</f>
        <v>0</v>
      </c>
      <c r="L22" s="360">
        <f>'Corrected energy balance step 2'!BL63</f>
        <v>0</v>
      </c>
      <c r="M22" s="361">
        <f>SUM('Corrected energy balance step 2'!O63,'Corrected energy balance step 2'!U63,'Corrected energy balance step 2'!AT63,'Corrected energy balance step 2'!AW63:AY63,'Corrected energy balance step 2'!BA63,'Corrected energy balance step 2'!BB63:BK63)</f>
        <v>0</v>
      </c>
    </row>
    <row r="23" spans="2:13">
      <c r="B23" s="497"/>
      <c r="C23" s="506"/>
      <c r="D23" s="498"/>
      <c r="E23" s="499"/>
      <c r="F23" s="501"/>
      <c r="G23" s="499"/>
      <c r="H23" s="499"/>
      <c r="I23" s="499"/>
      <c r="J23" s="499"/>
      <c r="K23" s="499"/>
      <c r="L23" s="499"/>
      <c r="M23" s="500"/>
    </row>
    <row r="24" spans="2:13">
      <c r="B24" s="269" t="s">
        <v>168</v>
      </c>
      <c r="C24" s="507"/>
      <c r="D24" s="278"/>
      <c r="E24" s="362"/>
      <c r="F24" s="496"/>
      <c r="G24" s="362"/>
      <c r="H24" s="362"/>
      <c r="I24" s="362"/>
      <c r="J24" s="362"/>
      <c r="K24" s="362"/>
      <c r="L24" s="362"/>
      <c r="M24" s="363"/>
    </row>
    <row r="25" spans="2:13">
      <c r="B25" s="268"/>
      <c r="C25" s="519" t="s">
        <v>298</v>
      </c>
      <c r="D25" s="277"/>
      <c r="E25" s="360">
        <f>SUM('Corrected energy balance step 2'!C88:J88,'Corrected energy balance step 2'!K88:N88,'Corrected energy balance step 2'!S88)</f>
        <v>0</v>
      </c>
      <c r="F25" s="502" t="s">
        <v>339</v>
      </c>
      <c r="G25" s="360">
        <f>SUM('Corrected energy balance step 2'!P88:R88)</f>
        <v>0</v>
      </c>
      <c r="H25" s="360">
        <f>SUM('Corrected energy balance step 2'!T88,'Corrected energy balance step 2'!AV88)</f>
        <v>0</v>
      </c>
      <c r="I25" s="360">
        <f>SUM('Corrected energy balance step 2'!U88:AQ88)</f>
        <v>0</v>
      </c>
      <c r="J25" s="360">
        <f>SUM('Corrected energy balance step 2'!AU88,'Corrected energy balance step 2'!AZ88)</f>
        <v>0</v>
      </c>
      <c r="K25" s="360">
        <f>'Corrected energy balance step 2'!BM88</f>
        <v>0</v>
      </c>
      <c r="L25" s="360">
        <f>'Corrected energy balance step 2'!BL88</f>
        <v>0</v>
      </c>
      <c r="M25" s="361">
        <f>SUM('Corrected energy balance step 2'!O88,'Corrected energy balance step 2'!U88,'Corrected energy balance step 2'!AT88,'Corrected energy balance step 2'!AW88:AY88,'Corrected energy balance step 2'!BA88,'Corrected energy balance step 2'!BB88:BK88)</f>
        <v>0</v>
      </c>
    </row>
    <row r="26" spans="2:13" ht="16" thickBot="1">
      <c r="B26" s="271"/>
      <c r="C26" s="508"/>
      <c r="D26" s="280"/>
      <c r="E26" s="173"/>
      <c r="F26" s="173"/>
      <c r="G26" s="173"/>
      <c r="H26" s="173"/>
      <c r="I26" s="173"/>
      <c r="J26" s="173"/>
      <c r="K26" s="173"/>
      <c r="L26" s="173"/>
      <c r="M26" s="174"/>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2"/>
  <sheetViews>
    <sheetView workbookViewId="0"/>
  </sheetViews>
  <sheetFormatPr baseColWidth="10" defaultRowHeight="15" x14ac:dyDescent="0"/>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c r="A1" t="s">
        <v>397</v>
      </c>
    </row>
    <row r="2" spans="1:10">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c r="A3" s="250" t="str">
        <f>'Final demand'!B10</f>
        <v>Transformation</v>
      </c>
      <c r="B3" s="585"/>
      <c r="C3" s="585"/>
      <c r="D3" s="585"/>
      <c r="E3" s="585"/>
      <c r="F3" s="585"/>
      <c r="G3" s="585"/>
      <c r="H3" s="585"/>
      <c r="I3" s="585"/>
      <c r="J3" s="585"/>
    </row>
    <row r="4" spans="1:10">
      <c r="A4" t="str">
        <f>'Final demand'!B11</f>
        <v>Blast furnaces</v>
      </c>
      <c r="B4" s="585" t="e">
        <f>'Final demand'!C11</f>
        <v>#DIV/0!</v>
      </c>
      <c r="C4" s="585" t="e">
        <f>'Final demand'!D11</f>
        <v>#DIV/0!</v>
      </c>
      <c r="D4" s="585" t="e">
        <f>'Final demand'!E11</f>
        <v>#DIV/0!</v>
      </c>
      <c r="E4" s="585">
        <f>'Final demand'!F11</f>
        <v>0</v>
      </c>
      <c r="F4" s="585">
        <f>'Final demand'!G11</f>
        <v>0</v>
      </c>
      <c r="G4" s="585" t="e">
        <f>'Final demand'!H11</f>
        <v>#DIV/0!</v>
      </c>
      <c r="H4" s="585" t="e">
        <f>'Final demand'!I11</f>
        <v>#DIV/0!</v>
      </c>
      <c r="I4" s="585">
        <f>'Final demand'!J11</f>
        <v>0</v>
      </c>
      <c r="J4" s="585">
        <f>'Final demand'!K11</f>
        <v>0</v>
      </c>
    </row>
    <row r="5" spans="1:10">
      <c r="A5" t="str">
        <f>'Final demand'!B12</f>
        <v>Coke ovens</v>
      </c>
      <c r="B5" s="585" t="e">
        <f>'Final demand'!C12</f>
        <v>#DIV/0!</v>
      </c>
      <c r="C5" s="585" t="e">
        <f>'Final demand'!D12</f>
        <v>#DIV/0!</v>
      </c>
      <c r="D5" s="585" t="e">
        <f>'Final demand'!E12</f>
        <v>#DIV/0!</v>
      </c>
      <c r="E5" s="585">
        <f>'Final demand'!F12</f>
        <v>0</v>
      </c>
      <c r="F5" s="585">
        <f>'Final demand'!G12</f>
        <v>0</v>
      </c>
      <c r="G5" s="585">
        <f>'Final demand'!H12</f>
        <v>0</v>
      </c>
      <c r="H5" s="585">
        <f>'Final demand'!I12</f>
        <v>0</v>
      </c>
      <c r="I5" s="585">
        <f>'Final demand'!J12</f>
        <v>0</v>
      </c>
      <c r="J5" s="585">
        <f>'Final demand'!K12</f>
        <v>0</v>
      </c>
    </row>
    <row r="6" spans="1:10">
      <c r="A6" s="250" t="str">
        <f>'Final demand'!B14</f>
        <v>Energy industry own use</v>
      </c>
      <c r="B6" s="585"/>
      <c r="C6" s="585"/>
      <c r="D6" s="585"/>
      <c r="E6" s="585"/>
      <c r="F6" s="585"/>
      <c r="G6" s="585"/>
      <c r="H6" s="585"/>
      <c r="I6" s="585"/>
      <c r="J6" s="585"/>
    </row>
    <row r="7" spans="1:10">
      <c r="A7" t="str">
        <f>'Final demand'!B15</f>
        <v>Coke ovens</v>
      </c>
      <c r="B7" s="585">
        <f>'Final demand'!C15</f>
        <v>0</v>
      </c>
      <c r="C7" s="585" t="str">
        <f>'Final demand'!D15</f>
        <v>-</v>
      </c>
      <c r="D7" s="585" t="e">
        <f>'Final demand'!E15</f>
        <v>#DIV/0!</v>
      </c>
      <c r="E7" s="585">
        <f>'Final demand'!F15</f>
        <v>0</v>
      </c>
      <c r="F7" s="585">
        <f>'Final demand'!G15</f>
        <v>0</v>
      </c>
      <c r="G7" s="585">
        <f>'Final demand'!H15</f>
        <v>0</v>
      </c>
      <c r="H7" s="585">
        <f>'Final demand'!I15</f>
        <v>0</v>
      </c>
      <c r="I7" s="585" t="e">
        <f>'Final demand'!J15</f>
        <v>#DIV/0!</v>
      </c>
      <c r="J7" s="585">
        <f>'Final demand'!K15</f>
        <v>0</v>
      </c>
    </row>
    <row r="8" spans="1:10">
      <c r="A8" t="str">
        <f>'Final demand'!B16</f>
        <v>Blast furnaces</v>
      </c>
      <c r="B8" s="585" t="str">
        <f>'Final demand'!C16</f>
        <v>-</v>
      </c>
      <c r="C8" s="585" t="str">
        <f>'Final demand'!D16</f>
        <v>-</v>
      </c>
      <c r="D8" s="585" t="str">
        <f>'Final demand'!E16</f>
        <v>-</v>
      </c>
      <c r="E8" s="585" t="str">
        <f>'Final demand'!F16</f>
        <v>-</v>
      </c>
      <c r="F8" s="585" t="str">
        <f>'Final demand'!G16</f>
        <v>-</v>
      </c>
      <c r="G8" s="585" t="str">
        <f>'Final demand'!H16</f>
        <v>-</v>
      </c>
      <c r="H8" s="585" t="str">
        <f>'Final demand'!I16</f>
        <v>-</v>
      </c>
      <c r="I8" s="585" t="str">
        <f>'Final demand'!J16</f>
        <v>-</v>
      </c>
      <c r="J8" s="585" t="str">
        <f>'Final demand'!K16</f>
        <v>-</v>
      </c>
    </row>
    <row r="9" spans="1:10">
      <c r="A9" s="250" t="str">
        <f>'Final demand'!B18</f>
        <v>Total final consumption</v>
      </c>
      <c r="B9" s="585"/>
      <c r="C9" s="585"/>
      <c r="D9" s="585"/>
      <c r="E9" s="585"/>
      <c r="F9" s="585"/>
      <c r="G9" s="585"/>
      <c r="H9" s="585"/>
      <c r="I9" s="585"/>
      <c r="J9" s="585"/>
    </row>
    <row r="10" spans="1:10">
      <c r="A10" t="str">
        <f>'Final demand'!B19</f>
        <v>Industry - Steel</v>
      </c>
      <c r="B10" s="585">
        <f>'Final demand'!C19</f>
        <v>0</v>
      </c>
      <c r="C10" s="585" t="str">
        <f>'Final demand'!D19</f>
        <v>-</v>
      </c>
      <c r="D10" s="585" t="e">
        <f>'Final demand'!E19</f>
        <v>#DIV/0!</v>
      </c>
      <c r="E10" s="585" t="e">
        <f>'Final demand'!F19</f>
        <v>#DIV/0!</v>
      </c>
      <c r="F10" s="585">
        <f>'Final demand'!G19</f>
        <v>0</v>
      </c>
      <c r="G10" s="585">
        <f>'Final demand'!H19</f>
        <v>0</v>
      </c>
      <c r="H10" s="585" t="e">
        <f>'Final demand'!I19</f>
        <v>#DIV/0!</v>
      </c>
      <c r="I10" s="585" t="e">
        <f>'Final demand'!J19</f>
        <v>#DIV/0!</v>
      </c>
      <c r="J10" s="585">
        <f>'Final demand'!K19</f>
        <v>0</v>
      </c>
    </row>
    <row r="11" spans="1:10">
      <c r="A11" t="str">
        <f>'Final demand'!B20</f>
        <v>Industry - Aluminium</v>
      </c>
      <c r="B11" s="585">
        <f>'Final demand'!C20</f>
        <v>0</v>
      </c>
      <c r="C11" s="585" t="str">
        <f>'Final demand'!D20</f>
        <v>-</v>
      </c>
      <c r="D11" s="585">
        <f>'Final demand'!E20</f>
        <v>0</v>
      </c>
      <c r="E11" s="585" t="e">
        <f>'Final demand'!F20</f>
        <v>#DIV/0!</v>
      </c>
      <c r="F11" s="585">
        <f>'Final demand'!G20</f>
        <v>0</v>
      </c>
      <c r="G11" s="585">
        <f>'Final demand'!H20</f>
        <v>0</v>
      </c>
      <c r="H11" s="585" t="e">
        <f>'Final demand'!I20</f>
        <v>#DIV/0!</v>
      </c>
      <c r="I11" s="585" t="e">
        <f>'Final demand'!J20</f>
        <v>#DIV/0!</v>
      </c>
      <c r="J11" s="585">
        <f>'Final demand'!K20</f>
        <v>0</v>
      </c>
    </row>
    <row r="12" spans="1:10">
      <c r="A12" t="str">
        <f>'Final demand'!B21</f>
        <v>Industry - Other metals</v>
      </c>
      <c r="B12" s="585">
        <f>'Final demand'!C21</f>
        <v>0</v>
      </c>
      <c r="C12" s="585" t="str">
        <f>'Final demand'!D21</f>
        <v>-</v>
      </c>
      <c r="D12" s="585" t="str">
        <f>'Final demand'!E21</f>
        <v>-</v>
      </c>
      <c r="E12" s="585" t="e">
        <f>'Final demand'!F21</f>
        <v>#DIV/0!</v>
      </c>
      <c r="F12" s="585">
        <f>'Final demand'!G21</f>
        <v>0</v>
      </c>
      <c r="G12" s="585">
        <f>'Final demand'!H21</f>
        <v>0</v>
      </c>
      <c r="H12" s="585" t="e">
        <f>'Final demand'!I21</f>
        <v>#DIV/0!</v>
      </c>
      <c r="I12" s="585" t="e">
        <f>'Final demand'!J21</f>
        <v>#DIV/0!</v>
      </c>
      <c r="J12" s="58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11"/>
  <sheetViews>
    <sheetView workbookViewId="0"/>
  </sheetViews>
  <sheetFormatPr baseColWidth="10" defaultRowHeight="15" x14ac:dyDescent="0"/>
  <cols>
    <col min="1" max="1" width="55.33203125" bestFit="1" customWidth="1"/>
  </cols>
  <sheetData>
    <row r="1" spans="1:2">
      <c r="A1" t="s">
        <v>362</v>
      </c>
    </row>
    <row r="2" spans="1:2">
      <c r="A2" t="s">
        <v>299</v>
      </c>
      <c r="B2" t="s">
        <v>293</v>
      </c>
    </row>
    <row r="3" spans="1:2">
      <c r="A3" t="s">
        <v>357</v>
      </c>
      <c r="B3" s="575" t="e">
        <f>'Shares per carrier per tech'!E11</f>
        <v>#DIV/0!</v>
      </c>
    </row>
    <row r="4" spans="1:2">
      <c r="A4" t="s">
        <v>358</v>
      </c>
      <c r="B4" s="575" t="e">
        <f>'Shares per carrier per tech'!E12</f>
        <v>#DIV/0!</v>
      </c>
    </row>
    <row r="5" spans="1:2">
      <c r="A5" s="253" t="s">
        <v>359</v>
      </c>
      <c r="B5" s="575" t="e">
        <f>'Shares per carrier per tech'!E13</f>
        <v>#DIV/0!</v>
      </c>
    </row>
    <row r="6" spans="1:2">
      <c r="A6" s="253" t="s">
        <v>398</v>
      </c>
      <c r="B6" s="575" t="e">
        <f>'Shares per carrier per tech'!E14</f>
        <v>#DIV/0!</v>
      </c>
    </row>
    <row r="7" spans="1:2">
      <c r="A7" s="253" t="s">
        <v>372</v>
      </c>
      <c r="B7" s="575" t="e">
        <f>'Shares per carrier per tech'!E15</f>
        <v>#DIV/0!</v>
      </c>
    </row>
    <row r="8" spans="1:2">
      <c r="A8" s="253" t="s">
        <v>373</v>
      </c>
      <c r="B8" s="575" t="e">
        <f>'Shares per carrier per tech'!E16</f>
        <v>#DIV/0!</v>
      </c>
    </row>
    <row r="9" spans="1:2">
      <c r="A9" s="253" t="s">
        <v>374</v>
      </c>
      <c r="B9" s="575" t="e">
        <f>'Shares per carrier per tech'!E17</f>
        <v>#DIV/0!</v>
      </c>
    </row>
    <row r="10" spans="1:2">
      <c r="A10" t="s">
        <v>360</v>
      </c>
      <c r="B10" s="575" t="e">
        <f>'Shares per carrier per tech'!E18</f>
        <v>#DIV/0!</v>
      </c>
    </row>
    <row r="11" spans="1:2">
      <c r="A11" t="s">
        <v>361</v>
      </c>
      <c r="B11" s="575"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6"/>
  <sheetViews>
    <sheetView workbookViewId="0"/>
  </sheetViews>
  <sheetFormatPr baseColWidth="10" defaultRowHeight="15" x14ac:dyDescent="0"/>
  <cols>
    <col min="1" max="1" width="52.5" bestFit="1" customWidth="1"/>
  </cols>
  <sheetData>
    <row r="1" spans="1:2">
      <c r="A1" t="s">
        <v>363</v>
      </c>
    </row>
    <row r="2" spans="1:2">
      <c r="A2" t="s">
        <v>299</v>
      </c>
      <c r="B2" t="s">
        <v>293</v>
      </c>
    </row>
    <row r="3" spans="1:2">
      <c r="A3" t="s">
        <v>365</v>
      </c>
      <c r="B3" s="575" t="e">
        <f>'Shares per carrier per tech'!E28</f>
        <v>#DIV/0!</v>
      </c>
    </row>
    <row r="4" spans="1:2">
      <c r="A4" t="s">
        <v>364</v>
      </c>
      <c r="B4" s="575" t="e">
        <f>'Shares per carrier per tech'!E29</f>
        <v>#DIV/0!</v>
      </c>
    </row>
    <row r="5" spans="1:2">
      <c r="A5" t="s">
        <v>366</v>
      </c>
      <c r="B5" s="575" t="e">
        <f>'Shares per carrier per tech'!E30</f>
        <v>#DIV/0!</v>
      </c>
    </row>
    <row r="6" spans="1:2">
      <c r="A6" t="s">
        <v>367</v>
      </c>
      <c r="B6" s="575" t="e">
        <f>'Shares per carrier per tech'!E31</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4"/>
  <sheetViews>
    <sheetView workbookViewId="0"/>
  </sheetViews>
  <sheetFormatPr baseColWidth="10" defaultRowHeight="15" x14ac:dyDescent="0"/>
  <cols>
    <col min="1" max="1" width="44.6640625" bestFit="1" customWidth="1"/>
  </cols>
  <sheetData>
    <row r="1" spans="1:2">
      <c r="A1" t="s">
        <v>370</v>
      </c>
    </row>
    <row r="2" spans="1:2">
      <c r="A2" t="s">
        <v>299</v>
      </c>
      <c r="B2" t="s">
        <v>293</v>
      </c>
    </row>
    <row r="3" spans="1:2">
      <c r="A3" t="s">
        <v>359</v>
      </c>
      <c r="B3" s="575" t="e">
        <f>'Shares per carrier per tech'!E37</f>
        <v>#DIV/0!</v>
      </c>
    </row>
    <row r="4" spans="1:2">
      <c r="A4" t="s">
        <v>368</v>
      </c>
      <c r="B4" s="575" t="e">
        <f>'Shares per carrier per tech'!E38</f>
        <v>#DIV/0!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20"/>
  <sheetViews>
    <sheetView workbookViewId="0"/>
  </sheetViews>
  <sheetFormatPr baseColWidth="10" defaultRowHeight="15" x14ac:dyDescent="0"/>
  <cols>
    <col min="1" max="1" width="55.33203125" bestFit="1" customWidth="1"/>
  </cols>
  <sheetData>
    <row r="1" spans="1:2">
      <c r="A1" t="s">
        <v>369</v>
      </c>
    </row>
    <row r="2" spans="1:2">
      <c r="A2" t="s">
        <v>299</v>
      </c>
      <c r="B2" t="s">
        <v>293</v>
      </c>
    </row>
    <row r="3" spans="1:2">
      <c r="A3" s="253" t="s">
        <v>372</v>
      </c>
      <c r="B3" s="576" t="e">
        <f>'Shares per burner per tech'!E15</f>
        <v>#DIV/0!</v>
      </c>
    </row>
    <row r="4" spans="1:2">
      <c r="A4" s="253" t="s">
        <v>373</v>
      </c>
      <c r="B4" s="576" t="e">
        <f>'Shares per burner per tech'!E16</f>
        <v>#DIV/0!</v>
      </c>
    </row>
    <row r="5" spans="1:2">
      <c r="A5" s="253" t="s">
        <v>374</v>
      </c>
      <c r="B5" s="576" t="e">
        <f>'Shares per burner per tech'!E17</f>
        <v>#DIV/0!</v>
      </c>
    </row>
    <row r="6" spans="1:2">
      <c r="A6" t="s">
        <v>360</v>
      </c>
      <c r="B6" s="576" t="e">
        <f>'Shares per burner per tech'!E18</f>
        <v>#DIV/0!</v>
      </c>
    </row>
    <row r="16" spans="1:2">
      <c r="A16" s="253"/>
    </row>
    <row r="17" spans="1:1">
      <c r="A17" s="253"/>
    </row>
    <row r="18" spans="1:1">
      <c r="A18" s="253"/>
    </row>
    <row r="19" spans="1:1">
      <c r="A19" s="253"/>
    </row>
    <row r="20" spans="1:1">
      <c r="A20" s="2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15"/>
  <sheetViews>
    <sheetView workbookViewId="0"/>
  </sheetViews>
  <sheetFormatPr baseColWidth="10" defaultRowHeight="15" x14ac:dyDescent="0"/>
  <cols>
    <col min="1" max="1" width="55.33203125" bestFit="1" customWidth="1"/>
  </cols>
  <sheetData>
    <row r="1" spans="1:2">
      <c r="A1" t="s">
        <v>371</v>
      </c>
    </row>
    <row r="2" spans="1:2">
      <c r="A2" t="s">
        <v>299</v>
      </c>
      <c r="B2" t="s">
        <v>293</v>
      </c>
    </row>
    <row r="3" spans="1:2">
      <c r="A3" t="s">
        <v>357</v>
      </c>
      <c r="B3" s="576" t="e">
        <f>'Shares per burner per tech'!E11</f>
        <v>#DIV/0!</v>
      </c>
    </row>
    <row r="4" spans="1:2">
      <c r="A4" t="s">
        <v>358</v>
      </c>
      <c r="B4" s="576" t="e">
        <f>'Shares per burner per tech'!E12</f>
        <v>#DIV/0!</v>
      </c>
    </row>
    <row r="5" spans="1:2">
      <c r="B5" s="208"/>
    </row>
    <row r="11" spans="1:2">
      <c r="A11" s="253"/>
    </row>
    <row r="12" spans="1:2">
      <c r="A12" s="253"/>
    </row>
    <row r="13" spans="1:2">
      <c r="A13" s="253"/>
    </row>
    <row r="14" spans="1:2">
      <c r="A14" s="253"/>
    </row>
    <row r="15" spans="1:2">
      <c r="A15" s="2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4"/>
  <sheetViews>
    <sheetView workbookViewId="0"/>
  </sheetViews>
  <sheetFormatPr baseColWidth="10" defaultRowHeight="15" x14ac:dyDescent="0"/>
  <cols>
    <col min="1" max="1" width="36.1640625" bestFit="1" customWidth="1"/>
  </cols>
  <sheetData>
    <row r="1" spans="1:2">
      <c r="A1" t="s">
        <v>445</v>
      </c>
    </row>
    <row r="2" spans="1:2">
      <c r="A2" t="s">
        <v>299</v>
      </c>
      <c r="B2" t="s">
        <v>293</v>
      </c>
    </row>
    <row r="3" spans="1:2">
      <c r="A3" t="s">
        <v>427</v>
      </c>
      <c r="B3" s="575" t="e">
        <f>'Coal gas analysis'!E54</f>
        <v>#DIV/0!</v>
      </c>
    </row>
    <row r="4" spans="1:2">
      <c r="A4" t="s">
        <v>444</v>
      </c>
      <c r="B4" s="575" t="e">
        <f>'Coal gas analysis'!E55</f>
        <v>#DIV/0!</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5"/>
  <sheetViews>
    <sheetView workbookViewId="0"/>
  </sheetViews>
  <sheetFormatPr baseColWidth="10" defaultRowHeight="15" x14ac:dyDescent="0"/>
  <cols>
    <col min="1" max="1" width="48.83203125" bestFit="1" customWidth="1"/>
    <col min="2" max="2" width="11.83203125" bestFit="1" customWidth="1"/>
  </cols>
  <sheetData>
    <row r="1" spans="1:2">
      <c r="A1" t="s">
        <v>446</v>
      </c>
    </row>
    <row r="2" spans="1:2">
      <c r="A2" t="s">
        <v>299</v>
      </c>
      <c r="B2" t="s">
        <v>293</v>
      </c>
    </row>
    <row r="3" spans="1:2">
      <c r="A3" t="s">
        <v>432</v>
      </c>
      <c r="B3" s="575" t="e">
        <f>'Coal gas analysis'!E48</f>
        <v>#DIV/0!</v>
      </c>
    </row>
    <row r="4" spans="1:2">
      <c r="A4" t="s">
        <v>431</v>
      </c>
      <c r="B4" s="575" t="e">
        <f>'Coal gas analysis'!E49</f>
        <v>#DIV/0!</v>
      </c>
    </row>
    <row r="5" spans="1:2">
      <c r="A5" t="s">
        <v>430</v>
      </c>
      <c r="B5" s="575" t="e">
        <f>'Coal gas analysis'!E50</f>
        <v>#DIV/0!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5"/>
  <sheetViews>
    <sheetView topLeftCell="A22" workbookViewId="0">
      <selection activeCell="B4" sqref="B4"/>
    </sheetView>
  </sheetViews>
  <sheetFormatPr baseColWidth="10" defaultRowHeight="15" x14ac:dyDescent="0"/>
  <cols>
    <col min="1" max="1" width="10.83203125" style="1"/>
    <col min="2" max="2" width="37.5" style="1" bestFit="1" customWidth="1"/>
    <col min="3" max="3" width="136.1640625" style="209" bestFit="1" customWidth="1"/>
    <col min="4" max="16384" width="10.83203125" style="1"/>
  </cols>
  <sheetData>
    <row r="2" spans="2:3" ht="20">
      <c r="B2" s="2" t="s">
        <v>20</v>
      </c>
    </row>
    <row r="4" spans="2:3" ht="28" customHeight="1">
      <c r="B4" s="553" t="s">
        <v>296</v>
      </c>
      <c r="C4" s="210" t="s">
        <v>21</v>
      </c>
    </row>
    <row r="5" spans="2:3" ht="28" customHeight="1">
      <c r="B5" s="89" t="s">
        <v>189</v>
      </c>
      <c r="C5" s="302" t="s">
        <v>295</v>
      </c>
    </row>
    <row r="6" spans="2:3" ht="28" customHeight="1">
      <c r="B6" s="89" t="s">
        <v>0</v>
      </c>
      <c r="C6" s="303" t="s">
        <v>282</v>
      </c>
    </row>
    <row r="7" spans="2:3" ht="28" customHeight="1">
      <c r="B7" s="89" t="s">
        <v>20</v>
      </c>
      <c r="C7" s="302" t="s">
        <v>399</v>
      </c>
    </row>
    <row r="8" spans="2:3" ht="28" customHeight="1">
      <c r="B8" s="89" t="s">
        <v>22</v>
      </c>
      <c r="C8" s="302" t="s">
        <v>400</v>
      </c>
    </row>
    <row r="9" spans="2:3" ht="28" customHeight="1">
      <c r="B9" s="89" t="s">
        <v>190</v>
      </c>
      <c r="C9" s="302" t="s">
        <v>283</v>
      </c>
    </row>
    <row r="10" spans="2:3" ht="28" customHeight="1">
      <c r="B10" s="89" t="s">
        <v>23</v>
      </c>
      <c r="C10" s="302" t="s">
        <v>284</v>
      </c>
    </row>
    <row r="11" spans="2:3" ht="28" customHeight="1">
      <c r="B11" s="90" t="s">
        <v>24</v>
      </c>
      <c r="C11" s="302" t="s">
        <v>305</v>
      </c>
    </row>
    <row r="12" spans="2:3" ht="28" customHeight="1">
      <c r="B12" s="88" t="s">
        <v>550</v>
      </c>
      <c r="C12" s="302" t="s">
        <v>551</v>
      </c>
    </row>
    <row r="13" spans="2:3" ht="28" customHeight="1">
      <c r="B13" s="88" t="s">
        <v>235</v>
      </c>
      <c r="C13" s="304" t="s">
        <v>401</v>
      </c>
    </row>
    <row r="14" spans="2:3" ht="28" customHeight="1">
      <c r="B14" s="157" t="s">
        <v>261</v>
      </c>
      <c r="C14" s="305" t="s">
        <v>353</v>
      </c>
    </row>
    <row r="15" spans="2:3" ht="28" customHeight="1">
      <c r="B15" s="157" t="s">
        <v>280</v>
      </c>
      <c r="C15" s="302" t="s">
        <v>312</v>
      </c>
    </row>
    <row r="16" spans="2:3" ht="28" customHeight="1">
      <c r="B16" s="157" t="s">
        <v>281</v>
      </c>
      <c r="C16" s="302" t="s">
        <v>313</v>
      </c>
    </row>
    <row r="17" spans="2:3" ht="28" customHeight="1">
      <c r="B17" s="157" t="s">
        <v>286</v>
      </c>
      <c r="C17" s="305" t="s">
        <v>314</v>
      </c>
    </row>
    <row r="18" spans="2:3" s="92" customFormat="1" ht="28" customHeight="1">
      <c r="B18" s="156" t="s">
        <v>266</v>
      </c>
      <c r="C18" s="302" t="s">
        <v>306</v>
      </c>
    </row>
    <row r="19" spans="2:3" s="92" customFormat="1" ht="28" customHeight="1">
      <c r="B19" s="155" t="s">
        <v>264</v>
      </c>
      <c r="C19" s="302" t="s">
        <v>303</v>
      </c>
    </row>
    <row r="20" spans="2:3" s="92" customFormat="1" ht="28" customHeight="1">
      <c r="B20" s="155" t="s">
        <v>265</v>
      </c>
      <c r="C20" s="302" t="s">
        <v>308</v>
      </c>
    </row>
    <row r="21" spans="2:3" ht="28" customHeight="1">
      <c r="B21" s="156" t="s">
        <v>294</v>
      </c>
      <c r="C21" s="302" t="s">
        <v>309</v>
      </c>
    </row>
    <row r="22" spans="2:3" ht="28" customHeight="1">
      <c r="B22" s="155" t="s">
        <v>279</v>
      </c>
      <c r="C22" s="302" t="s">
        <v>307</v>
      </c>
    </row>
    <row r="23" spans="2:3" ht="28" customHeight="1">
      <c r="B23" s="582" t="s">
        <v>443</v>
      </c>
      <c r="C23" s="323" t="s">
        <v>447</v>
      </c>
    </row>
    <row r="24" spans="2:3" ht="28" customHeight="1">
      <c r="B24" s="156" t="s">
        <v>342</v>
      </c>
      <c r="C24" s="302" t="s">
        <v>311</v>
      </c>
    </row>
    <row r="25" spans="2:3" ht="28" customHeight="1">
      <c r="B25" s="155" t="s">
        <v>263</v>
      </c>
      <c r="C25" s="304" t="s">
        <v>304</v>
      </c>
    </row>
    <row r="26" spans="2:3" ht="28" customHeight="1">
      <c r="B26" s="158" t="s">
        <v>470</v>
      </c>
      <c r="C26" s="305" t="s">
        <v>345</v>
      </c>
    </row>
    <row r="27" spans="2:3" s="92" customFormat="1" ht="28" customHeight="1">
      <c r="B27" s="158" t="s">
        <v>471</v>
      </c>
      <c r="C27" s="302" t="s">
        <v>394</v>
      </c>
    </row>
    <row r="28" spans="2:3" s="92" customFormat="1" ht="28" customHeight="1">
      <c r="B28" s="158" t="s">
        <v>478</v>
      </c>
      <c r="C28" s="302" t="s">
        <v>395</v>
      </c>
    </row>
    <row r="29" spans="2:3" s="92" customFormat="1" ht="28" customHeight="1">
      <c r="B29" s="158" t="s">
        <v>472</v>
      </c>
      <c r="C29" s="302" t="s">
        <v>396</v>
      </c>
    </row>
    <row r="30" spans="2:3" ht="28" customHeight="1">
      <c r="B30" s="158" t="s">
        <v>473</v>
      </c>
      <c r="C30" s="302" t="s">
        <v>301</v>
      </c>
    </row>
    <row r="31" spans="2:3" ht="28" customHeight="1">
      <c r="B31" s="158" t="s">
        <v>474</v>
      </c>
      <c r="C31" s="302" t="s">
        <v>302</v>
      </c>
    </row>
    <row r="32" spans="2:3" ht="28" customHeight="1">
      <c r="B32" s="324" t="s">
        <v>475</v>
      </c>
      <c r="C32" s="325" t="s">
        <v>448</v>
      </c>
    </row>
    <row r="33" spans="2:3" ht="28" customHeight="1">
      <c r="B33" s="324" t="s">
        <v>476</v>
      </c>
      <c r="C33" s="325" t="s">
        <v>449</v>
      </c>
    </row>
    <row r="34" spans="2:3" ht="28" customHeight="1">
      <c r="B34" s="324" t="s">
        <v>477</v>
      </c>
      <c r="C34" s="325" t="s">
        <v>467</v>
      </c>
    </row>
    <row r="35" spans="2:3" ht="28" customHeight="1">
      <c r="B35" s="324" t="s">
        <v>583</v>
      </c>
      <c r="C35" s="325" t="s">
        <v>584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D24"/>
  <sheetViews>
    <sheetView workbookViewId="0"/>
  </sheetViews>
  <sheetFormatPr baseColWidth="10" defaultRowHeight="15" x14ac:dyDescent="0"/>
  <cols>
    <col min="1" max="1" width="62.1640625" customWidth="1"/>
    <col min="2" max="2" width="17.33203125" bestFit="1" customWidth="1"/>
    <col min="3" max="3" width="6.6640625" customWidth="1"/>
    <col min="4" max="4" width="14.5" bestFit="1" customWidth="1"/>
  </cols>
  <sheetData>
    <row r="1" spans="1:4">
      <c r="A1" s="253" t="s">
        <v>562</v>
      </c>
    </row>
    <row r="2" spans="1:4">
      <c r="A2" s="253" t="s">
        <v>299</v>
      </c>
      <c r="B2" s="253" t="s">
        <v>293</v>
      </c>
      <c r="D2" s="253"/>
    </row>
    <row r="3" spans="1:4">
      <c r="A3" s="253" t="s">
        <v>480</v>
      </c>
      <c r="B3" s="331" t="e">
        <f>'Steel and alu eff'!H13</f>
        <v>#DIV/0!</v>
      </c>
      <c r="D3" s="253"/>
    </row>
    <row r="4" spans="1:4">
      <c r="A4" s="253" t="s">
        <v>481</v>
      </c>
      <c r="B4" s="331" t="e">
        <f>'Steel and alu eff'!I13</f>
        <v>#DIV/0!</v>
      </c>
      <c r="D4" s="253"/>
    </row>
    <row r="5" spans="1:4">
      <c r="A5" s="253" t="s">
        <v>465</v>
      </c>
      <c r="B5" s="207" t="e">
        <f>'Steel and alu eff'!K13</f>
        <v>#DIV/0!</v>
      </c>
      <c r="D5" s="253"/>
    </row>
    <row r="6" spans="1:4">
      <c r="A6" s="253"/>
      <c r="B6" s="253"/>
      <c r="C6" s="207"/>
      <c r="D6" s="253"/>
    </row>
    <row r="7" spans="1:4">
      <c r="A7" s="253"/>
      <c r="B7" s="253"/>
      <c r="C7" s="207"/>
      <c r="D7" s="253"/>
    </row>
    <row r="8" spans="1:4">
      <c r="A8" s="253"/>
      <c r="B8" s="253"/>
      <c r="C8" s="207"/>
      <c r="D8" s="253"/>
    </row>
    <row r="9" spans="1:4">
      <c r="A9" s="253"/>
      <c r="B9" s="253"/>
      <c r="C9" s="207"/>
      <c r="D9" s="253"/>
    </row>
    <row r="10" spans="1:4">
      <c r="A10" s="253"/>
      <c r="B10" s="253"/>
      <c r="C10" s="207"/>
      <c r="D10" s="253"/>
    </row>
    <row r="11" spans="1:4">
      <c r="A11" s="253"/>
      <c r="B11" s="253"/>
      <c r="C11" s="207"/>
      <c r="D11" s="253"/>
    </row>
    <row r="12" spans="1:4">
      <c r="A12" s="253"/>
      <c r="B12" s="253"/>
      <c r="C12" s="207"/>
      <c r="D12" s="253"/>
    </row>
    <row r="13" spans="1:4">
      <c r="A13" s="253"/>
      <c r="B13" s="253"/>
      <c r="C13" s="207"/>
      <c r="D13" s="253"/>
    </row>
    <row r="14" spans="1:4">
      <c r="A14" s="253"/>
      <c r="B14" s="253"/>
      <c r="C14" s="207"/>
      <c r="D14" s="253"/>
    </row>
    <row r="15" spans="1:4">
      <c r="A15" s="253"/>
      <c r="B15" s="253"/>
      <c r="C15" s="207"/>
      <c r="D15" s="253"/>
    </row>
    <row r="16" spans="1:4">
      <c r="A16" s="253"/>
      <c r="B16" s="253"/>
      <c r="C16" s="207"/>
      <c r="D16" s="253"/>
    </row>
    <row r="17" spans="1:4">
      <c r="A17" s="253"/>
      <c r="B17" s="253"/>
      <c r="C17" s="207"/>
      <c r="D17" s="253"/>
    </row>
    <row r="18" spans="1:4">
      <c r="A18" s="253"/>
      <c r="B18" s="253"/>
      <c r="C18" s="207"/>
      <c r="D18" s="253"/>
    </row>
    <row r="19" spans="1:4">
      <c r="A19" s="253"/>
      <c r="B19" s="253"/>
      <c r="C19" s="207"/>
      <c r="D19" s="253"/>
    </row>
    <row r="20" spans="1:4">
      <c r="A20" s="253"/>
      <c r="B20" s="253"/>
      <c r="C20" s="207"/>
      <c r="D20" s="253"/>
    </row>
    <row r="21" spans="1:4">
      <c r="A21" s="253"/>
      <c r="B21" s="253"/>
      <c r="C21" s="207"/>
      <c r="D21" s="253"/>
    </row>
    <row r="22" spans="1:4">
      <c r="A22" s="253"/>
      <c r="B22" s="253"/>
      <c r="C22" s="207"/>
      <c r="D22" s="253"/>
    </row>
    <row r="23" spans="1:4">
      <c r="A23" s="253"/>
      <c r="B23" s="253"/>
      <c r="C23" s="207"/>
      <c r="D23" s="253"/>
    </row>
    <row r="24" spans="1:4">
      <c r="A24" s="253"/>
      <c r="B24" s="253"/>
      <c r="C24" s="207"/>
      <c r="D24" s="2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D2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53" t="s">
        <v>561</v>
      </c>
    </row>
    <row r="2" spans="1:4">
      <c r="A2" s="253" t="s">
        <v>299</v>
      </c>
      <c r="B2" s="253" t="s">
        <v>293</v>
      </c>
      <c r="D2" s="253"/>
    </row>
    <row r="3" spans="1:4">
      <c r="A3" s="253" t="s">
        <v>480</v>
      </c>
      <c r="B3" s="331" t="e">
        <f>'Steel and alu eff'!H14</f>
        <v>#DIV/0!</v>
      </c>
      <c r="D3" s="253"/>
    </row>
    <row r="4" spans="1:4">
      <c r="A4" s="253" t="s">
        <v>481</v>
      </c>
      <c r="B4" s="331" t="e">
        <f>'Steel and alu eff'!I14</f>
        <v>#DIV/0!</v>
      </c>
      <c r="D4" s="253"/>
    </row>
    <row r="5" spans="1:4">
      <c r="A5" s="253" t="s">
        <v>465</v>
      </c>
      <c r="B5" s="207" t="e">
        <f>'Steel and alu eff'!K14</f>
        <v>#DIV/0!</v>
      </c>
      <c r="D5" s="253"/>
    </row>
    <row r="6" spans="1:4">
      <c r="A6" s="253"/>
      <c r="B6" s="253"/>
      <c r="C6" s="207"/>
      <c r="D6" s="253"/>
    </row>
    <row r="7" spans="1:4">
      <c r="A7" s="253"/>
      <c r="B7" s="253"/>
      <c r="C7" s="207"/>
      <c r="D7" s="253"/>
    </row>
    <row r="8" spans="1:4">
      <c r="A8" s="253"/>
      <c r="B8" s="253"/>
      <c r="C8" s="207"/>
      <c r="D8" s="253"/>
    </row>
    <row r="9" spans="1:4">
      <c r="A9" s="253"/>
      <c r="B9" s="253"/>
      <c r="C9" s="207"/>
      <c r="D9" s="253"/>
    </row>
    <row r="10" spans="1:4">
      <c r="A10" s="253"/>
      <c r="B10" s="253"/>
      <c r="C10" s="207"/>
      <c r="D10" s="253"/>
    </row>
    <row r="11" spans="1:4">
      <c r="A11" s="253"/>
      <c r="B11" s="253"/>
      <c r="C11" s="207"/>
      <c r="D11" s="253"/>
    </row>
    <row r="12" spans="1:4">
      <c r="A12" s="253"/>
      <c r="B12" s="253"/>
      <c r="C12" s="207"/>
      <c r="D12" s="253"/>
    </row>
    <row r="13" spans="1:4">
      <c r="A13" s="253"/>
      <c r="B13" s="253"/>
      <c r="C13" s="207"/>
      <c r="D13" s="253"/>
    </row>
    <row r="14" spans="1:4">
      <c r="A14" s="253"/>
      <c r="B14" s="253"/>
      <c r="C14" s="207"/>
      <c r="D14" s="253"/>
    </row>
    <row r="15" spans="1:4">
      <c r="A15" s="253"/>
      <c r="B15" s="253"/>
      <c r="C15" s="207"/>
      <c r="D15" s="253"/>
    </row>
    <row r="16" spans="1:4">
      <c r="A16" s="253"/>
      <c r="B16" s="253"/>
      <c r="C16" s="207"/>
      <c r="D16" s="253"/>
    </row>
    <row r="17" spans="1:4">
      <c r="A17" s="253"/>
      <c r="B17" s="253"/>
      <c r="C17" s="207"/>
      <c r="D17" s="253"/>
    </row>
    <row r="18" spans="1:4">
      <c r="A18" s="253"/>
      <c r="B18" s="253"/>
      <c r="C18" s="207"/>
      <c r="D18" s="253"/>
    </row>
    <row r="19" spans="1:4">
      <c r="A19" s="253"/>
      <c r="B19" s="253"/>
      <c r="C19" s="207"/>
      <c r="D19" s="253"/>
    </row>
    <row r="20" spans="1:4">
      <c r="A20" s="253"/>
      <c r="B20" s="253"/>
      <c r="C20" s="207"/>
      <c r="D20" s="253"/>
    </row>
    <row r="21" spans="1:4">
      <c r="A21" s="253"/>
      <c r="B21" s="253"/>
      <c r="C21" s="207"/>
      <c r="D21" s="253"/>
    </row>
    <row r="22" spans="1:4">
      <c r="A22" s="253"/>
      <c r="B22" s="253"/>
      <c r="C22" s="207"/>
      <c r="D22" s="253"/>
    </row>
    <row r="23" spans="1:4">
      <c r="A23" s="253"/>
      <c r="B23" s="253"/>
      <c r="C23" s="207"/>
      <c r="D23" s="253"/>
    </row>
    <row r="24" spans="1:4">
      <c r="A24" s="253"/>
      <c r="B24" s="253"/>
      <c r="C24" s="207"/>
      <c r="D24" s="2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D5"/>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53" t="s">
        <v>560</v>
      </c>
    </row>
    <row r="2" spans="1:4">
      <c r="A2" s="253" t="s">
        <v>299</v>
      </c>
      <c r="B2" s="253" t="s">
        <v>293</v>
      </c>
      <c r="C2" s="253"/>
      <c r="D2" s="253"/>
    </row>
    <row r="3" spans="1:4">
      <c r="A3" s="253" t="s">
        <v>483</v>
      </c>
      <c r="B3" s="207" t="e">
        <f>'Cokes eff'!D11</f>
        <v>#DIV/0!</v>
      </c>
      <c r="D3" s="253"/>
    </row>
    <row r="4" spans="1:4">
      <c r="A4" s="253" t="s">
        <v>482</v>
      </c>
      <c r="B4" s="207" t="e">
        <f>'Cokes eff'!E11</f>
        <v>#DIV/0!</v>
      </c>
      <c r="D4" s="253"/>
    </row>
    <row r="5" spans="1:4">
      <c r="A5" s="253" t="s">
        <v>563</v>
      </c>
      <c r="B5" s="207"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D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53" t="s">
        <v>559</v>
      </c>
    </row>
    <row r="2" spans="1:4">
      <c r="A2" s="253" t="s">
        <v>299</v>
      </c>
      <c r="B2" s="253" t="s">
        <v>293</v>
      </c>
      <c r="C2" s="253"/>
      <c r="D2" s="253"/>
    </row>
    <row r="3" spans="1:4">
      <c r="A3" s="253" t="s">
        <v>465</v>
      </c>
      <c r="B3" s="207" t="e">
        <f>'Cokes eff'!I11</f>
        <v>#DIV/0!</v>
      </c>
      <c r="D3" s="253"/>
    </row>
    <row r="4" spans="1:4">
      <c r="A4" s="253" t="s">
        <v>466</v>
      </c>
      <c r="B4" s="207" t="e">
        <f>'Cokes eff'!H11</f>
        <v>#DIV/0!</v>
      </c>
      <c r="D4" s="2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5"/>
  <sheetViews>
    <sheetView workbookViewId="0"/>
  </sheetViews>
  <sheetFormatPr baseColWidth="10" defaultRowHeight="15" x14ac:dyDescent="0"/>
  <cols>
    <col min="1" max="1" width="44.5" customWidth="1"/>
  </cols>
  <sheetData>
    <row r="1" spans="1:2">
      <c r="A1" s="253" t="s">
        <v>564</v>
      </c>
    </row>
    <row r="2" spans="1:2">
      <c r="A2" t="s">
        <v>299</v>
      </c>
      <c r="B2" t="s">
        <v>293</v>
      </c>
    </row>
    <row r="3" spans="1:2">
      <c r="A3" t="s">
        <v>563</v>
      </c>
      <c r="B3" s="207" t="e">
        <f>'Trans cons factors'!F11</f>
        <v>#DIV/0!</v>
      </c>
    </row>
    <row r="4" spans="1:2">
      <c r="B4" s="207"/>
    </row>
    <row r="5" spans="1:2">
      <c r="B5" s="207"/>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theme="7" tint="0.39997558519241921"/>
  </sheetPr>
  <dimension ref="A1:B3"/>
  <sheetViews>
    <sheetView workbookViewId="0"/>
  </sheetViews>
  <sheetFormatPr baseColWidth="10" defaultRowHeight="15" x14ac:dyDescent="0"/>
  <cols>
    <col min="1" max="1" width="44.5" customWidth="1"/>
  </cols>
  <sheetData>
    <row r="1" spans="1:2">
      <c r="A1" s="253" t="s">
        <v>565</v>
      </c>
    </row>
    <row r="2" spans="1:2">
      <c r="A2" t="s">
        <v>299</v>
      </c>
      <c r="B2" t="s">
        <v>293</v>
      </c>
    </row>
    <row r="3" spans="1:2">
      <c r="A3" t="s">
        <v>563</v>
      </c>
      <c r="B3" s="207"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heetViews>
  <sheetFormatPr baseColWidth="10" defaultRowHeight="15" x14ac:dyDescent="0"/>
  <cols>
    <col min="1" max="1" width="48.83203125" bestFit="1" customWidth="1"/>
  </cols>
  <sheetData>
    <row r="1" spans="1:2">
      <c r="A1" t="s">
        <v>579</v>
      </c>
    </row>
    <row r="2" spans="1:2">
      <c r="A2" t="s">
        <v>299</v>
      </c>
      <c r="B2" t="s">
        <v>580</v>
      </c>
    </row>
    <row r="3" spans="1:2">
      <c r="A3" t="s">
        <v>431</v>
      </c>
      <c r="B3" s="452" t="e">
        <f>'Steel and alu demand'!F24</f>
        <v>#DIV/0!</v>
      </c>
    </row>
    <row r="4" spans="1:2">
      <c r="A4" t="s">
        <v>430</v>
      </c>
      <c r="B4" s="452" t="e">
        <f>'Steel and alu demand'!F25</f>
        <v>#DIV/0!</v>
      </c>
    </row>
    <row r="5" spans="1:2">
      <c r="A5" t="s">
        <v>581</v>
      </c>
      <c r="B5" s="452" t="e">
        <f>'Steel and alu demand'!F26</f>
        <v>#DIV/0!</v>
      </c>
    </row>
    <row r="6" spans="1:2">
      <c r="A6" t="s">
        <v>432</v>
      </c>
      <c r="B6" s="452" t="e">
        <f>'Cokes demand'!F17</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2"/>
  <sheetViews>
    <sheetView tabSelected="1" workbookViewId="0"/>
  </sheetViews>
  <sheetFormatPr baseColWidth="10" defaultRowHeight="15" x14ac:dyDescent="0"/>
  <cols>
    <col min="1" max="1" width="10.83203125" style="1"/>
    <col min="2" max="2" width="148.83203125" style="1" bestFit="1" customWidth="1"/>
    <col min="3" max="16384" width="10.83203125" style="1"/>
  </cols>
  <sheetData>
    <row r="2" spans="2:2" ht="20">
      <c r="B2" s="2" t="s">
        <v>22</v>
      </c>
    </row>
    <row r="4" spans="2:2">
      <c r="B4" s="59" t="s">
        <v>27</v>
      </c>
    </row>
    <row r="5" spans="2:2">
      <c r="B5" s="49"/>
    </row>
    <row r="6" spans="2:2" ht="105">
      <c r="B6" s="218" t="s">
        <v>578</v>
      </c>
    </row>
    <row r="7" spans="2:2">
      <c r="B7" s="219"/>
    </row>
    <row r="8" spans="2:2">
      <c r="B8" s="71"/>
    </row>
    <row r="9" spans="2:2">
      <c r="B9" s="72" t="s">
        <v>191</v>
      </c>
    </row>
    <row r="10" spans="2:2">
      <c r="B10" s="73"/>
    </row>
    <row r="11" spans="2:2">
      <c r="B11" s="217" t="s">
        <v>553</v>
      </c>
    </row>
    <row r="12" spans="2:2">
      <c r="B12" s="217" t="s">
        <v>403</v>
      </c>
    </row>
    <row r="13" spans="2:2">
      <c r="B13" s="217" t="s">
        <v>492</v>
      </c>
    </row>
    <row r="14" spans="2:2">
      <c r="B14" s="217" t="s">
        <v>412</v>
      </c>
    </row>
    <row r="15" spans="2:2">
      <c r="B15" s="217" t="s">
        <v>413</v>
      </c>
    </row>
    <row r="16" spans="2:2">
      <c r="B16" s="217" t="s">
        <v>493</v>
      </c>
    </row>
    <row r="17" spans="2:2">
      <c r="B17" s="48"/>
    </row>
    <row r="19" spans="2:2">
      <c r="B19" s="59" t="s">
        <v>497</v>
      </c>
    </row>
    <row r="20" spans="2:2">
      <c r="B20" s="49"/>
    </row>
    <row r="21" spans="2:2" ht="90">
      <c r="B21" s="220" t="s">
        <v>402</v>
      </c>
    </row>
    <row r="22" spans="2:2">
      <c r="B22"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heetViews>
  <sheetFormatPr baseColWidth="10" defaultColWidth="2.83203125" defaultRowHeight="15" x14ac:dyDescent="0"/>
  <cols>
    <col min="1" max="16384" width="2.83203125" style="1"/>
  </cols>
  <sheetData>
    <row r="2" spans="2:80" ht="20" customHeight="1">
      <c r="B2" s="63" t="s">
        <v>621</v>
      </c>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row>
    <row r="3" spans="2:80" ht="15" customHeight="1">
      <c r="B3" s="63"/>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row>
    <row r="4" spans="2:80" ht="15" customHeight="1">
      <c r="B4" s="64" t="s">
        <v>83</v>
      </c>
      <c r="C4" s="65"/>
      <c r="D4" s="65"/>
      <c r="E4" s="65"/>
      <c r="F4" s="65"/>
      <c r="G4" s="65"/>
      <c r="H4" s="65"/>
      <c r="I4" s="65"/>
      <c r="J4" s="65"/>
      <c r="K4" s="65"/>
      <c r="L4" s="65"/>
      <c r="M4" s="65"/>
      <c r="N4" s="65"/>
      <c r="O4" s="65"/>
      <c r="P4" s="66"/>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row>
    <row r="5" spans="2:80" ht="15" customHeight="1">
      <c r="B5" s="67" t="s">
        <v>188</v>
      </c>
      <c r="C5" s="68"/>
      <c r="D5" s="68"/>
      <c r="E5" s="68"/>
      <c r="F5" s="68"/>
      <c r="G5" s="68"/>
      <c r="H5" s="68"/>
      <c r="I5" s="68"/>
      <c r="J5" s="68"/>
      <c r="K5" s="68"/>
      <c r="L5" s="68"/>
      <c r="M5" s="68"/>
      <c r="N5" s="68"/>
      <c r="O5" s="68"/>
      <c r="P5" s="69"/>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row>
    <row r="6" spans="2:80" ht="15" customHeight="1">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row>
    <row r="7" spans="2:80" ht="23">
      <c r="B7" s="62"/>
      <c r="C7" s="74" t="s">
        <v>185</v>
      </c>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M7" s="62"/>
      <c r="AN7" s="74" t="s">
        <v>186</v>
      </c>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R7" s="62"/>
      <c r="BS7" s="62"/>
      <c r="BT7" s="62"/>
      <c r="BU7" s="74" t="s">
        <v>187</v>
      </c>
    </row>
    <row r="9" spans="2:80">
      <c r="CB9" s="58"/>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23"/>
  <sheetViews>
    <sheetView workbookViewId="0"/>
  </sheetViews>
  <sheetFormatPr baseColWidth="10" defaultRowHeight="15" x14ac:dyDescent="0"/>
  <cols>
    <col min="1" max="1" width="10.83203125" style="1"/>
    <col min="2" max="2" width="25.5" style="1" customWidth="1"/>
    <col min="3" max="3" width="77.83203125" style="1" customWidth="1"/>
    <col min="4" max="4" width="113.5" style="1" bestFit="1" customWidth="1"/>
    <col min="5" max="16384" width="10.83203125" style="1"/>
  </cols>
  <sheetData>
    <row r="2" spans="2:3" ht="20">
      <c r="B2" s="2" t="s">
        <v>23</v>
      </c>
      <c r="C2" s="2"/>
    </row>
    <row r="4" spans="2:3">
      <c r="B4" s="3" t="s">
        <v>83</v>
      </c>
      <c r="C4" s="5"/>
    </row>
    <row r="5" spans="2:3" ht="75" customHeight="1">
      <c r="B5" s="668" t="s">
        <v>414</v>
      </c>
      <c r="C5" s="669"/>
    </row>
    <row r="6" spans="2:3" ht="16" thickBot="1"/>
    <row r="7" spans="2:3">
      <c r="B7" s="25" t="s">
        <v>28</v>
      </c>
      <c r="C7" s="103"/>
    </row>
    <row r="8" spans="2:3">
      <c r="B8" s="28"/>
      <c r="C8" s="29"/>
    </row>
    <row r="9" spans="2:3">
      <c r="B9" s="30" t="s">
        <v>29</v>
      </c>
      <c r="C9" s="32" t="s">
        <v>30</v>
      </c>
    </row>
    <row r="10" spans="2:3">
      <c r="B10" s="53" t="s">
        <v>32</v>
      </c>
      <c r="C10" s="34"/>
    </row>
    <row r="11" spans="2:3" ht="30">
      <c r="B11" s="28"/>
      <c r="C11" s="239" t="s">
        <v>319</v>
      </c>
    </row>
    <row r="12" spans="2:3" ht="30">
      <c r="B12" s="28"/>
      <c r="C12" s="239" t="s">
        <v>321</v>
      </c>
    </row>
    <row r="13" spans="2:3">
      <c r="B13" s="28"/>
      <c r="C13" s="239" t="s">
        <v>320</v>
      </c>
    </row>
    <row r="14" spans="2:3" ht="45">
      <c r="B14" s="28"/>
      <c r="C14" s="239" t="s">
        <v>318</v>
      </c>
    </row>
    <row r="15" spans="2:3">
      <c r="B15" s="28"/>
      <c r="C15" s="239" t="s">
        <v>348</v>
      </c>
    </row>
    <row r="16" spans="2:3" ht="16" thickBot="1">
      <c r="B16" s="40"/>
      <c r="C16" s="75"/>
    </row>
    <row r="17" spans="2:4" s="8" customFormat="1" ht="16" thickBot="1">
      <c r="C17" s="54"/>
      <c r="D17" s="55"/>
    </row>
    <row r="18" spans="2:4">
      <c r="B18" s="25" t="s">
        <v>183</v>
      </c>
      <c r="C18" s="26"/>
      <c r="D18" s="27"/>
    </row>
    <row r="19" spans="2:4">
      <c r="B19" s="28"/>
      <c r="C19" s="8"/>
      <c r="D19" s="29"/>
    </row>
    <row r="20" spans="2:4">
      <c r="B20" s="30" t="s">
        <v>29</v>
      </c>
      <c r="C20" s="31" t="s">
        <v>30</v>
      </c>
      <c r="D20" s="32" t="s">
        <v>192</v>
      </c>
    </row>
    <row r="21" spans="2:4">
      <c r="B21" s="42" t="s">
        <v>210</v>
      </c>
      <c r="C21" s="97"/>
      <c r="D21" s="98"/>
    </row>
    <row r="22" spans="2:4">
      <c r="B22" s="42"/>
      <c r="C22" s="15" t="s">
        <v>210</v>
      </c>
      <c r="D22" s="77" t="s">
        <v>349</v>
      </c>
    </row>
    <row r="23" spans="2:4">
      <c r="B23" s="42"/>
      <c r="C23" s="15" t="s">
        <v>212</v>
      </c>
      <c r="D23" s="77" t="s">
        <v>315</v>
      </c>
    </row>
    <row r="24" spans="2:4">
      <c r="B24" s="42"/>
      <c r="C24" s="15" t="s">
        <v>213</v>
      </c>
      <c r="D24" s="77" t="s">
        <v>315</v>
      </c>
    </row>
    <row r="25" spans="2:4">
      <c r="B25" s="42"/>
      <c r="C25" s="15" t="s">
        <v>214</v>
      </c>
      <c r="D25" s="77" t="s">
        <v>315</v>
      </c>
    </row>
    <row r="26" spans="2:4">
      <c r="B26" s="42"/>
      <c r="C26" s="15" t="s">
        <v>215</v>
      </c>
      <c r="D26" s="77" t="s">
        <v>315</v>
      </c>
    </row>
    <row r="27" spans="2:4">
      <c r="B27" s="42"/>
      <c r="C27" s="8"/>
      <c r="D27" s="230"/>
    </row>
    <row r="28" spans="2:4">
      <c r="B28" s="42"/>
      <c r="C28" s="15" t="s">
        <v>316</v>
      </c>
      <c r="D28" s="77" t="s">
        <v>315</v>
      </c>
    </row>
    <row r="29" spans="2:4">
      <c r="B29" s="42"/>
      <c r="C29" s="15" t="s">
        <v>317</v>
      </c>
      <c r="D29" s="77" t="s">
        <v>315</v>
      </c>
    </row>
    <row r="30" spans="2:4">
      <c r="B30" s="42"/>
      <c r="C30" s="333"/>
      <c r="D30" s="230"/>
    </row>
    <row r="31" spans="2:4">
      <c r="B31" s="42" t="s">
        <v>227</v>
      </c>
      <c r="C31" s="333"/>
      <c r="D31" s="230"/>
    </row>
    <row r="32" spans="2:4">
      <c r="B32" s="42"/>
      <c r="C32" s="15" t="s">
        <v>227</v>
      </c>
      <c r="D32" s="77" t="s">
        <v>350</v>
      </c>
    </row>
    <row r="33" spans="2:4">
      <c r="B33" s="96"/>
      <c r="C33" s="15" t="s">
        <v>223</v>
      </c>
      <c r="D33" s="77" t="s">
        <v>315</v>
      </c>
    </row>
    <row r="34" spans="2:4">
      <c r="B34" s="96"/>
      <c r="C34" s="15" t="s">
        <v>224</v>
      </c>
      <c r="D34" s="77" t="s">
        <v>315</v>
      </c>
    </row>
    <row r="35" spans="2:4">
      <c r="B35" s="96"/>
      <c r="C35" s="15" t="s">
        <v>225</v>
      </c>
      <c r="D35" s="77" t="s">
        <v>315</v>
      </c>
    </row>
    <row r="36" spans="2:4">
      <c r="B36" s="99"/>
      <c r="C36" s="15" t="s">
        <v>226</v>
      </c>
      <c r="D36" s="246" t="s">
        <v>315</v>
      </c>
    </row>
    <row r="37" spans="2:4">
      <c r="B37" s="99"/>
      <c r="C37" s="222"/>
      <c r="D37" s="223"/>
    </row>
    <row r="38" spans="2:4" ht="16" thickBot="1">
      <c r="B38" s="100"/>
      <c r="C38" s="101"/>
      <c r="D38" s="102"/>
    </row>
    <row r="39" spans="2:4" ht="16" thickBot="1"/>
    <row r="40" spans="2:4">
      <c r="B40" s="25" t="s">
        <v>193</v>
      </c>
      <c r="C40" s="27"/>
    </row>
    <row r="41" spans="2:4">
      <c r="B41" s="28"/>
      <c r="C41" s="29"/>
    </row>
    <row r="42" spans="2:4">
      <c r="B42" s="30" t="s">
        <v>415</v>
      </c>
      <c r="C42" s="76" t="s">
        <v>417</v>
      </c>
    </row>
    <row r="43" spans="2:4">
      <c r="B43" s="35" t="s">
        <v>194</v>
      </c>
      <c r="C43" s="37" t="s">
        <v>33</v>
      </c>
    </row>
    <row r="44" spans="2:4">
      <c r="B44" s="28"/>
      <c r="C44" s="37" t="s">
        <v>34</v>
      </c>
    </row>
    <row r="45" spans="2:4">
      <c r="B45" s="28"/>
      <c r="C45" s="37" t="s">
        <v>35</v>
      </c>
    </row>
    <row r="46" spans="2:4">
      <c r="B46" s="28"/>
      <c r="C46" s="37" t="s">
        <v>36</v>
      </c>
    </row>
    <row r="47" spans="2:4">
      <c r="B47" s="28"/>
      <c r="C47" s="37" t="s">
        <v>37</v>
      </c>
    </row>
    <row r="48" spans="2:4">
      <c r="B48" s="28"/>
      <c r="C48" s="37" t="s">
        <v>38</v>
      </c>
    </row>
    <row r="49" spans="2:3">
      <c r="B49" s="28"/>
      <c r="C49" s="77" t="s">
        <v>39</v>
      </c>
    </row>
    <row r="50" spans="2:3">
      <c r="B50" s="42"/>
      <c r="C50" s="77" t="s">
        <v>49</v>
      </c>
    </row>
    <row r="51" spans="2:3">
      <c r="B51" s="28"/>
      <c r="C51" s="37" t="s">
        <v>40</v>
      </c>
    </row>
    <row r="52" spans="2:3">
      <c r="B52" s="28"/>
      <c r="C52" s="77" t="s">
        <v>404</v>
      </c>
    </row>
    <row r="53" spans="2:3">
      <c r="B53" s="28"/>
      <c r="C53" s="37" t="s">
        <v>42</v>
      </c>
    </row>
    <row r="54" spans="2:3">
      <c r="B54" s="28"/>
      <c r="C54" s="37" t="s">
        <v>43</v>
      </c>
    </row>
    <row r="55" spans="2:3">
      <c r="B55" s="28"/>
      <c r="C55" s="77" t="s">
        <v>44</v>
      </c>
    </row>
    <row r="56" spans="2:3">
      <c r="B56" s="28"/>
      <c r="C56" s="77"/>
    </row>
    <row r="57" spans="2:3">
      <c r="B57" s="41" t="s">
        <v>206</v>
      </c>
      <c r="C57" s="258" t="s">
        <v>416</v>
      </c>
    </row>
    <row r="58" spans="2:3">
      <c r="B58" s="78"/>
      <c r="C58" s="39"/>
    </row>
    <row r="59" spans="2:3">
      <c r="B59" s="41" t="s">
        <v>207</v>
      </c>
      <c r="C59" s="37" t="s">
        <v>46</v>
      </c>
    </row>
    <row r="60" spans="2:3">
      <c r="B60" s="35"/>
      <c r="C60" s="37" t="s">
        <v>47</v>
      </c>
    </row>
    <row r="61" spans="2:3">
      <c r="B61" s="35"/>
      <c r="C61" s="77" t="s">
        <v>462</v>
      </c>
    </row>
    <row r="62" spans="2:3">
      <c r="B62" s="78"/>
      <c r="C62" s="39"/>
    </row>
    <row r="63" spans="2:3">
      <c r="B63" s="35" t="s">
        <v>272</v>
      </c>
      <c r="C63" s="37" t="s">
        <v>195</v>
      </c>
    </row>
    <row r="64" spans="2:3">
      <c r="B64" s="35"/>
      <c r="C64" s="37" t="s">
        <v>76</v>
      </c>
    </row>
    <row r="65" spans="2:3">
      <c r="B65" s="78"/>
      <c r="C65" s="39"/>
    </row>
    <row r="66" spans="2:3">
      <c r="B66" s="35" t="s">
        <v>51</v>
      </c>
      <c r="C66" s="37" t="s">
        <v>50</v>
      </c>
    </row>
    <row r="67" spans="2:3">
      <c r="B67" s="35"/>
      <c r="C67" s="37" t="s">
        <v>51</v>
      </c>
    </row>
    <row r="68" spans="2:3">
      <c r="B68" s="28"/>
      <c r="C68" s="37" t="s">
        <v>52</v>
      </c>
    </row>
    <row r="69" spans="2:3">
      <c r="B69" s="28"/>
      <c r="C69" s="37" t="s">
        <v>53</v>
      </c>
    </row>
    <row r="70" spans="2:3">
      <c r="B70" s="28"/>
      <c r="C70" s="37" t="s">
        <v>54</v>
      </c>
    </row>
    <row r="71" spans="2:3">
      <c r="B71" s="28"/>
      <c r="C71" s="37" t="s">
        <v>55</v>
      </c>
    </row>
    <row r="72" spans="2:3">
      <c r="B72" s="28"/>
      <c r="C72" s="37" t="s">
        <v>56</v>
      </c>
    </row>
    <row r="73" spans="2:3">
      <c r="B73" s="28"/>
      <c r="C73" s="37" t="s">
        <v>57</v>
      </c>
    </row>
    <row r="74" spans="2:3">
      <c r="B74" s="28"/>
      <c r="C74" s="37" t="s">
        <v>58</v>
      </c>
    </row>
    <row r="75" spans="2:3">
      <c r="B75" s="28"/>
      <c r="C75" s="37" t="s">
        <v>59</v>
      </c>
    </row>
    <row r="76" spans="2:3">
      <c r="B76" s="28"/>
      <c r="C76" s="37" t="s">
        <v>60</v>
      </c>
    </row>
    <row r="77" spans="2:3">
      <c r="B77" s="28"/>
      <c r="C77" s="37" t="s">
        <v>61</v>
      </c>
    </row>
    <row r="78" spans="2:3">
      <c r="B78" s="28"/>
      <c r="C78" s="37" t="s">
        <v>62</v>
      </c>
    </row>
    <row r="79" spans="2:3">
      <c r="B79" s="28"/>
      <c r="C79" s="37" t="s">
        <v>63</v>
      </c>
    </row>
    <row r="80" spans="2:3">
      <c r="B80" s="28"/>
      <c r="C80" s="37" t="s">
        <v>64</v>
      </c>
    </row>
    <row r="81" spans="2:3">
      <c r="B81" s="28"/>
      <c r="C81" s="37" t="s">
        <v>65</v>
      </c>
    </row>
    <row r="82" spans="2:3">
      <c r="B82" s="28"/>
      <c r="C82" s="37" t="s">
        <v>66</v>
      </c>
    </row>
    <row r="83" spans="2:3">
      <c r="B83" s="28"/>
      <c r="C83" s="37" t="s">
        <v>67</v>
      </c>
    </row>
    <row r="84" spans="2:3">
      <c r="B84" s="28"/>
      <c r="C84" s="37" t="s">
        <v>68</v>
      </c>
    </row>
    <row r="85" spans="2:3">
      <c r="B85" s="28"/>
      <c r="C85" s="37" t="s">
        <v>69</v>
      </c>
    </row>
    <row r="86" spans="2:3">
      <c r="B86" s="28"/>
      <c r="C86" s="37" t="s">
        <v>70</v>
      </c>
    </row>
    <row r="87" spans="2:3">
      <c r="B87" s="28"/>
      <c r="C87" s="37" t="s">
        <v>71</v>
      </c>
    </row>
    <row r="88" spans="2:3">
      <c r="B88" s="28"/>
      <c r="C88" s="37" t="s">
        <v>72</v>
      </c>
    </row>
    <row r="89" spans="2:3">
      <c r="B89" s="38"/>
      <c r="C89" s="39"/>
    </row>
    <row r="90" spans="2:3">
      <c r="B90" s="35" t="s">
        <v>196</v>
      </c>
      <c r="C90" s="37" t="s">
        <v>80</v>
      </c>
    </row>
    <row r="91" spans="2:3">
      <c r="B91" s="28"/>
      <c r="C91" s="37" t="s">
        <v>81</v>
      </c>
    </row>
    <row r="92" spans="2:3">
      <c r="B92" s="28"/>
      <c r="C92" s="37"/>
    </row>
    <row r="93" spans="2:3">
      <c r="B93" s="41" t="s">
        <v>104</v>
      </c>
      <c r="C93" s="79" t="s">
        <v>104</v>
      </c>
    </row>
    <row r="94" spans="2:3">
      <c r="B94" s="35"/>
      <c r="C94" s="37"/>
    </row>
    <row r="95" spans="2:3">
      <c r="B95" s="41" t="s">
        <v>103</v>
      </c>
      <c r="C95" s="79" t="s">
        <v>103</v>
      </c>
    </row>
    <row r="96" spans="2:3">
      <c r="B96" s="78"/>
      <c r="C96" s="39"/>
    </row>
    <row r="97" spans="2:3">
      <c r="B97" s="35" t="s">
        <v>82</v>
      </c>
      <c r="C97" s="37" t="s">
        <v>45</v>
      </c>
    </row>
    <row r="98" spans="2:3">
      <c r="B98" s="35"/>
      <c r="C98" s="37" t="s">
        <v>73</v>
      </c>
    </row>
    <row r="99" spans="2:3">
      <c r="B99" s="35"/>
      <c r="C99" s="37" t="s">
        <v>74</v>
      </c>
    </row>
    <row r="100" spans="2:3">
      <c r="B100" s="35"/>
      <c r="C100" s="37" t="s">
        <v>75</v>
      </c>
    </row>
    <row r="101" spans="2:3">
      <c r="B101" s="35"/>
      <c r="C101" s="37" t="s">
        <v>77</v>
      </c>
    </row>
    <row r="102" spans="2:3">
      <c r="B102" s="35"/>
      <c r="C102" s="37" t="s">
        <v>78</v>
      </c>
    </row>
    <row r="103" spans="2:3">
      <c r="B103" s="35"/>
      <c r="C103" s="37" t="s">
        <v>79</v>
      </c>
    </row>
    <row r="104" spans="2:3">
      <c r="B104" s="28"/>
      <c r="C104" s="37" t="s">
        <v>93</v>
      </c>
    </row>
    <row r="105" spans="2:3">
      <c r="B105" s="28"/>
      <c r="C105" s="37" t="s">
        <v>96</v>
      </c>
    </row>
    <row r="106" spans="2:3">
      <c r="B106" s="28"/>
      <c r="C106" s="37" t="s">
        <v>97</v>
      </c>
    </row>
    <row r="107" spans="2:3">
      <c r="B107" s="35"/>
      <c r="C107" s="37" t="s">
        <v>98</v>
      </c>
    </row>
    <row r="108" spans="2:3">
      <c r="B108" s="35"/>
      <c r="C108" s="37" t="s">
        <v>197</v>
      </c>
    </row>
    <row r="109" spans="2:3">
      <c r="B109" s="35"/>
      <c r="C109" s="37" t="s">
        <v>100</v>
      </c>
    </row>
    <row r="110" spans="2:3">
      <c r="B110" s="35"/>
      <c r="C110" s="37" t="s">
        <v>101</v>
      </c>
    </row>
    <row r="111" spans="2:3">
      <c r="B111" s="35"/>
      <c r="C111" s="37" t="s">
        <v>102</v>
      </c>
    </row>
    <row r="112" spans="2:3">
      <c r="B112" s="35"/>
      <c r="C112" s="37" t="s">
        <v>94</v>
      </c>
    </row>
    <row r="113" spans="2:4">
      <c r="B113" s="35"/>
      <c r="C113" s="37" t="s">
        <v>95</v>
      </c>
    </row>
    <row r="114" spans="2:4">
      <c r="B114" s="28"/>
      <c r="C114" s="36" t="s">
        <v>26</v>
      </c>
    </row>
    <row r="115" spans="2:4" ht="16" thickBot="1">
      <c r="B115" s="40"/>
      <c r="C115" s="43"/>
    </row>
    <row r="116" spans="2:4" ht="16" thickBot="1"/>
    <row r="117" spans="2:4">
      <c r="B117" s="25" t="s">
        <v>208</v>
      </c>
      <c r="C117" s="103"/>
      <c r="D117" s="8"/>
    </row>
    <row r="118" spans="2:4">
      <c r="B118" s="28"/>
      <c r="C118" s="29"/>
      <c r="D118" s="8"/>
    </row>
    <row r="119" spans="2:4">
      <c r="B119" s="30" t="s">
        <v>29</v>
      </c>
      <c r="C119" s="76" t="s">
        <v>30</v>
      </c>
      <c r="D119" s="14"/>
    </row>
    <row r="120" spans="2:4">
      <c r="B120" s="33"/>
      <c r="C120" s="34"/>
      <c r="D120" s="14"/>
    </row>
    <row r="121" spans="2:4">
      <c r="B121" s="28" t="s">
        <v>202</v>
      </c>
      <c r="C121" s="29">
        <v>3.6</v>
      </c>
      <c r="D121" s="8"/>
    </row>
    <row r="122" spans="2:4" ht="16" thickBot="1">
      <c r="B122" s="40"/>
      <c r="C122" s="57"/>
      <c r="D122" s="8"/>
    </row>
    <row r="123" spans="2:4">
      <c r="B123" s="8"/>
      <c r="C123" s="8"/>
      <c r="D123"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2"/>
  <sheetViews>
    <sheetView workbookViewId="0">
      <selection activeCell="C37" sqref="C37"/>
    </sheetView>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3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75" bestFit="1" customWidth="1"/>
    <col min="16" max="16" width="12" style="475" bestFit="1" customWidth="1"/>
    <col min="17" max="16384" width="10.83203125" style="1"/>
  </cols>
  <sheetData>
    <row r="2" spans="2:16" ht="20">
      <c r="B2" s="2" t="s">
        <v>24</v>
      </c>
      <c r="I2" s="577" t="s">
        <v>549</v>
      </c>
      <c r="J2" s="13"/>
      <c r="K2" s="5"/>
    </row>
    <row r="3" spans="2:16" ht="20">
      <c r="B3" s="2"/>
      <c r="I3" s="481"/>
      <c r="J3" s="8"/>
      <c r="K3" s="7"/>
    </row>
    <row r="4" spans="2:16">
      <c r="B4" s="44" t="s">
        <v>83</v>
      </c>
      <c r="C4" s="4"/>
      <c r="D4" s="4"/>
      <c r="E4" s="5"/>
      <c r="F4" s="8"/>
      <c r="I4" s="478"/>
      <c r="J4" s="8"/>
      <c r="K4" s="7"/>
    </row>
    <row r="5" spans="2:16">
      <c r="B5" s="670" t="s">
        <v>622</v>
      </c>
      <c r="C5" s="671"/>
      <c r="D5" s="671"/>
      <c r="E5" s="672"/>
      <c r="F5" s="8"/>
      <c r="I5" s="586"/>
      <c r="J5" s="8"/>
      <c r="K5" s="7"/>
    </row>
    <row r="6" spans="2:16">
      <c r="B6" s="670"/>
      <c r="C6" s="671"/>
      <c r="D6" s="671"/>
      <c r="E6" s="672"/>
      <c r="F6" s="8"/>
      <c r="I6" s="478"/>
      <c r="J6" s="8"/>
      <c r="K6" s="7"/>
    </row>
    <row r="7" spans="2:16" ht="60" customHeight="1">
      <c r="B7" s="668"/>
      <c r="C7" s="673"/>
      <c r="D7" s="673"/>
      <c r="E7" s="669"/>
      <c r="F7" s="320"/>
      <c r="I7" s="578"/>
      <c r="J7" s="10"/>
      <c r="K7" s="11"/>
    </row>
    <row r="8" spans="2:16" ht="16" thickBot="1"/>
    <row r="9" spans="2:16">
      <c r="B9" s="25" t="s">
        <v>23</v>
      </c>
      <c r="C9" s="45"/>
      <c r="D9" s="45"/>
      <c r="E9" s="45"/>
      <c r="F9" s="45"/>
      <c r="G9" s="45"/>
      <c r="H9" s="45"/>
      <c r="I9" s="45"/>
      <c r="J9" s="45"/>
      <c r="K9" s="80" t="s">
        <v>84</v>
      </c>
      <c r="L9" s="45"/>
      <c r="M9" s="27"/>
      <c r="N9" s="8"/>
      <c r="O9" s="476"/>
      <c r="P9" s="477"/>
    </row>
    <row r="10" spans="2:16">
      <c r="B10" s="33"/>
      <c r="C10" s="8"/>
      <c r="D10" s="8"/>
      <c r="E10" s="8"/>
      <c r="F10" s="8"/>
      <c r="G10" s="8"/>
      <c r="H10" s="8"/>
      <c r="I10" s="8"/>
      <c r="J10" s="8"/>
      <c r="K10" s="19"/>
      <c r="L10" s="8"/>
      <c r="M10" s="29"/>
      <c r="N10" s="8"/>
      <c r="O10" s="478"/>
      <c r="P10" s="479"/>
    </row>
    <row r="11" spans="2:16">
      <c r="B11" s="30" t="s">
        <v>85</v>
      </c>
      <c r="C11" s="605" t="s">
        <v>30</v>
      </c>
      <c r="D11" s="605" t="s">
        <v>87</v>
      </c>
      <c r="E11" s="605" t="s">
        <v>86</v>
      </c>
      <c r="F11" s="605"/>
      <c r="G11" s="605" t="s">
        <v>558</v>
      </c>
      <c r="H11" s="605"/>
      <c r="I11" s="605" t="s">
        <v>31</v>
      </c>
      <c r="J11" s="605"/>
      <c r="K11" s="46" t="s">
        <v>88</v>
      </c>
      <c r="L11" s="46" t="s">
        <v>89</v>
      </c>
      <c r="M11" s="646" t="s">
        <v>576</v>
      </c>
      <c r="N11" s="14"/>
      <c r="O11" s="484" t="s">
        <v>531</v>
      </c>
      <c r="P11" s="485" t="s">
        <v>532</v>
      </c>
    </row>
    <row r="12" spans="2:16">
      <c r="B12" s="53"/>
      <c r="C12" s="14"/>
      <c r="D12" s="334"/>
      <c r="E12" s="14"/>
      <c r="F12" s="14"/>
      <c r="G12" s="14"/>
      <c r="H12" s="14"/>
      <c r="I12" s="14"/>
      <c r="J12" s="14"/>
      <c r="K12" s="19"/>
      <c r="L12" s="50"/>
      <c r="M12" s="636"/>
      <c r="N12" s="14"/>
      <c r="O12" s="478"/>
      <c r="P12" s="479"/>
    </row>
    <row r="13" spans="2:16">
      <c r="B13" s="33"/>
      <c r="C13" s="341" t="s">
        <v>248</v>
      </c>
      <c r="D13" s="334"/>
      <c r="E13" s="341"/>
      <c r="F13" s="341"/>
      <c r="G13" s="20" t="s">
        <v>507</v>
      </c>
      <c r="H13" s="14"/>
      <c r="I13" s="14"/>
      <c r="J13" s="14"/>
      <c r="K13" s="431" t="s">
        <v>198</v>
      </c>
      <c r="L13" s="634" t="b">
        <f>IF(COUNTIF(P:P,0)+COUNTIF(P:P,FALSE)=0,TRUE,FALSE)</f>
        <v>0</v>
      </c>
      <c r="M13" s="638" t="str">
        <f>IF(L13=TRUE," ","Please address all critical checks (red) before continuing")</f>
        <v>Please address all critical checks (red) before continuing</v>
      </c>
      <c r="N13" s="14"/>
      <c r="O13" s="478" t="s">
        <v>507</v>
      </c>
      <c r="P13" s="479"/>
    </row>
    <row r="14" spans="2:16">
      <c r="B14" s="33"/>
      <c r="C14" s="341" t="s">
        <v>505</v>
      </c>
      <c r="D14" s="334"/>
      <c r="E14" s="341"/>
      <c r="F14" s="341"/>
      <c r="G14" s="20" t="s">
        <v>508</v>
      </c>
      <c r="H14" s="14"/>
      <c r="I14" s="14"/>
      <c r="J14" s="14"/>
      <c r="K14" s="50" t="s">
        <v>199</v>
      </c>
      <c r="L14" s="634" t="b">
        <f>IF(COUNTBLANK(C13:C45)-COUNTBLANK(E13:E45)=0,TRUE,FALSE)</f>
        <v>0</v>
      </c>
      <c r="M14" s="638" t="str">
        <f>IF(L14=TRUE," ","Please fill in all assumptions")</f>
        <v>Please fill in all assumptions</v>
      </c>
      <c r="N14" s="14"/>
      <c r="O14" s="478" t="s">
        <v>508</v>
      </c>
      <c r="P14" s="7">
        <f>IF(L14=TRUE,1,0)</f>
        <v>0</v>
      </c>
    </row>
    <row r="15" spans="2:16" s="105" customFormat="1">
      <c r="B15" s="594"/>
      <c r="C15" s="595"/>
      <c r="D15" s="596"/>
      <c r="E15" s="597"/>
      <c r="F15" s="597"/>
      <c r="G15" s="595"/>
      <c r="H15" s="595"/>
      <c r="I15" s="595"/>
      <c r="J15" s="595"/>
      <c r="K15" s="348"/>
      <c r="L15" s="348"/>
      <c r="M15" s="637"/>
      <c r="N15" s="339"/>
      <c r="O15" s="478"/>
      <c r="P15" s="479"/>
    </row>
    <row r="16" spans="2:16" ht="16" thickBot="1">
      <c r="B16" s="35" t="s">
        <v>210</v>
      </c>
      <c r="C16" s="8"/>
      <c r="D16" s="335"/>
      <c r="E16" s="340"/>
      <c r="F16" s="343"/>
      <c r="G16" s="469"/>
      <c r="H16" s="8"/>
      <c r="I16" s="8"/>
      <c r="J16" s="8"/>
      <c r="K16" s="47"/>
      <c r="L16" s="351"/>
      <c r="M16" s="638"/>
      <c r="N16" s="8"/>
      <c r="O16" s="478"/>
      <c r="P16" s="479"/>
    </row>
    <row r="17" spans="1:16" ht="16" thickBot="1">
      <c r="B17" s="28"/>
      <c r="C17" s="8" t="s">
        <v>210</v>
      </c>
      <c r="D17" s="335" t="s">
        <v>211</v>
      </c>
      <c r="E17" s="240"/>
      <c r="F17" s="465"/>
      <c r="G17" s="473" t="s">
        <v>536</v>
      </c>
      <c r="H17" s="8"/>
      <c r="I17" s="21"/>
      <c r="J17" s="8"/>
      <c r="K17" s="104"/>
      <c r="L17" s="50"/>
      <c r="M17" s="639"/>
      <c r="N17" s="8"/>
      <c r="O17" s="478" t="s">
        <v>509</v>
      </c>
      <c r="P17" s="479"/>
    </row>
    <row r="18" spans="1:16" ht="16" thickBot="1">
      <c r="B18" s="28"/>
      <c r="C18" s="469" t="s">
        <v>212</v>
      </c>
      <c r="D18" s="335"/>
      <c r="E18" s="211"/>
      <c r="F18" s="332"/>
      <c r="G18" s="473" t="s">
        <v>537</v>
      </c>
      <c r="H18" s="8"/>
      <c r="I18" s="21"/>
      <c r="J18" s="8"/>
      <c r="K18" s="47" t="s">
        <v>184</v>
      </c>
      <c r="L18" s="635">
        <f>IF(SUM(E18:E21)=1,TRUE,SUM(E18:E21))</f>
        <v>0</v>
      </c>
      <c r="M18" s="639" t="str">
        <f>IF(L18=TRUE," ","Please adjust the percentages of heat delivered by the technologies to the left.")</f>
        <v>Please adjust the percentages of heat delivered by the technologies to the left.</v>
      </c>
      <c r="N18" s="8"/>
      <c r="O18" s="478" t="s">
        <v>510</v>
      </c>
      <c r="P18" s="7">
        <f>IF(L18=TRUE,1,0)</f>
        <v>0</v>
      </c>
    </row>
    <row r="19" spans="1:16" ht="16" thickBot="1">
      <c r="B19" s="28"/>
      <c r="C19" s="469" t="s">
        <v>213</v>
      </c>
      <c r="D19" s="335"/>
      <c r="E19" s="211"/>
      <c r="F19" s="332"/>
      <c r="G19" s="473" t="s">
        <v>538</v>
      </c>
      <c r="H19" s="8"/>
      <c r="I19" s="21"/>
      <c r="J19" s="8"/>
      <c r="K19" s="47"/>
      <c r="L19" s="459"/>
      <c r="M19" s="639" t="s">
        <v>203</v>
      </c>
      <c r="N19" s="8"/>
      <c r="O19" s="478" t="s">
        <v>511</v>
      </c>
      <c r="P19" s="479"/>
    </row>
    <row r="20" spans="1:16" ht="16" thickBot="1">
      <c r="B20" s="28"/>
      <c r="C20" s="469" t="s">
        <v>214</v>
      </c>
      <c r="D20" s="335"/>
      <c r="E20" s="211"/>
      <c r="F20" s="332"/>
      <c r="G20" s="473" t="s">
        <v>539</v>
      </c>
      <c r="H20" s="8"/>
      <c r="I20" s="21"/>
      <c r="J20" s="8"/>
      <c r="K20" s="47"/>
      <c r="L20" s="460"/>
      <c r="M20" s="640"/>
      <c r="N20" s="339"/>
      <c r="O20" s="478" t="s">
        <v>512</v>
      </c>
      <c r="P20" s="479"/>
    </row>
    <row r="21" spans="1:16" ht="16" thickBot="1">
      <c r="B21" s="28"/>
      <c r="C21" s="469" t="s">
        <v>215</v>
      </c>
      <c r="D21" s="335"/>
      <c r="E21" s="211"/>
      <c r="F21" s="332"/>
      <c r="G21" s="473" t="s">
        <v>540</v>
      </c>
      <c r="H21" s="8"/>
      <c r="I21" s="21"/>
      <c r="J21" s="8"/>
      <c r="K21" s="47"/>
      <c r="L21" s="460"/>
      <c r="M21" s="639"/>
      <c r="N21" s="8"/>
      <c r="O21" s="478" t="s">
        <v>513</v>
      </c>
      <c r="P21" s="479"/>
    </row>
    <row r="22" spans="1:16" s="8" customFormat="1">
      <c r="B22" s="28"/>
      <c r="D22" s="336"/>
      <c r="E22" s="251"/>
      <c r="F22" s="251"/>
      <c r="G22" s="470"/>
      <c r="H22" s="252"/>
      <c r="K22" s="47"/>
      <c r="L22" s="460"/>
      <c r="M22" s="639"/>
      <c r="O22" s="478"/>
      <c r="P22" s="479"/>
    </row>
    <row r="23" spans="1:16" ht="16" thickBot="1">
      <c r="B23" s="35" t="s">
        <v>238</v>
      </c>
      <c r="C23" s="8"/>
      <c r="D23" s="335"/>
      <c r="E23" s="332"/>
      <c r="F23" s="332"/>
      <c r="G23" s="469"/>
      <c r="H23" s="8"/>
      <c r="I23" s="8"/>
      <c r="J23" s="8"/>
      <c r="K23" s="47"/>
      <c r="L23" s="460"/>
      <c r="M23" s="639"/>
      <c r="N23" s="8"/>
      <c r="O23" s="478"/>
      <c r="P23" s="479"/>
    </row>
    <row r="24" spans="1:16" ht="16" thickBot="1">
      <c r="B24" s="28"/>
      <c r="C24" s="469" t="s">
        <v>239</v>
      </c>
      <c r="D24" s="335"/>
      <c r="E24" s="358"/>
      <c r="F24" s="466"/>
      <c r="G24" s="473" t="s">
        <v>541</v>
      </c>
      <c r="H24" s="8"/>
      <c r="I24" s="21"/>
      <c r="J24" s="8"/>
      <c r="K24" s="47" t="s">
        <v>184</v>
      </c>
      <c r="L24" s="635">
        <f>IF(SUM(E24:E25)=1,TRUE,SUM(E24:E25))</f>
        <v>0</v>
      </c>
      <c r="M24" s="639" t="str">
        <f>IF(L24=TRUE," ","If this check is red please adjust the percentages of heat delivered by the technologies to the left.")</f>
        <v>If this check is red please adjust the percentages of heat delivered by the technologies to the left.</v>
      </c>
      <c r="N24" s="8"/>
      <c r="O24" s="478" t="s">
        <v>514</v>
      </c>
      <c r="P24" s="7">
        <f>IF(L24=TRUE,1,0)</f>
        <v>0</v>
      </c>
    </row>
    <row r="25" spans="1:16" ht="16" thickBot="1">
      <c r="B25" s="28"/>
      <c r="C25" s="469" t="s">
        <v>240</v>
      </c>
      <c r="D25" s="335"/>
      <c r="E25" s="359"/>
      <c r="F25" s="332"/>
      <c r="G25" s="473" t="s">
        <v>542</v>
      </c>
      <c r="H25" s="8"/>
      <c r="I25" s="21"/>
      <c r="J25" s="8"/>
      <c r="K25" s="47"/>
      <c r="L25" s="460"/>
      <c r="M25" s="639"/>
      <c r="N25" s="8"/>
      <c r="O25" s="478" t="s">
        <v>515</v>
      </c>
      <c r="P25" s="479"/>
    </row>
    <row r="26" spans="1:16">
      <c r="B26" s="28"/>
      <c r="C26" s="8"/>
      <c r="D26" s="335"/>
      <c r="E26" s="342"/>
      <c r="F26" s="342"/>
      <c r="G26" s="469"/>
      <c r="H26" s="8"/>
      <c r="I26" s="8"/>
      <c r="J26" s="8"/>
      <c r="K26" s="47"/>
      <c r="L26" s="460"/>
      <c r="M26" s="639"/>
      <c r="N26" s="8"/>
      <c r="O26" s="478"/>
      <c r="P26" s="479"/>
    </row>
    <row r="27" spans="1:16">
      <c r="A27" s="8"/>
      <c r="B27" s="35" t="s">
        <v>526</v>
      </c>
      <c r="C27" s="8"/>
      <c r="D27" s="335"/>
      <c r="E27" s="85"/>
      <c r="F27" s="85"/>
      <c r="G27" s="469"/>
      <c r="H27" s="8"/>
      <c r="I27" s="8"/>
      <c r="J27" s="8"/>
      <c r="K27" s="47"/>
      <c r="L27" s="460"/>
      <c r="M27" s="639"/>
      <c r="N27" s="8"/>
      <c r="O27" s="478"/>
      <c r="P27" s="479"/>
    </row>
    <row r="28" spans="1:16">
      <c r="A28" s="8"/>
      <c r="B28" s="35"/>
      <c r="C28" s="8" t="s">
        <v>623</v>
      </c>
      <c r="D28" s="335" t="s">
        <v>341</v>
      </c>
      <c r="E28" s="235">
        <f>SUM('Fuel aggregation'!E11:E12)</f>
        <v>0</v>
      </c>
      <c r="F28" s="85"/>
      <c r="G28" s="469"/>
      <c r="H28" s="8"/>
      <c r="I28" s="8"/>
      <c r="J28" s="8"/>
      <c r="K28" s="47"/>
      <c r="L28" s="460"/>
      <c r="M28" s="639"/>
      <c r="N28" s="8"/>
      <c r="O28" s="478"/>
      <c r="P28" s="479"/>
    </row>
    <row r="29" spans="1:16">
      <c r="A29" s="8"/>
      <c r="B29" s="28"/>
      <c r="C29" s="647" t="s">
        <v>486</v>
      </c>
      <c r="D29" s="335" t="s">
        <v>341</v>
      </c>
      <c r="E29" s="238" t="e">
        <f>SUM('Fuel aggregation'!E11:E12)-SUM('Final demand'!C11:C12)</f>
        <v>#DIV/0!</v>
      </c>
      <c r="F29" s="238"/>
      <c r="G29" s="469"/>
      <c r="H29" s="8"/>
      <c r="I29" s="8"/>
      <c r="J29" s="8"/>
      <c r="K29" s="47" t="s">
        <v>344</v>
      </c>
      <c r="L29" s="645" t="e">
        <f>IF(ABS(E29)/SUM(ABS('Fuel aggregation'!E11),ABS('Fuel aggregation'!E12))&lt;0.01,TRUE,FALSE)</f>
        <v>#DIV/0!</v>
      </c>
      <c r="M29" s="639" t="e">
        <f>IF(L29=TRUE," ","This error should be as close to zero as possible.")</f>
        <v>#DIV/0!</v>
      </c>
      <c r="N29" s="8"/>
      <c r="O29" s="478"/>
      <c r="P29" s="479"/>
    </row>
    <row r="30" spans="1:16">
      <c r="A30" s="8"/>
      <c r="B30" s="28"/>
      <c r="C30" s="8" t="s">
        <v>624</v>
      </c>
      <c r="D30" s="335" t="s">
        <v>341</v>
      </c>
      <c r="E30" s="238">
        <f>SUM('Fuel aggregation'!F11:F12)</f>
        <v>0</v>
      </c>
      <c r="F30" s="238"/>
      <c r="G30" s="469"/>
      <c r="H30" s="8"/>
      <c r="I30" s="8"/>
      <c r="J30" s="8"/>
      <c r="K30" s="47"/>
      <c r="L30" s="648"/>
      <c r="M30" s="639"/>
      <c r="N30" s="8"/>
      <c r="O30" s="478"/>
      <c r="P30" s="479"/>
    </row>
    <row r="31" spans="1:16">
      <c r="A31" s="8" t="s">
        <v>587</v>
      </c>
      <c r="B31" s="28"/>
      <c r="C31" s="647" t="s">
        <v>487</v>
      </c>
      <c r="D31" s="335" t="s">
        <v>341</v>
      </c>
      <c r="E31" s="235" t="e">
        <f>SUM('Fuel aggregation'!F11:F12)-SUM('Final demand'!D11:D12)</f>
        <v>#DIV/0!</v>
      </c>
      <c r="F31" s="235"/>
      <c r="G31" s="469"/>
      <c r="H31" s="8"/>
      <c r="I31" s="8"/>
      <c r="J31" s="8"/>
      <c r="K31" s="47" t="s">
        <v>344</v>
      </c>
      <c r="L31" s="645" t="e">
        <f>IF(ABS(E31)/SUM(ABS('Fuel aggregation'!F11),ABS('Fuel aggregation'!F12))&lt;0.01,TRUE,FALSE)</f>
        <v>#DIV/0!</v>
      </c>
      <c r="M31" s="639" t="e">
        <f>IF(L31=TRUE," ","This error should be as close to zero as possible.")</f>
        <v>#DIV/0!</v>
      </c>
      <c r="N31" s="8"/>
      <c r="O31" s="478"/>
      <c r="P31" s="479"/>
    </row>
    <row r="32" spans="1:16">
      <c r="A32" s="8"/>
      <c r="B32" s="28"/>
      <c r="C32" s="8" t="s">
        <v>625</v>
      </c>
      <c r="D32" s="335" t="s">
        <v>341</v>
      </c>
      <c r="E32" s="235">
        <f>SUM('Fuel aggregation'!G11:G12)</f>
        <v>0</v>
      </c>
      <c r="F32" s="235"/>
      <c r="G32" s="469"/>
      <c r="H32" s="8"/>
      <c r="I32" s="8"/>
      <c r="J32" s="8"/>
      <c r="K32" s="47"/>
      <c r="L32" s="648"/>
      <c r="M32" s="639"/>
      <c r="N32" s="8"/>
      <c r="O32" s="478"/>
      <c r="P32" s="479"/>
    </row>
    <row r="33" spans="1:16">
      <c r="A33" s="8"/>
      <c r="B33" s="28"/>
      <c r="C33" s="647" t="s">
        <v>488</v>
      </c>
      <c r="D33" s="335" t="s">
        <v>341</v>
      </c>
      <c r="E33" s="235" t="e">
        <f>SUM('Fuel aggregation'!G11:G12)-SUM('Final demand'!E11:E12)</f>
        <v>#DIV/0!</v>
      </c>
      <c r="F33" s="235"/>
      <c r="G33" s="469"/>
      <c r="H33" s="8"/>
      <c r="I33" s="8"/>
      <c r="J33" s="8"/>
      <c r="K33" s="47" t="s">
        <v>344</v>
      </c>
      <c r="L33" s="645" t="e">
        <f>IF(ABS(E33)/SUM(ABS('Fuel aggregation'!G11),ABS('Fuel aggregation'!G12))&lt;0.01,TRUE,FALSE)</f>
        <v>#DIV/0!</v>
      </c>
      <c r="M33" s="639" t="e">
        <f>IF(L33=TRUE," ","This error should be as close to zero as possible.")</f>
        <v>#DIV/0!</v>
      </c>
      <c r="N33" s="8"/>
      <c r="O33" s="478"/>
      <c r="P33" s="479"/>
    </row>
    <row r="34" spans="1:16">
      <c r="A34" s="8"/>
      <c r="B34" s="28"/>
      <c r="C34" s="8" t="s">
        <v>626</v>
      </c>
      <c r="D34" s="335" t="s">
        <v>341</v>
      </c>
      <c r="E34" s="235">
        <f>SUM('Fuel aggregation'!G16:G17)</f>
        <v>0</v>
      </c>
      <c r="F34" s="235"/>
      <c r="G34" s="469"/>
      <c r="H34" s="8"/>
      <c r="I34" s="8"/>
      <c r="J34" s="8"/>
      <c r="K34" s="47"/>
      <c r="L34" s="648"/>
      <c r="M34" s="639"/>
      <c r="N34" s="8"/>
      <c r="O34" s="478"/>
      <c r="P34" s="479"/>
    </row>
    <row r="35" spans="1:16">
      <c r="A35" s="8"/>
      <c r="B35" s="28"/>
      <c r="C35" s="647" t="s">
        <v>489</v>
      </c>
      <c r="D35" s="335" t="s">
        <v>341</v>
      </c>
      <c r="E35" s="235" t="e">
        <f>-'Fuel aggregation'!G15-'Final demand'!E15</f>
        <v>#DIV/0!</v>
      </c>
      <c r="F35" s="235"/>
      <c r="G35" s="469"/>
      <c r="H35" s="8"/>
      <c r="I35" s="8"/>
      <c r="J35" s="8"/>
      <c r="K35" s="47" t="s">
        <v>344</v>
      </c>
      <c r="L35" s="645" t="e">
        <f>IF(ABS(E35)/ABS('Fuel aggregation'!G15)&lt;0.01,TRUE,FALSE)</f>
        <v>#DIV/0!</v>
      </c>
      <c r="M35" s="639" t="e">
        <f>IF(L35=TRUE," ","This error should be as close to zero as possible.")</f>
        <v>#DIV/0!</v>
      </c>
      <c r="N35" s="8"/>
      <c r="O35" s="478"/>
      <c r="P35" s="479"/>
    </row>
    <row r="36" spans="1:16">
      <c r="A36" s="8"/>
      <c r="B36" s="28"/>
      <c r="C36" s="8" t="s">
        <v>627</v>
      </c>
      <c r="D36" s="335" t="s">
        <v>341</v>
      </c>
      <c r="E36" s="235">
        <f>SUM('Fuel aggregation'!G21:G22)</f>
        <v>0</v>
      </c>
      <c r="F36" s="235"/>
      <c r="G36" s="469"/>
      <c r="H36" s="8"/>
      <c r="I36" s="8"/>
      <c r="J36" s="8"/>
      <c r="K36" s="47"/>
      <c r="L36" s="648"/>
      <c r="M36" s="639"/>
      <c r="N36" s="8"/>
      <c r="O36" s="478"/>
      <c r="P36" s="479"/>
    </row>
    <row r="37" spans="1:16">
      <c r="A37" s="8"/>
      <c r="B37" s="28"/>
      <c r="C37" s="647" t="s">
        <v>490</v>
      </c>
      <c r="D37" s="335" t="s">
        <v>341</v>
      </c>
      <c r="E37" s="235" t="e">
        <f>'Fuel aggregation'!G20-SUM('Final demand'!E19:E20)</f>
        <v>#DIV/0!</v>
      </c>
      <c r="F37" s="235"/>
      <c r="G37" s="469"/>
      <c r="H37" s="8"/>
      <c r="I37" s="8"/>
      <c r="J37" s="8"/>
      <c r="K37" s="47" t="s">
        <v>344</v>
      </c>
      <c r="L37" s="645" t="e">
        <f>IF(ABS(E37)/ABS('Fuel aggregation'!G20)&lt;0.01,TRUE,FALSE)</f>
        <v>#DIV/0!</v>
      </c>
      <c r="M37" s="639" t="e">
        <f>IF(L37=TRUE," ","This error should be as close to zero as possible.")</f>
        <v>#DIV/0!</v>
      </c>
      <c r="N37" s="8"/>
      <c r="O37" s="478"/>
      <c r="P37" s="479"/>
    </row>
    <row r="38" spans="1:16">
      <c r="A38" s="8"/>
      <c r="B38" s="38"/>
      <c r="C38" s="10"/>
      <c r="D38" s="338"/>
      <c r="E38" s="347"/>
      <c r="F38" s="347"/>
      <c r="G38" s="471"/>
      <c r="H38" s="10"/>
      <c r="I38" s="10"/>
      <c r="J38" s="10"/>
      <c r="K38" s="48"/>
      <c r="L38" s="461"/>
      <c r="M38" s="639"/>
      <c r="N38" s="8"/>
      <c r="O38" s="478"/>
      <c r="P38" s="479"/>
    </row>
    <row r="39" spans="1:16" s="344" customFormat="1" ht="16" thickBot="1">
      <c r="B39" s="35" t="s">
        <v>227</v>
      </c>
      <c r="C39" s="341"/>
      <c r="D39" s="345"/>
      <c r="E39" s="346"/>
      <c r="F39" s="467"/>
      <c r="G39" s="472"/>
      <c r="H39" s="341"/>
      <c r="I39" s="341"/>
      <c r="J39" s="341"/>
      <c r="K39" s="50"/>
      <c r="L39" s="351"/>
      <c r="M39" s="641"/>
      <c r="N39" s="341"/>
      <c r="O39" s="478"/>
      <c r="P39" s="479"/>
    </row>
    <row r="40" spans="1:16" ht="16" thickBot="1">
      <c r="B40" s="28"/>
      <c r="C40" s="8" t="s">
        <v>227</v>
      </c>
      <c r="D40" s="335" t="s">
        <v>211</v>
      </c>
      <c r="E40" s="236"/>
      <c r="F40" s="468"/>
      <c r="G40" s="473" t="s">
        <v>535</v>
      </c>
      <c r="H40" s="8"/>
      <c r="I40" s="21"/>
      <c r="J40" s="8"/>
      <c r="K40" s="104"/>
      <c r="L40" s="50"/>
      <c r="M40" s="639"/>
      <c r="N40" s="8"/>
      <c r="O40" s="478" t="s">
        <v>516</v>
      </c>
      <c r="P40" s="479"/>
    </row>
    <row r="41" spans="1:16" ht="16" thickBot="1">
      <c r="B41" s="28"/>
      <c r="C41" s="469" t="s">
        <v>223</v>
      </c>
      <c r="D41" s="335"/>
      <c r="E41" s="211"/>
      <c r="F41" s="332"/>
      <c r="G41" s="473" t="s">
        <v>543</v>
      </c>
      <c r="H41" s="8"/>
      <c r="I41" s="21"/>
      <c r="J41" s="8"/>
      <c r="K41" s="47" t="s">
        <v>184</v>
      </c>
      <c r="L41" s="635">
        <f>IF(SUM(E41:E44)=1,TRUE,SUM(E41:E44))</f>
        <v>0</v>
      </c>
      <c r="M41" s="639" t="str">
        <f>IF(L41=TRUE," ","Please adjust the percentages of heat delivered by the technologies to the left.")</f>
        <v>Please adjust the percentages of heat delivered by the technologies to the left.</v>
      </c>
      <c r="N41" s="8"/>
      <c r="O41" s="478" t="s">
        <v>517</v>
      </c>
      <c r="P41" s="7">
        <f>IF(L41=TRUE,1,0)</f>
        <v>0</v>
      </c>
    </row>
    <row r="42" spans="1:16" ht="16" thickBot="1">
      <c r="B42" s="28"/>
      <c r="C42" s="469" t="s">
        <v>224</v>
      </c>
      <c r="D42" s="335"/>
      <c r="E42" s="211"/>
      <c r="F42" s="332"/>
      <c r="G42" s="473" t="s">
        <v>544</v>
      </c>
      <c r="H42" s="8"/>
      <c r="I42" s="21"/>
      <c r="J42" s="8"/>
      <c r="K42" s="47"/>
      <c r="L42" s="459"/>
      <c r="M42" s="639" t="s">
        <v>203</v>
      </c>
      <c r="N42" s="8"/>
      <c r="O42" s="478" t="s">
        <v>518</v>
      </c>
      <c r="P42" s="479"/>
    </row>
    <row r="43" spans="1:16" ht="16" thickBot="1">
      <c r="B43" s="28"/>
      <c r="C43" s="469" t="s">
        <v>225</v>
      </c>
      <c r="D43" s="335"/>
      <c r="E43" s="211"/>
      <c r="F43" s="332"/>
      <c r="G43" s="473" t="s">
        <v>545</v>
      </c>
      <c r="H43" s="8"/>
      <c r="I43" s="21"/>
      <c r="J43" s="8"/>
      <c r="K43" s="47"/>
      <c r="L43" s="460"/>
      <c r="M43" s="639"/>
      <c r="N43" s="8"/>
      <c r="O43" s="478" t="s">
        <v>519</v>
      </c>
      <c r="P43" s="479"/>
    </row>
    <row r="44" spans="1:16" ht="16" thickBot="1">
      <c r="B44" s="28"/>
      <c r="C44" s="469" t="s">
        <v>226</v>
      </c>
      <c r="D44" s="335"/>
      <c r="E44" s="211"/>
      <c r="F44" s="332"/>
      <c r="G44" s="473" t="s">
        <v>546</v>
      </c>
      <c r="H44" s="8"/>
      <c r="I44" s="21"/>
      <c r="J44" s="8"/>
      <c r="K44" s="47"/>
      <c r="L44" s="460"/>
      <c r="M44" s="639"/>
      <c r="N44" s="8"/>
      <c r="O44" s="478" t="s">
        <v>520</v>
      </c>
      <c r="P44" s="479"/>
    </row>
    <row r="45" spans="1:16">
      <c r="B45" s="38"/>
      <c r="C45" s="10"/>
      <c r="D45" s="338"/>
      <c r="E45" s="10"/>
      <c r="F45" s="10"/>
      <c r="G45" s="471"/>
      <c r="H45" s="10"/>
      <c r="I45" s="10"/>
      <c r="J45" s="10"/>
      <c r="K45" s="48"/>
      <c r="L45" s="462"/>
      <c r="M45" s="642"/>
      <c r="N45" s="8"/>
      <c r="O45" s="478"/>
      <c r="P45" s="479"/>
    </row>
    <row r="46" spans="1:16">
      <c r="B46" s="35" t="s">
        <v>406</v>
      </c>
      <c r="C46" s="8"/>
      <c r="D46" s="335"/>
      <c r="E46" s="343"/>
      <c r="F46" s="343"/>
      <c r="G46" s="8"/>
      <c r="H46" s="8"/>
      <c r="I46" s="8"/>
      <c r="J46" s="8"/>
      <c r="K46" s="47"/>
      <c r="L46" s="50"/>
      <c r="M46" s="639"/>
      <c r="N46" s="8"/>
      <c r="O46" s="478"/>
      <c r="P46" s="479"/>
    </row>
    <row r="47" spans="1:16">
      <c r="B47" s="33"/>
      <c r="C47" s="8" t="s">
        <v>343</v>
      </c>
      <c r="D47" s="335" t="s">
        <v>341</v>
      </c>
      <c r="E47" s="235">
        <f>'Other energy use'!D22</f>
        <v>0</v>
      </c>
      <c r="F47" s="235"/>
      <c r="G47" s="8"/>
      <c r="H47" s="8"/>
      <c r="I47" s="8"/>
      <c r="J47" s="8"/>
      <c r="K47" s="47" t="s">
        <v>419</v>
      </c>
      <c r="L47" s="634" t="b">
        <f>IF(E47&gt;=0, TRUE, FALSE)</f>
        <v>1</v>
      </c>
      <c r="M47" s="639"/>
      <c r="N47" s="8"/>
      <c r="O47" s="478"/>
      <c r="P47" s="7">
        <f>IF(L47=TRUE,1,0)</f>
        <v>1</v>
      </c>
    </row>
    <row r="48" spans="1:16">
      <c r="B48" s="28"/>
      <c r="C48" s="8" t="s">
        <v>452</v>
      </c>
      <c r="D48" s="335" t="s">
        <v>341</v>
      </c>
      <c r="E48" s="235">
        <f>'Other energy use'!H22</f>
        <v>0</v>
      </c>
      <c r="F48" s="235"/>
      <c r="G48" s="8"/>
      <c r="H48" s="8"/>
      <c r="I48" s="8"/>
      <c r="J48" s="8"/>
      <c r="K48" s="47" t="s">
        <v>453</v>
      </c>
      <c r="L48" s="634" t="b">
        <f>IF(E48&gt;=0, TRUE, FALSE)</f>
        <v>1</v>
      </c>
      <c r="M48" s="639"/>
      <c r="N48" s="8"/>
      <c r="O48" s="478"/>
      <c r="P48" s="7">
        <f>IF(L48=TRUE,1,0)</f>
        <v>1</v>
      </c>
    </row>
    <row r="49" spans="2:16">
      <c r="B49" s="28"/>
      <c r="C49" s="8" t="s">
        <v>232</v>
      </c>
      <c r="D49" s="335" t="s">
        <v>341</v>
      </c>
      <c r="E49" s="235" t="e">
        <f>'Other energy use'!G22</f>
        <v>#DIV/0!</v>
      </c>
      <c r="F49" s="235"/>
      <c r="G49" s="8"/>
      <c r="H49" s="8"/>
      <c r="I49" s="8"/>
      <c r="J49" s="8"/>
      <c r="K49" s="47" t="s">
        <v>420</v>
      </c>
      <c r="L49" s="634" t="e">
        <f t="shared" ref="L49:L51" si="0">IF(E49&gt;=0, TRUE, FALSE)</f>
        <v>#DIV/0!</v>
      </c>
      <c r="M49" s="639"/>
      <c r="N49" s="8"/>
      <c r="O49" s="478"/>
      <c r="P49" s="7" t="e">
        <f>IF(L49=TRUE,1,0)</f>
        <v>#DIV/0!</v>
      </c>
    </row>
    <row r="50" spans="2:16">
      <c r="B50" s="28"/>
      <c r="C50" s="8" t="s">
        <v>233</v>
      </c>
      <c r="D50" s="335" t="s">
        <v>341</v>
      </c>
      <c r="E50" s="235" t="e">
        <f>'Other energy use'!K22</f>
        <v>#DIV/0!</v>
      </c>
      <c r="F50" s="235"/>
      <c r="G50" s="8"/>
      <c r="H50" s="8"/>
      <c r="I50" s="8"/>
      <c r="J50" s="8"/>
      <c r="K50" s="47" t="s">
        <v>421</v>
      </c>
      <c r="L50" s="634" t="e">
        <f>IF(E50&gt;=0, TRUE, FALSE)</f>
        <v>#DIV/0!</v>
      </c>
      <c r="M50" s="639"/>
      <c r="N50" s="8"/>
      <c r="O50" s="478"/>
      <c r="P50" s="7" t="e">
        <f>IF(L50=TRUE,1,0)</f>
        <v>#DIV/0!</v>
      </c>
    </row>
    <row r="51" spans="2:16">
      <c r="B51" s="28"/>
      <c r="C51" s="8" t="s">
        <v>234</v>
      </c>
      <c r="D51" s="335" t="s">
        <v>341</v>
      </c>
      <c r="E51" s="235" t="e">
        <f>'Other energy use'!J22</f>
        <v>#DIV/0!</v>
      </c>
      <c r="F51" s="235"/>
      <c r="G51" s="8"/>
      <c r="H51" s="8"/>
      <c r="I51" s="8"/>
      <c r="J51" s="8"/>
      <c r="K51" s="17" t="s">
        <v>422</v>
      </c>
      <c r="L51" s="634" t="e">
        <f t="shared" si="0"/>
        <v>#DIV/0!</v>
      </c>
      <c r="M51" s="639"/>
      <c r="N51" s="8"/>
      <c r="O51" s="478"/>
      <c r="P51" s="7" t="e">
        <f>IF(L51=TRUE,1,0)</f>
        <v>#DIV/0!</v>
      </c>
    </row>
    <row r="52" spans="2:16">
      <c r="B52" s="28"/>
      <c r="C52" s="8"/>
      <c r="D52" s="335"/>
      <c r="E52" s="235"/>
      <c r="F52" s="235"/>
      <c r="G52" s="8"/>
      <c r="H52" s="8"/>
      <c r="I52" s="8"/>
      <c r="J52" s="8"/>
      <c r="K52" s="17"/>
      <c r="L52" s="463"/>
      <c r="M52" s="639"/>
      <c r="N52" s="8"/>
      <c r="O52" s="478"/>
      <c r="P52" s="480"/>
    </row>
    <row r="53" spans="2:16">
      <c r="B53" s="28"/>
      <c r="C53" s="8"/>
      <c r="D53" s="335"/>
      <c r="E53" s="235"/>
      <c r="F53" s="235"/>
      <c r="G53" s="8"/>
      <c r="H53" s="8"/>
      <c r="I53" s="8"/>
      <c r="J53" s="8"/>
      <c r="K53" s="349" t="s">
        <v>423</v>
      </c>
      <c r="L53" s="645" t="e">
        <f>IF(ABS('Other energy use'!L22/SUM('Other energy use'!D22:L22))&lt;0.005,TRUE,'Other energy use'!L22/SUM('Other energy use'!D22:L22))</f>
        <v>#DIV/0!</v>
      </c>
      <c r="M53" s="643" t="e">
        <f>IF(L53=TRUE," ","There is an energy carrier in the energy balance for the Industry sector that cannot be processed in this sector by the ETM. "&amp;"Please check whether you pasted the right version of the energy balance. If you did that right, please contact Quintel Intelligence.")</f>
        <v>#DIV/0!</v>
      </c>
      <c r="N53" s="474"/>
      <c r="O53" s="481"/>
      <c r="P53" s="479"/>
    </row>
    <row r="54" spans="2:16" ht="16" thickBot="1">
      <c r="B54" s="40"/>
      <c r="C54" s="56"/>
      <c r="D54" s="337"/>
      <c r="E54" s="110"/>
      <c r="F54" s="110"/>
      <c r="G54" s="56"/>
      <c r="H54" s="56"/>
      <c r="I54" s="56"/>
      <c r="J54" s="56"/>
      <c r="K54" s="350"/>
      <c r="L54" s="464"/>
      <c r="M54" s="644"/>
      <c r="N54" s="8"/>
      <c r="O54" s="482"/>
      <c r="P54" s="483"/>
    </row>
    <row r="62" spans="2:16">
      <c r="E62" s="8"/>
      <c r="F62" s="8"/>
    </row>
  </sheetData>
  <mergeCells count="1">
    <mergeCell ref="B5:E7"/>
  </mergeCells>
  <conditionalFormatting sqref="L13">
    <cfRule type="cellIs" dxfId="21" priority="13" operator="equal">
      <formula>TRUE</formula>
    </cfRule>
  </conditionalFormatting>
  <conditionalFormatting sqref="L14">
    <cfRule type="cellIs" dxfId="20" priority="12" operator="equal">
      <formula>TRUE</formula>
    </cfRule>
  </conditionalFormatting>
  <conditionalFormatting sqref="L41">
    <cfRule type="cellIs" dxfId="19" priority="8" operator="equal">
      <formula>TRUE</formula>
    </cfRule>
  </conditionalFormatting>
  <conditionalFormatting sqref="L18">
    <cfRule type="cellIs" dxfId="18" priority="10" operator="equal">
      <formula>TRUE</formula>
    </cfRule>
  </conditionalFormatting>
  <conditionalFormatting sqref="L24">
    <cfRule type="cellIs" dxfId="17" priority="9" operator="equal">
      <formula>TRUE</formula>
    </cfRule>
  </conditionalFormatting>
  <conditionalFormatting sqref="L47">
    <cfRule type="cellIs" dxfId="16" priority="7" operator="equal">
      <formula>TRUE</formula>
    </cfRule>
  </conditionalFormatting>
  <conditionalFormatting sqref="L48">
    <cfRule type="cellIs" dxfId="15" priority="6" operator="equal">
      <formula>TRUE</formula>
    </cfRule>
  </conditionalFormatting>
  <conditionalFormatting sqref="L49">
    <cfRule type="cellIs" dxfId="14" priority="5" operator="equal">
      <formula>TRUE</formula>
    </cfRule>
  </conditionalFormatting>
  <conditionalFormatting sqref="L50">
    <cfRule type="cellIs" dxfId="13" priority="4" operator="equal">
      <formula>TRUE</formula>
    </cfRule>
  </conditionalFormatting>
  <conditionalFormatting sqref="L51">
    <cfRule type="cellIs" dxfId="12" priority="3" operator="equal">
      <formula>TRUE</formula>
    </cfRule>
  </conditionalFormatting>
  <conditionalFormatting sqref="L29 L31 L33 L35 L37">
    <cfRule type="cellIs" dxfId="11" priority="2" operator="equal">
      <formula>TRUE</formula>
    </cfRule>
  </conditionalFormatting>
  <conditionalFormatting sqref="L53">
    <cfRule type="cellIs" dxfId="10" priority="1" operator="equal">
      <formula>TRUE</formula>
    </cfRule>
  </conditionalFormatting>
  <dataValidations count="3">
    <dataValidation type="decimal" allowBlank="1" showInputMessage="1" showErrorMessage="1" errorTitle="Value Range" error="You can only enter a value between 0% and 100%." sqref="E41:E44 E18:E21 E24:E25">
      <formula1>0</formula1>
      <formula2>1</formula2>
    </dataValidation>
    <dataValidation type="decimal" operator="greaterThanOrEqual" allowBlank="1" showInputMessage="1" showErrorMessage="1" errorTitle="Value Range" error="You can only enter a positive number here. " sqref="E40">
      <formula1>0</formula1>
    </dataValidation>
    <dataValidation type="decimal" operator="greaterThan" allowBlank="1" showInputMessage="1" showErrorMessage="1" errorTitle="Value Range" error="The steel production should be an positive, non-zero value." sqref="E17">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8</xdr:col>
                    <xdr:colOff>2247900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550</v>
      </c>
    </row>
    <row r="3" spans="2:67" ht="15" customHeight="1">
      <c r="B3" s="2"/>
    </row>
    <row r="4" spans="2:67" ht="15" customHeight="1">
      <c r="B4" s="72" t="s">
        <v>83</v>
      </c>
    </row>
    <row r="5" spans="2:67" ht="30">
      <c r="B5" s="221" t="s">
        <v>491</v>
      </c>
    </row>
    <row r="6" spans="2:67" ht="15" customHeight="1" thickBot="1"/>
    <row r="7" spans="2:67" ht="30" customHeight="1">
      <c r="B7" s="432" t="s">
        <v>91</v>
      </c>
      <c r="C7" s="433" t="s">
        <v>33</v>
      </c>
      <c r="D7" s="433" t="s">
        <v>34</v>
      </c>
      <c r="E7" s="433" t="s">
        <v>35</v>
      </c>
      <c r="F7" s="433" t="s">
        <v>36</v>
      </c>
      <c r="G7" s="433" t="s">
        <v>37</v>
      </c>
      <c r="H7" s="433" t="s">
        <v>38</v>
      </c>
      <c r="I7" s="433" t="s">
        <v>49</v>
      </c>
      <c r="J7" s="433" t="s">
        <v>40</v>
      </c>
      <c r="K7" s="433" t="s">
        <v>41</v>
      </c>
      <c r="L7" s="433" t="s">
        <v>42</v>
      </c>
      <c r="M7" s="433" t="s">
        <v>43</v>
      </c>
      <c r="N7" s="433" t="s">
        <v>44</v>
      </c>
      <c r="O7" s="433" t="s">
        <v>45</v>
      </c>
      <c r="P7" s="433" t="s">
        <v>46</v>
      </c>
      <c r="Q7" s="433" t="s">
        <v>47</v>
      </c>
      <c r="R7" s="433" t="s">
        <v>48</v>
      </c>
      <c r="S7" s="433" t="s">
        <v>39</v>
      </c>
      <c r="T7" s="433" t="s">
        <v>92</v>
      </c>
      <c r="U7" s="433" t="s">
        <v>50</v>
      </c>
      <c r="V7" s="433" t="s">
        <v>51</v>
      </c>
      <c r="W7" s="433" t="s">
        <v>52</v>
      </c>
      <c r="X7" s="433" t="s">
        <v>53</v>
      </c>
      <c r="Y7" s="433" t="s">
        <v>54</v>
      </c>
      <c r="Z7" s="433" t="s">
        <v>55</v>
      </c>
      <c r="AA7" s="433" t="s">
        <v>56</v>
      </c>
      <c r="AB7" s="433" t="s">
        <v>57</v>
      </c>
      <c r="AC7" s="433" t="s">
        <v>58</v>
      </c>
      <c r="AD7" s="433" t="s">
        <v>59</v>
      </c>
      <c r="AE7" s="433" t="s">
        <v>60</v>
      </c>
      <c r="AF7" s="433" t="s">
        <v>61</v>
      </c>
      <c r="AG7" s="433" t="s">
        <v>62</v>
      </c>
      <c r="AH7" s="433" t="s">
        <v>63</v>
      </c>
      <c r="AI7" s="433" t="s">
        <v>64</v>
      </c>
      <c r="AJ7" s="433" t="s">
        <v>65</v>
      </c>
      <c r="AK7" s="433" t="s">
        <v>66</v>
      </c>
      <c r="AL7" s="433" t="s">
        <v>67</v>
      </c>
      <c r="AM7" s="433" t="s">
        <v>68</v>
      </c>
      <c r="AN7" s="433" t="s">
        <v>69</v>
      </c>
      <c r="AO7" s="433" t="s">
        <v>70</v>
      </c>
      <c r="AP7" s="433" t="s">
        <v>71</v>
      </c>
      <c r="AQ7" s="433" t="s">
        <v>72</v>
      </c>
      <c r="AR7" s="433" t="s">
        <v>74</v>
      </c>
      <c r="AS7" s="433" t="s">
        <v>73</v>
      </c>
      <c r="AT7" s="433" t="s">
        <v>75</v>
      </c>
      <c r="AU7" s="433" t="s">
        <v>80</v>
      </c>
      <c r="AV7" s="433" t="s">
        <v>76</v>
      </c>
      <c r="AW7" s="433" t="s">
        <v>77</v>
      </c>
      <c r="AX7" s="433" t="s">
        <v>78</v>
      </c>
      <c r="AY7" s="433" t="s">
        <v>79</v>
      </c>
      <c r="AZ7" s="433" t="s">
        <v>81</v>
      </c>
      <c r="BA7" s="433" t="s">
        <v>93</v>
      </c>
      <c r="BB7" s="433" t="s">
        <v>94</v>
      </c>
      <c r="BC7" s="433" t="s">
        <v>95</v>
      </c>
      <c r="BD7" s="433" t="s">
        <v>96</v>
      </c>
      <c r="BE7" s="433" t="s">
        <v>97</v>
      </c>
      <c r="BF7" s="433" t="s">
        <v>98</v>
      </c>
      <c r="BG7" s="433" t="s">
        <v>99</v>
      </c>
      <c r="BH7" s="433" t="s">
        <v>100</v>
      </c>
      <c r="BI7" s="433" t="s">
        <v>101</v>
      </c>
      <c r="BJ7" s="433" t="s">
        <v>102</v>
      </c>
      <c r="BK7" s="433" t="s">
        <v>26</v>
      </c>
      <c r="BL7" s="433" t="s">
        <v>103</v>
      </c>
      <c r="BM7" s="433" t="s">
        <v>104</v>
      </c>
      <c r="BN7" s="434" t="s">
        <v>90</v>
      </c>
      <c r="BO7" s="435" t="s">
        <v>105</v>
      </c>
    </row>
    <row r="8" spans="2:67">
      <c r="B8" s="436" t="s">
        <v>106</v>
      </c>
      <c r="C8" s="437"/>
      <c r="D8" s="437"/>
      <c r="E8" s="437"/>
      <c r="F8" s="437"/>
      <c r="G8" s="437"/>
      <c r="H8" s="437"/>
      <c r="I8" s="437"/>
      <c r="J8" s="437"/>
      <c r="K8" s="437"/>
      <c r="L8" s="437"/>
      <c r="M8" s="437"/>
      <c r="N8" s="437"/>
      <c r="O8" s="437"/>
      <c r="P8" s="437"/>
      <c r="Q8" s="437"/>
      <c r="R8" s="437"/>
      <c r="S8" s="437"/>
      <c r="T8" s="437"/>
      <c r="U8" s="437"/>
      <c r="V8" s="437"/>
      <c r="W8" s="437"/>
      <c r="X8" s="437"/>
      <c r="Y8" s="437"/>
      <c r="Z8" s="437"/>
      <c r="AA8" s="437"/>
      <c r="AB8" s="437"/>
      <c r="AC8" s="437"/>
      <c r="AD8" s="437"/>
      <c r="AE8" s="437"/>
      <c r="AF8" s="437"/>
      <c r="AG8" s="437"/>
      <c r="AH8" s="437"/>
      <c r="AI8" s="437"/>
      <c r="AJ8" s="437"/>
      <c r="AK8" s="437"/>
      <c r="AL8" s="437"/>
      <c r="AM8" s="437"/>
      <c r="AN8" s="437"/>
      <c r="AO8" s="437"/>
      <c r="AP8" s="437"/>
      <c r="AQ8" s="437"/>
      <c r="AR8" s="437"/>
      <c r="AS8" s="437"/>
      <c r="AT8" s="437"/>
      <c r="AU8" s="437"/>
      <c r="AV8" s="437"/>
      <c r="AW8" s="437"/>
      <c r="AX8" s="437"/>
      <c r="AY8" s="437"/>
      <c r="AZ8" s="437"/>
      <c r="BA8" s="437"/>
      <c r="BB8" s="437"/>
      <c r="BC8" s="437"/>
      <c r="BD8" s="437"/>
      <c r="BE8" s="437"/>
      <c r="BF8" s="437"/>
      <c r="BG8" s="437"/>
      <c r="BH8" s="437"/>
      <c r="BI8" s="437"/>
      <c r="BJ8" s="437"/>
      <c r="BK8" s="437"/>
      <c r="BL8" s="437"/>
      <c r="BM8" s="437"/>
      <c r="BN8" s="438"/>
      <c r="BO8" s="439"/>
    </row>
    <row r="9" spans="2:67">
      <c r="B9" s="440" t="s">
        <v>107</v>
      </c>
      <c r="C9" s="441"/>
      <c r="D9" s="441"/>
      <c r="E9" s="441"/>
      <c r="F9" s="441"/>
      <c r="G9" s="441"/>
      <c r="H9" s="441"/>
      <c r="I9" s="441"/>
      <c r="J9" s="441"/>
      <c r="K9" s="441"/>
      <c r="L9" s="441"/>
      <c r="M9" s="441"/>
      <c r="N9" s="441"/>
      <c r="O9" s="441"/>
      <c r="P9" s="441"/>
      <c r="Q9" s="441"/>
      <c r="R9" s="441"/>
      <c r="S9" s="441"/>
      <c r="T9" s="441"/>
      <c r="U9" s="441"/>
      <c r="V9" s="441"/>
      <c r="W9" s="441"/>
      <c r="X9" s="441"/>
      <c r="Y9" s="441"/>
      <c r="Z9" s="441"/>
      <c r="AA9" s="441"/>
      <c r="AB9" s="441"/>
      <c r="AC9" s="441"/>
      <c r="AD9" s="441"/>
      <c r="AE9" s="441"/>
      <c r="AF9" s="441"/>
      <c r="AG9" s="441"/>
      <c r="AH9" s="441"/>
      <c r="AI9" s="441"/>
      <c r="AJ9" s="441"/>
      <c r="AK9" s="441"/>
      <c r="AL9" s="441"/>
      <c r="AM9" s="441"/>
      <c r="AN9" s="441"/>
      <c r="AO9" s="441"/>
      <c r="AP9" s="441"/>
      <c r="AQ9" s="441"/>
      <c r="AR9" s="441"/>
      <c r="AS9" s="441"/>
      <c r="AT9" s="441"/>
      <c r="AU9" s="441"/>
      <c r="AV9" s="441"/>
      <c r="AW9" s="441"/>
      <c r="AX9" s="441"/>
      <c r="AY9" s="441"/>
      <c r="AZ9" s="441"/>
      <c r="BA9" s="441"/>
      <c r="BB9" s="441"/>
      <c r="BC9" s="441"/>
      <c r="BD9" s="441"/>
      <c r="BE9" s="441"/>
      <c r="BF9" s="441"/>
      <c r="BG9" s="441"/>
      <c r="BH9" s="441"/>
      <c r="BI9" s="441"/>
      <c r="BJ9" s="441"/>
      <c r="BK9" s="441"/>
      <c r="BL9" s="441"/>
      <c r="BM9" s="441"/>
      <c r="BN9" s="442"/>
      <c r="BO9" s="443"/>
    </row>
    <row r="10" spans="2:67">
      <c r="B10" s="440" t="s">
        <v>108</v>
      </c>
      <c r="C10" s="441"/>
      <c r="D10" s="441"/>
      <c r="E10" s="441"/>
      <c r="F10" s="441"/>
      <c r="G10" s="441"/>
      <c r="H10" s="441"/>
      <c r="I10" s="441"/>
      <c r="J10" s="441"/>
      <c r="K10" s="441"/>
      <c r="L10" s="441"/>
      <c r="M10" s="441"/>
      <c r="N10" s="441"/>
      <c r="O10" s="441"/>
      <c r="P10" s="441"/>
      <c r="Q10" s="441"/>
      <c r="R10" s="441"/>
      <c r="S10" s="441"/>
      <c r="T10" s="441"/>
      <c r="U10" s="441"/>
      <c r="V10" s="441"/>
      <c r="W10" s="441"/>
      <c r="X10" s="441"/>
      <c r="Y10" s="441"/>
      <c r="Z10" s="441"/>
      <c r="AA10" s="441"/>
      <c r="AB10" s="441"/>
      <c r="AC10" s="441"/>
      <c r="AD10" s="441"/>
      <c r="AE10" s="441"/>
      <c r="AF10" s="441"/>
      <c r="AG10" s="441"/>
      <c r="AH10" s="441"/>
      <c r="AI10" s="441"/>
      <c r="AJ10" s="441"/>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c r="BG10" s="441"/>
      <c r="BH10" s="441"/>
      <c r="BI10" s="441"/>
      <c r="BJ10" s="441"/>
      <c r="BK10" s="441"/>
      <c r="BL10" s="441"/>
      <c r="BM10" s="441"/>
      <c r="BN10" s="442"/>
      <c r="BO10" s="443"/>
    </row>
    <row r="11" spans="2:67">
      <c r="B11" s="440" t="s">
        <v>109</v>
      </c>
      <c r="C11" s="441"/>
      <c r="D11" s="441"/>
      <c r="E11" s="441"/>
      <c r="F11" s="441"/>
      <c r="G11" s="441"/>
      <c r="H11" s="441"/>
      <c r="I11" s="441"/>
      <c r="J11" s="441"/>
      <c r="K11" s="441"/>
      <c r="L11" s="441"/>
      <c r="M11" s="441"/>
      <c r="N11" s="441"/>
      <c r="O11" s="441"/>
      <c r="P11" s="441"/>
      <c r="Q11" s="441"/>
      <c r="R11" s="441"/>
      <c r="S11" s="441"/>
      <c r="T11" s="441"/>
      <c r="U11" s="441"/>
      <c r="V11" s="441"/>
      <c r="W11" s="441"/>
      <c r="X11" s="441"/>
      <c r="Y11" s="441"/>
      <c r="Z11" s="441"/>
      <c r="AA11" s="441"/>
      <c r="AB11" s="441"/>
      <c r="AC11" s="441"/>
      <c r="AD11" s="441"/>
      <c r="AE11" s="441"/>
      <c r="AF11" s="441"/>
      <c r="AG11" s="441"/>
      <c r="AH11" s="441"/>
      <c r="AI11" s="441"/>
      <c r="AJ11" s="44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c r="BG11" s="441"/>
      <c r="BH11" s="441"/>
      <c r="BI11" s="441"/>
      <c r="BJ11" s="441"/>
      <c r="BK11" s="441"/>
      <c r="BL11" s="441"/>
      <c r="BM11" s="441"/>
      <c r="BN11" s="442"/>
      <c r="BO11" s="443"/>
    </row>
    <row r="12" spans="2:67">
      <c r="B12" s="440" t="s">
        <v>110</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41"/>
      <c r="AF12" s="441"/>
      <c r="AG12" s="441"/>
      <c r="AH12" s="441"/>
      <c r="AI12" s="441"/>
      <c r="AJ12" s="441"/>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c r="BG12" s="441"/>
      <c r="BH12" s="441"/>
      <c r="BI12" s="441"/>
      <c r="BJ12" s="441"/>
      <c r="BK12" s="441"/>
      <c r="BL12" s="441"/>
      <c r="BM12" s="441"/>
      <c r="BN12" s="442"/>
      <c r="BO12" s="443"/>
    </row>
    <row r="13" spans="2:67">
      <c r="B13" s="440" t="s">
        <v>111</v>
      </c>
      <c r="C13" s="441"/>
      <c r="D13" s="441"/>
      <c r="E13" s="441"/>
      <c r="F13" s="441"/>
      <c r="G13" s="441"/>
      <c r="H13" s="441"/>
      <c r="I13" s="441"/>
      <c r="J13" s="441"/>
      <c r="K13" s="441"/>
      <c r="L13" s="441"/>
      <c r="M13" s="441"/>
      <c r="N13" s="441"/>
      <c r="O13" s="441"/>
      <c r="P13" s="441"/>
      <c r="Q13" s="441"/>
      <c r="R13" s="441"/>
      <c r="S13" s="441"/>
      <c r="T13" s="441"/>
      <c r="U13" s="441"/>
      <c r="V13" s="441"/>
      <c r="W13" s="441"/>
      <c r="X13" s="441"/>
      <c r="Y13" s="441"/>
      <c r="Z13" s="441"/>
      <c r="AA13" s="441"/>
      <c r="AB13" s="441"/>
      <c r="AC13" s="441"/>
      <c r="AD13" s="441"/>
      <c r="AE13" s="441"/>
      <c r="AF13" s="441"/>
      <c r="AG13" s="441"/>
      <c r="AH13" s="441"/>
      <c r="AI13" s="441"/>
      <c r="AJ13" s="441"/>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c r="BG13" s="441"/>
      <c r="BH13" s="441"/>
      <c r="BI13" s="441"/>
      <c r="BJ13" s="441"/>
      <c r="BK13" s="441"/>
      <c r="BL13" s="441"/>
      <c r="BM13" s="441"/>
      <c r="BN13" s="442"/>
      <c r="BO13" s="443"/>
    </row>
    <row r="14" spans="2:67" ht="16" thickBot="1">
      <c r="B14" s="440" t="s">
        <v>112</v>
      </c>
      <c r="C14" s="441"/>
      <c r="D14" s="441"/>
      <c r="E14" s="441"/>
      <c r="F14" s="441"/>
      <c r="G14" s="441"/>
      <c r="H14" s="441"/>
      <c r="I14" s="441"/>
      <c r="J14" s="441"/>
      <c r="K14" s="441"/>
      <c r="L14" s="441"/>
      <c r="M14" s="441"/>
      <c r="N14" s="441"/>
      <c r="O14" s="441"/>
      <c r="P14" s="441"/>
      <c r="Q14" s="441"/>
      <c r="R14" s="441"/>
      <c r="S14" s="441"/>
      <c r="T14" s="441"/>
      <c r="U14" s="441"/>
      <c r="V14" s="441"/>
      <c r="W14" s="441"/>
      <c r="X14" s="441"/>
      <c r="Y14" s="441"/>
      <c r="Z14" s="441"/>
      <c r="AA14" s="441"/>
      <c r="AB14" s="441"/>
      <c r="AC14" s="441"/>
      <c r="AD14" s="441"/>
      <c r="AE14" s="441"/>
      <c r="AF14" s="441"/>
      <c r="AG14" s="441"/>
      <c r="AH14" s="441"/>
      <c r="AI14" s="441"/>
      <c r="AJ14" s="441"/>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c r="BG14" s="441"/>
      <c r="BH14" s="441"/>
      <c r="BI14" s="441"/>
      <c r="BJ14" s="441"/>
      <c r="BK14" s="441"/>
      <c r="BL14" s="441"/>
      <c r="BM14" s="441"/>
      <c r="BN14" s="442"/>
      <c r="BO14" s="443"/>
    </row>
    <row r="15" spans="2:67" ht="16" thickBot="1">
      <c r="B15" s="444" t="s">
        <v>113</v>
      </c>
      <c r="C15" s="445"/>
      <c r="D15" s="445"/>
      <c r="E15" s="445"/>
      <c r="F15" s="445"/>
      <c r="G15" s="445"/>
      <c r="H15" s="445"/>
      <c r="I15" s="445"/>
      <c r="J15" s="445"/>
      <c r="K15" s="445"/>
      <c r="L15" s="445"/>
      <c r="M15" s="445"/>
      <c r="N15" s="445"/>
      <c r="O15" s="445"/>
      <c r="P15" s="445"/>
      <c r="Q15" s="445"/>
      <c r="R15" s="445"/>
      <c r="S15" s="445"/>
      <c r="T15" s="445"/>
      <c r="U15" s="445"/>
      <c r="V15" s="445"/>
      <c r="W15" s="445"/>
      <c r="X15" s="445"/>
      <c r="Y15" s="445"/>
      <c r="Z15" s="445"/>
      <c r="AA15" s="445"/>
      <c r="AB15" s="445"/>
      <c r="AC15" s="445"/>
      <c r="AD15" s="445"/>
      <c r="AE15" s="445"/>
      <c r="AF15" s="445"/>
      <c r="AG15" s="445"/>
      <c r="AH15" s="445"/>
      <c r="AI15" s="445"/>
      <c r="AJ15" s="445"/>
      <c r="AK15" s="445"/>
      <c r="AL15" s="445"/>
      <c r="AM15" s="445"/>
      <c r="AN15" s="445"/>
      <c r="AO15" s="445"/>
      <c r="AP15" s="445"/>
      <c r="AQ15" s="445"/>
      <c r="AR15" s="445"/>
      <c r="AS15" s="445"/>
      <c r="AT15" s="445"/>
      <c r="AU15" s="445"/>
      <c r="AV15" s="445"/>
      <c r="AW15" s="445"/>
      <c r="AX15" s="445"/>
      <c r="AY15" s="445"/>
      <c r="AZ15" s="445"/>
      <c r="BA15" s="445"/>
      <c r="BB15" s="445"/>
      <c r="BC15" s="445"/>
      <c r="BD15" s="445"/>
      <c r="BE15" s="445"/>
      <c r="BF15" s="445"/>
      <c r="BG15" s="445"/>
      <c r="BH15" s="445"/>
      <c r="BI15" s="445"/>
      <c r="BJ15" s="445"/>
      <c r="BK15" s="445"/>
      <c r="BL15" s="445"/>
      <c r="BM15" s="445"/>
      <c r="BN15" s="446"/>
      <c r="BO15" s="447"/>
    </row>
    <row r="16" spans="2:67">
      <c r="B16" s="440" t="s">
        <v>114</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1"/>
      <c r="BH16" s="441"/>
      <c r="BI16" s="441"/>
      <c r="BJ16" s="441"/>
      <c r="BK16" s="441"/>
      <c r="BL16" s="441"/>
      <c r="BM16" s="441"/>
      <c r="BN16" s="442"/>
      <c r="BO16" s="443"/>
    </row>
    <row r="17" spans="2:67" ht="16" thickBot="1">
      <c r="B17" s="440" t="s">
        <v>115</v>
      </c>
      <c r="C17" s="441"/>
      <c r="D17" s="441"/>
      <c r="E17" s="441"/>
      <c r="F17" s="441"/>
      <c r="G17" s="441"/>
      <c r="H17" s="441"/>
      <c r="I17" s="441"/>
      <c r="J17" s="441"/>
      <c r="K17" s="441"/>
      <c r="L17" s="441"/>
      <c r="M17" s="441"/>
      <c r="N17" s="441"/>
      <c r="O17" s="441"/>
      <c r="P17" s="441"/>
      <c r="Q17" s="441"/>
      <c r="R17" s="441"/>
      <c r="S17" s="441"/>
      <c r="T17" s="441"/>
      <c r="U17" s="441"/>
      <c r="V17" s="441"/>
      <c r="W17" s="441"/>
      <c r="X17" s="441"/>
      <c r="Y17" s="441"/>
      <c r="Z17" s="441"/>
      <c r="AA17" s="441"/>
      <c r="AB17" s="441"/>
      <c r="AC17" s="441"/>
      <c r="AD17" s="441"/>
      <c r="AE17" s="441"/>
      <c r="AF17" s="441"/>
      <c r="AG17" s="441"/>
      <c r="AH17" s="441"/>
      <c r="AI17" s="441"/>
      <c r="AJ17" s="44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c r="BG17" s="441"/>
      <c r="BH17" s="441"/>
      <c r="BI17" s="441"/>
      <c r="BJ17" s="441"/>
      <c r="BK17" s="441"/>
      <c r="BL17" s="441"/>
      <c r="BM17" s="441"/>
      <c r="BN17" s="442"/>
      <c r="BO17" s="443"/>
    </row>
    <row r="18" spans="2:67" ht="16" thickBot="1">
      <c r="B18" s="444" t="s">
        <v>116</v>
      </c>
      <c r="C18" s="445"/>
      <c r="D18" s="445"/>
      <c r="E18" s="445"/>
      <c r="F18" s="445"/>
      <c r="G18" s="445"/>
      <c r="H18" s="445"/>
      <c r="I18" s="445"/>
      <c r="J18" s="445"/>
      <c r="K18" s="445"/>
      <c r="L18" s="445"/>
      <c r="M18" s="445"/>
      <c r="N18" s="445"/>
      <c r="O18" s="445"/>
      <c r="P18" s="445"/>
      <c r="Q18" s="445"/>
      <c r="R18" s="445"/>
      <c r="S18" s="445"/>
      <c r="T18" s="445"/>
      <c r="U18" s="445"/>
      <c r="V18" s="445"/>
      <c r="W18" s="445"/>
      <c r="X18" s="445"/>
      <c r="Y18" s="445"/>
      <c r="Z18" s="445"/>
      <c r="AA18" s="445"/>
      <c r="AB18" s="445"/>
      <c r="AC18" s="445"/>
      <c r="AD18" s="445"/>
      <c r="AE18" s="445"/>
      <c r="AF18" s="445"/>
      <c r="AG18" s="445"/>
      <c r="AH18" s="445"/>
      <c r="AI18" s="445"/>
      <c r="AJ18" s="445"/>
      <c r="AK18" s="445"/>
      <c r="AL18" s="445"/>
      <c r="AM18" s="445"/>
      <c r="AN18" s="445"/>
      <c r="AO18" s="445"/>
      <c r="AP18" s="445"/>
      <c r="AQ18" s="445"/>
      <c r="AR18" s="445"/>
      <c r="AS18" s="445"/>
      <c r="AT18" s="445"/>
      <c r="AU18" s="445"/>
      <c r="AV18" s="445"/>
      <c r="AW18" s="445"/>
      <c r="AX18" s="445"/>
      <c r="AY18" s="445"/>
      <c r="AZ18" s="445"/>
      <c r="BA18" s="445"/>
      <c r="BB18" s="445"/>
      <c r="BC18" s="445"/>
      <c r="BD18" s="445"/>
      <c r="BE18" s="445"/>
      <c r="BF18" s="445"/>
      <c r="BG18" s="445"/>
      <c r="BH18" s="445"/>
      <c r="BI18" s="445"/>
      <c r="BJ18" s="445"/>
      <c r="BK18" s="445"/>
      <c r="BL18" s="445"/>
      <c r="BM18" s="445"/>
      <c r="BN18" s="446"/>
      <c r="BO18" s="447"/>
    </row>
    <row r="19" spans="2:67">
      <c r="B19" s="440" t="s">
        <v>117</v>
      </c>
      <c r="C19" s="441"/>
      <c r="D19" s="441"/>
      <c r="E19" s="441"/>
      <c r="F19" s="441"/>
      <c r="G19" s="441"/>
      <c r="H19" s="441"/>
      <c r="I19" s="441"/>
      <c r="J19" s="441"/>
      <c r="K19" s="441"/>
      <c r="L19" s="441"/>
      <c r="M19" s="441"/>
      <c r="N19" s="441"/>
      <c r="O19" s="441"/>
      <c r="P19" s="441"/>
      <c r="Q19" s="441"/>
      <c r="R19" s="441"/>
      <c r="S19" s="441"/>
      <c r="T19" s="441"/>
      <c r="U19" s="441"/>
      <c r="V19" s="441"/>
      <c r="W19" s="441"/>
      <c r="X19" s="441"/>
      <c r="Y19" s="441"/>
      <c r="Z19" s="441"/>
      <c r="AA19" s="441"/>
      <c r="AB19" s="441"/>
      <c r="AC19" s="441"/>
      <c r="AD19" s="441"/>
      <c r="AE19" s="441"/>
      <c r="AF19" s="441"/>
      <c r="AG19" s="441"/>
      <c r="AH19" s="441"/>
      <c r="AI19" s="44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c r="BG19" s="441"/>
      <c r="BH19" s="441"/>
      <c r="BI19" s="441"/>
      <c r="BJ19" s="441"/>
      <c r="BK19" s="441"/>
      <c r="BL19" s="441"/>
      <c r="BM19" s="441"/>
      <c r="BN19" s="442"/>
      <c r="BO19" s="443"/>
    </row>
    <row r="20" spans="2:67">
      <c r="B20" s="440" t="s">
        <v>118</v>
      </c>
      <c r="C20" s="441"/>
      <c r="D20" s="441"/>
      <c r="E20" s="441"/>
      <c r="F20" s="441"/>
      <c r="G20" s="441"/>
      <c r="H20" s="441"/>
      <c r="I20" s="441"/>
      <c r="J20" s="441"/>
      <c r="K20" s="441"/>
      <c r="L20" s="441"/>
      <c r="M20" s="441"/>
      <c r="N20" s="441"/>
      <c r="O20" s="441"/>
      <c r="P20" s="441"/>
      <c r="Q20" s="441"/>
      <c r="R20" s="441"/>
      <c r="S20" s="441"/>
      <c r="T20" s="441"/>
      <c r="U20" s="441"/>
      <c r="V20" s="441"/>
      <c r="W20" s="441"/>
      <c r="X20" s="441"/>
      <c r="Y20" s="441"/>
      <c r="Z20" s="441"/>
      <c r="AA20" s="441"/>
      <c r="AB20" s="441"/>
      <c r="AC20" s="441"/>
      <c r="AD20" s="441"/>
      <c r="AE20" s="441"/>
      <c r="AF20" s="441"/>
      <c r="AG20" s="441"/>
      <c r="AH20" s="441"/>
      <c r="AI20" s="44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c r="BG20" s="441"/>
      <c r="BH20" s="441"/>
      <c r="BI20" s="441"/>
      <c r="BJ20" s="441"/>
      <c r="BK20" s="441"/>
      <c r="BL20" s="441"/>
      <c r="BM20" s="441"/>
      <c r="BN20" s="442"/>
      <c r="BO20" s="443"/>
    </row>
    <row r="21" spans="2:67">
      <c r="B21" s="440" t="s">
        <v>119</v>
      </c>
      <c r="C21" s="441"/>
      <c r="D21" s="441"/>
      <c r="E21" s="441"/>
      <c r="F21" s="441"/>
      <c r="G21" s="441"/>
      <c r="H21" s="441"/>
      <c r="I21" s="441"/>
      <c r="J21" s="441"/>
      <c r="K21" s="441"/>
      <c r="L21" s="441"/>
      <c r="M21" s="441"/>
      <c r="N21" s="441"/>
      <c r="O21" s="441"/>
      <c r="P21" s="441"/>
      <c r="Q21" s="441"/>
      <c r="R21" s="441"/>
      <c r="S21" s="441"/>
      <c r="T21" s="441"/>
      <c r="U21" s="441"/>
      <c r="V21" s="441"/>
      <c r="W21" s="441"/>
      <c r="X21" s="441"/>
      <c r="Y21" s="441"/>
      <c r="Z21" s="441"/>
      <c r="AA21" s="441"/>
      <c r="AB21" s="441"/>
      <c r="AC21" s="441"/>
      <c r="AD21" s="441"/>
      <c r="AE21" s="441"/>
      <c r="AF21" s="441"/>
      <c r="AG21" s="441"/>
      <c r="AH21" s="441"/>
      <c r="AI21" s="44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c r="BG21" s="441"/>
      <c r="BH21" s="441"/>
      <c r="BI21" s="441"/>
      <c r="BJ21" s="441"/>
      <c r="BK21" s="441"/>
      <c r="BL21" s="441"/>
      <c r="BM21" s="441"/>
      <c r="BN21" s="442"/>
      <c r="BO21" s="443"/>
    </row>
    <row r="22" spans="2:67">
      <c r="B22" s="440" t="s">
        <v>120</v>
      </c>
      <c r="C22" s="441"/>
      <c r="D22" s="441"/>
      <c r="E22" s="441"/>
      <c r="F22" s="441"/>
      <c r="G22" s="441"/>
      <c r="H22" s="441"/>
      <c r="I22" s="441"/>
      <c r="J22" s="441"/>
      <c r="K22" s="441"/>
      <c r="L22" s="441"/>
      <c r="M22" s="441"/>
      <c r="N22" s="441"/>
      <c r="O22" s="441"/>
      <c r="P22" s="441"/>
      <c r="Q22" s="441"/>
      <c r="R22" s="441"/>
      <c r="S22" s="441"/>
      <c r="T22" s="441"/>
      <c r="U22" s="441"/>
      <c r="V22" s="441"/>
      <c r="W22" s="441"/>
      <c r="X22" s="441"/>
      <c r="Y22" s="441"/>
      <c r="Z22" s="441"/>
      <c r="AA22" s="441"/>
      <c r="AB22" s="441"/>
      <c r="AC22" s="441"/>
      <c r="AD22" s="441"/>
      <c r="AE22" s="441"/>
      <c r="AF22" s="441"/>
      <c r="AG22" s="441"/>
      <c r="AH22" s="441"/>
      <c r="AI22" s="44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c r="BG22" s="441"/>
      <c r="BH22" s="441"/>
      <c r="BI22" s="441"/>
      <c r="BJ22" s="441"/>
      <c r="BK22" s="441"/>
      <c r="BL22" s="441"/>
      <c r="BM22" s="441"/>
      <c r="BN22" s="442"/>
      <c r="BO22" s="443"/>
    </row>
    <row r="23" spans="2:67">
      <c r="B23" s="440" t="s">
        <v>121</v>
      </c>
      <c r="C23" s="441"/>
      <c r="D23" s="441"/>
      <c r="E23" s="441"/>
      <c r="F23" s="441"/>
      <c r="G23" s="441"/>
      <c r="H23" s="441"/>
      <c r="I23" s="441"/>
      <c r="J23" s="441"/>
      <c r="K23" s="441"/>
      <c r="L23" s="441"/>
      <c r="M23" s="441"/>
      <c r="N23" s="441"/>
      <c r="O23" s="441"/>
      <c r="P23" s="441"/>
      <c r="Q23" s="441"/>
      <c r="R23" s="441"/>
      <c r="S23" s="441"/>
      <c r="T23" s="441"/>
      <c r="U23" s="441"/>
      <c r="V23" s="441"/>
      <c r="W23" s="441"/>
      <c r="X23" s="441"/>
      <c r="Y23" s="441"/>
      <c r="Z23" s="441"/>
      <c r="AA23" s="441"/>
      <c r="AB23" s="441"/>
      <c r="AC23" s="441"/>
      <c r="AD23" s="441"/>
      <c r="AE23" s="441"/>
      <c r="AF23" s="441"/>
      <c r="AG23" s="441"/>
      <c r="AH23" s="441"/>
      <c r="AI23" s="441"/>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c r="BG23" s="441"/>
      <c r="BH23" s="441"/>
      <c r="BI23" s="441"/>
      <c r="BJ23" s="441"/>
      <c r="BK23" s="441"/>
      <c r="BL23" s="441"/>
      <c r="BM23" s="441"/>
      <c r="BN23" s="442"/>
      <c r="BO23" s="443"/>
    </row>
    <row r="24" spans="2:67">
      <c r="B24" s="448" t="s">
        <v>122</v>
      </c>
      <c r="C24" s="449"/>
      <c r="D24" s="449"/>
      <c r="E24" s="449"/>
      <c r="F24" s="449"/>
      <c r="G24" s="449"/>
      <c r="H24" s="449"/>
      <c r="I24" s="449"/>
      <c r="J24" s="449"/>
      <c r="K24" s="449"/>
      <c r="L24" s="449"/>
      <c r="M24" s="449"/>
      <c r="N24" s="449"/>
      <c r="O24" s="449"/>
      <c r="P24" s="449"/>
      <c r="Q24" s="449"/>
      <c r="R24" s="449"/>
      <c r="S24" s="449"/>
      <c r="T24" s="449"/>
      <c r="U24" s="449"/>
      <c r="V24" s="449"/>
      <c r="W24" s="449"/>
      <c r="X24" s="449"/>
      <c r="Y24" s="449"/>
      <c r="Z24" s="449"/>
      <c r="AA24" s="449"/>
      <c r="AB24" s="449"/>
      <c r="AC24" s="449"/>
      <c r="AD24" s="449"/>
      <c r="AE24" s="449"/>
      <c r="AF24" s="449"/>
      <c r="AG24" s="449"/>
      <c r="AH24" s="449"/>
      <c r="AI24" s="449"/>
      <c r="AJ24" s="449"/>
      <c r="AK24" s="449"/>
      <c r="AL24" s="449"/>
      <c r="AM24" s="449"/>
      <c r="AN24" s="449"/>
      <c r="AO24" s="449"/>
      <c r="AP24" s="449"/>
      <c r="AQ24" s="449"/>
      <c r="AR24" s="449"/>
      <c r="AS24" s="449"/>
      <c r="AT24" s="449"/>
      <c r="AU24" s="449"/>
      <c r="AV24" s="449"/>
      <c r="AW24" s="449"/>
      <c r="AX24" s="449"/>
      <c r="AY24" s="449"/>
      <c r="AZ24" s="449"/>
      <c r="BA24" s="449"/>
      <c r="BB24" s="449"/>
      <c r="BC24" s="449"/>
      <c r="BD24" s="449"/>
      <c r="BE24" s="449"/>
      <c r="BF24" s="449"/>
      <c r="BG24" s="449"/>
      <c r="BH24" s="449"/>
      <c r="BI24" s="449"/>
      <c r="BJ24" s="449"/>
      <c r="BK24" s="449"/>
      <c r="BL24" s="449"/>
      <c r="BM24" s="449"/>
      <c r="BN24" s="450"/>
      <c r="BO24" s="451"/>
    </row>
    <row r="25" spans="2:67">
      <c r="B25" s="440" t="s">
        <v>123</v>
      </c>
      <c r="C25" s="441"/>
      <c r="D25" s="441"/>
      <c r="E25" s="441"/>
      <c r="F25" s="441"/>
      <c r="G25" s="441"/>
      <c r="H25" s="441"/>
      <c r="I25" s="441"/>
      <c r="J25" s="441"/>
      <c r="K25" s="441"/>
      <c r="L25" s="441"/>
      <c r="M25" s="441"/>
      <c r="N25" s="441"/>
      <c r="O25" s="441"/>
      <c r="P25" s="441"/>
      <c r="Q25" s="441"/>
      <c r="R25" s="441"/>
      <c r="S25" s="441"/>
      <c r="T25" s="441"/>
      <c r="U25" s="441"/>
      <c r="V25" s="441"/>
      <c r="W25" s="441"/>
      <c r="X25" s="441"/>
      <c r="Y25" s="441"/>
      <c r="Z25" s="441"/>
      <c r="AA25" s="441"/>
      <c r="AB25" s="441"/>
      <c r="AC25" s="441"/>
      <c r="AD25" s="441"/>
      <c r="AE25" s="441"/>
      <c r="AF25" s="441"/>
      <c r="AG25" s="441"/>
      <c r="AH25" s="441"/>
      <c r="AI25" s="44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c r="BG25" s="441"/>
      <c r="BH25" s="441"/>
      <c r="BI25" s="441"/>
      <c r="BJ25" s="441"/>
      <c r="BK25" s="441"/>
      <c r="BL25" s="441"/>
      <c r="BM25" s="441"/>
      <c r="BN25" s="442"/>
      <c r="BO25" s="443"/>
    </row>
    <row r="26" spans="2:67">
      <c r="B26" s="440" t="s">
        <v>124</v>
      </c>
      <c r="C26" s="441"/>
      <c r="D26" s="441"/>
      <c r="E26" s="441"/>
      <c r="F26" s="441"/>
      <c r="G26" s="441"/>
      <c r="H26" s="441"/>
      <c r="I26" s="441"/>
      <c r="J26" s="441"/>
      <c r="K26" s="441"/>
      <c r="L26" s="441"/>
      <c r="M26" s="441"/>
      <c r="N26" s="441"/>
      <c r="O26" s="441"/>
      <c r="P26" s="441"/>
      <c r="Q26" s="441"/>
      <c r="R26" s="441"/>
      <c r="S26" s="441"/>
      <c r="T26" s="441"/>
      <c r="U26" s="441"/>
      <c r="V26" s="441"/>
      <c r="W26" s="441"/>
      <c r="X26" s="441"/>
      <c r="Y26" s="441"/>
      <c r="Z26" s="441"/>
      <c r="AA26" s="441"/>
      <c r="AB26" s="441"/>
      <c r="AC26" s="441"/>
      <c r="AD26" s="441"/>
      <c r="AE26" s="441"/>
      <c r="AF26" s="441"/>
      <c r="AG26" s="441"/>
      <c r="AH26" s="441"/>
      <c r="AI26" s="44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c r="BG26" s="441"/>
      <c r="BH26" s="441"/>
      <c r="BI26" s="441"/>
      <c r="BJ26" s="441"/>
      <c r="BK26" s="441"/>
      <c r="BL26" s="441"/>
      <c r="BM26" s="441"/>
      <c r="BN26" s="442"/>
      <c r="BO26" s="443"/>
    </row>
    <row r="27" spans="2:67">
      <c r="B27" s="440" t="s">
        <v>125</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1"/>
      <c r="BH27" s="441"/>
      <c r="BI27" s="441"/>
      <c r="BJ27" s="441"/>
      <c r="BK27" s="441"/>
      <c r="BL27" s="441"/>
      <c r="BM27" s="441"/>
      <c r="BN27" s="442"/>
      <c r="BO27" s="443"/>
    </row>
    <row r="28" spans="2:67">
      <c r="B28" s="440" t="s">
        <v>390</v>
      </c>
      <c r="C28" s="441"/>
      <c r="D28" s="441"/>
      <c r="E28" s="441"/>
      <c r="F28" s="441"/>
      <c r="G28" s="441"/>
      <c r="H28" s="441"/>
      <c r="I28" s="441"/>
      <c r="J28" s="441"/>
      <c r="K28" s="441"/>
      <c r="L28" s="441"/>
      <c r="M28" s="441"/>
      <c r="N28" s="441"/>
      <c r="O28" s="441"/>
      <c r="P28" s="441"/>
      <c r="Q28" s="441"/>
      <c r="R28" s="441"/>
      <c r="S28" s="441"/>
      <c r="T28" s="441"/>
      <c r="U28" s="441"/>
      <c r="V28" s="441"/>
      <c r="W28" s="441"/>
      <c r="X28" s="441"/>
      <c r="Y28" s="441"/>
      <c r="Z28" s="441"/>
      <c r="AA28" s="441"/>
      <c r="AB28" s="441"/>
      <c r="AC28" s="441"/>
      <c r="AD28" s="441"/>
      <c r="AE28" s="441"/>
      <c r="AF28" s="441"/>
      <c r="AG28" s="441"/>
      <c r="AH28" s="441"/>
      <c r="AI28" s="44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c r="BG28" s="441"/>
      <c r="BH28" s="441"/>
      <c r="BI28" s="441"/>
      <c r="BJ28" s="441"/>
      <c r="BK28" s="441"/>
      <c r="BL28" s="441"/>
      <c r="BM28" s="441"/>
      <c r="BN28" s="442"/>
      <c r="BO28" s="443"/>
    </row>
    <row r="29" spans="2:67">
      <c r="B29" s="440" t="s">
        <v>389</v>
      </c>
      <c r="C29" s="441"/>
      <c r="D29" s="441"/>
      <c r="E29" s="441"/>
      <c r="F29" s="441"/>
      <c r="G29" s="441"/>
      <c r="H29" s="441"/>
      <c r="I29" s="441"/>
      <c r="J29" s="441"/>
      <c r="K29" s="441"/>
      <c r="L29" s="441"/>
      <c r="M29" s="441"/>
      <c r="N29" s="441"/>
      <c r="O29" s="441"/>
      <c r="P29" s="441"/>
      <c r="Q29" s="441"/>
      <c r="R29" s="441"/>
      <c r="S29" s="441"/>
      <c r="T29" s="441"/>
      <c r="U29" s="441"/>
      <c r="V29" s="441"/>
      <c r="W29" s="441"/>
      <c r="X29" s="441"/>
      <c r="Y29" s="441"/>
      <c r="Z29" s="441"/>
      <c r="AA29" s="441"/>
      <c r="AB29" s="441"/>
      <c r="AC29" s="441"/>
      <c r="AD29" s="441"/>
      <c r="AE29" s="441"/>
      <c r="AF29" s="441"/>
      <c r="AG29" s="441"/>
      <c r="AH29" s="441"/>
      <c r="AI29" s="44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c r="BG29" s="441"/>
      <c r="BH29" s="441"/>
      <c r="BI29" s="441"/>
      <c r="BJ29" s="441"/>
      <c r="BK29" s="441"/>
      <c r="BL29" s="441"/>
      <c r="BM29" s="441"/>
      <c r="BN29" s="442"/>
      <c r="BO29" s="443"/>
    </row>
    <row r="30" spans="2:67">
      <c r="B30" s="440" t="s">
        <v>388</v>
      </c>
      <c r="C30" s="441"/>
      <c r="D30" s="441"/>
      <c r="E30" s="441"/>
      <c r="F30" s="441"/>
      <c r="G30" s="441"/>
      <c r="H30" s="441"/>
      <c r="I30" s="441"/>
      <c r="J30" s="441"/>
      <c r="K30" s="441"/>
      <c r="L30" s="441"/>
      <c r="M30" s="441"/>
      <c r="N30" s="441"/>
      <c r="O30" s="441"/>
      <c r="P30" s="441"/>
      <c r="Q30" s="441"/>
      <c r="R30" s="441"/>
      <c r="S30" s="441"/>
      <c r="T30" s="441"/>
      <c r="U30" s="441"/>
      <c r="V30" s="441"/>
      <c r="W30" s="441"/>
      <c r="X30" s="441"/>
      <c r="Y30" s="441"/>
      <c r="Z30" s="441"/>
      <c r="AA30" s="441"/>
      <c r="AB30" s="441"/>
      <c r="AC30" s="441"/>
      <c r="AD30" s="441"/>
      <c r="AE30" s="441"/>
      <c r="AF30" s="441"/>
      <c r="AG30" s="441"/>
      <c r="AH30" s="441"/>
      <c r="AI30" s="44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c r="BG30" s="441"/>
      <c r="BH30" s="441"/>
      <c r="BI30" s="441"/>
      <c r="BJ30" s="441"/>
      <c r="BK30" s="441"/>
      <c r="BL30" s="441"/>
      <c r="BM30" s="441"/>
      <c r="BN30" s="442"/>
      <c r="BO30" s="443"/>
    </row>
    <row r="31" spans="2:67">
      <c r="B31" s="440" t="s">
        <v>387</v>
      </c>
      <c r="C31" s="441"/>
      <c r="D31" s="441"/>
      <c r="E31" s="441"/>
      <c r="F31" s="441"/>
      <c r="G31" s="441"/>
      <c r="H31" s="441"/>
      <c r="I31" s="441"/>
      <c r="J31" s="441"/>
      <c r="K31" s="441"/>
      <c r="L31" s="441"/>
      <c r="M31" s="441"/>
      <c r="N31" s="441"/>
      <c r="O31" s="441"/>
      <c r="P31" s="441"/>
      <c r="Q31" s="441"/>
      <c r="R31" s="441"/>
      <c r="S31" s="441"/>
      <c r="T31" s="441"/>
      <c r="U31" s="441"/>
      <c r="V31" s="441"/>
      <c r="W31" s="441"/>
      <c r="X31" s="441"/>
      <c r="Y31" s="441"/>
      <c r="Z31" s="441"/>
      <c r="AA31" s="441"/>
      <c r="AB31" s="441"/>
      <c r="AC31" s="441"/>
      <c r="AD31" s="441"/>
      <c r="AE31" s="441"/>
      <c r="AF31" s="441"/>
      <c r="AG31" s="441"/>
      <c r="AH31" s="441"/>
      <c r="AI31" s="44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c r="BG31" s="441"/>
      <c r="BH31" s="441"/>
      <c r="BI31" s="441"/>
      <c r="BJ31" s="441"/>
      <c r="BK31" s="441"/>
      <c r="BL31" s="441"/>
      <c r="BM31" s="441"/>
      <c r="BN31" s="442"/>
      <c r="BO31" s="443"/>
    </row>
    <row r="32" spans="2:67">
      <c r="B32" s="440" t="s">
        <v>386</v>
      </c>
      <c r="C32" s="441"/>
      <c r="D32" s="441"/>
      <c r="E32" s="441"/>
      <c r="F32" s="441"/>
      <c r="G32" s="441"/>
      <c r="H32" s="441"/>
      <c r="I32" s="441"/>
      <c r="J32" s="441"/>
      <c r="K32" s="441"/>
      <c r="L32" s="441"/>
      <c r="M32" s="441"/>
      <c r="N32" s="441"/>
      <c r="O32" s="441"/>
      <c r="P32" s="441"/>
      <c r="Q32" s="441"/>
      <c r="R32" s="441"/>
      <c r="S32" s="441"/>
      <c r="T32" s="441"/>
      <c r="U32" s="441"/>
      <c r="V32" s="441"/>
      <c r="W32" s="441"/>
      <c r="X32" s="441"/>
      <c r="Y32" s="441"/>
      <c r="Z32" s="441"/>
      <c r="AA32" s="441"/>
      <c r="AB32" s="441"/>
      <c r="AC32" s="441"/>
      <c r="AD32" s="441"/>
      <c r="AE32" s="441"/>
      <c r="AF32" s="441"/>
      <c r="AG32" s="441"/>
      <c r="AH32" s="441"/>
      <c r="AI32" s="44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c r="BG32" s="441"/>
      <c r="BH32" s="441"/>
      <c r="BI32" s="441"/>
      <c r="BJ32" s="441"/>
      <c r="BK32" s="441"/>
      <c r="BL32" s="441"/>
      <c r="BM32" s="441"/>
      <c r="BN32" s="442"/>
      <c r="BO32" s="443"/>
    </row>
    <row r="33" spans="2:67">
      <c r="B33" s="440" t="s">
        <v>385</v>
      </c>
      <c r="C33" s="441"/>
      <c r="D33" s="441"/>
      <c r="E33" s="441"/>
      <c r="F33" s="441"/>
      <c r="G33" s="441"/>
      <c r="H33" s="441"/>
      <c r="I33" s="441"/>
      <c r="J33" s="441"/>
      <c r="K33" s="441"/>
      <c r="L33" s="441"/>
      <c r="M33" s="441"/>
      <c r="N33" s="441"/>
      <c r="O33" s="441"/>
      <c r="P33" s="441"/>
      <c r="Q33" s="441"/>
      <c r="R33" s="441"/>
      <c r="S33" s="441"/>
      <c r="T33" s="441"/>
      <c r="U33" s="441"/>
      <c r="V33" s="441"/>
      <c r="W33" s="441"/>
      <c r="X33" s="441"/>
      <c r="Y33" s="441"/>
      <c r="Z33" s="441"/>
      <c r="AA33" s="441"/>
      <c r="AB33" s="441"/>
      <c r="AC33" s="441"/>
      <c r="AD33" s="441"/>
      <c r="AE33" s="441"/>
      <c r="AF33" s="441"/>
      <c r="AG33" s="441"/>
      <c r="AH33" s="441"/>
      <c r="AI33" s="441"/>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c r="BG33" s="441"/>
      <c r="BH33" s="441"/>
      <c r="BI33" s="441"/>
      <c r="BJ33" s="441"/>
      <c r="BK33" s="441"/>
      <c r="BL33" s="441"/>
      <c r="BM33" s="441"/>
      <c r="BN33" s="442"/>
      <c r="BO33" s="443"/>
    </row>
    <row r="34" spans="2:67">
      <c r="B34" s="440" t="s">
        <v>128</v>
      </c>
      <c r="C34" s="441"/>
      <c r="D34" s="441"/>
      <c r="E34" s="441"/>
      <c r="F34" s="441"/>
      <c r="G34" s="441"/>
      <c r="H34" s="441"/>
      <c r="I34" s="441"/>
      <c r="J34" s="441"/>
      <c r="K34" s="441"/>
      <c r="L34" s="441"/>
      <c r="M34" s="441"/>
      <c r="N34" s="441"/>
      <c r="O34" s="441"/>
      <c r="P34" s="441"/>
      <c r="Q34" s="441"/>
      <c r="R34" s="441"/>
      <c r="S34" s="441"/>
      <c r="T34" s="441"/>
      <c r="U34" s="441"/>
      <c r="V34" s="441"/>
      <c r="W34" s="441"/>
      <c r="X34" s="441"/>
      <c r="Y34" s="441"/>
      <c r="Z34" s="441"/>
      <c r="AA34" s="441"/>
      <c r="AB34" s="441"/>
      <c r="AC34" s="441"/>
      <c r="AD34" s="441"/>
      <c r="AE34" s="441"/>
      <c r="AF34" s="441"/>
      <c r="AG34" s="441"/>
      <c r="AH34" s="441"/>
      <c r="AI34" s="441"/>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c r="BG34" s="441"/>
      <c r="BH34" s="441"/>
      <c r="BI34" s="441"/>
      <c r="BJ34" s="441"/>
      <c r="BK34" s="441"/>
      <c r="BL34" s="441"/>
      <c r="BM34" s="441"/>
      <c r="BN34" s="442"/>
      <c r="BO34" s="443"/>
    </row>
    <row r="35" spans="2:67">
      <c r="B35" s="440" t="s">
        <v>384</v>
      </c>
      <c r="C35" s="441"/>
      <c r="D35" s="441"/>
      <c r="E35" s="441"/>
      <c r="F35" s="441"/>
      <c r="G35" s="441"/>
      <c r="H35" s="441"/>
      <c r="I35" s="441"/>
      <c r="J35" s="441"/>
      <c r="K35" s="441"/>
      <c r="L35" s="441"/>
      <c r="M35" s="441"/>
      <c r="N35" s="441"/>
      <c r="O35" s="441"/>
      <c r="P35" s="441"/>
      <c r="Q35" s="441"/>
      <c r="R35" s="441"/>
      <c r="S35" s="441"/>
      <c r="T35" s="441"/>
      <c r="U35" s="441"/>
      <c r="V35" s="441"/>
      <c r="W35" s="441"/>
      <c r="X35" s="441"/>
      <c r="Y35" s="441"/>
      <c r="Z35" s="441"/>
      <c r="AA35" s="441"/>
      <c r="AB35" s="441"/>
      <c r="AC35" s="441"/>
      <c r="AD35" s="441"/>
      <c r="AE35" s="441"/>
      <c r="AF35" s="441"/>
      <c r="AG35" s="441"/>
      <c r="AH35" s="441"/>
      <c r="AI35" s="44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c r="BG35" s="441"/>
      <c r="BH35" s="441"/>
      <c r="BI35" s="441"/>
      <c r="BJ35" s="441"/>
      <c r="BK35" s="441"/>
      <c r="BL35" s="441"/>
      <c r="BM35" s="441"/>
      <c r="BN35" s="442"/>
      <c r="BO35" s="443"/>
    </row>
    <row r="36" spans="2:67">
      <c r="B36" s="440" t="s">
        <v>383</v>
      </c>
      <c r="C36" s="441"/>
      <c r="D36" s="441"/>
      <c r="E36" s="441"/>
      <c r="F36" s="441"/>
      <c r="G36" s="441"/>
      <c r="H36" s="441"/>
      <c r="I36" s="441"/>
      <c r="J36" s="441"/>
      <c r="K36" s="441"/>
      <c r="L36" s="441"/>
      <c r="M36" s="441"/>
      <c r="N36" s="441"/>
      <c r="O36" s="441"/>
      <c r="P36" s="441"/>
      <c r="Q36" s="441"/>
      <c r="R36" s="441"/>
      <c r="S36" s="441"/>
      <c r="T36" s="441"/>
      <c r="U36" s="441"/>
      <c r="V36" s="441"/>
      <c r="W36" s="441"/>
      <c r="X36" s="441"/>
      <c r="Y36" s="441"/>
      <c r="Z36" s="441"/>
      <c r="AA36" s="441"/>
      <c r="AB36" s="441"/>
      <c r="AC36" s="441"/>
      <c r="AD36" s="441"/>
      <c r="AE36" s="441"/>
      <c r="AF36" s="441"/>
      <c r="AG36" s="441"/>
      <c r="AH36" s="441"/>
      <c r="AI36" s="44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c r="BG36" s="441"/>
      <c r="BH36" s="441"/>
      <c r="BI36" s="441"/>
      <c r="BJ36" s="441"/>
      <c r="BK36" s="441"/>
      <c r="BL36" s="441"/>
      <c r="BM36" s="441"/>
      <c r="BN36" s="442"/>
      <c r="BO36" s="443"/>
    </row>
    <row r="37" spans="2:67">
      <c r="B37" s="440" t="s">
        <v>129</v>
      </c>
      <c r="C37" s="441"/>
      <c r="D37" s="441"/>
      <c r="E37" s="441"/>
      <c r="F37" s="441"/>
      <c r="G37" s="441"/>
      <c r="H37" s="441"/>
      <c r="I37" s="441"/>
      <c r="J37" s="441"/>
      <c r="K37" s="441"/>
      <c r="L37" s="441"/>
      <c r="M37" s="441"/>
      <c r="N37" s="441"/>
      <c r="O37" s="441"/>
      <c r="P37" s="441"/>
      <c r="Q37" s="441"/>
      <c r="R37" s="441"/>
      <c r="S37" s="441"/>
      <c r="T37" s="441"/>
      <c r="U37" s="441"/>
      <c r="V37" s="441"/>
      <c r="W37" s="441"/>
      <c r="X37" s="441"/>
      <c r="Y37" s="441"/>
      <c r="Z37" s="441"/>
      <c r="AA37" s="441"/>
      <c r="AB37" s="441"/>
      <c r="AC37" s="441"/>
      <c r="AD37" s="441"/>
      <c r="AE37" s="441"/>
      <c r="AF37" s="441"/>
      <c r="AG37" s="441"/>
      <c r="AH37" s="441"/>
      <c r="AI37" s="441"/>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c r="BG37" s="441"/>
      <c r="BH37" s="441"/>
      <c r="BI37" s="441"/>
      <c r="BJ37" s="441"/>
      <c r="BK37" s="441"/>
      <c r="BL37" s="441"/>
      <c r="BM37" s="441"/>
      <c r="BN37" s="442"/>
      <c r="BO37" s="443"/>
    </row>
    <row r="38" spans="2:67">
      <c r="B38" s="440" t="s">
        <v>130</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1"/>
      <c r="BH38" s="441"/>
      <c r="BI38" s="441"/>
      <c r="BJ38" s="441"/>
      <c r="BK38" s="441"/>
      <c r="BL38" s="441"/>
      <c r="BM38" s="441"/>
      <c r="BN38" s="442"/>
      <c r="BO38" s="443"/>
    </row>
    <row r="39" spans="2:67" ht="16" thickBot="1">
      <c r="B39" s="440" t="s">
        <v>131</v>
      </c>
      <c r="C39" s="441"/>
      <c r="D39" s="441"/>
      <c r="E39" s="441"/>
      <c r="F39" s="441"/>
      <c r="G39" s="441"/>
      <c r="H39" s="441"/>
      <c r="I39" s="441"/>
      <c r="J39" s="441"/>
      <c r="K39" s="441"/>
      <c r="L39" s="441"/>
      <c r="M39" s="441"/>
      <c r="N39" s="441"/>
      <c r="O39" s="441"/>
      <c r="P39" s="441"/>
      <c r="Q39" s="441"/>
      <c r="R39" s="441"/>
      <c r="S39" s="441"/>
      <c r="T39" s="441"/>
      <c r="U39" s="441"/>
      <c r="V39" s="441"/>
      <c r="W39" s="441"/>
      <c r="X39" s="441"/>
      <c r="Y39" s="441"/>
      <c r="Z39" s="441"/>
      <c r="AA39" s="441"/>
      <c r="AB39" s="441"/>
      <c r="AC39" s="441"/>
      <c r="AD39" s="441"/>
      <c r="AE39" s="441"/>
      <c r="AF39" s="441"/>
      <c r="AG39" s="441"/>
      <c r="AH39" s="441"/>
      <c r="AI39" s="44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c r="BG39" s="441"/>
      <c r="BH39" s="441"/>
      <c r="BI39" s="441"/>
      <c r="BJ39" s="441"/>
      <c r="BK39" s="441"/>
      <c r="BL39" s="441"/>
      <c r="BM39" s="441"/>
      <c r="BN39" s="442"/>
      <c r="BO39" s="443"/>
    </row>
    <row r="40" spans="2:67" ht="16" thickBot="1">
      <c r="B40" s="444" t="s">
        <v>132</v>
      </c>
      <c r="C40" s="445"/>
      <c r="D40" s="445"/>
      <c r="E40" s="445"/>
      <c r="F40" s="445"/>
      <c r="G40" s="445"/>
      <c r="H40" s="445"/>
      <c r="I40" s="445"/>
      <c r="J40" s="445"/>
      <c r="K40" s="445"/>
      <c r="L40" s="445"/>
      <c r="M40" s="445"/>
      <c r="N40" s="445"/>
      <c r="O40" s="445"/>
      <c r="P40" s="445"/>
      <c r="Q40" s="445"/>
      <c r="R40" s="445"/>
      <c r="S40" s="445"/>
      <c r="T40" s="445"/>
      <c r="U40" s="445"/>
      <c r="V40" s="445"/>
      <c r="W40" s="445"/>
      <c r="X40" s="445"/>
      <c r="Y40" s="445"/>
      <c r="Z40" s="445"/>
      <c r="AA40" s="445"/>
      <c r="AB40" s="445"/>
      <c r="AC40" s="445"/>
      <c r="AD40" s="445"/>
      <c r="AE40" s="445"/>
      <c r="AF40" s="445"/>
      <c r="AG40" s="445"/>
      <c r="AH40" s="445"/>
      <c r="AI40" s="445"/>
      <c r="AJ40" s="445"/>
      <c r="AK40" s="445"/>
      <c r="AL40" s="445"/>
      <c r="AM40" s="445"/>
      <c r="AN40" s="445"/>
      <c r="AO40" s="445"/>
      <c r="AP40" s="445"/>
      <c r="AQ40" s="445"/>
      <c r="AR40" s="445"/>
      <c r="AS40" s="445"/>
      <c r="AT40" s="445"/>
      <c r="AU40" s="445"/>
      <c r="AV40" s="445"/>
      <c r="AW40" s="445"/>
      <c r="AX40" s="445"/>
      <c r="AY40" s="445"/>
      <c r="AZ40" s="445"/>
      <c r="BA40" s="445"/>
      <c r="BB40" s="445"/>
      <c r="BC40" s="445"/>
      <c r="BD40" s="445"/>
      <c r="BE40" s="445"/>
      <c r="BF40" s="445"/>
      <c r="BG40" s="445"/>
      <c r="BH40" s="445"/>
      <c r="BI40" s="445"/>
      <c r="BJ40" s="445"/>
      <c r="BK40" s="445"/>
      <c r="BL40" s="445"/>
      <c r="BM40" s="445"/>
      <c r="BN40" s="446"/>
      <c r="BO40" s="447"/>
    </row>
    <row r="41" spans="2:67">
      <c r="B41" s="440" t="s">
        <v>133</v>
      </c>
      <c r="C41" s="441"/>
      <c r="D41" s="441"/>
      <c r="E41" s="441"/>
      <c r="F41" s="441"/>
      <c r="G41" s="441"/>
      <c r="H41" s="441"/>
      <c r="I41" s="441"/>
      <c r="J41" s="441"/>
      <c r="K41" s="441"/>
      <c r="L41" s="441"/>
      <c r="M41" s="441"/>
      <c r="N41" s="441"/>
      <c r="O41" s="441"/>
      <c r="P41" s="441"/>
      <c r="Q41" s="441"/>
      <c r="R41" s="441"/>
      <c r="S41" s="441"/>
      <c r="T41" s="441"/>
      <c r="U41" s="441"/>
      <c r="V41" s="441"/>
      <c r="W41" s="441"/>
      <c r="X41" s="441"/>
      <c r="Y41" s="441"/>
      <c r="Z41" s="441"/>
      <c r="AA41" s="441"/>
      <c r="AB41" s="441"/>
      <c r="AC41" s="441"/>
      <c r="AD41" s="441"/>
      <c r="AE41" s="441"/>
      <c r="AF41" s="441"/>
      <c r="AG41" s="441"/>
      <c r="AH41" s="441"/>
      <c r="AI41" s="44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c r="BG41" s="441"/>
      <c r="BH41" s="441"/>
      <c r="BI41" s="441"/>
      <c r="BJ41" s="441"/>
      <c r="BK41" s="441"/>
      <c r="BL41" s="441"/>
      <c r="BM41" s="441"/>
      <c r="BN41" s="442"/>
      <c r="BO41" s="443"/>
    </row>
    <row r="42" spans="2:67">
      <c r="B42" s="440" t="s">
        <v>134</v>
      </c>
      <c r="C42" s="441"/>
      <c r="D42" s="441"/>
      <c r="E42" s="441"/>
      <c r="F42" s="441"/>
      <c r="G42" s="441"/>
      <c r="H42" s="441"/>
      <c r="I42" s="441"/>
      <c r="J42" s="441"/>
      <c r="K42" s="441"/>
      <c r="L42" s="441"/>
      <c r="M42" s="441"/>
      <c r="N42" s="441"/>
      <c r="O42" s="441"/>
      <c r="P42" s="441"/>
      <c r="Q42" s="441"/>
      <c r="R42" s="441"/>
      <c r="S42" s="441"/>
      <c r="T42" s="441"/>
      <c r="U42" s="441"/>
      <c r="V42" s="441"/>
      <c r="W42" s="441"/>
      <c r="X42" s="441"/>
      <c r="Y42" s="441"/>
      <c r="Z42" s="441"/>
      <c r="AA42" s="441"/>
      <c r="AB42" s="441"/>
      <c r="AC42" s="441"/>
      <c r="AD42" s="441"/>
      <c r="AE42" s="441"/>
      <c r="AF42" s="441"/>
      <c r="AG42" s="441"/>
      <c r="AH42" s="441"/>
      <c r="AI42" s="44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c r="BG42" s="441"/>
      <c r="BH42" s="441"/>
      <c r="BI42" s="441"/>
      <c r="BJ42" s="441"/>
      <c r="BK42" s="441"/>
      <c r="BL42" s="441"/>
      <c r="BM42" s="441"/>
      <c r="BN42" s="442"/>
      <c r="BO42" s="443"/>
    </row>
    <row r="43" spans="2:67">
      <c r="B43" s="440" t="s">
        <v>382</v>
      </c>
      <c r="C43" s="441"/>
      <c r="D43" s="441"/>
      <c r="E43" s="441"/>
      <c r="F43" s="441"/>
      <c r="G43" s="441"/>
      <c r="H43" s="441"/>
      <c r="I43" s="441"/>
      <c r="J43" s="441"/>
      <c r="K43" s="441"/>
      <c r="L43" s="441"/>
      <c r="M43" s="441"/>
      <c r="N43" s="441"/>
      <c r="O43" s="441"/>
      <c r="P43" s="441"/>
      <c r="Q43" s="441"/>
      <c r="R43" s="441"/>
      <c r="S43" s="441"/>
      <c r="T43" s="441"/>
      <c r="U43" s="441"/>
      <c r="V43" s="441"/>
      <c r="W43" s="441"/>
      <c r="X43" s="441"/>
      <c r="Y43" s="441"/>
      <c r="Z43" s="441"/>
      <c r="AA43" s="441"/>
      <c r="AB43" s="441"/>
      <c r="AC43" s="441"/>
      <c r="AD43" s="441"/>
      <c r="AE43" s="441"/>
      <c r="AF43" s="441"/>
      <c r="AG43" s="441"/>
      <c r="AH43" s="441"/>
      <c r="AI43" s="44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c r="BG43" s="441"/>
      <c r="BH43" s="441"/>
      <c r="BI43" s="441"/>
      <c r="BJ43" s="441"/>
      <c r="BK43" s="441"/>
      <c r="BL43" s="441"/>
      <c r="BM43" s="441"/>
      <c r="BN43" s="442"/>
      <c r="BO43" s="443"/>
    </row>
    <row r="44" spans="2:67">
      <c r="B44" s="440" t="s">
        <v>381</v>
      </c>
      <c r="C44" s="441"/>
      <c r="D44" s="441"/>
      <c r="E44" s="441"/>
      <c r="F44" s="441"/>
      <c r="G44" s="441"/>
      <c r="H44" s="441"/>
      <c r="I44" s="441"/>
      <c r="J44" s="441"/>
      <c r="K44" s="441"/>
      <c r="L44" s="441"/>
      <c r="M44" s="441"/>
      <c r="N44" s="441"/>
      <c r="O44" s="441"/>
      <c r="P44" s="441"/>
      <c r="Q44" s="441"/>
      <c r="R44" s="441"/>
      <c r="S44" s="441"/>
      <c r="T44" s="441"/>
      <c r="U44" s="441"/>
      <c r="V44" s="441"/>
      <c r="W44" s="441"/>
      <c r="X44" s="441"/>
      <c r="Y44" s="441"/>
      <c r="Z44" s="441"/>
      <c r="AA44" s="441"/>
      <c r="AB44" s="441"/>
      <c r="AC44" s="441"/>
      <c r="AD44" s="441"/>
      <c r="AE44" s="441"/>
      <c r="AF44" s="441"/>
      <c r="AG44" s="441"/>
      <c r="AH44" s="441"/>
      <c r="AI44" s="441"/>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c r="BG44" s="441"/>
      <c r="BH44" s="441"/>
      <c r="BI44" s="441"/>
      <c r="BJ44" s="441"/>
      <c r="BK44" s="441"/>
      <c r="BL44" s="441"/>
      <c r="BM44" s="441"/>
      <c r="BN44" s="442"/>
      <c r="BO44" s="443"/>
    </row>
    <row r="45" spans="2:67">
      <c r="B45" s="440" t="s">
        <v>135</v>
      </c>
      <c r="C45" s="441"/>
      <c r="D45" s="441"/>
      <c r="E45" s="441"/>
      <c r="F45" s="441"/>
      <c r="G45" s="441"/>
      <c r="H45" s="441"/>
      <c r="I45" s="441"/>
      <c r="J45" s="441"/>
      <c r="K45" s="441"/>
      <c r="L45" s="441"/>
      <c r="M45" s="441"/>
      <c r="N45" s="441"/>
      <c r="O45" s="441"/>
      <c r="P45" s="441"/>
      <c r="Q45" s="441"/>
      <c r="R45" s="441"/>
      <c r="S45" s="441"/>
      <c r="T45" s="441"/>
      <c r="U45" s="441"/>
      <c r="V45" s="441"/>
      <c r="W45" s="441"/>
      <c r="X45" s="441"/>
      <c r="Y45" s="441"/>
      <c r="Z45" s="441"/>
      <c r="AA45" s="441"/>
      <c r="AB45" s="441"/>
      <c r="AC45" s="441"/>
      <c r="AD45" s="441"/>
      <c r="AE45" s="441"/>
      <c r="AF45" s="441"/>
      <c r="AG45" s="441"/>
      <c r="AH45" s="441"/>
      <c r="AI45" s="441"/>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c r="BG45" s="441"/>
      <c r="BH45" s="441"/>
      <c r="BI45" s="441"/>
      <c r="BJ45" s="441"/>
      <c r="BK45" s="441"/>
      <c r="BL45" s="441"/>
      <c r="BM45" s="441"/>
      <c r="BN45" s="442"/>
      <c r="BO45" s="443"/>
    </row>
    <row r="46" spans="2:67">
      <c r="B46" s="440" t="s">
        <v>380</v>
      </c>
      <c r="C46" s="441"/>
      <c r="D46" s="441"/>
      <c r="E46" s="441"/>
      <c r="F46" s="441"/>
      <c r="G46" s="441"/>
      <c r="H46" s="441"/>
      <c r="I46" s="441"/>
      <c r="J46" s="441"/>
      <c r="K46" s="441"/>
      <c r="L46" s="441"/>
      <c r="M46" s="441"/>
      <c r="N46" s="441"/>
      <c r="O46" s="441"/>
      <c r="P46" s="441"/>
      <c r="Q46" s="441"/>
      <c r="R46" s="441"/>
      <c r="S46" s="441"/>
      <c r="T46" s="441"/>
      <c r="U46" s="441"/>
      <c r="V46" s="441"/>
      <c r="W46" s="441"/>
      <c r="X46" s="441"/>
      <c r="Y46" s="441"/>
      <c r="Z46" s="441"/>
      <c r="AA46" s="441"/>
      <c r="AB46" s="441"/>
      <c r="AC46" s="441"/>
      <c r="AD46" s="441"/>
      <c r="AE46" s="441"/>
      <c r="AF46" s="441"/>
      <c r="AG46" s="441"/>
      <c r="AH46" s="441"/>
      <c r="AI46" s="441"/>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c r="BG46" s="441"/>
      <c r="BH46" s="441"/>
      <c r="BI46" s="441"/>
      <c r="BJ46" s="441"/>
      <c r="BK46" s="441"/>
      <c r="BL46" s="441"/>
      <c r="BM46" s="441"/>
      <c r="BN46" s="442"/>
      <c r="BO46" s="443"/>
    </row>
    <row r="47" spans="2:67">
      <c r="B47" s="440" t="s">
        <v>379</v>
      </c>
      <c r="C47" s="441"/>
      <c r="D47" s="441"/>
      <c r="E47" s="441"/>
      <c r="F47" s="441"/>
      <c r="G47" s="441"/>
      <c r="H47" s="441"/>
      <c r="I47" s="441"/>
      <c r="J47" s="441"/>
      <c r="K47" s="441"/>
      <c r="L47" s="441"/>
      <c r="M47" s="441"/>
      <c r="N47" s="441"/>
      <c r="O47" s="441"/>
      <c r="P47" s="441"/>
      <c r="Q47" s="441"/>
      <c r="R47" s="441"/>
      <c r="S47" s="441"/>
      <c r="T47" s="441"/>
      <c r="U47" s="441"/>
      <c r="V47" s="441"/>
      <c r="W47" s="441"/>
      <c r="X47" s="441"/>
      <c r="Y47" s="441"/>
      <c r="Z47" s="441"/>
      <c r="AA47" s="441"/>
      <c r="AB47" s="441"/>
      <c r="AC47" s="441"/>
      <c r="AD47" s="441"/>
      <c r="AE47" s="441"/>
      <c r="AF47" s="441"/>
      <c r="AG47" s="441"/>
      <c r="AH47" s="441"/>
      <c r="AI47" s="441"/>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c r="BG47" s="441"/>
      <c r="BH47" s="441"/>
      <c r="BI47" s="441"/>
      <c r="BJ47" s="441"/>
      <c r="BK47" s="441"/>
      <c r="BL47" s="441"/>
      <c r="BM47" s="441"/>
      <c r="BN47" s="442"/>
      <c r="BO47" s="443"/>
    </row>
    <row r="48" spans="2:67">
      <c r="B48" s="440" t="s">
        <v>378</v>
      </c>
      <c r="C48" s="441"/>
      <c r="D48" s="441"/>
      <c r="E48" s="441"/>
      <c r="F48" s="441"/>
      <c r="G48" s="441"/>
      <c r="H48" s="441"/>
      <c r="I48" s="441"/>
      <c r="J48" s="441"/>
      <c r="K48" s="441"/>
      <c r="L48" s="441"/>
      <c r="M48" s="441"/>
      <c r="N48" s="441"/>
      <c r="O48" s="441"/>
      <c r="P48" s="441"/>
      <c r="Q48" s="441"/>
      <c r="R48" s="441"/>
      <c r="S48" s="441"/>
      <c r="T48" s="441"/>
      <c r="U48" s="441"/>
      <c r="V48" s="441"/>
      <c r="W48" s="441"/>
      <c r="X48" s="441"/>
      <c r="Y48" s="441"/>
      <c r="Z48" s="441"/>
      <c r="AA48" s="441"/>
      <c r="AB48" s="441"/>
      <c r="AC48" s="441"/>
      <c r="AD48" s="441"/>
      <c r="AE48" s="441"/>
      <c r="AF48" s="441"/>
      <c r="AG48" s="441"/>
      <c r="AH48" s="441"/>
      <c r="AI48" s="441"/>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c r="BG48" s="441"/>
      <c r="BH48" s="441"/>
      <c r="BI48" s="441"/>
      <c r="BJ48" s="441"/>
      <c r="BK48" s="441"/>
      <c r="BL48" s="441"/>
      <c r="BM48" s="441"/>
      <c r="BN48" s="442"/>
      <c r="BO48" s="443"/>
    </row>
    <row r="49" spans="2:67">
      <c r="B49" s="440" t="s">
        <v>377</v>
      </c>
      <c r="C49" s="441"/>
      <c r="D49" s="441"/>
      <c r="E49" s="441"/>
      <c r="F49" s="441"/>
      <c r="G49" s="441"/>
      <c r="H49" s="441"/>
      <c r="I49" s="441"/>
      <c r="J49" s="441"/>
      <c r="K49" s="441"/>
      <c r="L49" s="441"/>
      <c r="M49" s="441"/>
      <c r="N49" s="441"/>
      <c r="O49" s="441"/>
      <c r="P49" s="441"/>
      <c r="Q49" s="441"/>
      <c r="R49" s="441"/>
      <c r="S49" s="441"/>
      <c r="T49" s="441"/>
      <c r="U49" s="441"/>
      <c r="V49" s="441"/>
      <c r="W49" s="441"/>
      <c r="X49" s="441"/>
      <c r="Y49" s="441"/>
      <c r="Z49" s="441"/>
      <c r="AA49" s="441"/>
      <c r="AB49" s="441"/>
      <c r="AC49" s="441"/>
      <c r="AD49" s="441"/>
      <c r="AE49" s="441"/>
      <c r="AF49" s="441"/>
      <c r="AG49" s="441"/>
      <c r="AH49" s="441"/>
      <c r="AI49" s="441"/>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c r="BG49" s="441"/>
      <c r="BH49" s="441"/>
      <c r="BI49" s="441"/>
      <c r="BJ49" s="441"/>
      <c r="BK49" s="441"/>
      <c r="BL49" s="441"/>
      <c r="BM49" s="441"/>
      <c r="BN49" s="442"/>
      <c r="BO49" s="443"/>
    </row>
    <row r="50" spans="2:67">
      <c r="B50" s="440" t="s">
        <v>376</v>
      </c>
      <c r="C50" s="441"/>
      <c r="D50" s="441"/>
      <c r="E50" s="441"/>
      <c r="F50" s="441"/>
      <c r="G50" s="441"/>
      <c r="H50" s="441"/>
      <c r="I50" s="441"/>
      <c r="J50" s="441"/>
      <c r="K50" s="441"/>
      <c r="L50" s="441"/>
      <c r="M50" s="441"/>
      <c r="N50" s="441"/>
      <c r="O50" s="441"/>
      <c r="P50" s="441"/>
      <c r="Q50" s="441"/>
      <c r="R50" s="441"/>
      <c r="S50" s="441"/>
      <c r="T50" s="441"/>
      <c r="U50" s="441"/>
      <c r="V50" s="441"/>
      <c r="W50" s="441"/>
      <c r="X50" s="441"/>
      <c r="Y50" s="441"/>
      <c r="Z50" s="441"/>
      <c r="AA50" s="441"/>
      <c r="AB50" s="441"/>
      <c r="AC50" s="441"/>
      <c r="AD50" s="441"/>
      <c r="AE50" s="441"/>
      <c r="AF50" s="441"/>
      <c r="AG50" s="441"/>
      <c r="AH50" s="441"/>
      <c r="AI50" s="441"/>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c r="BG50" s="441"/>
      <c r="BH50" s="441"/>
      <c r="BI50" s="441"/>
      <c r="BJ50" s="441"/>
      <c r="BK50" s="441"/>
      <c r="BL50" s="441"/>
      <c r="BM50" s="441"/>
      <c r="BN50" s="442"/>
      <c r="BO50" s="443"/>
    </row>
    <row r="51" spans="2:67">
      <c r="B51" s="440" t="s">
        <v>136</v>
      </c>
      <c r="C51" s="441"/>
      <c r="D51" s="441"/>
      <c r="E51" s="441"/>
      <c r="F51" s="441"/>
      <c r="G51" s="441"/>
      <c r="H51" s="441"/>
      <c r="I51" s="441"/>
      <c r="J51" s="441"/>
      <c r="K51" s="441"/>
      <c r="L51" s="441"/>
      <c r="M51" s="441"/>
      <c r="N51" s="441"/>
      <c r="O51" s="441"/>
      <c r="P51" s="441"/>
      <c r="Q51" s="441"/>
      <c r="R51" s="441"/>
      <c r="S51" s="441"/>
      <c r="T51" s="441"/>
      <c r="U51" s="441"/>
      <c r="V51" s="441"/>
      <c r="W51" s="441"/>
      <c r="X51" s="441"/>
      <c r="Y51" s="441"/>
      <c r="Z51" s="441"/>
      <c r="AA51" s="441"/>
      <c r="AB51" s="441"/>
      <c r="AC51" s="441"/>
      <c r="AD51" s="441"/>
      <c r="AE51" s="441"/>
      <c r="AF51" s="441"/>
      <c r="AG51" s="441"/>
      <c r="AH51" s="441"/>
      <c r="AI51" s="441"/>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c r="BG51" s="441"/>
      <c r="BH51" s="441"/>
      <c r="BI51" s="441"/>
      <c r="BJ51" s="441"/>
      <c r="BK51" s="441"/>
      <c r="BL51" s="441"/>
      <c r="BM51" s="441"/>
      <c r="BN51" s="442"/>
      <c r="BO51" s="443"/>
    </row>
    <row r="52" spans="2:67">
      <c r="B52" s="440" t="s">
        <v>375</v>
      </c>
      <c r="C52" s="441"/>
      <c r="D52" s="441"/>
      <c r="E52" s="441"/>
      <c r="F52" s="441"/>
      <c r="G52" s="441"/>
      <c r="H52" s="441"/>
      <c r="I52" s="441"/>
      <c r="J52" s="441"/>
      <c r="K52" s="441"/>
      <c r="L52" s="441"/>
      <c r="M52" s="441"/>
      <c r="N52" s="441"/>
      <c r="O52" s="441"/>
      <c r="P52" s="441"/>
      <c r="Q52" s="441"/>
      <c r="R52" s="441"/>
      <c r="S52" s="441"/>
      <c r="T52" s="441"/>
      <c r="U52" s="441"/>
      <c r="V52" s="441"/>
      <c r="W52" s="441"/>
      <c r="X52" s="441"/>
      <c r="Y52" s="441"/>
      <c r="Z52" s="441"/>
      <c r="AA52" s="441"/>
      <c r="AB52" s="441"/>
      <c r="AC52" s="441"/>
      <c r="AD52" s="441"/>
      <c r="AE52" s="441"/>
      <c r="AF52" s="441"/>
      <c r="AG52" s="441"/>
      <c r="AH52" s="441"/>
      <c r="AI52" s="441"/>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c r="BG52" s="441"/>
      <c r="BH52" s="441"/>
      <c r="BI52" s="441"/>
      <c r="BJ52" s="441"/>
      <c r="BK52" s="441"/>
      <c r="BL52" s="441"/>
      <c r="BM52" s="441"/>
      <c r="BN52" s="442"/>
      <c r="BO52" s="443"/>
    </row>
    <row r="53" spans="2:67">
      <c r="B53" s="440" t="s">
        <v>137</v>
      </c>
      <c r="C53" s="441"/>
      <c r="D53" s="441"/>
      <c r="E53" s="441"/>
      <c r="F53" s="441"/>
      <c r="G53" s="441"/>
      <c r="H53" s="441"/>
      <c r="I53" s="441"/>
      <c r="J53" s="441"/>
      <c r="K53" s="441"/>
      <c r="L53" s="441"/>
      <c r="M53" s="441"/>
      <c r="N53" s="441"/>
      <c r="O53" s="441"/>
      <c r="P53" s="441"/>
      <c r="Q53" s="441"/>
      <c r="R53" s="441"/>
      <c r="S53" s="441"/>
      <c r="T53" s="441"/>
      <c r="U53" s="441"/>
      <c r="V53" s="441"/>
      <c r="W53" s="441"/>
      <c r="X53" s="441"/>
      <c r="Y53" s="441"/>
      <c r="Z53" s="441"/>
      <c r="AA53" s="441"/>
      <c r="AB53" s="441"/>
      <c r="AC53" s="441"/>
      <c r="AD53" s="441"/>
      <c r="AE53" s="441"/>
      <c r="AF53" s="441"/>
      <c r="AG53" s="441"/>
      <c r="AH53" s="441"/>
      <c r="AI53" s="441"/>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c r="BG53" s="441"/>
      <c r="BH53" s="441"/>
      <c r="BI53" s="441"/>
      <c r="BJ53" s="441"/>
      <c r="BK53" s="441"/>
      <c r="BL53" s="441"/>
      <c r="BM53" s="441"/>
      <c r="BN53" s="442"/>
      <c r="BO53" s="443"/>
    </row>
    <row r="54" spans="2:67">
      <c r="B54" s="440" t="s">
        <v>138</v>
      </c>
      <c r="C54" s="441"/>
      <c r="D54" s="441"/>
      <c r="E54" s="441"/>
      <c r="F54" s="441"/>
      <c r="G54" s="441"/>
      <c r="H54" s="441"/>
      <c r="I54" s="441"/>
      <c r="J54" s="441"/>
      <c r="K54" s="441"/>
      <c r="L54" s="441"/>
      <c r="M54" s="441"/>
      <c r="N54" s="441"/>
      <c r="O54" s="441"/>
      <c r="P54" s="441"/>
      <c r="Q54" s="441"/>
      <c r="R54" s="441"/>
      <c r="S54" s="441"/>
      <c r="T54" s="441"/>
      <c r="U54" s="441"/>
      <c r="V54" s="441"/>
      <c r="W54" s="441"/>
      <c r="X54" s="441"/>
      <c r="Y54" s="441"/>
      <c r="Z54" s="441"/>
      <c r="AA54" s="441"/>
      <c r="AB54" s="441"/>
      <c r="AC54" s="441"/>
      <c r="AD54" s="441"/>
      <c r="AE54" s="441"/>
      <c r="AF54" s="441"/>
      <c r="AG54" s="441"/>
      <c r="AH54" s="441"/>
      <c r="AI54" s="441"/>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c r="BG54" s="441"/>
      <c r="BH54" s="441"/>
      <c r="BI54" s="441"/>
      <c r="BJ54" s="441"/>
      <c r="BK54" s="441"/>
      <c r="BL54" s="441"/>
      <c r="BM54" s="441"/>
      <c r="BN54" s="442"/>
      <c r="BO54" s="443"/>
    </row>
    <row r="55" spans="2:67">
      <c r="B55" s="440" t="s">
        <v>139</v>
      </c>
      <c r="C55" s="441"/>
      <c r="D55" s="441"/>
      <c r="E55" s="441"/>
      <c r="F55" s="441"/>
      <c r="G55" s="441"/>
      <c r="H55" s="441"/>
      <c r="I55" s="441"/>
      <c r="J55" s="441"/>
      <c r="K55" s="441"/>
      <c r="L55" s="441"/>
      <c r="M55" s="441"/>
      <c r="N55" s="441"/>
      <c r="O55" s="441"/>
      <c r="P55" s="441"/>
      <c r="Q55" s="441"/>
      <c r="R55" s="441"/>
      <c r="S55" s="441"/>
      <c r="T55" s="441"/>
      <c r="U55" s="441"/>
      <c r="V55" s="441"/>
      <c r="W55" s="441"/>
      <c r="X55" s="441"/>
      <c r="Y55" s="441"/>
      <c r="Z55" s="441"/>
      <c r="AA55" s="441"/>
      <c r="AB55" s="441"/>
      <c r="AC55" s="441"/>
      <c r="AD55" s="441"/>
      <c r="AE55" s="441"/>
      <c r="AF55" s="441"/>
      <c r="AG55" s="441"/>
      <c r="AH55" s="441"/>
      <c r="AI55" s="441"/>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c r="BG55" s="441"/>
      <c r="BH55" s="441"/>
      <c r="BI55" s="441"/>
      <c r="BJ55" s="441"/>
      <c r="BK55" s="441"/>
      <c r="BL55" s="441"/>
      <c r="BM55" s="441"/>
      <c r="BN55" s="442"/>
      <c r="BO55" s="443"/>
    </row>
    <row r="56" spans="2:67">
      <c r="B56" s="440" t="s">
        <v>130</v>
      </c>
      <c r="C56" s="441"/>
      <c r="D56" s="441"/>
      <c r="E56" s="441"/>
      <c r="F56" s="441"/>
      <c r="G56" s="441"/>
      <c r="H56" s="441"/>
      <c r="I56" s="441"/>
      <c r="J56" s="441"/>
      <c r="K56" s="441"/>
      <c r="L56" s="441"/>
      <c r="M56" s="441"/>
      <c r="N56" s="441"/>
      <c r="O56" s="441"/>
      <c r="P56" s="441"/>
      <c r="Q56" s="441"/>
      <c r="R56" s="441"/>
      <c r="S56" s="441"/>
      <c r="T56" s="441"/>
      <c r="U56" s="441"/>
      <c r="V56" s="441"/>
      <c r="W56" s="441"/>
      <c r="X56" s="441"/>
      <c r="Y56" s="441"/>
      <c r="Z56" s="441"/>
      <c r="AA56" s="441"/>
      <c r="AB56" s="441"/>
      <c r="AC56" s="441"/>
      <c r="AD56" s="441"/>
      <c r="AE56" s="441"/>
      <c r="AF56" s="441"/>
      <c r="AG56" s="441"/>
      <c r="AH56" s="441"/>
      <c r="AI56" s="441"/>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c r="BG56" s="441"/>
      <c r="BH56" s="441"/>
      <c r="BI56" s="441"/>
      <c r="BJ56" s="441"/>
      <c r="BK56" s="441"/>
      <c r="BL56" s="441"/>
      <c r="BM56" s="441"/>
      <c r="BN56" s="442"/>
      <c r="BO56" s="443"/>
    </row>
    <row r="57" spans="2:67">
      <c r="B57" s="440" t="s">
        <v>140</v>
      </c>
      <c r="C57" s="441"/>
      <c r="D57" s="441"/>
      <c r="E57" s="441"/>
      <c r="F57" s="441"/>
      <c r="G57" s="441"/>
      <c r="H57" s="441"/>
      <c r="I57" s="441"/>
      <c r="J57" s="441"/>
      <c r="K57" s="441"/>
      <c r="L57" s="441"/>
      <c r="M57" s="441"/>
      <c r="N57" s="441"/>
      <c r="O57" s="441"/>
      <c r="P57" s="441"/>
      <c r="Q57" s="441"/>
      <c r="R57" s="441"/>
      <c r="S57" s="441"/>
      <c r="T57" s="441"/>
      <c r="U57" s="441"/>
      <c r="V57" s="441"/>
      <c r="W57" s="441"/>
      <c r="X57" s="441"/>
      <c r="Y57" s="441"/>
      <c r="Z57" s="441"/>
      <c r="AA57" s="441"/>
      <c r="AB57" s="441"/>
      <c r="AC57" s="441"/>
      <c r="AD57" s="441"/>
      <c r="AE57" s="441"/>
      <c r="AF57" s="441"/>
      <c r="AG57" s="441"/>
      <c r="AH57" s="441"/>
      <c r="AI57" s="441"/>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c r="BG57" s="441"/>
      <c r="BH57" s="441"/>
      <c r="BI57" s="441"/>
      <c r="BJ57" s="441"/>
      <c r="BK57" s="441"/>
      <c r="BL57" s="441"/>
      <c r="BM57" s="441"/>
      <c r="BN57" s="442"/>
      <c r="BO57" s="443"/>
    </row>
    <row r="58" spans="2:67" ht="16" thickBot="1">
      <c r="B58" s="440" t="s">
        <v>141</v>
      </c>
      <c r="C58" s="441"/>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1"/>
      <c r="AB58" s="441"/>
      <c r="AC58" s="441"/>
      <c r="AD58" s="441"/>
      <c r="AE58" s="441"/>
      <c r="AF58" s="441"/>
      <c r="AG58" s="441"/>
      <c r="AH58" s="441"/>
      <c r="AI58" s="441"/>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c r="BG58" s="441"/>
      <c r="BH58" s="441"/>
      <c r="BI58" s="441"/>
      <c r="BJ58" s="441"/>
      <c r="BK58" s="441"/>
      <c r="BL58" s="441"/>
      <c r="BM58" s="441"/>
      <c r="BN58" s="442"/>
      <c r="BO58" s="443"/>
    </row>
    <row r="59" spans="2:67" ht="16" thickBot="1">
      <c r="B59" s="444" t="s">
        <v>142</v>
      </c>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45"/>
      <c r="AA59" s="445"/>
      <c r="AB59" s="445"/>
      <c r="AC59" s="445"/>
      <c r="AD59" s="445"/>
      <c r="AE59" s="445"/>
      <c r="AF59" s="445"/>
      <c r="AG59" s="445"/>
      <c r="AH59" s="445"/>
      <c r="AI59" s="445"/>
      <c r="AJ59" s="445"/>
      <c r="AK59" s="445"/>
      <c r="AL59" s="445"/>
      <c r="AM59" s="445"/>
      <c r="AN59" s="445"/>
      <c r="AO59" s="445"/>
      <c r="AP59" s="445"/>
      <c r="AQ59" s="445"/>
      <c r="AR59" s="445"/>
      <c r="AS59" s="445"/>
      <c r="AT59" s="445"/>
      <c r="AU59" s="445"/>
      <c r="AV59" s="445"/>
      <c r="AW59" s="445"/>
      <c r="AX59" s="445"/>
      <c r="AY59" s="445"/>
      <c r="AZ59" s="445"/>
      <c r="BA59" s="445"/>
      <c r="BB59" s="445"/>
      <c r="BC59" s="445"/>
      <c r="BD59" s="445"/>
      <c r="BE59" s="445"/>
      <c r="BF59" s="445"/>
      <c r="BG59" s="445"/>
      <c r="BH59" s="445"/>
      <c r="BI59" s="445"/>
      <c r="BJ59" s="445"/>
      <c r="BK59" s="445"/>
      <c r="BL59" s="445"/>
      <c r="BM59" s="445"/>
      <c r="BN59" s="446"/>
      <c r="BO59" s="447"/>
    </row>
    <row r="60" spans="2:67" ht="16" thickBot="1">
      <c r="B60" s="444" t="s">
        <v>25</v>
      </c>
      <c r="C60" s="445"/>
      <c r="D60" s="445"/>
      <c r="E60" s="445"/>
      <c r="F60" s="445"/>
      <c r="G60" s="445"/>
      <c r="H60" s="445"/>
      <c r="I60" s="445"/>
      <c r="J60" s="445"/>
      <c r="K60" s="445"/>
      <c r="L60" s="445"/>
      <c r="M60" s="445"/>
      <c r="N60" s="445"/>
      <c r="O60" s="445"/>
      <c r="P60" s="445"/>
      <c r="Q60" s="445"/>
      <c r="R60" s="445"/>
      <c r="S60" s="445"/>
      <c r="T60" s="445"/>
      <c r="U60" s="445"/>
      <c r="V60" s="445"/>
      <c r="W60" s="445"/>
      <c r="X60" s="445"/>
      <c r="Y60" s="445"/>
      <c r="Z60" s="445"/>
      <c r="AA60" s="445"/>
      <c r="AB60" s="445"/>
      <c r="AC60" s="445"/>
      <c r="AD60" s="445"/>
      <c r="AE60" s="445"/>
      <c r="AF60" s="445"/>
      <c r="AG60" s="445"/>
      <c r="AH60" s="445"/>
      <c r="AI60" s="445"/>
      <c r="AJ60" s="445"/>
      <c r="AK60" s="445"/>
      <c r="AL60" s="445"/>
      <c r="AM60" s="445"/>
      <c r="AN60" s="445"/>
      <c r="AO60" s="445"/>
      <c r="AP60" s="445"/>
      <c r="AQ60" s="445"/>
      <c r="AR60" s="445"/>
      <c r="AS60" s="445"/>
      <c r="AT60" s="445"/>
      <c r="AU60" s="445"/>
      <c r="AV60" s="445"/>
      <c r="AW60" s="445"/>
      <c r="AX60" s="445"/>
      <c r="AY60" s="445"/>
      <c r="AZ60" s="445"/>
      <c r="BA60" s="445"/>
      <c r="BB60" s="445"/>
      <c r="BC60" s="445"/>
      <c r="BD60" s="445"/>
      <c r="BE60" s="445"/>
      <c r="BF60" s="445"/>
      <c r="BG60" s="445"/>
      <c r="BH60" s="445"/>
      <c r="BI60" s="445"/>
      <c r="BJ60" s="445"/>
      <c r="BK60" s="445"/>
      <c r="BL60" s="445"/>
      <c r="BM60" s="445"/>
      <c r="BN60" s="446"/>
      <c r="BO60" s="447"/>
    </row>
    <row r="61" spans="2:67">
      <c r="B61" s="440" t="s">
        <v>143</v>
      </c>
      <c r="C61" s="441"/>
      <c r="D61" s="441"/>
      <c r="E61" s="441"/>
      <c r="F61" s="441"/>
      <c r="G61" s="441"/>
      <c r="H61" s="441"/>
      <c r="I61" s="441"/>
      <c r="J61" s="441"/>
      <c r="K61" s="441"/>
      <c r="L61" s="441"/>
      <c r="M61" s="441"/>
      <c r="N61" s="441"/>
      <c r="O61" s="441"/>
      <c r="P61" s="441"/>
      <c r="Q61" s="441"/>
      <c r="R61" s="441"/>
      <c r="S61" s="441"/>
      <c r="T61" s="441"/>
      <c r="U61" s="441"/>
      <c r="V61" s="441"/>
      <c r="W61" s="441"/>
      <c r="X61" s="441"/>
      <c r="Y61" s="441"/>
      <c r="Z61" s="441"/>
      <c r="AA61" s="441"/>
      <c r="AB61" s="441"/>
      <c r="AC61" s="441"/>
      <c r="AD61" s="441"/>
      <c r="AE61" s="441"/>
      <c r="AF61" s="441"/>
      <c r="AG61" s="441"/>
      <c r="AH61" s="441"/>
      <c r="AI61" s="441"/>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c r="BG61" s="441"/>
      <c r="BH61" s="441"/>
      <c r="BI61" s="441"/>
      <c r="BJ61" s="441"/>
      <c r="BK61" s="441"/>
      <c r="BL61" s="441"/>
      <c r="BM61" s="441"/>
      <c r="BN61" s="442"/>
      <c r="BO61" s="443"/>
    </row>
    <row r="62" spans="2:67">
      <c r="B62" s="440" t="s">
        <v>144</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1"/>
      <c r="AC62" s="441"/>
      <c r="AD62" s="441"/>
      <c r="AE62" s="441"/>
      <c r="AF62" s="441"/>
      <c r="AG62" s="441"/>
      <c r="AH62" s="441"/>
      <c r="AI62" s="441"/>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c r="BG62" s="441"/>
      <c r="BH62" s="441"/>
      <c r="BI62" s="441"/>
      <c r="BJ62" s="441"/>
      <c r="BK62" s="441"/>
      <c r="BL62" s="441"/>
      <c r="BM62" s="441"/>
      <c r="BN62" s="442"/>
      <c r="BO62" s="443"/>
    </row>
    <row r="63" spans="2:67">
      <c r="B63" s="440" t="s">
        <v>145</v>
      </c>
      <c r="C63" s="441"/>
      <c r="D63" s="441"/>
      <c r="E63" s="441"/>
      <c r="F63" s="441"/>
      <c r="G63" s="441"/>
      <c r="H63" s="441"/>
      <c r="I63" s="441"/>
      <c r="J63" s="441"/>
      <c r="K63" s="441"/>
      <c r="L63" s="441"/>
      <c r="M63" s="441"/>
      <c r="N63" s="441"/>
      <c r="O63" s="441"/>
      <c r="P63" s="441"/>
      <c r="Q63" s="441"/>
      <c r="R63" s="441"/>
      <c r="S63" s="441"/>
      <c r="T63" s="441"/>
      <c r="U63" s="441"/>
      <c r="V63" s="441"/>
      <c r="W63" s="441"/>
      <c r="X63" s="441"/>
      <c r="Y63" s="441"/>
      <c r="Z63" s="441"/>
      <c r="AA63" s="441"/>
      <c r="AB63" s="441"/>
      <c r="AC63" s="441"/>
      <c r="AD63" s="441"/>
      <c r="AE63" s="441"/>
      <c r="AF63" s="441"/>
      <c r="AG63" s="441"/>
      <c r="AH63" s="441"/>
      <c r="AI63" s="441"/>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c r="BG63" s="441"/>
      <c r="BH63" s="441"/>
      <c r="BI63" s="441"/>
      <c r="BJ63" s="441"/>
      <c r="BK63" s="441"/>
      <c r="BL63" s="441"/>
      <c r="BM63" s="441"/>
      <c r="BN63" s="442"/>
      <c r="BO63" s="443"/>
    </row>
    <row r="64" spans="2:67">
      <c r="B64" s="440" t="s">
        <v>146</v>
      </c>
      <c r="C64" s="441"/>
      <c r="D64" s="441"/>
      <c r="E64" s="441"/>
      <c r="F64" s="441"/>
      <c r="G64" s="441"/>
      <c r="H64" s="441"/>
      <c r="I64" s="441"/>
      <c r="J64" s="441"/>
      <c r="K64" s="441"/>
      <c r="L64" s="441"/>
      <c r="M64" s="441"/>
      <c r="N64" s="441"/>
      <c r="O64" s="441"/>
      <c r="P64" s="441"/>
      <c r="Q64" s="441"/>
      <c r="R64" s="441"/>
      <c r="S64" s="441"/>
      <c r="T64" s="441"/>
      <c r="U64" s="441"/>
      <c r="V64" s="441"/>
      <c r="W64" s="441"/>
      <c r="X64" s="441"/>
      <c r="Y64" s="441"/>
      <c r="Z64" s="441"/>
      <c r="AA64" s="441"/>
      <c r="AB64" s="441"/>
      <c r="AC64" s="441"/>
      <c r="AD64" s="441"/>
      <c r="AE64" s="441"/>
      <c r="AF64" s="441"/>
      <c r="AG64" s="441"/>
      <c r="AH64" s="441"/>
      <c r="AI64" s="441"/>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c r="BG64" s="441"/>
      <c r="BH64" s="441"/>
      <c r="BI64" s="441"/>
      <c r="BJ64" s="441"/>
      <c r="BK64" s="441"/>
      <c r="BL64" s="441"/>
      <c r="BM64" s="441"/>
      <c r="BN64" s="442"/>
      <c r="BO64" s="443"/>
    </row>
    <row r="65" spans="2:67">
      <c r="B65" s="440" t="s">
        <v>147</v>
      </c>
      <c r="C65" s="441"/>
      <c r="D65" s="441"/>
      <c r="E65" s="441"/>
      <c r="F65" s="441"/>
      <c r="G65" s="441"/>
      <c r="H65" s="441"/>
      <c r="I65" s="441"/>
      <c r="J65" s="441"/>
      <c r="K65" s="441"/>
      <c r="L65" s="441"/>
      <c r="M65" s="441"/>
      <c r="N65" s="441"/>
      <c r="O65" s="441"/>
      <c r="P65" s="441"/>
      <c r="Q65" s="441"/>
      <c r="R65" s="441"/>
      <c r="S65" s="441"/>
      <c r="T65" s="441"/>
      <c r="U65" s="441"/>
      <c r="V65" s="441"/>
      <c r="W65" s="441"/>
      <c r="X65" s="441"/>
      <c r="Y65" s="441"/>
      <c r="Z65" s="441"/>
      <c r="AA65" s="441"/>
      <c r="AB65" s="441"/>
      <c r="AC65" s="441"/>
      <c r="AD65" s="441"/>
      <c r="AE65" s="441"/>
      <c r="AF65" s="441"/>
      <c r="AG65" s="441"/>
      <c r="AH65" s="441"/>
      <c r="AI65" s="441"/>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c r="BG65" s="441"/>
      <c r="BH65" s="441"/>
      <c r="BI65" s="441"/>
      <c r="BJ65" s="441"/>
      <c r="BK65" s="441"/>
      <c r="BL65" s="441"/>
      <c r="BM65" s="441"/>
      <c r="BN65" s="442"/>
      <c r="BO65" s="443"/>
    </row>
    <row r="66" spans="2:67">
      <c r="B66" s="440" t="s">
        <v>148</v>
      </c>
      <c r="C66" s="441"/>
      <c r="D66" s="441"/>
      <c r="E66" s="441"/>
      <c r="F66" s="441"/>
      <c r="G66" s="441"/>
      <c r="H66" s="441"/>
      <c r="I66" s="441"/>
      <c r="J66" s="441"/>
      <c r="K66" s="441"/>
      <c r="L66" s="441"/>
      <c r="M66" s="441"/>
      <c r="N66" s="441"/>
      <c r="O66" s="441"/>
      <c r="P66" s="441"/>
      <c r="Q66" s="441"/>
      <c r="R66" s="441"/>
      <c r="S66" s="441"/>
      <c r="T66" s="441"/>
      <c r="U66" s="441"/>
      <c r="V66" s="441"/>
      <c r="W66" s="441"/>
      <c r="X66" s="441"/>
      <c r="Y66" s="441"/>
      <c r="Z66" s="441"/>
      <c r="AA66" s="441"/>
      <c r="AB66" s="441"/>
      <c r="AC66" s="441"/>
      <c r="AD66" s="441"/>
      <c r="AE66" s="441"/>
      <c r="AF66" s="441"/>
      <c r="AG66" s="441"/>
      <c r="AH66" s="441"/>
      <c r="AI66" s="441"/>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c r="BG66" s="441"/>
      <c r="BH66" s="441"/>
      <c r="BI66" s="441"/>
      <c r="BJ66" s="441"/>
      <c r="BK66" s="441"/>
      <c r="BL66" s="441"/>
      <c r="BM66" s="441"/>
      <c r="BN66" s="442"/>
      <c r="BO66" s="443"/>
    </row>
    <row r="67" spans="2:67">
      <c r="B67" s="440" t="s">
        <v>149</v>
      </c>
      <c r="C67" s="441"/>
      <c r="D67" s="441"/>
      <c r="E67" s="441"/>
      <c r="F67" s="441"/>
      <c r="G67" s="441"/>
      <c r="H67" s="441"/>
      <c r="I67" s="441"/>
      <c r="J67" s="441"/>
      <c r="K67" s="441"/>
      <c r="L67" s="441"/>
      <c r="M67" s="441"/>
      <c r="N67" s="441"/>
      <c r="O67" s="441"/>
      <c r="P67" s="441"/>
      <c r="Q67" s="441"/>
      <c r="R67" s="441"/>
      <c r="S67" s="441"/>
      <c r="T67" s="441"/>
      <c r="U67" s="441"/>
      <c r="V67" s="441"/>
      <c r="W67" s="441"/>
      <c r="X67" s="441"/>
      <c r="Y67" s="441"/>
      <c r="Z67" s="441"/>
      <c r="AA67" s="441"/>
      <c r="AB67" s="441"/>
      <c r="AC67" s="441"/>
      <c r="AD67" s="441"/>
      <c r="AE67" s="441"/>
      <c r="AF67" s="441"/>
      <c r="AG67" s="441"/>
      <c r="AH67" s="441"/>
      <c r="AI67" s="441"/>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c r="BG67" s="441"/>
      <c r="BH67" s="441"/>
      <c r="BI67" s="441"/>
      <c r="BJ67" s="441"/>
      <c r="BK67" s="441"/>
      <c r="BL67" s="441"/>
      <c r="BM67" s="441"/>
      <c r="BN67" s="442"/>
      <c r="BO67" s="443"/>
    </row>
    <row r="68" spans="2:67">
      <c r="B68" s="440" t="s">
        <v>150</v>
      </c>
      <c r="C68" s="441"/>
      <c r="D68" s="441"/>
      <c r="E68" s="441"/>
      <c r="F68" s="441"/>
      <c r="G68" s="441"/>
      <c r="H68" s="441"/>
      <c r="I68" s="441"/>
      <c r="J68" s="441"/>
      <c r="K68" s="441"/>
      <c r="L68" s="441"/>
      <c r="M68" s="441"/>
      <c r="N68" s="441"/>
      <c r="O68" s="441"/>
      <c r="P68" s="441"/>
      <c r="Q68" s="441"/>
      <c r="R68" s="441"/>
      <c r="S68" s="441"/>
      <c r="T68" s="441"/>
      <c r="U68" s="441"/>
      <c r="V68" s="441"/>
      <c r="W68" s="441"/>
      <c r="X68" s="441"/>
      <c r="Y68" s="441"/>
      <c r="Z68" s="441"/>
      <c r="AA68" s="441"/>
      <c r="AB68" s="441"/>
      <c r="AC68" s="441"/>
      <c r="AD68" s="441"/>
      <c r="AE68" s="441"/>
      <c r="AF68" s="441"/>
      <c r="AG68" s="441"/>
      <c r="AH68" s="441"/>
      <c r="AI68" s="441"/>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c r="BG68" s="441"/>
      <c r="BH68" s="441"/>
      <c r="BI68" s="441"/>
      <c r="BJ68" s="441"/>
      <c r="BK68" s="441"/>
      <c r="BL68" s="441"/>
      <c r="BM68" s="441"/>
      <c r="BN68" s="442"/>
      <c r="BO68" s="443"/>
    </row>
    <row r="69" spans="2:67">
      <c r="B69" s="440" t="s">
        <v>151</v>
      </c>
      <c r="C69" s="441"/>
      <c r="D69" s="441"/>
      <c r="E69" s="441"/>
      <c r="F69" s="441"/>
      <c r="G69" s="441"/>
      <c r="H69" s="441"/>
      <c r="I69" s="441"/>
      <c r="J69" s="441"/>
      <c r="K69" s="441"/>
      <c r="L69" s="441"/>
      <c r="M69" s="441"/>
      <c r="N69" s="441"/>
      <c r="O69" s="441"/>
      <c r="P69" s="441"/>
      <c r="Q69" s="441"/>
      <c r="R69" s="441"/>
      <c r="S69" s="441"/>
      <c r="T69" s="441"/>
      <c r="U69" s="441"/>
      <c r="V69" s="441"/>
      <c r="W69" s="441"/>
      <c r="X69" s="441"/>
      <c r="Y69" s="441"/>
      <c r="Z69" s="441"/>
      <c r="AA69" s="441"/>
      <c r="AB69" s="441"/>
      <c r="AC69" s="441"/>
      <c r="AD69" s="441"/>
      <c r="AE69" s="441"/>
      <c r="AF69" s="441"/>
      <c r="AG69" s="441"/>
      <c r="AH69" s="441"/>
      <c r="AI69" s="441"/>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c r="BG69" s="441"/>
      <c r="BH69" s="441"/>
      <c r="BI69" s="441"/>
      <c r="BJ69" s="441"/>
      <c r="BK69" s="441"/>
      <c r="BL69" s="441"/>
      <c r="BM69" s="441"/>
      <c r="BN69" s="442"/>
      <c r="BO69" s="443"/>
    </row>
    <row r="70" spans="2:67">
      <c r="B70" s="440" t="s">
        <v>152</v>
      </c>
      <c r="C70" s="441"/>
      <c r="D70" s="441"/>
      <c r="E70" s="441"/>
      <c r="F70" s="441"/>
      <c r="G70" s="441"/>
      <c r="H70" s="441"/>
      <c r="I70" s="441"/>
      <c r="J70" s="441"/>
      <c r="K70" s="441"/>
      <c r="L70" s="441"/>
      <c r="M70" s="441"/>
      <c r="N70" s="441"/>
      <c r="O70" s="441"/>
      <c r="P70" s="441"/>
      <c r="Q70" s="441"/>
      <c r="R70" s="441"/>
      <c r="S70" s="441"/>
      <c r="T70" s="441"/>
      <c r="U70" s="441"/>
      <c r="V70" s="441"/>
      <c r="W70" s="441"/>
      <c r="X70" s="441"/>
      <c r="Y70" s="441"/>
      <c r="Z70" s="441"/>
      <c r="AA70" s="441"/>
      <c r="AB70" s="441"/>
      <c r="AC70" s="441"/>
      <c r="AD70" s="441"/>
      <c r="AE70" s="441"/>
      <c r="AF70" s="441"/>
      <c r="AG70" s="441"/>
      <c r="AH70" s="441"/>
      <c r="AI70" s="441"/>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c r="BG70" s="441"/>
      <c r="BH70" s="441"/>
      <c r="BI70" s="441"/>
      <c r="BJ70" s="441"/>
      <c r="BK70" s="441"/>
      <c r="BL70" s="441"/>
      <c r="BM70" s="441"/>
      <c r="BN70" s="442"/>
      <c r="BO70" s="443"/>
    </row>
    <row r="71" spans="2:67">
      <c r="B71" s="440" t="s">
        <v>153</v>
      </c>
      <c r="C71" s="441"/>
      <c r="D71" s="441"/>
      <c r="E71" s="441"/>
      <c r="F71" s="441"/>
      <c r="G71" s="441"/>
      <c r="H71" s="441"/>
      <c r="I71" s="441"/>
      <c r="J71" s="441"/>
      <c r="K71" s="441"/>
      <c r="L71" s="441"/>
      <c r="M71" s="441"/>
      <c r="N71" s="441"/>
      <c r="O71" s="441"/>
      <c r="P71" s="441"/>
      <c r="Q71" s="441"/>
      <c r="R71" s="441"/>
      <c r="S71" s="441"/>
      <c r="T71" s="441"/>
      <c r="U71" s="441"/>
      <c r="V71" s="441"/>
      <c r="W71" s="441"/>
      <c r="X71" s="441"/>
      <c r="Y71" s="441"/>
      <c r="Z71" s="441"/>
      <c r="AA71" s="441"/>
      <c r="AB71" s="441"/>
      <c r="AC71" s="441"/>
      <c r="AD71" s="441"/>
      <c r="AE71" s="441"/>
      <c r="AF71" s="441"/>
      <c r="AG71" s="441"/>
      <c r="AH71" s="441"/>
      <c r="AI71" s="441"/>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c r="BG71" s="441"/>
      <c r="BH71" s="441"/>
      <c r="BI71" s="441"/>
      <c r="BJ71" s="441"/>
      <c r="BK71" s="441"/>
      <c r="BL71" s="441"/>
      <c r="BM71" s="441"/>
      <c r="BN71" s="442"/>
      <c r="BO71" s="443"/>
    </row>
    <row r="72" spans="2:67">
      <c r="B72" s="440" t="s">
        <v>154</v>
      </c>
      <c r="C72" s="441"/>
      <c r="D72" s="441"/>
      <c r="E72" s="441"/>
      <c r="F72" s="441"/>
      <c r="G72" s="441"/>
      <c r="H72" s="441"/>
      <c r="I72" s="441"/>
      <c r="J72" s="441"/>
      <c r="K72" s="441"/>
      <c r="L72" s="441"/>
      <c r="M72" s="441"/>
      <c r="N72" s="441"/>
      <c r="O72" s="441"/>
      <c r="P72" s="441"/>
      <c r="Q72" s="441"/>
      <c r="R72" s="441"/>
      <c r="S72" s="441"/>
      <c r="T72" s="441"/>
      <c r="U72" s="441"/>
      <c r="V72" s="441"/>
      <c r="W72" s="441"/>
      <c r="X72" s="441"/>
      <c r="Y72" s="441"/>
      <c r="Z72" s="441"/>
      <c r="AA72" s="441"/>
      <c r="AB72" s="441"/>
      <c r="AC72" s="441"/>
      <c r="AD72" s="441"/>
      <c r="AE72" s="441"/>
      <c r="AF72" s="441"/>
      <c r="AG72" s="441"/>
      <c r="AH72" s="441"/>
      <c r="AI72" s="441"/>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c r="BG72" s="441"/>
      <c r="BH72" s="441"/>
      <c r="BI72" s="441"/>
      <c r="BJ72" s="441"/>
      <c r="BK72" s="441"/>
      <c r="BL72" s="441"/>
      <c r="BM72" s="441"/>
      <c r="BN72" s="442"/>
      <c r="BO72" s="443"/>
    </row>
    <row r="73" spans="2:67" ht="16" thickBot="1">
      <c r="B73" s="440" t="s">
        <v>155</v>
      </c>
      <c r="C73" s="441"/>
      <c r="D73" s="441"/>
      <c r="E73" s="441"/>
      <c r="F73" s="441"/>
      <c r="G73" s="441"/>
      <c r="H73" s="441"/>
      <c r="I73" s="441"/>
      <c r="J73" s="441"/>
      <c r="K73" s="441"/>
      <c r="L73" s="441"/>
      <c r="M73" s="441"/>
      <c r="N73" s="441"/>
      <c r="O73" s="441"/>
      <c r="P73" s="441"/>
      <c r="Q73" s="441"/>
      <c r="R73" s="441"/>
      <c r="S73" s="441"/>
      <c r="T73" s="441"/>
      <c r="U73" s="441"/>
      <c r="V73" s="441"/>
      <c r="W73" s="441"/>
      <c r="X73" s="441"/>
      <c r="Y73" s="441"/>
      <c r="Z73" s="441"/>
      <c r="AA73" s="441"/>
      <c r="AB73" s="441"/>
      <c r="AC73" s="441"/>
      <c r="AD73" s="441"/>
      <c r="AE73" s="441"/>
      <c r="AF73" s="441"/>
      <c r="AG73" s="441"/>
      <c r="AH73" s="441"/>
      <c r="AI73" s="441"/>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c r="BG73" s="441"/>
      <c r="BH73" s="441"/>
      <c r="BI73" s="441"/>
      <c r="BJ73" s="441"/>
      <c r="BK73" s="441"/>
      <c r="BL73" s="441"/>
      <c r="BM73" s="441"/>
      <c r="BN73" s="442"/>
      <c r="BO73" s="443"/>
    </row>
    <row r="74" spans="2:67" ht="16" thickBot="1">
      <c r="B74" s="444" t="s">
        <v>156</v>
      </c>
      <c r="C74" s="445"/>
      <c r="D74" s="445"/>
      <c r="E74" s="445"/>
      <c r="F74" s="445"/>
      <c r="G74" s="445"/>
      <c r="H74" s="445"/>
      <c r="I74" s="445"/>
      <c r="J74" s="445"/>
      <c r="K74" s="445"/>
      <c r="L74" s="445"/>
      <c r="M74" s="445"/>
      <c r="N74" s="445"/>
      <c r="O74" s="445"/>
      <c r="P74" s="445"/>
      <c r="Q74" s="445"/>
      <c r="R74" s="445"/>
      <c r="S74" s="445"/>
      <c r="T74" s="445"/>
      <c r="U74" s="445"/>
      <c r="V74" s="445"/>
      <c r="W74" s="445"/>
      <c r="X74" s="445"/>
      <c r="Y74" s="445"/>
      <c r="Z74" s="445"/>
      <c r="AA74" s="445"/>
      <c r="AB74" s="445"/>
      <c r="AC74" s="445"/>
      <c r="AD74" s="445"/>
      <c r="AE74" s="445"/>
      <c r="AF74" s="445"/>
      <c r="AG74" s="445"/>
      <c r="AH74" s="445"/>
      <c r="AI74" s="445"/>
      <c r="AJ74" s="445"/>
      <c r="AK74" s="445"/>
      <c r="AL74" s="445"/>
      <c r="AM74" s="445"/>
      <c r="AN74" s="445"/>
      <c r="AO74" s="445"/>
      <c r="AP74" s="445"/>
      <c r="AQ74" s="445"/>
      <c r="AR74" s="445"/>
      <c r="AS74" s="445"/>
      <c r="AT74" s="445"/>
      <c r="AU74" s="445"/>
      <c r="AV74" s="445"/>
      <c r="AW74" s="445"/>
      <c r="AX74" s="445"/>
      <c r="AY74" s="445"/>
      <c r="AZ74" s="445"/>
      <c r="BA74" s="445"/>
      <c r="BB74" s="445"/>
      <c r="BC74" s="445"/>
      <c r="BD74" s="445"/>
      <c r="BE74" s="445"/>
      <c r="BF74" s="445"/>
      <c r="BG74" s="445"/>
      <c r="BH74" s="445"/>
      <c r="BI74" s="445"/>
      <c r="BJ74" s="445"/>
      <c r="BK74" s="445"/>
      <c r="BL74" s="445"/>
      <c r="BM74" s="445"/>
      <c r="BN74" s="446"/>
      <c r="BO74" s="447"/>
    </row>
    <row r="75" spans="2:67">
      <c r="B75" s="440" t="s">
        <v>157</v>
      </c>
      <c r="C75" s="441"/>
      <c r="D75" s="441"/>
      <c r="E75" s="441"/>
      <c r="F75" s="441"/>
      <c r="G75" s="441"/>
      <c r="H75" s="441"/>
      <c r="I75" s="441"/>
      <c r="J75" s="441"/>
      <c r="K75" s="441"/>
      <c r="L75" s="441"/>
      <c r="M75" s="441"/>
      <c r="N75" s="441"/>
      <c r="O75" s="441"/>
      <c r="P75" s="441"/>
      <c r="Q75" s="441"/>
      <c r="R75" s="441"/>
      <c r="S75" s="441"/>
      <c r="T75" s="441"/>
      <c r="U75" s="441"/>
      <c r="V75" s="441"/>
      <c r="W75" s="441"/>
      <c r="X75" s="441"/>
      <c r="Y75" s="441"/>
      <c r="Z75" s="441"/>
      <c r="AA75" s="441"/>
      <c r="AB75" s="441"/>
      <c r="AC75" s="441"/>
      <c r="AD75" s="441"/>
      <c r="AE75" s="441"/>
      <c r="AF75" s="441"/>
      <c r="AG75" s="441"/>
      <c r="AH75" s="441"/>
      <c r="AI75" s="441"/>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c r="BG75" s="441"/>
      <c r="BH75" s="441"/>
      <c r="BI75" s="441"/>
      <c r="BJ75" s="441"/>
      <c r="BK75" s="441"/>
      <c r="BL75" s="441"/>
      <c r="BM75" s="441"/>
      <c r="BN75" s="442"/>
      <c r="BO75" s="443"/>
    </row>
    <row r="76" spans="2:67">
      <c r="B76" s="440" t="s">
        <v>158</v>
      </c>
      <c r="C76" s="441"/>
      <c r="D76" s="441"/>
      <c r="E76" s="441"/>
      <c r="F76" s="441"/>
      <c r="G76" s="441"/>
      <c r="H76" s="441"/>
      <c r="I76" s="441"/>
      <c r="J76" s="441"/>
      <c r="K76" s="441"/>
      <c r="L76" s="441"/>
      <c r="M76" s="441"/>
      <c r="N76" s="441"/>
      <c r="O76" s="441"/>
      <c r="P76" s="441"/>
      <c r="Q76" s="441"/>
      <c r="R76" s="441"/>
      <c r="S76" s="441"/>
      <c r="T76" s="441"/>
      <c r="U76" s="441"/>
      <c r="V76" s="441"/>
      <c r="W76" s="441"/>
      <c r="X76" s="441"/>
      <c r="Y76" s="441"/>
      <c r="Z76" s="441"/>
      <c r="AA76" s="441"/>
      <c r="AB76" s="441"/>
      <c r="AC76" s="441"/>
      <c r="AD76" s="441"/>
      <c r="AE76" s="441"/>
      <c r="AF76" s="441"/>
      <c r="AG76" s="441"/>
      <c r="AH76" s="441"/>
      <c r="AI76" s="441"/>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c r="BG76" s="441"/>
      <c r="BH76" s="441"/>
      <c r="BI76" s="441"/>
      <c r="BJ76" s="441"/>
      <c r="BK76" s="441"/>
      <c r="BL76" s="441"/>
      <c r="BM76" s="441"/>
      <c r="BN76" s="442"/>
      <c r="BO76" s="443"/>
    </row>
    <row r="77" spans="2:67">
      <c r="B77" s="440" t="s">
        <v>159</v>
      </c>
      <c r="C77" s="441"/>
      <c r="D77" s="441"/>
      <c r="E77" s="441"/>
      <c r="F77" s="441"/>
      <c r="G77" s="441"/>
      <c r="H77" s="441"/>
      <c r="I77" s="441"/>
      <c r="J77" s="441"/>
      <c r="K77" s="441"/>
      <c r="L77" s="441"/>
      <c r="M77" s="441"/>
      <c r="N77" s="441"/>
      <c r="O77" s="441"/>
      <c r="P77" s="441"/>
      <c r="Q77" s="441"/>
      <c r="R77" s="441"/>
      <c r="S77" s="441"/>
      <c r="T77" s="441"/>
      <c r="U77" s="441"/>
      <c r="V77" s="441"/>
      <c r="W77" s="441"/>
      <c r="X77" s="441"/>
      <c r="Y77" s="441"/>
      <c r="Z77" s="441"/>
      <c r="AA77" s="441"/>
      <c r="AB77" s="441"/>
      <c r="AC77" s="441"/>
      <c r="AD77" s="441"/>
      <c r="AE77" s="441"/>
      <c r="AF77" s="441"/>
      <c r="AG77" s="441"/>
      <c r="AH77" s="441"/>
      <c r="AI77" s="441"/>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c r="BG77" s="441"/>
      <c r="BH77" s="441"/>
      <c r="BI77" s="441"/>
      <c r="BJ77" s="441"/>
      <c r="BK77" s="441"/>
      <c r="BL77" s="441"/>
      <c r="BM77" s="441"/>
      <c r="BN77" s="442"/>
      <c r="BO77" s="443"/>
    </row>
    <row r="78" spans="2:67">
      <c r="B78" s="440" t="s">
        <v>160</v>
      </c>
      <c r="C78" s="441"/>
      <c r="D78" s="441"/>
      <c r="E78" s="441"/>
      <c r="F78" s="441"/>
      <c r="G78" s="441"/>
      <c r="H78" s="441"/>
      <c r="I78" s="441"/>
      <c r="J78" s="441"/>
      <c r="K78" s="441"/>
      <c r="L78" s="441"/>
      <c r="M78" s="441"/>
      <c r="N78" s="441"/>
      <c r="O78" s="441"/>
      <c r="P78" s="441"/>
      <c r="Q78" s="441"/>
      <c r="R78" s="441"/>
      <c r="S78" s="441"/>
      <c r="T78" s="441"/>
      <c r="U78" s="441"/>
      <c r="V78" s="441"/>
      <c r="W78" s="441"/>
      <c r="X78" s="441"/>
      <c r="Y78" s="441"/>
      <c r="Z78" s="441"/>
      <c r="AA78" s="441"/>
      <c r="AB78" s="441"/>
      <c r="AC78" s="441"/>
      <c r="AD78" s="441"/>
      <c r="AE78" s="441"/>
      <c r="AF78" s="441"/>
      <c r="AG78" s="441"/>
      <c r="AH78" s="441"/>
      <c r="AI78" s="441"/>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c r="BG78" s="441"/>
      <c r="BH78" s="441"/>
      <c r="BI78" s="441"/>
      <c r="BJ78" s="441"/>
      <c r="BK78" s="441"/>
      <c r="BL78" s="441"/>
      <c r="BM78" s="441"/>
      <c r="BN78" s="442"/>
      <c r="BO78" s="443"/>
    </row>
    <row r="79" spans="2:67">
      <c r="B79" s="440" t="s">
        <v>161</v>
      </c>
      <c r="C79" s="441"/>
      <c r="D79" s="441"/>
      <c r="E79" s="441"/>
      <c r="F79" s="441"/>
      <c r="G79" s="441"/>
      <c r="H79" s="441"/>
      <c r="I79" s="441"/>
      <c r="J79" s="441"/>
      <c r="K79" s="441"/>
      <c r="L79" s="441"/>
      <c r="M79" s="441"/>
      <c r="N79" s="441"/>
      <c r="O79" s="441"/>
      <c r="P79" s="441"/>
      <c r="Q79" s="441"/>
      <c r="R79" s="441"/>
      <c r="S79" s="441"/>
      <c r="T79" s="441"/>
      <c r="U79" s="441"/>
      <c r="V79" s="441"/>
      <c r="W79" s="441"/>
      <c r="X79" s="441"/>
      <c r="Y79" s="441"/>
      <c r="Z79" s="441"/>
      <c r="AA79" s="441"/>
      <c r="AB79" s="441"/>
      <c r="AC79" s="441"/>
      <c r="AD79" s="441"/>
      <c r="AE79" s="441"/>
      <c r="AF79" s="441"/>
      <c r="AG79" s="441"/>
      <c r="AH79" s="441"/>
      <c r="AI79" s="441"/>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c r="BG79" s="441"/>
      <c r="BH79" s="441"/>
      <c r="BI79" s="441"/>
      <c r="BJ79" s="441"/>
      <c r="BK79" s="441"/>
      <c r="BL79" s="441"/>
      <c r="BM79" s="441"/>
      <c r="BN79" s="442"/>
      <c r="BO79" s="443"/>
    </row>
    <row r="80" spans="2:67" ht="16" thickBot="1">
      <c r="B80" s="440" t="s">
        <v>162</v>
      </c>
      <c r="C80" s="441"/>
      <c r="D80" s="441"/>
      <c r="E80" s="441"/>
      <c r="F80" s="441"/>
      <c r="G80" s="441"/>
      <c r="H80" s="441"/>
      <c r="I80" s="441"/>
      <c r="J80" s="441"/>
      <c r="K80" s="441"/>
      <c r="L80" s="441"/>
      <c r="M80" s="441"/>
      <c r="N80" s="441"/>
      <c r="O80" s="441"/>
      <c r="P80" s="441"/>
      <c r="Q80" s="441"/>
      <c r="R80" s="441"/>
      <c r="S80" s="441"/>
      <c r="T80" s="441"/>
      <c r="U80" s="441"/>
      <c r="V80" s="441"/>
      <c r="W80" s="441"/>
      <c r="X80" s="441"/>
      <c r="Y80" s="441"/>
      <c r="Z80" s="441"/>
      <c r="AA80" s="441"/>
      <c r="AB80" s="441"/>
      <c r="AC80" s="441"/>
      <c r="AD80" s="441"/>
      <c r="AE80" s="441"/>
      <c r="AF80" s="441"/>
      <c r="AG80" s="441"/>
      <c r="AH80" s="441"/>
      <c r="AI80" s="441"/>
      <c r="AJ80" s="441"/>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c r="BG80" s="441"/>
      <c r="BH80" s="441"/>
      <c r="BI80" s="441"/>
      <c r="BJ80" s="441"/>
      <c r="BK80" s="441"/>
      <c r="BL80" s="441"/>
      <c r="BM80" s="441"/>
      <c r="BN80" s="442"/>
      <c r="BO80" s="443"/>
    </row>
    <row r="81" spans="2:67" ht="16" thickBot="1">
      <c r="B81" s="444" t="s">
        <v>82</v>
      </c>
      <c r="C81" s="445"/>
      <c r="D81" s="445"/>
      <c r="E81" s="445"/>
      <c r="F81" s="445"/>
      <c r="G81" s="445"/>
      <c r="H81" s="445"/>
      <c r="I81" s="445"/>
      <c r="J81" s="445"/>
      <c r="K81" s="445"/>
      <c r="L81" s="445"/>
      <c r="M81" s="445"/>
      <c r="N81" s="445"/>
      <c r="O81" s="445"/>
      <c r="P81" s="445"/>
      <c r="Q81" s="445"/>
      <c r="R81" s="445"/>
      <c r="S81" s="445"/>
      <c r="T81" s="445"/>
      <c r="U81" s="445"/>
      <c r="V81" s="445"/>
      <c r="W81" s="445"/>
      <c r="X81" s="445"/>
      <c r="Y81" s="445"/>
      <c r="Z81" s="445"/>
      <c r="AA81" s="445"/>
      <c r="AB81" s="445"/>
      <c r="AC81" s="445"/>
      <c r="AD81" s="445"/>
      <c r="AE81" s="445"/>
      <c r="AF81" s="445"/>
      <c r="AG81" s="445"/>
      <c r="AH81" s="445"/>
      <c r="AI81" s="445"/>
      <c r="AJ81" s="445"/>
      <c r="AK81" s="445"/>
      <c r="AL81" s="445"/>
      <c r="AM81" s="445"/>
      <c r="AN81" s="445"/>
      <c r="AO81" s="445"/>
      <c r="AP81" s="445"/>
      <c r="AQ81" s="445"/>
      <c r="AR81" s="445"/>
      <c r="AS81" s="445"/>
      <c r="AT81" s="445"/>
      <c r="AU81" s="445"/>
      <c r="AV81" s="445"/>
      <c r="AW81" s="445"/>
      <c r="AX81" s="445"/>
      <c r="AY81" s="445"/>
      <c r="AZ81" s="445"/>
      <c r="BA81" s="445"/>
      <c r="BB81" s="445"/>
      <c r="BC81" s="445"/>
      <c r="BD81" s="445"/>
      <c r="BE81" s="445"/>
      <c r="BF81" s="445"/>
      <c r="BG81" s="445"/>
      <c r="BH81" s="445"/>
      <c r="BI81" s="445"/>
      <c r="BJ81" s="445"/>
      <c r="BK81" s="445"/>
      <c r="BL81" s="445"/>
      <c r="BM81" s="445"/>
      <c r="BN81" s="446"/>
      <c r="BO81" s="447"/>
    </row>
    <row r="82" spans="2:67">
      <c r="B82" s="440" t="s">
        <v>163</v>
      </c>
      <c r="C82" s="441"/>
      <c r="D82" s="441"/>
      <c r="E82" s="441"/>
      <c r="F82" s="441"/>
      <c r="G82" s="441"/>
      <c r="H82" s="441"/>
      <c r="I82" s="441"/>
      <c r="J82" s="441"/>
      <c r="K82" s="441"/>
      <c r="L82" s="441"/>
      <c r="M82" s="441"/>
      <c r="N82" s="441"/>
      <c r="O82" s="441"/>
      <c r="P82" s="441"/>
      <c r="Q82" s="441"/>
      <c r="R82" s="441"/>
      <c r="S82" s="441"/>
      <c r="T82" s="441"/>
      <c r="U82" s="441"/>
      <c r="V82" s="441"/>
      <c r="W82" s="441"/>
      <c r="X82" s="441"/>
      <c r="Y82" s="441"/>
      <c r="Z82" s="441"/>
      <c r="AA82" s="441"/>
      <c r="AB82" s="441"/>
      <c r="AC82" s="441"/>
      <c r="AD82" s="441"/>
      <c r="AE82" s="441"/>
      <c r="AF82" s="441"/>
      <c r="AG82" s="441"/>
      <c r="AH82" s="441"/>
      <c r="AI82" s="441"/>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c r="BG82" s="441"/>
      <c r="BH82" s="441"/>
      <c r="BI82" s="441"/>
      <c r="BJ82" s="441"/>
      <c r="BK82" s="441"/>
      <c r="BL82" s="441"/>
      <c r="BM82" s="441"/>
      <c r="BN82" s="442"/>
      <c r="BO82" s="443"/>
    </row>
    <row r="83" spans="2:67">
      <c r="B83" s="440" t="s">
        <v>164</v>
      </c>
      <c r="C83" s="452"/>
      <c r="D83" s="452"/>
      <c r="E83" s="452"/>
      <c r="F83" s="452"/>
      <c r="G83" s="452"/>
      <c r="H83" s="452"/>
      <c r="I83" s="452"/>
      <c r="J83" s="452"/>
      <c r="K83" s="452"/>
      <c r="L83" s="452"/>
      <c r="M83" s="452"/>
      <c r="N83" s="452"/>
      <c r="O83" s="452"/>
      <c r="P83" s="452"/>
      <c r="Q83" s="452"/>
      <c r="R83" s="452"/>
      <c r="S83" s="452"/>
      <c r="T83" s="452"/>
      <c r="U83" s="452"/>
      <c r="V83" s="452"/>
      <c r="W83" s="452"/>
      <c r="X83" s="452"/>
      <c r="Y83" s="452"/>
      <c r="Z83" s="452"/>
      <c r="AA83" s="452"/>
      <c r="AB83" s="452"/>
      <c r="AC83" s="452"/>
      <c r="AD83" s="452"/>
      <c r="AE83" s="452"/>
      <c r="AF83" s="452"/>
      <c r="AG83" s="452"/>
      <c r="AH83" s="452"/>
      <c r="AI83" s="452"/>
      <c r="AJ83" s="452"/>
      <c r="AK83" s="452"/>
      <c r="AL83" s="452"/>
      <c r="AM83" s="452"/>
      <c r="AN83" s="452"/>
      <c r="AO83" s="452"/>
      <c r="AP83" s="452"/>
      <c r="AQ83" s="452"/>
      <c r="AR83" s="452"/>
      <c r="AS83" s="452"/>
      <c r="AT83" s="452"/>
      <c r="AU83" s="452"/>
      <c r="AV83" s="452"/>
      <c r="AW83" s="452"/>
      <c r="AX83" s="452"/>
      <c r="AY83" s="452"/>
      <c r="AZ83" s="452"/>
      <c r="BA83" s="452"/>
      <c r="BB83" s="452"/>
      <c r="BC83" s="452"/>
      <c r="BD83" s="452"/>
      <c r="BE83" s="452"/>
      <c r="BF83" s="452"/>
      <c r="BG83" s="452"/>
      <c r="BH83" s="452"/>
      <c r="BI83" s="452"/>
      <c r="BJ83" s="452"/>
      <c r="BK83" s="452"/>
      <c r="BL83" s="452"/>
      <c r="BM83" s="452"/>
      <c r="BN83" s="453"/>
      <c r="BO83" s="454"/>
    </row>
    <row r="84" spans="2:67">
      <c r="B84" s="440" t="s">
        <v>165</v>
      </c>
      <c r="C84" s="441"/>
      <c r="D84" s="441"/>
      <c r="E84" s="441"/>
      <c r="F84" s="441"/>
      <c r="G84" s="441"/>
      <c r="H84" s="441"/>
      <c r="I84" s="441"/>
      <c r="J84" s="441"/>
      <c r="K84" s="441"/>
      <c r="L84" s="441"/>
      <c r="M84" s="441"/>
      <c r="N84" s="441"/>
      <c r="O84" s="441"/>
      <c r="P84" s="441"/>
      <c r="Q84" s="441"/>
      <c r="R84" s="441"/>
      <c r="S84" s="441"/>
      <c r="T84" s="441"/>
      <c r="U84" s="441"/>
      <c r="V84" s="441"/>
      <c r="W84" s="441"/>
      <c r="X84" s="441"/>
      <c r="Y84" s="441"/>
      <c r="Z84" s="441"/>
      <c r="AA84" s="441"/>
      <c r="AB84" s="441"/>
      <c r="AC84" s="441"/>
      <c r="AD84" s="441"/>
      <c r="AE84" s="441"/>
      <c r="AF84" s="441"/>
      <c r="AG84" s="441"/>
      <c r="AH84" s="441"/>
      <c r="AI84" s="441"/>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c r="BG84" s="441"/>
      <c r="BH84" s="441"/>
      <c r="BI84" s="441"/>
      <c r="BJ84" s="441"/>
      <c r="BK84" s="441"/>
      <c r="BL84" s="441"/>
      <c r="BM84" s="441"/>
      <c r="BN84" s="442"/>
      <c r="BO84" s="443"/>
    </row>
    <row r="85" spans="2:67">
      <c r="B85" s="440" t="s">
        <v>166</v>
      </c>
      <c r="C85" s="441"/>
      <c r="D85" s="441"/>
      <c r="E85" s="441"/>
      <c r="F85" s="441"/>
      <c r="G85" s="441"/>
      <c r="H85" s="441"/>
      <c r="I85" s="441"/>
      <c r="J85" s="441"/>
      <c r="K85" s="441"/>
      <c r="L85" s="441"/>
      <c r="M85" s="441"/>
      <c r="N85" s="441"/>
      <c r="O85" s="441"/>
      <c r="P85" s="441"/>
      <c r="Q85" s="441"/>
      <c r="R85" s="441"/>
      <c r="S85" s="441"/>
      <c r="T85" s="441"/>
      <c r="U85" s="441"/>
      <c r="V85" s="441"/>
      <c r="W85" s="441"/>
      <c r="X85" s="441"/>
      <c r="Y85" s="441"/>
      <c r="Z85" s="441"/>
      <c r="AA85" s="441"/>
      <c r="AB85" s="441"/>
      <c r="AC85" s="441"/>
      <c r="AD85" s="441"/>
      <c r="AE85" s="441"/>
      <c r="AF85" s="441"/>
      <c r="AG85" s="441"/>
      <c r="AH85" s="441"/>
      <c r="AI85" s="441"/>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c r="BG85" s="441"/>
      <c r="BH85" s="441"/>
      <c r="BI85" s="441"/>
      <c r="BJ85" s="441"/>
      <c r="BK85" s="441"/>
      <c r="BL85" s="441"/>
      <c r="BM85" s="441"/>
      <c r="BN85" s="442"/>
      <c r="BO85" s="443"/>
    </row>
    <row r="86" spans="2:67" ht="16" thickBot="1">
      <c r="B86" s="440" t="s">
        <v>167</v>
      </c>
      <c r="C86" s="441"/>
      <c r="D86" s="441"/>
      <c r="E86" s="441"/>
      <c r="F86" s="441"/>
      <c r="G86" s="441"/>
      <c r="H86" s="441"/>
      <c r="I86" s="441"/>
      <c r="J86" s="441"/>
      <c r="K86" s="441"/>
      <c r="L86" s="441"/>
      <c r="M86" s="441"/>
      <c r="N86" s="441"/>
      <c r="O86" s="441"/>
      <c r="P86" s="441"/>
      <c r="Q86" s="441"/>
      <c r="R86" s="441"/>
      <c r="S86" s="441"/>
      <c r="T86" s="441"/>
      <c r="U86" s="441"/>
      <c r="V86" s="441"/>
      <c r="W86" s="441"/>
      <c r="X86" s="441"/>
      <c r="Y86" s="441"/>
      <c r="Z86" s="441"/>
      <c r="AA86" s="441"/>
      <c r="AB86" s="441"/>
      <c r="AC86" s="441"/>
      <c r="AD86" s="441"/>
      <c r="AE86" s="441"/>
      <c r="AF86" s="441"/>
      <c r="AG86" s="441"/>
      <c r="AH86" s="441"/>
      <c r="AI86" s="441"/>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c r="BG86" s="441"/>
      <c r="BH86" s="441"/>
      <c r="BI86" s="441"/>
      <c r="BJ86" s="441"/>
      <c r="BK86" s="441"/>
      <c r="BL86" s="441"/>
      <c r="BM86" s="441"/>
      <c r="BN86" s="442"/>
      <c r="BO86" s="443"/>
    </row>
    <row r="87" spans="2:67" ht="16" thickBot="1">
      <c r="B87" s="444" t="s">
        <v>168</v>
      </c>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c r="AA87" s="445"/>
      <c r="AB87" s="445"/>
      <c r="AC87" s="445"/>
      <c r="AD87" s="445"/>
      <c r="AE87" s="445"/>
      <c r="AF87" s="445"/>
      <c r="AG87" s="445"/>
      <c r="AH87" s="445"/>
      <c r="AI87" s="445"/>
      <c r="AJ87" s="445"/>
      <c r="AK87" s="445"/>
      <c r="AL87" s="445"/>
      <c r="AM87" s="445"/>
      <c r="AN87" s="445"/>
      <c r="AO87" s="445"/>
      <c r="AP87" s="445"/>
      <c r="AQ87" s="445"/>
      <c r="AR87" s="445"/>
      <c r="AS87" s="445"/>
      <c r="AT87" s="445"/>
      <c r="AU87" s="445"/>
      <c r="AV87" s="445"/>
      <c r="AW87" s="445"/>
      <c r="AX87" s="445"/>
      <c r="AY87" s="445"/>
      <c r="AZ87" s="445"/>
      <c r="BA87" s="445"/>
      <c r="BB87" s="445"/>
      <c r="BC87" s="445"/>
      <c r="BD87" s="445"/>
      <c r="BE87" s="445"/>
      <c r="BF87" s="445"/>
      <c r="BG87" s="445"/>
      <c r="BH87" s="445"/>
      <c r="BI87" s="445"/>
      <c r="BJ87" s="445"/>
      <c r="BK87" s="445"/>
      <c r="BL87" s="445"/>
      <c r="BM87" s="445"/>
      <c r="BN87" s="446"/>
      <c r="BO87" s="447"/>
    </row>
    <row r="88" spans="2:67">
      <c r="B88" s="440" t="s">
        <v>169</v>
      </c>
      <c r="C88" s="441"/>
      <c r="D88" s="441"/>
      <c r="E88" s="441"/>
      <c r="F88" s="441"/>
      <c r="G88" s="441"/>
      <c r="H88" s="441"/>
      <c r="I88" s="441"/>
      <c r="J88" s="441"/>
      <c r="K88" s="441"/>
      <c r="L88" s="441"/>
      <c r="M88" s="441"/>
      <c r="N88" s="441"/>
      <c r="O88" s="441"/>
      <c r="P88" s="441"/>
      <c r="Q88" s="441"/>
      <c r="R88" s="441"/>
      <c r="S88" s="441"/>
      <c r="T88" s="441"/>
      <c r="U88" s="441"/>
      <c r="V88" s="441"/>
      <c r="W88" s="441"/>
      <c r="X88" s="441"/>
      <c r="Y88" s="441"/>
      <c r="Z88" s="441"/>
      <c r="AA88" s="441"/>
      <c r="AB88" s="441"/>
      <c r="AC88" s="441"/>
      <c r="AD88" s="441"/>
      <c r="AE88" s="441"/>
      <c r="AF88" s="441"/>
      <c r="AG88" s="441"/>
      <c r="AH88" s="441"/>
      <c r="AI88" s="441"/>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c r="BG88" s="441"/>
      <c r="BH88" s="441"/>
      <c r="BI88" s="441"/>
      <c r="BJ88" s="441"/>
      <c r="BK88" s="441"/>
      <c r="BL88" s="441"/>
      <c r="BM88" s="441"/>
      <c r="BN88" s="442"/>
      <c r="BO88" s="443"/>
    </row>
    <row r="89" spans="2:67">
      <c r="B89" s="440" t="s">
        <v>170</v>
      </c>
      <c r="C89" s="441"/>
      <c r="D89" s="441"/>
      <c r="E89" s="441"/>
      <c r="F89" s="441"/>
      <c r="G89" s="441"/>
      <c r="H89" s="441"/>
      <c r="I89" s="441"/>
      <c r="J89" s="441"/>
      <c r="K89" s="441"/>
      <c r="L89" s="441"/>
      <c r="M89" s="441"/>
      <c r="N89" s="441"/>
      <c r="O89" s="441"/>
      <c r="P89" s="441"/>
      <c r="Q89" s="441"/>
      <c r="R89" s="441"/>
      <c r="S89" s="441"/>
      <c r="T89" s="441"/>
      <c r="U89" s="441"/>
      <c r="V89" s="441"/>
      <c r="W89" s="441"/>
      <c r="X89" s="441"/>
      <c r="Y89" s="441"/>
      <c r="Z89" s="441"/>
      <c r="AA89" s="441"/>
      <c r="AB89" s="441"/>
      <c r="AC89" s="441"/>
      <c r="AD89" s="441"/>
      <c r="AE89" s="441"/>
      <c r="AF89" s="441"/>
      <c r="AG89" s="441"/>
      <c r="AH89" s="441"/>
      <c r="AI89" s="441"/>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c r="BG89" s="441"/>
      <c r="BH89" s="441"/>
      <c r="BI89" s="441"/>
      <c r="BJ89" s="441"/>
      <c r="BK89" s="441"/>
      <c r="BL89" s="441"/>
      <c r="BM89" s="441"/>
      <c r="BN89" s="442"/>
      <c r="BO89" s="443"/>
    </row>
    <row r="90" spans="2:67">
      <c r="B90" s="440" t="s">
        <v>171</v>
      </c>
      <c r="C90" s="441"/>
      <c r="D90" s="441"/>
      <c r="E90" s="441"/>
      <c r="F90" s="441"/>
      <c r="G90" s="441"/>
      <c r="H90" s="441"/>
      <c r="I90" s="441"/>
      <c r="J90" s="441"/>
      <c r="K90" s="441"/>
      <c r="L90" s="441"/>
      <c r="M90" s="441"/>
      <c r="N90" s="441"/>
      <c r="O90" s="441"/>
      <c r="P90" s="441"/>
      <c r="Q90" s="441"/>
      <c r="R90" s="441"/>
      <c r="S90" s="441"/>
      <c r="T90" s="441"/>
      <c r="U90" s="441"/>
      <c r="V90" s="441"/>
      <c r="W90" s="441"/>
      <c r="X90" s="441"/>
      <c r="Y90" s="441"/>
      <c r="Z90" s="441"/>
      <c r="AA90" s="441"/>
      <c r="AB90" s="441"/>
      <c r="AC90" s="441"/>
      <c r="AD90" s="441"/>
      <c r="AE90" s="441"/>
      <c r="AF90" s="441"/>
      <c r="AG90" s="441"/>
      <c r="AH90" s="441"/>
      <c r="AI90" s="441"/>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c r="BG90" s="441"/>
      <c r="BH90" s="441"/>
      <c r="BI90" s="441"/>
      <c r="BJ90" s="441"/>
      <c r="BK90" s="441"/>
      <c r="BL90" s="441"/>
      <c r="BM90" s="441"/>
      <c r="BN90" s="442"/>
      <c r="BO90" s="443"/>
    </row>
    <row r="91" spans="2:67" ht="16" thickBot="1">
      <c r="B91" s="440" t="s">
        <v>172</v>
      </c>
      <c r="C91" s="441"/>
      <c r="D91" s="441"/>
      <c r="E91" s="441"/>
      <c r="F91" s="441"/>
      <c r="G91" s="441"/>
      <c r="H91" s="441"/>
      <c r="I91" s="441"/>
      <c r="J91" s="441"/>
      <c r="K91" s="441"/>
      <c r="L91" s="441"/>
      <c r="M91" s="441"/>
      <c r="N91" s="441"/>
      <c r="O91" s="441"/>
      <c r="P91" s="441"/>
      <c r="Q91" s="441"/>
      <c r="R91" s="441"/>
      <c r="S91" s="441"/>
      <c r="T91" s="441"/>
      <c r="U91" s="441"/>
      <c r="V91" s="441"/>
      <c r="W91" s="441"/>
      <c r="X91" s="441"/>
      <c r="Y91" s="441"/>
      <c r="Z91" s="441"/>
      <c r="AA91" s="441"/>
      <c r="AB91" s="441"/>
      <c r="AC91" s="441"/>
      <c r="AD91" s="441"/>
      <c r="AE91" s="441"/>
      <c r="AF91" s="441"/>
      <c r="AG91" s="441"/>
      <c r="AH91" s="441"/>
      <c r="AI91" s="441"/>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c r="BG91" s="441"/>
      <c r="BH91" s="441"/>
      <c r="BI91" s="441"/>
      <c r="BJ91" s="441"/>
      <c r="BK91" s="441"/>
      <c r="BL91" s="441"/>
      <c r="BM91" s="441"/>
      <c r="BN91" s="442"/>
      <c r="BO91" s="443"/>
    </row>
    <row r="92" spans="2:67" ht="16" thickBot="1">
      <c r="B92" s="444" t="s">
        <v>173</v>
      </c>
      <c r="C92" s="445"/>
      <c r="D92" s="445"/>
      <c r="E92" s="445"/>
      <c r="F92" s="445"/>
      <c r="G92" s="445"/>
      <c r="H92" s="445"/>
      <c r="I92" s="445"/>
      <c r="J92" s="445"/>
      <c r="K92" s="445"/>
      <c r="L92" s="445"/>
      <c r="M92" s="445"/>
      <c r="N92" s="445"/>
      <c r="O92" s="445"/>
      <c r="P92" s="445"/>
      <c r="Q92" s="445"/>
      <c r="R92" s="445"/>
      <c r="S92" s="445"/>
      <c r="T92" s="445"/>
      <c r="U92" s="445"/>
      <c r="V92" s="445"/>
      <c r="W92" s="445"/>
      <c r="X92" s="445"/>
      <c r="Y92" s="445"/>
      <c r="Z92" s="445"/>
      <c r="AA92" s="445"/>
      <c r="AB92" s="445"/>
      <c r="AC92" s="445"/>
      <c r="AD92" s="445"/>
      <c r="AE92" s="445"/>
      <c r="AF92" s="445"/>
      <c r="AG92" s="445"/>
      <c r="AH92" s="445"/>
      <c r="AI92" s="445"/>
      <c r="AJ92" s="445"/>
      <c r="AK92" s="445"/>
      <c r="AL92" s="445"/>
      <c r="AM92" s="445"/>
      <c r="AN92" s="445"/>
      <c r="AO92" s="445"/>
      <c r="AP92" s="445"/>
      <c r="AQ92" s="445"/>
      <c r="AR92" s="445"/>
      <c r="AS92" s="445"/>
      <c r="AT92" s="445"/>
      <c r="AU92" s="445"/>
      <c r="AV92" s="445"/>
      <c r="AW92" s="445"/>
      <c r="AX92" s="445"/>
      <c r="AY92" s="445"/>
      <c r="AZ92" s="445"/>
      <c r="BA92" s="445"/>
      <c r="BB92" s="445"/>
      <c r="BC92" s="445"/>
      <c r="BD92" s="445"/>
      <c r="BE92" s="445"/>
      <c r="BF92" s="445"/>
      <c r="BG92" s="445"/>
      <c r="BH92" s="445"/>
      <c r="BI92" s="445"/>
      <c r="BJ92" s="445"/>
      <c r="BK92" s="445"/>
      <c r="BL92" s="445"/>
      <c r="BM92" s="445"/>
      <c r="BN92" s="446"/>
      <c r="BO92" s="447"/>
    </row>
    <row r="93" spans="2:67">
      <c r="B93" s="440" t="s">
        <v>174</v>
      </c>
      <c r="C93" s="441"/>
      <c r="D93" s="441"/>
      <c r="E93" s="441"/>
      <c r="F93" s="441"/>
      <c r="G93" s="441"/>
      <c r="H93" s="441"/>
      <c r="I93" s="441"/>
      <c r="J93" s="441"/>
      <c r="K93" s="441"/>
      <c r="L93" s="441"/>
      <c r="M93" s="441"/>
      <c r="N93" s="441"/>
      <c r="O93" s="441"/>
      <c r="P93" s="441"/>
      <c r="Q93" s="441"/>
      <c r="R93" s="441"/>
      <c r="S93" s="441"/>
      <c r="T93" s="441"/>
      <c r="U93" s="441"/>
      <c r="V93" s="441"/>
      <c r="W93" s="441"/>
      <c r="X93" s="441"/>
      <c r="Y93" s="441"/>
      <c r="Z93" s="441"/>
      <c r="AA93" s="441"/>
      <c r="AB93" s="441"/>
      <c r="AC93" s="441"/>
      <c r="AD93" s="441"/>
      <c r="AE93" s="441"/>
      <c r="AF93" s="441"/>
      <c r="AG93" s="441"/>
      <c r="AH93" s="441"/>
      <c r="AI93" s="441"/>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c r="BG93" s="441"/>
      <c r="BH93" s="441"/>
      <c r="BI93" s="441"/>
      <c r="BJ93" s="441"/>
      <c r="BK93" s="441"/>
      <c r="BL93" s="441"/>
      <c r="BM93" s="441"/>
      <c r="BN93" s="442"/>
      <c r="BO93" s="443"/>
    </row>
    <row r="94" spans="2:67">
      <c r="B94" s="440" t="s">
        <v>175</v>
      </c>
      <c r="C94" s="441"/>
      <c r="D94" s="441"/>
      <c r="E94" s="441"/>
      <c r="F94" s="441"/>
      <c r="G94" s="441"/>
      <c r="H94" s="441"/>
      <c r="I94" s="441"/>
      <c r="J94" s="441"/>
      <c r="K94" s="441"/>
      <c r="L94" s="441"/>
      <c r="M94" s="441"/>
      <c r="N94" s="441"/>
      <c r="O94" s="441"/>
      <c r="P94" s="441"/>
      <c r="Q94" s="441"/>
      <c r="R94" s="441"/>
      <c r="S94" s="441"/>
      <c r="T94" s="441"/>
      <c r="U94" s="441"/>
      <c r="V94" s="441"/>
      <c r="W94" s="441"/>
      <c r="X94" s="441"/>
      <c r="Y94" s="441"/>
      <c r="Z94" s="441"/>
      <c r="AA94" s="441"/>
      <c r="AB94" s="441"/>
      <c r="AC94" s="441"/>
      <c r="AD94" s="441"/>
      <c r="AE94" s="441"/>
      <c r="AF94" s="441"/>
      <c r="AG94" s="441"/>
      <c r="AH94" s="441"/>
      <c r="AI94" s="441"/>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c r="BG94" s="441"/>
      <c r="BH94" s="441"/>
      <c r="BI94" s="441"/>
      <c r="BJ94" s="441"/>
      <c r="BK94" s="441"/>
      <c r="BL94" s="441"/>
      <c r="BM94" s="441"/>
      <c r="BN94" s="442"/>
      <c r="BO94" s="443"/>
    </row>
    <row r="95" spans="2:67">
      <c r="B95" s="440" t="s">
        <v>176</v>
      </c>
      <c r="C95" s="441"/>
      <c r="D95" s="441"/>
      <c r="E95" s="441"/>
      <c r="F95" s="441"/>
      <c r="G95" s="441"/>
      <c r="H95" s="441"/>
      <c r="I95" s="441"/>
      <c r="J95" s="441"/>
      <c r="K95" s="441"/>
      <c r="L95" s="441"/>
      <c r="M95" s="441"/>
      <c r="N95" s="441"/>
      <c r="O95" s="441"/>
      <c r="P95" s="441"/>
      <c r="Q95" s="441"/>
      <c r="R95" s="441"/>
      <c r="S95" s="441"/>
      <c r="T95" s="441"/>
      <c r="U95" s="441"/>
      <c r="V95" s="441"/>
      <c r="W95" s="441"/>
      <c r="X95" s="441"/>
      <c r="Y95" s="441"/>
      <c r="Z95" s="441"/>
      <c r="AA95" s="441"/>
      <c r="AB95" s="441"/>
      <c r="AC95" s="441"/>
      <c r="AD95" s="441"/>
      <c r="AE95" s="441"/>
      <c r="AF95" s="441"/>
      <c r="AG95" s="441"/>
      <c r="AH95" s="441"/>
      <c r="AI95" s="441"/>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c r="BG95" s="441"/>
      <c r="BH95" s="441"/>
      <c r="BI95" s="441"/>
      <c r="BJ95" s="441"/>
      <c r="BK95" s="441"/>
      <c r="BL95" s="441"/>
      <c r="BM95" s="441"/>
      <c r="BN95" s="442"/>
      <c r="BO95" s="443"/>
    </row>
    <row r="96" spans="2:67" ht="16" thickBot="1">
      <c r="B96" s="440" t="s">
        <v>177</v>
      </c>
      <c r="C96" s="441"/>
      <c r="D96" s="441"/>
      <c r="E96" s="441"/>
      <c r="F96" s="441"/>
      <c r="G96" s="441"/>
      <c r="H96" s="441"/>
      <c r="I96" s="441"/>
      <c r="J96" s="441"/>
      <c r="K96" s="441"/>
      <c r="L96" s="441"/>
      <c r="M96" s="441"/>
      <c r="N96" s="441"/>
      <c r="O96" s="441"/>
      <c r="P96" s="441"/>
      <c r="Q96" s="441"/>
      <c r="R96" s="441"/>
      <c r="S96" s="441"/>
      <c r="T96" s="441"/>
      <c r="U96" s="441"/>
      <c r="V96" s="441"/>
      <c r="W96" s="441"/>
      <c r="X96" s="441"/>
      <c r="Y96" s="441"/>
      <c r="Z96" s="441"/>
      <c r="AA96" s="441"/>
      <c r="AB96" s="441"/>
      <c r="AC96" s="441"/>
      <c r="AD96" s="441"/>
      <c r="AE96" s="441"/>
      <c r="AF96" s="441"/>
      <c r="AG96" s="441"/>
      <c r="AH96" s="441"/>
      <c r="AI96" s="441"/>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c r="BG96" s="441"/>
      <c r="BH96" s="441"/>
      <c r="BI96" s="441"/>
      <c r="BJ96" s="441"/>
      <c r="BK96" s="441"/>
      <c r="BL96" s="441"/>
      <c r="BM96" s="441"/>
      <c r="BN96" s="442"/>
      <c r="BO96" s="443"/>
    </row>
    <row r="97" spans="2:67" ht="16" thickBot="1">
      <c r="B97" s="444" t="s">
        <v>178</v>
      </c>
      <c r="C97" s="445"/>
      <c r="D97" s="445"/>
      <c r="E97" s="445"/>
      <c r="F97" s="445"/>
      <c r="G97" s="445"/>
      <c r="H97" s="445"/>
      <c r="I97" s="445"/>
      <c r="J97" s="445"/>
      <c r="K97" s="445"/>
      <c r="L97" s="445"/>
      <c r="M97" s="445"/>
      <c r="N97" s="445"/>
      <c r="O97" s="445"/>
      <c r="P97" s="445"/>
      <c r="Q97" s="445"/>
      <c r="R97" s="445"/>
      <c r="S97" s="445"/>
      <c r="T97" s="445"/>
      <c r="U97" s="445"/>
      <c r="V97" s="445"/>
      <c r="W97" s="445"/>
      <c r="X97" s="445"/>
      <c r="Y97" s="445"/>
      <c r="Z97" s="445"/>
      <c r="AA97" s="445"/>
      <c r="AB97" s="445"/>
      <c r="AC97" s="445"/>
      <c r="AD97" s="445"/>
      <c r="AE97" s="445"/>
      <c r="AF97" s="445"/>
      <c r="AG97" s="445"/>
      <c r="AH97" s="445"/>
      <c r="AI97" s="445"/>
      <c r="AJ97" s="445"/>
      <c r="AK97" s="445"/>
      <c r="AL97" s="445"/>
      <c r="AM97" s="445"/>
      <c r="AN97" s="445"/>
      <c r="AO97" s="445"/>
      <c r="AP97" s="445"/>
      <c r="AQ97" s="445"/>
      <c r="AR97" s="445"/>
      <c r="AS97" s="445"/>
      <c r="AT97" s="445"/>
      <c r="AU97" s="445"/>
      <c r="AV97" s="445"/>
      <c r="AW97" s="445"/>
      <c r="AX97" s="445"/>
      <c r="AY97" s="445"/>
      <c r="AZ97" s="445"/>
      <c r="BA97" s="445"/>
      <c r="BB97" s="445"/>
      <c r="BC97" s="445"/>
      <c r="BD97" s="445"/>
      <c r="BE97" s="445"/>
      <c r="BF97" s="445"/>
      <c r="BG97" s="445"/>
      <c r="BH97" s="445"/>
      <c r="BI97" s="445"/>
      <c r="BJ97" s="445"/>
      <c r="BK97" s="445"/>
      <c r="BL97" s="445"/>
      <c r="BM97" s="445"/>
      <c r="BN97" s="446"/>
      <c r="BO97" s="447"/>
    </row>
    <row r="98" spans="2:67">
      <c r="B98" s="440" t="s">
        <v>179</v>
      </c>
      <c r="C98" s="441"/>
      <c r="D98" s="441"/>
      <c r="E98" s="441"/>
      <c r="F98" s="441"/>
      <c r="G98" s="441"/>
      <c r="H98" s="441"/>
      <c r="I98" s="441"/>
      <c r="J98" s="441"/>
      <c r="K98" s="441"/>
      <c r="L98" s="441"/>
      <c r="M98" s="441"/>
      <c r="N98" s="441"/>
      <c r="O98" s="441"/>
      <c r="P98" s="441"/>
      <c r="Q98" s="441"/>
      <c r="R98" s="441"/>
      <c r="S98" s="441"/>
      <c r="T98" s="441"/>
      <c r="U98" s="441"/>
      <c r="V98" s="441"/>
      <c r="W98" s="441"/>
      <c r="X98" s="441"/>
      <c r="Y98" s="441"/>
      <c r="Z98" s="441"/>
      <c r="AA98" s="441"/>
      <c r="AB98" s="441"/>
      <c r="AC98" s="441"/>
      <c r="AD98" s="441"/>
      <c r="AE98" s="441"/>
      <c r="AF98" s="441"/>
      <c r="AG98" s="441"/>
      <c r="AH98" s="441"/>
      <c r="AI98" s="441"/>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c r="BG98" s="441"/>
      <c r="BH98" s="441"/>
      <c r="BI98" s="441"/>
      <c r="BJ98" s="441"/>
      <c r="BK98" s="441"/>
      <c r="BL98" s="441"/>
      <c r="BM98" s="441"/>
      <c r="BN98" s="442"/>
      <c r="BO98" s="443"/>
    </row>
    <row r="99" spans="2:67">
      <c r="B99" s="440" t="s">
        <v>180</v>
      </c>
      <c r="C99" s="441"/>
      <c r="D99" s="441"/>
      <c r="E99" s="441"/>
      <c r="F99" s="441"/>
      <c r="G99" s="441"/>
      <c r="H99" s="441"/>
      <c r="I99" s="441"/>
      <c r="J99" s="441"/>
      <c r="K99" s="441"/>
      <c r="L99" s="441"/>
      <c r="M99" s="441"/>
      <c r="N99" s="441"/>
      <c r="O99" s="441"/>
      <c r="P99" s="441"/>
      <c r="Q99" s="441"/>
      <c r="R99" s="441"/>
      <c r="S99" s="441"/>
      <c r="T99" s="441"/>
      <c r="U99" s="441"/>
      <c r="V99" s="441"/>
      <c r="W99" s="441"/>
      <c r="X99" s="441"/>
      <c r="Y99" s="441"/>
      <c r="Z99" s="441"/>
      <c r="AA99" s="441"/>
      <c r="AB99" s="441"/>
      <c r="AC99" s="441"/>
      <c r="AD99" s="441"/>
      <c r="AE99" s="441"/>
      <c r="AF99" s="441"/>
      <c r="AG99" s="441"/>
      <c r="AH99" s="441"/>
      <c r="AI99" s="441"/>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c r="BG99" s="441"/>
      <c r="BH99" s="441"/>
      <c r="BI99" s="441"/>
      <c r="BJ99" s="441"/>
      <c r="BK99" s="441"/>
      <c r="BL99" s="441"/>
      <c r="BM99" s="441"/>
      <c r="BN99" s="442"/>
      <c r="BO99" s="443"/>
    </row>
    <row r="100" spans="2:67">
      <c r="B100" s="440" t="s">
        <v>181</v>
      </c>
      <c r="C100" s="441"/>
      <c r="D100" s="441"/>
      <c r="E100" s="441"/>
      <c r="F100" s="441"/>
      <c r="G100" s="441"/>
      <c r="H100" s="441"/>
      <c r="I100" s="441"/>
      <c r="J100" s="441"/>
      <c r="K100" s="441"/>
      <c r="L100" s="441"/>
      <c r="M100" s="441"/>
      <c r="N100" s="441"/>
      <c r="O100" s="441"/>
      <c r="P100" s="441"/>
      <c r="Q100" s="441"/>
      <c r="R100" s="441"/>
      <c r="S100" s="441"/>
      <c r="T100" s="441"/>
      <c r="U100" s="441"/>
      <c r="V100" s="441"/>
      <c r="W100" s="441"/>
      <c r="X100" s="441"/>
      <c r="Y100" s="441"/>
      <c r="Z100" s="441"/>
      <c r="AA100" s="441"/>
      <c r="AB100" s="441"/>
      <c r="AC100" s="441"/>
      <c r="AD100" s="441"/>
      <c r="AE100" s="441"/>
      <c r="AF100" s="441"/>
      <c r="AG100" s="441"/>
      <c r="AH100" s="441"/>
      <c r="AI100" s="441"/>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c r="BG100" s="441"/>
      <c r="BH100" s="441"/>
      <c r="BI100" s="441"/>
      <c r="BJ100" s="441"/>
      <c r="BK100" s="441"/>
      <c r="BL100" s="441"/>
      <c r="BM100" s="441"/>
      <c r="BN100" s="442"/>
      <c r="BO100" s="443"/>
    </row>
    <row r="101" spans="2:67" ht="16" thickBot="1">
      <c r="B101" s="455" t="s">
        <v>182</v>
      </c>
      <c r="C101" s="456"/>
      <c r="D101" s="456"/>
      <c r="E101" s="456"/>
      <c r="F101" s="456"/>
      <c r="G101" s="456"/>
      <c r="H101" s="456"/>
      <c r="I101" s="456"/>
      <c r="J101" s="456"/>
      <c r="K101" s="456"/>
      <c r="L101" s="456"/>
      <c r="M101" s="456"/>
      <c r="N101" s="456"/>
      <c r="O101" s="456"/>
      <c r="P101" s="456"/>
      <c r="Q101" s="456"/>
      <c r="R101" s="456"/>
      <c r="S101" s="456"/>
      <c r="T101" s="456"/>
      <c r="U101" s="456"/>
      <c r="V101" s="456"/>
      <c r="W101" s="456"/>
      <c r="X101" s="456"/>
      <c r="Y101" s="456"/>
      <c r="Z101" s="456"/>
      <c r="AA101" s="456"/>
      <c r="AB101" s="456"/>
      <c r="AC101" s="456"/>
      <c r="AD101" s="456"/>
      <c r="AE101" s="456"/>
      <c r="AF101" s="456"/>
      <c r="AG101" s="456"/>
      <c r="AH101" s="456"/>
      <c r="AI101" s="456"/>
      <c r="AJ101" s="456"/>
      <c r="AK101" s="456"/>
      <c r="AL101" s="456"/>
      <c r="AM101" s="456"/>
      <c r="AN101" s="456"/>
      <c r="AO101" s="456"/>
      <c r="AP101" s="456"/>
      <c r="AQ101" s="456"/>
      <c r="AR101" s="456"/>
      <c r="AS101" s="456"/>
      <c r="AT101" s="456"/>
      <c r="AU101" s="456"/>
      <c r="AV101" s="456"/>
      <c r="AW101" s="456"/>
      <c r="AX101" s="456"/>
      <c r="AY101" s="456"/>
      <c r="AZ101" s="456"/>
      <c r="BA101" s="456"/>
      <c r="BB101" s="456"/>
      <c r="BC101" s="456"/>
      <c r="BD101" s="456"/>
      <c r="BE101" s="456"/>
      <c r="BF101" s="456"/>
      <c r="BG101" s="456"/>
      <c r="BH101" s="456"/>
      <c r="BI101" s="456"/>
      <c r="BJ101" s="456"/>
      <c r="BK101" s="456"/>
      <c r="BL101" s="456"/>
      <c r="BM101" s="456"/>
      <c r="BN101" s="457"/>
      <c r="BO101" s="458"/>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U94"/>
  <sheetViews>
    <sheetView zoomScale="80" zoomScaleNormal="80" zoomScalePageLayoutView="80" workbookViewId="0"/>
  </sheetViews>
  <sheetFormatPr baseColWidth="10" defaultRowHeight="15" x14ac:dyDescent="0"/>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0">
      <c r="B2" s="91" t="s">
        <v>235</v>
      </c>
      <c r="C2" s="8"/>
    </row>
    <row r="4" spans="2:21">
      <c r="B4" s="3" t="s">
        <v>83</v>
      </c>
      <c r="C4" s="4"/>
      <c r="D4" s="4"/>
      <c r="E4" s="5"/>
      <c r="F4" s="8"/>
      <c r="G4" s="8"/>
      <c r="H4" s="8"/>
      <c r="I4" s="8"/>
      <c r="J4" s="8"/>
      <c r="K4" s="8"/>
      <c r="L4" s="8"/>
      <c r="M4" s="8"/>
    </row>
    <row r="5" spans="2:21" ht="45" customHeight="1">
      <c r="B5" s="674" t="s">
        <v>617</v>
      </c>
      <c r="C5" s="675"/>
      <c r="D5" s="675"/>
      <c r="E5" s="676"/>
      <c r="F5" s="54"/>
      <c r="G5" s="54"/>
      <c r="H5" s="54"/>
      <c r="I5" s="54"/>
      <c r="J5" s="54"/>
      <c r="K5" s="54"/>
      <c r="L5" s="54"/>
      <c r="M5" s="54"/>
    </row>
    <row r="6" spans="2:21" ht="15" customHeight="1" thickBot="1">
      <c r="B6" s="598"/>
      <c r="C6" s="598"/>
      <c r="D6" s="598"/>
    </row>
    <row r="7" spans="2:21" ht="15" customHeight="1">
      <c r="B7" s="599" t="s">
        <v>85</v>
      </c>
      <c r="C7" s="600"/>
      <c r="D7" s="601"/>
      <c r="E7" s="602" t="s">
        <v>574</v>
      </c>
      <c r="F7" s="602"/>
      <c r="G7" s="602"/>
      <c r="H7" s="602"/>
      <c r="I7" s="602"/>
      <c r="J7" s="602"/>
      <c r="K7" s="602"/>
      <c r="L7" s="602"/>
      <c r="M7" s="602"/>
      <c r="N7" s="603"/>
      <c r="O7" s="603"/>
      <c r="P7" s="603"/>
      <c r="Q7" s="603"/>
      <c r="R7" s="603"/>
      <c r="S7" s="603"/>
      <c r="T7" s="649" t="s">
        <v>615</v>
      </c>
      <c r="U7" s="606" t="s">
        <v>575</v>
      </c>
    </row>
    <row r="8" spans="2:21" ht="15" customHeight="1">
      <c r="B8" s="33"/>
      <c r="C8" s="14"/>
      <c r="D8" s="561"/>
      <c r="E8" s="604" t="s">
        <v>567</v>
      </c>
      <c r="F8" s="604" t="s">
        <v>568</v>
      </c>
      <c r="G8" s="604"/>
      <c r="H8" s="604"/>
      <c r="I8" s="604"/>
      <c r="J8" s="604"/>
      <c r="K8" s="604"/>
      <c r="L8" s="604"/>
      <c r="M8" s="604"/>
      <c r="N8" s="604"/>
      <c r="O8" s="604"/>
      <c r="P8" s="604"/>
      <c r="Q8" s="604"/>
      <c r="R8" s="604"/>
      <c r="S8" s="604"/>
      <c r="T8" s="19"/>
      <c r="U8" s="34"/>
    </row>
    <row r="9" spans="2:21" ht="15" customHeight="1" thickBot="1">
      <c r="B9" s="658"/>
      <c r="C9" s="659"/>
      <c r="D9" s="660"/>
      <c r="E9" s="661"/>
      <c r="F9" s="612" t="s">
        <v>480</v>
      </c>
      <c r="G9" s="612" t="s">
        <v>482</v>
      </c>
      <c r="H9" s="612" t="s">
        <v>481</v>
      </c>
      <c r="I9" s="612" t="s">
        <v>563</v>
      </c>
      <c r="J9" s="612" t="s">
        <v>483</v>
      </c>
      <c r="K9" s="612" t="s">
        <v>592</v>
      </c>
      <c r="L9" s="612" t="s">
        <v>547</v>
      </c>
      <c r="M9" s="662" t="s">
        <v>465</v>
      </c>
      <c r="N9" s="662" t="s">
        <v>466</v>
      </c>
      <c r="O9" s="662" t="s">
        <v>607</v>
      </c>
      <c r="P9" s="662" t="s">
        <v>593</v>
      </c>
      <c r="Q9" s="612" t="s">
        <v>464</v>
      </c>
      <c r="R9" s="612" t="s">
        <v>616</v>
      </c>
      <c r="S9" s="662" t="s">
        <v>569</v>
      </c>
      <c r="T9" s="663"/>
      <c r="U9" s="664"/>
    </row>
    <row r="10" spans="2:21" ht="15" customHeight="1" thickTop="1">
      <c r="B10" s="33" t="s">
        <v>522</v>
      </c>
      <c r="C10" s="8"/>
      <c r="D10" s="47"/>
      <c r="E10" s="140"/>
      <c r="F10" s="140"/>
      <c r="G10" s="140"/>
      <c r="H10" s="140"/>
      <c r="I10" s="140"/>
      <c r="J10" s="140"/>
      <c r="K10" s="140"/>
      <c r="L10" s="140"/>
      <c r="M10" s="140"/>
      <c r="N10" s="140"/>
      <c r="O10" s="140"/>
      <c r="P10" s="140"/>
      <c r="Q10" s="140"/>
      <c r="R10" s="140"/>
      <c r="S10" s="140"/>
      <c r="T10" s="17"/>
      <c r="U10" s="34"/>
    </row>
    <row r="11" spans="2:21" ht="15" customHeight="1">
      <c r="B11" s="28"/>
      <c r="C11" s="8"/>
      <c r="D11" s="47"/>
      <c r="E11" s="617"/>
      <c r="F11" s="604"/>
      <c r="G11" s="604"/>
      <c r="H11" s="604"/>
      <c r="I11" s="604"/>
      <c r="J11" s="604"/>
      <c r="K11" s="604"/>
      <c r="L11" s="604"/>
      <c r="M11" s="604"/>
      <c r="N11" s="625"/>
      <c r="O11" s="625"/>
      <c r="P11" s="625"/>
      <c r="Q11" s="625"/>
      <c r="R11" s="625"/>
      <c r="S11" s="625"/>
      <c r="T11" s="651"/>
      <c r="U11" s="29"/>
    </row>
    <row r="12" spans="2:21" ht="15" customHeight="1">
      <c r="B12" s="107" t="s">
        <v>611</v>
      </c>
      <c r="C12" s="108" t="s">
        <v>236</v>
      </c>
      <c r="D12" s="618" t="s">
        <v>237</v>
      </c>
      <c r="E12" s="616"/>
      <c r="F12" s="616"/>
      <c r="G12" s="616"/>
      <c r="H12" s="616"/>
      <c r="I12" s="616"/>
      <c r="J12" s="616"/>
      <c r="K12" s="616"/>
      <c r="L12" s="616"/>
      <c r="M12" s="616"/>
      <c r="N12" s="616"/>
      <c r="O12" s="616"/>
      <c r="P12" s="616"/>
      <c r="Q12" s="616"/>
      <c r="R12" s="616"/>
      <c r="S12" s="616"/>
      <c r="T12" s="652"/>
      <c r="U12" s="627"/>
    </row>
    <row r="13" spans="2:21" ht="15" customHeight="1">
      <c r="B13" s="42" t="s">
        <v>241</v>
      </c>
      <c r="C13" s="111"/>
      <c r="D13" s="619"/>
      <c r="E13" s="111"/>
      <c r="F13" s="111"/>
      <c r="G13" s="111"/>
      <c r="H13" s="111"/>
      <c r="I13" s="111"/>
      <c r="J13" s="111"/>
      <c r="K13" s="111"/>
      <c r="L13" s="111"/>
      <c r="M13" s="111"/>
      <c r="N13" s="111"/>
      <c r="O13" s="111"/>
      <c r="P13" s="111"/>
      <c r="Q13" s="111"/>
      <c r="R13" s="111"/>
      <c r="S13" s="111"/>
      <c r="T13" s="431"/>
      <c r="U13" s="230"/>
    </row>
    <row r="14" spans="2:21" ht="15" customHeight="1">
      <c r="B14" s="42"/>
      <c r="C14" s="486" t="s">
        <v>238</v>
      </c>
      <c r="D14" s="620">
        <f>S14</f>
        <v>0</v>
      </c>
      <c r="E14" s="486" t="s">
        <v>570</v>
      </c>
      <c r="F14" s="486"/>
      <c r="G14" s="486"/>
      <c r="H14" s="486"/>
      <c r="I14" s="486"/>
      <c r="J14" s="486"/>
      <c r="K14" s="486"/>
      <c r="L14" s="486"/>
      <c r="M14" s="486"/>
      <c r="N14" s="486"/>
      <c r="O14" s="486"/>
      <c r="P14" s="486"/>
      <c r="Q14" s="486"/>
      <c r="R14" s="486"/>
      <c r="S14" s="486"/>
      <c r="T14" s="607" t="s">
        <v>339</v>
      </c>
      <c r="U14" s="77" t="s">
        <v>339</v>
      </c>
    </row>
    <row r="15" spans="2:21" ht="15" customHeight="1">
      <c r="B15" s="42"/>
      <c r="C15" s="486" t="s">
        <v>242</v>
      </c>
      <c r="D15" s="620">
        <f>S15</f>
        <v>0</v>
      </c>
      <c r="E15" s="486" t="s">
        <v>571</v>
      </c>
      <c r="F15" s="486"/>
      <c r="G15" s="486"/>
      <c r="H15" s="486"/>
      <c r="I15" s="486"/>
      <c r="J15" s="486"/>
      <c r="K15" s="486"/>
      <c r="L15" s="486"/>
      <c r="M15" s="486"/>
      <c r="N15" s="486"/>
      <c r="O15" s="486"/>
      <c r="P15" s="486"/>
      <c r="Q15" s="486"/>
      <c r="R15" s="486"/>
      <c r="S15" s="486"/>
      <c r="T15" s="607" t="s">
        <v>339</v>
      </c>
      <c r="U15" s="77" t="s">
        <v>339</v>
      </c>
    </row>
    <row r="16" spans="2:21" ht="15" customHeight="1">
      <c r="B16" s="42"/>
      <c r="C16" s="111"/>
      <c r="D16" s="621"/>
      <c r="E16" s="111"/>
      <c r="F16" s="111"/>
      <c r="G16" s="111"/>
      <c r="H16" s="111"/>
      <c r="I16" s="111"/>
      <c r="J16" s="111"/>
      <c r="K16" s="111"/>
      <c r="L16" s="111"/>
      <c r="M16" s="111"/>
      <c r="N16" s="111"/>
      <c r="O16" s="111"/>
      <c r="P16" s="111"/>
      <c r="Q16" s="111"/>
      <c r="R16" s="111"/>
      <c r="S16" s="111"/>
      <c r="T16" s="431"/>
      <c r="U16" s="230"/>
    </row>
    <row r="17" spans="2:21" ht="15" customHeight="1">
      <c r="B17" s="490" t="s">
        <v>243</v>
      </c>
      <c r="C17" s="113"/>
      <c r="D17" s="622"/>
      <c r="E17" s="113"/>
      <c r="F17" s="113"/>
      <c r="G17" s="113"/>
      <c r="H17" s="113"/>
      <c r="I17" s="113"/>
      <c r="J17" s="113"/>
      <c r="K17" s="113"/>
      <c r="L17" s="113"/>
      <c r="M17" s="113"/>
      <c r="N17" s="113"/>
      <c r="O17" s="113"/>
      <c r="P17" s="113"/>
      <c r="Q17" s="113"/>
      <c r="R17" s="113"/>
      <c r="S17" s="113"/>
      <c r="T17" s="653"/>
      <c r="U17" s="628"/>
    </row>
    <row r="18" spans="2:21" ht="15" customHeight="1">
      <c r="B18" s="42"/>
      <c r="C18" s="486" t="s">
        <v>244</v>
      </c>
      <c r="D18" s="620">
        <f>S18</f>
        <v>0</v>
      </c>
      <c r="E18" s="486" t="s">
        <v>572</v>
      </c>
      <c r="F18" s="486"/>
      <c r="G18" s="486"/>
      <c r="H18" s="486"/>
      <c r="I18" s="486"/>
      <c r="J18" s="486"/>
      <c r="K18" s="486"/>
      <c r="L18" s="486"/>
      <c r="M18" s="486"/>
      <c r="N18" s="486"/>
      <c r="O18" s="486"/>
      <c r="P18" s="486"/>
      <c r="Q18" s="486"/>
      <c r="R18" s="486"/>
      <c r="S18" s="486"/>
      <c r="T18" s="607" t="s">
        <v>339</v>
      </c>
      <c r="U18" s="77" t="s">
        <v>339</v>
      </c>
    </row>
    <row r="19" spans="2:21" ht="15" customHeight="1">
      <c r="B19" s="491"/>
      <c r="C19" s="52"/>
      <c r="D19" s="623"/>
      <c r="E19" s="52"/>
      <c r="F19" s="52"/>
      <c r="G19" s="52"/>
      <c r="H19" s="52"/>
      <c r="I19" s="52"/>
      <c r="J19" s="52"/>
      <c r="K19" s="52"/>
      <c r="L19" s="52"/>
      <c r="M19" s="52"/>
      <c r="N19" s="52"/>
      <c r="O19" s="52"/>
      <c r="P19" s="52"/>
      <c r="Q19" s="52"/>
      <c r="R19" s="52"/>
      <c r="S19" s="52"/>
      <c r="T19" s="630"/>
      <c r="U19" s="629"/>
    </row>
    <row r="20" spans="2:21" ht="15" customHeight="1">
      <c r="B20" s="42" t="s">
        <v>82</v>
      </c>
      <c r="C20" s="111"/>
      <c r="D20" s="621"/>
      <c r="E20" s="111"/>
      <c r="F20" s="111"/>
      <c r="G20" s="111"/>
      <c r="H20" s="111"/>
      <c r="I20" s="111"/>
      <c r="J20" s="111"/>
      <c r="K20" s="111"/>
      <c r="L20" s="111"/>
      <c r="M20" s="111"/>
      <c r="N20" s="111"/>
      <c r="O20" s="111"/>
      <c r="P20" s="111"/>
      <c r="Q20" s="111"/>
      <c r="R20" s="111"/>
      <c r="S20" s="111"/>
      <c r="T20" s="431"/>
      <c r="U20" s="230"/>
    </row>
    <row r="21" spans="2:21" ht="15" customHeight="1">
      <c r="B21" s="42"/>
      <c r="C21" s="486" t="s">
        <v>245</v>
      </c>
      <c r="D21" s="620">
        <f>S21</f>
        <v>0</v>
      </c>
      <c r="E21" s="486" t="s">
        <v>573</v>
      </c>
      <c r="F21" s="486"/>
      <c r="G21" s="486"/>
      <c r="H21" s="486"/>
      <c r="I21" s="486"/>
      <c r="J21" s="486"/>
      <c r="K21" s="486"/>
      <c r="L21" s="486"/>
      <c r="M21" s="486"/>
      <c r="N21" s="486"/>
      <c r="O21" s="486"/>
      <c r="P21" s="486"/>
      <c r="Q21" s="486"/>
      <c r="R21" s="486"/>
      <c r="S21" s="486"/>
      <c r="T21" s="607" t="s">
        <v>339</v>
      </c>
      <c r="U21" s="77" t="s">
        <v>339</v>
      </c>
    </row>
    <row r="22" spans="2:21" ht="15" customHeight="1">
      <c r="B22" s="42"/>
      <c r="C22" s="111"/>
      <c r="D22" s="621"/>
      <c r="E22" s="111"/>
      <c r="F22" s="111"/>
      <c r="G22" s="111"/>
      <c r="H22" s="111"/>
      <c r="I22" s="111"/>
      <c r="J22" s="111"/>
      <c r="K22" s="111"/>
      <c r="L22" s="111"/>
      <c r="M22" s="111"/>
      <c r="N22" s="111"/>
      <c r="O22" s="111"/>
      <c r="P22" s="111"/>
      <c r="Q22" s="111"/>
      <c r="R22" s="111"/>
      <c r="S22" s="111"/>
      <c r="T22" s="431"/>
      <c r="U22" s="230"/>
    </row>
    <row r="23" spans="2:21" ht="15" customHeight="1" thickBot="1">
      <c r="B23" s="609"/>
      <c r="C23" s="612"/>
      <c r="D23" s="624"/>
      <c r="E23" s="610"/>
      <c r="F23" s="610"/>
      <c r="G23" s="610"/>
      <c r="H23" s="610"/>
      <c r="I23" s="610"/>
      <c r="J23" s="610"/>
      <c r="K23" s="610"/>
      <c r="L23" s="610"/>
      <c r="M23" s="610"/>
      <c r="N23" s="610"/>
      <c r="O23" s="610"/>
      <c r="P23" s="610"/>
      <c r="Q23" s="610"/>
      <c r="R23" s="610"/>
      <c r="S23" s="610"/>
      <c r="T23" s="654"/>
      <c r="U23" s="611"/>
    </row>
    <row r="24" spans="2:21" ht="15" customHeight="1" thickTop="1">
      <c r="B24" s="487" t="s">
        <v>523</v>
      </c>
      <c r="C24" s="598"/>
      <c r="D24" s="139"/>
      <c r="E24" s="17"/>
      <c r="F24" s="8"/>
      <c r="G24" s="8"/>
      <c r="H24" s="8"/>
      <c r="I24" s="8"/>
      <c r="J24" s="8"/>
      <c r="K24" s="8"/>
      <c r="L24" s="8"/>
      <c r="M24" s="8"/>
      <c r="N24" s="8"/>
      <c r="O24" s="8"/>
      <c r="P24" s="8"/>
      <c r="Q24" s="8"/>
      <c r="R24" s="8"/>
      <c r="S24" s="8"/>
      <c r="T24" s="17"/>
      <c r="U24" s="29"/>
    </row>
    <row r="25" spans="2:21">
      <c r="B25" s="487"/>
      <c r="C25" s="111"/>
      <c r="D25" s="431"/>
      <c r="E25" s="431"/>
      <c r="F25" s="111"/>
      <c r="G25" s="111"/>
      <c r="H25" s="111"/>
      <c r="I25" s="111"/>
      <c r="J25" s="111"/>
      <c r="K25" s="111"/>
      <c r="L25" s="111"/>
      <c r="M25" s="111"/>
      <c r="N25" s="8"/>
      <c r="O25" s="8"/>
      <c r="P25" s="8"/>
      <c r="Q25" s="8"/>
      <c r="R25" s="8"/>
      <c r="S25" s="8"/>
      <c r="T25" s="17"/>
      <c r="U25" s="29"/>
    </row>
    <row r="26" spans="2:21" s="58" customFormat="1">
      <c r="B26" s="488" t="s">
        <v>236</v>
      </c>
      <c r="C26" s="489" t="s">
        <v>612</v>
      </c>
      <c r="D26" s="493" t="s">
        <v>461</v>
      </c>
      <c r="E26" s="493"/>
      <c r="F26" s="489"/>
      <c r="G26" s="489"/>
      <c r="H26" s="489"/>
      <c r="I26" s="489"/>
      <c r="J26" s="489"/>
      <c r="K26" s="489"/>
      <c r="L26" s="489"/>
      <c r="M26" s="489"/>
      <c r="N26" s="605"/>
      <c r="O26" s="605"/>
      <c r="P26" s="605"/>
      <c r="Q26" s="605"/>
      <c r="R26" s="605"/>
      <c r="S26" s="605"/>
      <c r="T26" s="650"/>
      <c r="U26" s="76"/>
    </row>
    <row r="27" spans="2:21">
      <c r="B27" s="42" t="s">
        <v>216</v>
      </c>
      <c r="C27" s="111"/>
      <c r="D27" s="587"/>
      <c r="E27" s="431"/>
      <c r="F27" s="111"/>
      <c r="G27" s="111"/>
      <c r="H27" s="111"/>
      <c r="I27" s="111"/>
      <c r="J27" s="111"/>
      <c r="K27" s="111"/>
      <c r="L27" s="111"/>
      <c r="M27" s="111"/>
      <c r="N27" s="111"/>
      <c r="O27" s="111"/>
      <c r="P27" s="111"/>
      <c r="Q27" s="111"/>
      <c r="R27" s="111"/>
      <c r="S27" s="111"/>
      <c r="T27" s="431"/>
      <c r="U27" s="230"/>
    </row>
    <row r="28" spans="2:21">
      <c r="B28" s="42"/>
      <c r="C28" s="486" t="s">
        <v>255</v>
      </c>
      <c r="D28" s="665"/>
      <c r="E28" s="607" t="s">
        <v>594</v>
      </c>
      <c r="F28" s="486"/>
      <c r="G28" s="486"/>
      <c r="H28" s="486"/>
      <c r="I28" s="486"/>
      <c r="J28" s="486"/>
      <c r="K28" s="486"/>
      <c r="L28" s="486"/>
      <c r="M28" s="486"/>
      <c r="N28" s="486"/>
      <c r="O28" s="486"/>
      <c r="P28" s="486"/>
      <c r="Q28" s="486"/>
      <c r="R28" s="486"/>
      <c r="S28" s="486"/>
      <c r="T28" s="607"/>
      <c r="U28" s="77"/>
    </row>
    <row r="29" spans="2:21">
      <c r="B29" s="42"/>
      <c r="C29" s="657" t="s">
        <v>217</v>
      </c>
      <c r="D29" s="588" t="e">
        <f>T29</f>
        <v>#DIV/0!</v>
      </c>
      <c r="E29" s="607"/>
      <c r="F29" s="486"/>
      <c r="G29" s="486"/>
      <c r="H29" s="486"/>
      <c r="I29" s="486"/>
      <c r="J29" s="486"/>
      <c r="K29" s="486"/>
      <c r="L29" s="486"/>
      <c r="M29" s="486"/>
      <c r="N29" s="486"/>
      <c r="O29" s="486"/>
      <c r="P29" s="486"/>
      <c r="Q29" s="486"/>
      <c r="R29" s="486"/>
      <c r="S29" s="486"/>
      <c r="T29" s="607" t="e">
        <f>(J28/Q28)*1000</f>
        <v>#DIV/0!</v>
      </c>
      <c r="U29" s="77" t="s">
        <v>339</v>
      </c>
    </row>
    <row r="30" spans="2:21">
      <c r="B30" s="42"/>
      <c r="C30" s="657" t="s">
        <v>218</v>
      </c>
      <c r="D30" s="588" t="e">
        <f>T30</f>
        <v>#DIV/0!</v>
      </c>
      <c r="E30" s="607"/>
      <c r="F30" s="486"/>
      <c r="G30" s="486"/>
      <c r="H30" s="486"/>
      <c r="I30" s="486"/>
      <c r="J30" s="486"/>
      <c r="K30" s="486"/>
      <c r="L30" s="486"/>
      <c r="M30" s="486"/>
      <c r="N30" s="486"/>
      <c r="O30" s="486"/>
      <c r="P30" s="486"/>
      <c r="Q30" s="486"/>
      <c r="R30" s="486"/>
      <c r="S30" s="486"/>
      <c r="T30" s="607" t="e">
        <f>(L28/Q28)*1000</f>
        <v>#DIV/0!</v>
      </c>
      <c r="U30" s="77" t="s">
        <v>339</v>
      </c>
    </row>
    <row r="31" spans="2:21">
      <c r="B31" s="42"/>
      <c r="C31" s="486" t="s">
        <v>209</v>
      </c>
      <c r="D31" s="588"/>
      <c r="E31" s="607" t="s">
        <v>595</v>
      </c>
      <c r="F31" s="486"/>
      <c r="G31" s="486"/>
      <c r="H31" s="486"/>
      <c r="I31" s="486"/>
      <c r="J31" s="486"/>
      <c r="K31" s="486"/>
      <c r="L31" s="486"/>
      <c r="M31" s="486"/>
      <c r="N31" s="486"/>
      <c r="O31" s="486"/>
      <c r="P31" s="486"/>
      <c r="Q31" s="486"/>
      <c r="R31" s="486"/>
      <c r="S31" s="486"/>
      <c r="T31" s="607"/>
      <c r="U31" s="77"/>
    </row>
    <row r="32" spans="2:21">
      <c r="B32" s="42"/>
      <c r="C32" s="657" t="s">
        <v>608</v>
      </c>
      <c r="D32" s="588" t="e">
        <f>U32</f>
        <v>#DIV/0!</v>
      </c>
      <c r="E32" s="607"/>
      <c r="F32" s="486"/>
      <c r="G32" s="486"/>
      <c r="H32" s="486"/>
      <c r="I32" s="486"/>
      <c r="J32" s="486"/>
      <c r="K32" s="486"/>
      <c r="L32" s="486"/>
      <c r="M32" s="486"/>
      <c r="N32" s="486"/>
      <c r="O32" s="486"/>
      <c r="P32" s="486"/>
      <c r="Q32" s="486"/>
      <c r="R32" s="486"/>
      <c r="S32" s="486"/>
      <c r="T32" s="607" t="s">
        <v>339</v>
      </c>
      <c r="U32" s="77" t="e">
        <f>-'Fuel aggregation'!E11/(steel_production*share_steel_blast_furnace_current+0.9*steel_production*share_steel_blast_furnace_bat)</f>
        <v>#DIV/0!</v>
      </c>
    </row>
    <row r="33" spans="2:21">
      <c r="B33" s="42"/>
      <c r="C33" s="657" t="s">
        <v>609</v>
      </c>
      <c r="D33" s="588" t="e">
        <f>U33</f>
        <v>#DIV/0!</v>
      </c>
      <c r="E33" s="607"/>
      <c r="F33" s="486"/>
      <c r="G33" s="486"/>
      <c r="H33" s="486"/>
      <c r="I33" s="486"/>
      <c r="J33" s="486"/>
      <c r="K33" s="486"/>
      <c r="L33" s="486"/>
      <c r="M33" s="486"/>
      <c r="N33" s="486"/>
      <c r="O33" s="486"/>
      <c r="P33" s="486"/>
      <c r="Q33" s="486"/>
      <c r="R33" s="486"/>
      <c r="S33" s="486"/>
      <c r="T33" s="607" t="s">
        <v>339</v>
      </c>
      <c r="U33" s="77" t="e">
        <f>-'Fuel aggregation'!F11/(steel_production*share_steel_blast_furnace_current+0.9*steel_production*share_steel_blast_furnace_bat)</f>
        <v>#DIV/0!</v>
      </c>
    </row>
    <row r="34" spans="2:21">
      <c r="B34" s="42"/>
      <c r="C34" s="657" t="s">
        <v>610</v>
      </c>
      <c r="D34" s="588" t="e">
        <f>U34</f>
        <v>#DIV/0!</v>
      </c>
      <c r="E34" s="607"/>
      <c r="F34" s="486"/>
      <c r="G34" s="486"/>
      <c r="H34" s="486"/>
      <c r="I34" s="486"/>
      <c r="J34" s="486"/>
      <c r="K34" s="486"/>
      <c r="L34" s="486"/>
      <c r="M34" s="486"/>
      <c r="N34" s="486"/>
      <c r="O34" s="486"/>
      <c r="P34" s="486"/>
      <c r="Q34" s="486"/>
      <c r="R34" s="486"/>
      <c r="S34" s="486"/>
      <c r="T34" s="607" t="s">
        <v>339</v>
      </c>
      <c r="U34" s="77" t="e">
        <f>'Fuel aggregation'!G11/(steel_production*share_steel_blast_furnace_current+0.9*steel_production*share_steel_blast_furnace_bat)</f>
        <v>#DIV/0!</v>
      </c>
    </row>
    <row r="35" spans="2:21">
      <c r="B35" s="42"/>
      <c r="C35" s="657" t="s">
        <v>257</v>
      </c>
      <c r="D35" s="588" t="e">
        <f>U35</f>
        <v>#DIV/0!</v>
      </c>
      <c r="E35" s="607"/>
      <c r="F35" s="486"/>
      <c r="G35" s="486"/>
      <c r="H35" s="486"/>
      <c r="I35" s="486"/>
      <c r="J35" s="486"/>
      <c r="K35" s="486"/>
      <c r="L35" s="486"/>
      <c r="M35" s="486"/>
      <c r="N35" s="486"/>
      <c r="O35" s="486"/>
      <c r="P35" s="486"/>
      <c r="Q35" s="486"/>
      <c r="R35" s="486"/>
      <c r="S35" s="486"/>
      <c r="T35" s="607" t="s">
        <v>339</v>
      </c>
      <c r="U35" s="77" t="e">
        <f>-SUM('Fuel aggregation'!E11:G11)/(steel_production*share_steel_blast_furnace_current+0.9*steel_production*share_steel_blast_furnace_bat)</f>
        <v>#DIV/0!</v>
      </c>
    </row>
    <row r="36" spans="2:21">
      <c r="B36" s="491"/>
      <c r="C36" s="52"/>
      <c r="D36" s="589"/>
      <c r="E36" s="630"/>
      <c r="F36" s="52"/>
      <c r="G36" s="52"/>
      <c r="H36" s="52"/>
      <c r="I36" s="52"/>
      <c r="J36" s="52"/>
      <c r="K36" s="52"/>
      <c r="L36" s="52"/>
      <c r="M36" s="52"/>
      <c r="N36" s="52"/>
      <c r="O36" s="52"/>
      <c r="P36" s="52"/>
      <c r="Q36" s="52"/>
      <c r="R36" s="52"/>
      <c r="S36" s="52"/>
      <c r="T36" s="630"/>
      <c r="U36" s="629"/>
    </row>
    <row r="37" spans="2:21">
      <c r="B37" s="42" t="s">
        <v>219</v>
      </c>
      <c r="C37" s="111"/>
      <c r="D37" s="587"/>
      <c r="E37" s="431"/>
      <c r="F37" s="111"/>
      <c r="G37" s="111"/>
      <c r="H37" s="111"/>
      <c r="I37" s="111"/>
      <c r="J37" s="111"/>
      <c r="K37" s="111"/>
      <c r="L37" s="111"/>
      <c r="M37" s="111"/>
      <c r="N37" s="111"/>
      <c r="O37" s="111"/>
      <c r="P37" s="111"/>
      <c r="Q37" s="111"/>
      <c r="R37" s="111"/>
      <c r="S37" s="111"/>
      <c r="T37" s="431"/>
      <c r="U37" s="230"/>
    </row>
    <row r="38" spans="2:21">
      <c r="B38" s="42"/>
      <c r="C38" s="486" t="s">
        <v>255</v>
      </c>
      <c r="D38" s="665"/>
      <c r="E38" s="607" t="s">
        <v>596</v>
      </c>
      <c r="F38" s="486"/>
      <c r="G38" s="486"/>
      <c r="H38" s="486"/>
      <c r="I38" s="486"/>
      <c r="J38" s="486"/>
      <c r="K38" s="486"/>
      <c r="L38" s="486"/>
      <c r="M38" s="486"/>
      <c r="N38" s="486"/>
      <c r="O38" s="486"/>
      <c r="P38" s="486"/>
      <c r="Q38" s="486"/>
      <c r="R38" s="486"/>
      <c r="S38" s="486"/>
      <c r="T38" s="607"/>
      <c r="U38" s="77"/>
    </row>
    <row r="39" spans="2:21">
      <c r="B39" s="42"/>
      <c r="C39" s="657" t="s">
        <v>217</v>
      </c>
      <c r="D39" s="588" t="e">
        <f>T39</f>
        <v>#DIV/0!</v>
      </c>
      <c r="E39" s="607"/>
      <c r="F39" s="486"/>
      <c r="G39" s="486"/>
      <c r="H39" s="486"/>
      <c r="I39" s="486"/>
      <c r="J39" s="486"/>
      <c r="K39" s="486"/>
      <c r="L39" s="486"/>
      <c r="M39" s="486"/>
      <c r="N39" s="486"/>
      <c r="O39" s="486"/>
      <c r="P39" s="486"/>
      <c r="Q39" s="486"/>
      <c r="R39" s="486"/>
      <c r="S39" s="486"/>
      <c r="T39" s="607" t="e">
        <f>T29*0.9</f>
        <v>#DIV/0!</v>
      </c>
      <c r="U39" s="77" t="s">
        <v>339</v>
      </c>
    </row>
    <row r="40" spans="2:21">
      <c r="B40" s="42"/>
      <c r="C40" s="657" t="s">
        <v>218</v>
      </c>
      <c r="D40" s="588" t="e">
        <f>T40</f>
        <v>#DIV/0!</v>
      </c>
      <c r="E40" s="607"/>
      <c r="F40" s="486"/>
      <c r="G40" s="486"/>
      <c r="H40" s="486"/>
      <c r="I40" s="486"/>
      <c r="J40" s="486"/>
      <c r="K40" s="486"/>
      <c r="L40" s="486"/>
      <c r="M40" s="486"/>
      <c r="N40" s="486"/>
      <c r="O40" s="486"/>
      <c r="P40" s="486"/>
      <c r="Q40" s="486"/>
      <c r="R40" s="486"/>
      <c r="S40" s="486"/>
      <c r="T40" s="607" t="e">
        <f>T30*0.9</f>
        <v>#DIV/0!</v>
      </c>
      <c r="U40" s="77" t="s">
        <v>339</v>
      </c>
    </row>
    <row r="41" spans="2:21">
      <c r="B41" s="42"/>
      <c r="C41" s="486" t="s">
        <v>209</v>
      </c>
      <c r="D41" s="588"/>
      <c r="E41" s="607" t="s">
        <v>597</v>
      </c>
      <c r="F41" s="486"/>
      <c r="G41" s="486"/>
      <c r="H41" s="486"/>
      <c r="I41" s="486"/>
      <c r="J41" s="486"/>
      <c r="K41" s="486"/>
      <c r="L41" s="486"/>
      <c r="M41" s="486"/>
      <c r="N41" s="486"/>
      <c r="O41" s="486"/>
      <c r="P41" s="486"/>
      <c r="Q41" s="486"/>
      <c r="R41" s="486"/>
      <c r="S41" s="486"/>
      <c r="T41" s="607"/>
      <c r="U41" s="77"/>
    </row>
    <row r="42" spans="2:21">
      <c r="B42" s="42"/>
      <c r="C42" s="657" t="s">
        <v>608</v>
      </c>
      <c r="D42" s="588" t="e">
        <f>U42</f>
        <v>#DIV/0!</v>
      </c>
      <c r="E42" s="607"/>
      <c r="F42" s="486"/>
      <c r="G42" s="486"/>
      <c r="H42" s="486"/>
      <c r="I42" s="486"/>
      <c r="J42" s="486"/>
      <c r="K42" s="486"/>
      <c r="L42" s="486"/>
      <c r="M42" s="486"/>
      <c r="N42" s="486"/>
      <c r="O42" s="486"/>
      <c r="P42" s="486"/>
      <c r="Q42" s="486"/>
      <c r="R42" s="486"/>
      <c r="S42" s="486"/>
      <c r="T42" s="607" t="s">
        <v>339</v>
      </c>
      <c r="U42" s="77" t="e">
        <f>U32*0.9</f>
        <v>#DIV/0!</v>
      </c>
    </row>
    <row r="43" spans="2:21">
      <c r="B43" s="42"/>
      <c r="C43" s="657" t="s">
        <v>609</v>
      </c>
      <c r="D43" s="588" t="e">
        <f>U43</f>
        <v>#DIV/0!</v>
      </c>
      <c r="E43" s="607"/>
      <c r="F43" s="486"/>
      <c r="G43" s="486"/>
      <c r="H43" s="486"/>
      <c r="I43" s="486"/>
      <c r="J43" s="486"/>
      <c r="K43" s="486"/>
      <c r="L43" s="486"/>
      <c r="M43" s="486"/>
      <c r="N43" s="486"/>
      <c r="O43" s="486"/>
      <c r="P43" s="486"/>
      <c r="Q43" s="486"/>
      <c r="R43" s="486"/>
      <c r="S43" s="486"/>
      <c r="T43" s="607" t="s">
        <v>339</v>
      </c>
      <c r="U43" s="77" t="e">
        <f>U33*0.9</f>
        <v>#DIV/0!</v>
      </c>
    </row>
    <row r="44" spans="2:21">
      <c r="B44" s="42"/>
      <c r="C44" s="657" t="s">
        <v>610</v>
      </c>
      <c r="D44" s="588" t="e">
        <f>U44</f>
        <v>#DIV/0!</v>
      </c>
      <c r="E44" s="607"/>
      <c r="F44" s="486"/>
      <c r="G44" s="486"/>
      <c r="H44" s="486"/>
      <c r="I44" s="486"/>
      <c r="J44" s="486"/>
      <c r="K44" s="486"/>
      <c r="L44" s="486"/>
      <c r="M44" s="486"/>
      <c r="N44" s="486"/>
      <c r="O44" s="486"/>
      <c r="P44" s="486"/>
      <c r="Q44" s="486"/>
      <c r="R44" s="486"/>
      <c r="S44" s="486"/>
      <c r="T44" s="607" t="s">
        <v>339</v>
      </c>
      <c r="U44" s="77" t="e">
        <f>U34*0.9</f>
        <v>#DIV/0!</v>
      </c>
    </row>
    <row r="45" spans="2:21">
      <c r="B45" s="491"/>
      <c r="C45" s="52"/>
      <c r="D45" s="589"/>
      <c r="E45" s="630"/>
      <c r="F45" s="52"/>
      <c r="G45" s="52"/>
      <c r="H45" s="52"/>
      <c r="I45" s="52"/>
      <c r="J45" s="52"/>
      <c r="K45" s="52"/>
      <c r="L45" s="52"/>
      <c r="M45" s="52"/>
      <c r="N45" s="52"/>
      <c r="O45" s="52"/>
      <c r="P45" s="52"/>
      <c r="Q45" s="52"/>
      <c r="R45" s="52"/>
      <c r="S45" s="52"/>
      <c r="T45" s="630"/>
      <c r="U45" s="629"/>
    </row>
    <row r="46" spans="2:21">
      <c r="B46" s="42" t="s">
        <v>220</v>
      </c>
      <c r="C46" s="111"/>
      <c r="D46" s="587"/>
      <c r="E46" s="431"/>
      <c r="F46" s="111"/>
      <c r="G46" s="111"/>
      <c r="H46" s="111"/>
      <c r="I46" s="111"/>
      <c r="J46" s="111"/>
      <c r="K46" s="111"/>
      <c r="L46" s="111"/>
      <c r="M46" s="111"/>
      <c r="N46" s="111"/>
      <c r="O46" s="111"/>
      <c r="P46" s="111"/>
      <c r="Q46" s="111"/>
      <c r="R46" s="111"/>
      <c r="S46" s="111"/>
      <c r="T46" s="431"/>
      <c r="U46" s="230"/>
    </row>
    <row r="47" spans="2:21">
      <c r="B47" s="42"/>
      <c r="C47" s="486" t="s">
        <v>255</v>
      </c>
      <c r="D47" s="665"/>
      <c r="E47" s="607" t="s">
        <v>606</v>
      </c>
      <c r="F47" s="486"/>
      <c r="G47" s="486"/>
      <c r="H47" s="486"/>
      <c r="I47" s="486"/>
      <c r="J47" s="486"/>
      <c r="K47" s="486"/>
      <c r="L47" s="486"/>
      <c r="M47" s="486"/>
      <c r="N47" s="486"/>
      <c r="O47" s="486"/>
      <c r="P47" s="486"/>
      <c r="Q47" s="486"/>
      <c r="R47" s="486"/>
      <c r="S47" s="486"/>
      <c r="T47" s="607"/>
      <c r="U47" s="77"/>
    </row>
    <row r="48" spans="2:21">
      <c r="B48" s="42"/>
      <c r="C48" s="657" t="s">
        <v>217</v>
      </c>
      <c r="D48" s="588" t="e">
        <f>T48</f>
        <v>#DIV/0!</v>
      </c>
      <c r="E48" s="607"/>
      <c r="F48" s="486"/>
      <c r="G48" s="486"/>
      <c r="H48" s="486"/>
      <c r="I48" s="486"/>
      <c r="J48" s="486"/>
      <c r="K48" s="486"/>
      <c r="L48" s="486"/>
      <c r="M48" s="486"/>
      <c r="N48" s="486"/>
      <c r="O48" s="486"/>
      <c r="P48" s="486"/>
      <c r="Q48" s="486"/>
      <c r="R48" s="486"/>
      <c r="S48" s="486"/>
      <c r="T48" s="607" t="e">
        <f>(J47/Q47)*1000</f>
        <v>#DIV/0!</v>
      </c>
      <c r="U48" s="77" t="s">
        <v>339</v>
      </c>
    </row>
    <row r="49" spans="2:21">
      <c r="B49" s="42"/>
      <c r="C49" s="657" t="s">
        <v>218</v>
      </c>
      <c r="D49" s="588" t="e">
        <f>T49</f>
        <v>#DIV/0!</v>
      </c>
      <c r="E49" s="607"/>
      <c r="F49" s="486"/>
      <c r="G49" s="486"/>
      <c r="H49" s="486"/>
      <c r="I49" s="486"/>
      <c r="J49" s="486"/>
      <c r="K49" s="486"/>
      <c r="L49" s="486"/>
      <c r="M49" s="486"/>
      <c r="N49" s="486"/>
      <c r="O49" s="486"/>
      <c r="P49" s="486"/>
      <c r="Q49" s="486"/>
      <c r="R49" s="486"/>
      <c r="S49" s="486"/>
      <c r="T49" s="607" t="e">
        <f>(L47/Q47)*1000</f>
        <v>#DIV/0!</v>
      </c>
      <c r="U49" s="77" t="s">
        <v>339</v>
      </c>
    </row>
    <row r="50" spans="2:21">
      <c r="B50" s="42"/>
      <c r="C50" s="486" t="s">
        <v>209</v>
      </c>
      <c r="D50" s="588"/>
      <c r="E50" s="607" t="s">
        <v>598</v>
      </c>
      <c r="F50" s="486"/>
      <c r="G50" s="486"/>
      <c r="H50" s="486"/>
      <c r="I50" s="486"/>
      <c r="J50" s="486"/>
      <c r="K50" s="486"/>
      <c r="L50" s="486"/>
      <c r="M50" s="486"/>
      <c r="N50" s="486"/>
      <c r="O50" s="486"/>
      <c r="P50" s="486"/>
      <c r="Q50" s="486"/>
      <c r="R50" s="486"/>
      <c r="S50" s="486"/>
      <c r="T50" s="607"/>
      <c r="U50" s="77"/>
    </row>
    <row r="51" spans="2:21">
      <c r="B51" s="42"/>
      <c r="C51" s="657" t="s">
        <v>608</v>
      </c>
      <c r="D51" s="588" t="e">
        <f>T51</f>
        <v>#DIV/0!</v>
      </c>
      <c r="E51" s="607"/>
      <c r="F51" s="486"/>
      <c r="G51" s="486"/>
      <c r="H51" s="486"/>
      <c r="I51" s="486"/>
      <c r="J51" s="486"/>
      <c r="K51" s="486"/>
      <c r="L51" s="486"/>
      <c r="M51" s="486"/>
      <c r="N51" s="486"/>
      <c r="O51" s="486"/>
      <c r="P51" s="486"/>
      <c r="Q51" s="486"/>
      <c r="R51" s="486"/>
      <c r="S51" s="486"/>
      <c r="T51" s="607" t="e">
        <f>(T48+T49)*I47*F50</f>
        <v>#DIV/0!</v>
      </c>
      <c r="U51" s="77" t="s">
        <v>339</v>
      </c>
    </row>
    <row r="52" spans="2:21">
      <c r="B52" s="42"/>
      <c r="C52" s="657" t="s">
        <v>613</v>
      </c>
      <c r="D52" s="588" t="e">
        <f>T52</f>
        <v>#DIV/0!</v>
      </c>
      <c r="E52" s="607"/>
      <c r="F52" s="486"/>
      <c r="G52" s="486"/>
      <c r="H52" s="486"/>
      <c r="I52" s="486"/>
      <c r="J52" s="486"/>
      <c r="K52" s="486"/>
      <c r="L52" s="486"/>
      <c r="M52" s="486"/>
      <c r="N52" s="486"/>
      <c r="O52" s="486"/>
      <c r="P52" s="486"/>
      <c r="Q52" s="486"/>
      <c r="R52" s="486"/>
      <c r="S52" s="486"/>
      <c r="T52" s="607" t="e">
        <f>(T48+T49)*I47*K50</f>
        <v>#DIV/0!</v>
      </c>
      <c r="U52" s="77" t="s">
        <v>339</v>
      </c>
    </row>
    <row r="53" spans="2:21">
      <c r="B53" s="42"/>
      <c r="C53" s="657" t="s">
        <v>178</v>
      </c>
      <c r="D53" s="588" t="e">
        <f>T53</f>
        <v>#DIV/0!</v>
      </c>
      <c r="E53" s="607"/>
      <c r="F53" s="486"/>
      <c r="G53" s="486"/>
      <c r="H53" s="486"/>
      <c r="I53" s="486"/>
      <c r="J53" s="486"/>
      <c r="K53" s="486"/>
      <c r="L53" s="486"/>
      <c r="M53" s="486"/>
      <c r="N53" s="486"/>
      <c r="O53" s="486"/>
      <c r="P53" s="486"/>
      <c r="Q53" s="486"/>
      <c r="R53" s="486"/>
      <c r="S53" s="486"/>
      <c r="T53" s="607" t="e">
        <f>(T51+T52)*R50</f>
        <v>#DIV/0!</v>
      </c>
      <c r="U53" s="77" t="s">
        <v>339</v>
      </c>
    </row>
    <row r="54" spans="2:21">
      <c r="B54" s="491"/>
      <c r="C54" s="52"/>
      <c r="D54" s="589"/>
      <c r="E54" s="630"/>
      <c r="F54" s="52"/>
      <c r="G54" s="52"/>
      <c r="H54" s="52"/>
      <c r="I54" s="52"/>
      <c r="J54" s="52"/>
      <c r="K54" s="52"/>
      <c r="L54" s="52"/>
      <c r="M54" s="52"/>
      <c r="N54" s="52"/>
      <c r="O54" s="52"/>
      <c r="P54" s="52"/>
      <c r="Q54" s="52"/>
      <c r="R54" s="52"/>
      <c r="S54" s="52"/>
      <c r="T54" s="630"/>
      <c r="U54" s="629"/>
    </row>
    <row r="55" spans="2:21">
      <c r="B55" s="42" t="s">
        <v>221</v>
      </c>
      <c r="C55" s="111"/>
      <c r="D55" s="587"/>
      <c r="E55" s="431"/>
      <c r="F55" s="111"/>
      <c r="G55" s="111"/>
      <c r="H55" s="111"/>
      <c r="I55" s="111"/>
      <c r="J55" s="111"/>
      <c r="K55" s="111"/>
      <c r="L55" s="111"/>
      <c r="M55" s="111"/>
      <c r="N55" s="111"/>
      <c r="O55" s="111"/>
      <c r="P55" s="111"/>
      <c r="Q55" s="111"/>
      <c r="R55" s="111"/>
      <c r="S55" s="111"/>
      <c r="T55" s="431"/>
      <c r="U55" s="230"/>
    </row>
    <row r="56" spans="2:21">
      <c r="B56" s="42"/>
      <c r="C56" s="486" t="s">
        <v>255</v>
      </c>
      <c r="D56" s="665"/>
      <c r="E56" s="607" t="s">
        <v>599</v>
      </c>
      <c r="F56" s="486"/>
      <c r="G56" s="486"/>
      <c r="H56" s="486"/>
      <c r="I56" s="486"/>
      <c r="J56" s="486"/>
      <c r="K56" s="486"/>
      <c r="L56" s="486"/>
      <c r="M56" s="486"/>
      <c r="N56" s="486"/>
      <c r="O56" s="486"/>
      <c r="P56" s="486"/>
      <c r="Q56" s="486"/>
      <c r="R56" s="486"/>
      <c r="S56" s="486"/>
      <c r="T56" s="607"/>
      <c r="U56" s="77"/>
    </row>
    <row r="57" spans="2:21">
      <c r="B57" s="42"/>
      <c r="C57" s="657" t="s">
        <v>217</v>
      </c>
      <c r="D57" s="588" t="e">
        <f>T57</f>
        <v>#DIV/0!</v>
      </c>
      <c r="E57" s="607"/>
      <c r="F57" s="486"/>
      <c r="G57" s="486"/>
      <c r="H57" s="486"/>
      <c r="I57" s="486"/>
      <c r="J57" s="486"/>
      <c r="K57" s="486"/>
      <c r="L57" s="486"/>
      <c r="M57" s="486"/>
      <c r="N57" s="486"/>
      <c r="O57" s="486"/>
      <c r="P57" s="486"/>
      <c r="Q57" s="486"/>
      <c r="R57" s="486"/>
      <c r="S57" s="208"/>
      <c r="T57" s="607" t="e">
        <f>(J56/Q56)*1000</f>
        <v>#DIV/0!</v>
      </c>
      <c r="U57" s="77" t="s">
        <v>339</v>
      </c>
    </row>
    <row r="58" spans="2:21">
      <c r="B58" s="42"/>
      <c r="C58" s="657" t="s">
        <v>218</v>
      </c>
      <c r="D58" s="588" t="e">
        <f>T58</f>
        <v>#DIV/0!</v>
      </c>
      <c r="E58" s="607"/>
      <c r="F58" s="486"/>
      <c r="G58" s="486"/>
      <c r="H58" s="486"/>
      <c r="I58" s="486"/>
      <c r="J58" s="486"/>
      <c r="K58" s="486"/>
      <c r="L58" s="486"/>
      <c r="M58" s="486"/>
      <c r="N58" s="486"/>
      <c r="O58" s="486"/>
      <c r="P58" s="486"/>
      <c r="Q58" s="486"/>
      <c r="R58" s="486"/>
      <c r="S58" s="486"/>
      <c r="T58" s="607" t="e">
        <f>(L56/Q56)*1000</f>
        <v>#DIV/0!</v>
      </c>
      <c r="U58" s="77" t="s">
        <v>339</v>
      </c>
    </row>
    <row r="59" spans="2:21" ht="16" thickBot="1">
      <c r="B59" s="609"/>
      <c r="C59" s="612"/>
      <c r="D59" s="613"/>
      <c r="E59" s="631"/>
      <c r="F59" s="612"/>
      <c r="G59" s="612"/>
      <c r="H59" s="612"/>
      <c r="I59" s="612"/>
      <c r="J59" s="612"/>
      <c r="K59" s="612"/>
      <c r="L59" s="612"/>
      <c r="M59" s="612"/>
      <c r="N59" s="612"/>
      <c r="O59" s="612"/>
      <c r="P59" s="612"/>
      <c r="Q59" s="612"/>
      <c r="R59" s="612"/>
      <c r="S59" s="612"/>
      <c r="T59" s="631"/>
      <c r="U59" s="632"/>
    </row>
    <row r="60" spans="2:21" ht="16" thickTop="1">
      <c r="B60" s="487" t="s">
        <v>524</v>
      </c>
      <c r="C60" s="111"/>
      <c r="D60" s="494"/>
      <c r="E60" s="431"/>
      <c r="F60" s="111"/>
      <c r="G60" s="111"/>
      <c r="H60" s="111"/>
      <c r="I60" s="111"/>
      <c r="J60" s="111"/>
      <c r="K60" s="111"/>
      <c r="L60" s="111"/>
      <c r="M60" s="111"/>
      <c r="N60" s="8"/>
      <c r="O60" s="8"/>
      <c r="P60" s="8"/>
      <c r="Q60" s="8"/>
      <c r="R60" s="8"/>
      <c r="S60" s="8"/>
      <c r="T60" s="17"/>
      <c r="U60" s="29"/>
    </row>
    <row r="61" spans="2:21">
      <c r="B61" s="112"/>
      <c r="C61" s="111"/>
      <c r="D61" s="494"/>
      <c r="E61" s="431"/>
      <c r="F61" s="111"/>
      <c r="G61" s="111"/>
      <c r="H61" s="111"/>
      <c r="I61" s="111"/>
      <c r="J61" s="111"/>
      <c r="K61" s="111"/>
      <c r="L61" s="111"/>
      <c r="M61" s="111"/>
      <c r="N61" s="8"/>
      <c r="O61" s="8"/>
      <c r="P61" s="8"/>
      <c r="Q61" s="8"/>
      <c r="R61" s="8"/>
      <c r="S61" s="8"/>
      <c r="T61" s="17"/>
      <c r="U61" s="29"/>
    </row>
    <row r="62" spans="2:21">
      <c r="B62" s="488" t="s">
        <v>236</v>
      </c>
      <c r="C62" s="489" t="s">
        <v>612</v>
      </c>
      <c r="D62" s="495" t="s">
        <v>521</v>
      </c>
      <c r="E62" s="493"/>
      <c r="F62" s="489"/>
      <c r="G62" s="489"/>
      <c r="H62" s="489"/>
      <c r="I62" s="489"/>
      <c r="J62" s="489"/>
      <c r="K62" s="489"/>
      <c r="L62" s="489"/>
      <c r="M62" s="489"/>
      <c r="N62" s="10"/>
      <c r="O62" s="10"/>
      <c r="P62" s="10"/>
      <c r="Q62" s="10"/>
      <c r="R62" s="10"/>
      <c r="S62" s="10"/>
      <c r="T62" s="18"/>
      <c r="U62" s="237"/>
    </row>
    <row r="63" spans="2:21">
      <c r="B63" s="42" t="s">
        <v>222</v>
      </c>
      <c r="C63" s="111"/>
      <c r="D63" s="494"/>
      <c r="E63" s="431"/>
      <c r="F63" s="111"/>
      <c r="G63" s="111"/>
      <c r="H63" s="111"/>
      <c r="I63" s="111"/>
      <c r="J63" s="111"/>
      <c r="K63" s="111"/>
      <c r="L63" s="111"/>
      <c r="M63" s="111"/>
      <c r="N63" s="8"/>
      <c r="O63" s="8"/>
      <c r="P63" s="8"/>
      <c r="Q63" s="8"/>
      <c r="R63" s="8"/>
      <c r="S63" s="8"/>
      <c r="T63" s="17"/>
      <c r="U63" s="29"/>
    </row>
    <row r="64" spans="2:21">
      <c r="B64" s="42"/>
      <c r="C64" s="486" t="s">
        <v>255</v>
      </c>
      <c r="D64" s="666"/>
      <c r="E64" s="607" t="s">
        <v>600</v>
      </c>
      <c r="F64" s="486"/>
      <c r="G64" s="486"/>
      <c r="H64" s="486"/>
      <c r="I64" s="486"/>
      <c r="J64" s="486"/>
      <c r="K64" s="486"/>
      <c r="L64" s="486"/>
      <c r="M64" s="486"/>
      <c r="N64" s="15"/>
      <c r="O64" s="15"/>
      <c r="P64" s="15"/>
      <c r="Q64" s="15"/>
      <c r="R64" s="15"/>
      <c r="S64" s="15"/>
      <c r="T64" s="655"/>
      <c r="U64" s="37"/>
    </row>
    <row r="65" spans="2:21">
      <c r="B65" s="112"/>
      <c r="C65" s="657" t="s">
        <v>614</v>
      </c>
      <c r="D65" s="633" t="e">
        <f>U65</f>
        <v>#DIV/0!</v>
      </c>
      <c r="E65" s="486"/>
      <c r="F65" s="486"/>
      <c r="G65" s="486"/>
      <c r="H65" s="486"/>
      <c r="I65" s="486"/>
      <c r="J65" s="486"/>
      <c r="K65" s="486"/>
      <c r="L65" s="486"/>
      <c r="M65" s="486"/>
      <c r="N65" s="15"/>
      <c r="O65" s="15"/>
      <c r="P65" s="15"/>
      <c r="Q65" s="15"/>
      <c r="R65" s="15"/>
      <c r="S65" s="15"/>
      <c r="T65" s="655" t="s">
        <v>339</v>
      </c>
      <c r="U65" s="626" t="e">
        <f>-'Fuel aggregation'!G17/'Fuel aggregation'!F12</f>
        <v>#DIV/0!</v>
      </c>
    </row>
    <row r="66" spans="2:21">
      <c r="B66" s="112"/>
      <c r="C66" s="657" t="s">
        <v>217</v>
      </c>
      <c r="D66" s="633" t="e">
        <f>U66</f>
        <v>#DIV/0!</v>
      </c>
      <c r="E66" s="486"/>
      <c r="F66" s="486"/>
      <c r="G66" s="486"/>
      <c r="H66" s="486"/>
      <c r="I66" s="486"/>
      <c r="J66" s="486"/>
      <c r="K66" s="486"/>
      <c r="L66" s="486"/>
      <c r="M66" s="486"/>
      <c r="N66" s="15"/>
      <c r="O66" s="15"/>
      <c r="P66" s="15"/>
      <c r="Q66" s="15"/>
      <c r="R66" s="15"/>
      <c r="S66" s="15"/>
      <c r="T66" s="655" t="s">
        <v>339</v>
      </c>
      <c r="U66" s="626" t="e">
        <f>-'Fuel aggregation'!L17/'Fuel aggregation'!F12</f>
        <v>#DIV/0!</v>
      </c>
    </row>
    <row r="67" spans="2:21">
      <c r="B67" s="112"/>
      <c r="C67" s="486" t="s">
        <v>209</v>
      </c>
      <c r="D67" s="633"/>
      <c r="E67" s="486" t="s">
        <v>601</v>
      </c>
      <c r="F67" s="486"/>
      <c r="G67" s="486"/>
      <c r="H67" s="486"/>
      <c r="I67" s="486"/>
      <c r="J67" s="486"/>
      <c r="K67" s="486"/>
      <c r="L67" s="486"/>
      <c r="M67" s="486"/>
      <c r="N67" s="15"/>
      <c r="O67" s="15"/>
      <c r="P67" s="15"/>
      <c r="Q67" s="15"/>
      <c r="R67" s="15"/>
      <c r="S67" s="15"/>
      <c r="T67" s="655"/>
      <c r="U67" s="626"/>
    </row>
    <row r="68" spans="2:21">
      <c r="B68" s="112"/>
      <c r="C68" s="657" t="s">
        <v>608</v>
      </c>
      <c r="D68" s="633" t="e">
        <f>U68</f>
        <v>#DIV/0!</v>
      </c>
      <c r="E68" s="486"/>
      <c r="F68" s="486"/>
      <c r="G68" s="486"/>
      <c r="H68" s="486"/>
      <c r="I68" s="486"/>
      <c r="J68" s="486"/>
      <c r="K68" s="486"/>
      <c r="L68" s="486"/>
      <c r="M68" s="486"/>
      <c r="N68" s="15"/>
      <c r="O68" s="15"/>
      <c r="P68" s="15"/>
      <c r="Q68" s="15"/>
      <c r="R68" s="15"/>
      <c r="S68" s="15"/>
      <c r="T68" s="655" t="s">
        <v>339</v>
      </c>
      <c r="U68" s="626" t="e">
        <f>-'Fuel aggregation'!E12/'Fuel aggregation'!F12</f>
        <v>#DIV/0!</v>
      </c>
    </row>
    <row r="69" spans="2:21">
      <c r="B69" s="112"/>
      <c r="C69" s="657" t="s">
        <v>609</v>
      </c>
      <c r="D69" s="633" t="e">
        <f>U69</f>
        <v>#DIV/0!</v>
      </c>
      <c r="E69" s="486"/>
      <c r="F69" s="486"/>
      <c r="G69" s="486"/>
      <c r="H69" s="486"/>
      <c r="I69" s="486"/>
      <c r="J69" s="486"/>
      <c r="K69" s="486"/>
      <c r="L69" s="486"/>
      <c r="M69" s="486"/>
      <c r="N69" s="15"/>
      <c r="O69" s="15"/>
      <c r="P69" s="15"/>
      <c r="Q69" s="15"/>
      <c r="R69" s="15"/>
      <c r="S69" s="15"/>
      <c r="T69" s="656" t="s">
        <v>339</v>
      </c>
      <c r="U69" s="37" t="e">
        <f>'Fuel aggregation'!F12/'Fuel aggregation'!F12</f>
        <v>#DIV/0!</v>
      </c>
    </row>
    <row r="70" spans="2:21">
      <c r="B70" s="112"/>
      <c r="C70" s="657" t="s">
        <v>610</v>
      </c>
      <c r="D70" s="633" t="e">
        <f>U70</f>
        <v>#DIV/0!</v>
      </c>
      <c r="E70" s="486"/>
      <c r="F70" s="486"/>
      <c r="G70" s="486"/>
      <c r="H70" s="486"/>
      <c r="I70" s="486"/>
      <c r="J70" s="486"/>
      <c r="K70" s="486"/>
      <c r="L70" s="486"/>
      <c r="M70" s="486"/>
      <c r="N70" s="15"/>
      <c r="O70" s="15"/>
      <c r="P70" s="15"/>
      <c r="Q70" s="15"/>
      <c r="R70" s="15"/>
      <c r="S70" s="15"/>
      <c r="T70" s="655" t="s">
        <v>339</v>
      </c>
      <c r="U70" s="626" t="e">
        <f>'Fuel aggregation'!G12/'Fuel aggregation'!F12</f>
        <v>#DIV/0!</v>
      </c>
    </row>
    <row r="71" spans="2:21" ht="16" thickBot="1">
      <c r="B71" s="614"/>
      <c r="C71" s="612"/>
      <c r="D71" s="615"/>
      <c r="E71" s="631"/>
      <c r="F71" s="612"/>
      <c r="G71" s="612"/>
      <c r="H71" s="612"/>
      <c r="I71" s="612"/>
      <c r="J71" s="612"/>
      <c r="K71" s="612"/>
      <c r="L71" s="612"/>
      <c r="M71" s="612"/>
      <c r="N71" s="610"/>
      <c r="O71" s="610"/>
      <c r="P71" s="610"/>
      <c r="Q71" s="610"/>
      <c r="R71" s="610"/>
      <c r="S71" s="610"/>
      <c r="T71" s="654"/>
      <c r="U71" s="611"/>
    </row>
    <row r="72" spans="2:21" ht="16" thickTop="1">
      <c r="B72" s="487" t="s">
        <v>525</v>
      </c>
      <c r="C72" s="111"/>
      <c r="D72" s="494"/>
      <c r="E72" s="431"/>
      <c r="F72" s="111"/>
      <c r="G72" s="111"/>
      <c r="H72" s="111"/>
      <c r="I72" s="111"/>
      <c r="J72" s="111"/>
      <c r="K72" s="111"/>
      <c r="L72" s="111"/>
      <c r="M72" s="111"/>
      <c r="N72" s="8"/>
      <c r="O72" s="8"/>
      <c r="P72" s="8"/>
      <c r="Q72" s="8"/>
      <c r="R72" s="8"/>
      <c r="S72" s="8"/>
      <c r="T72" s="17"/>
      <c r="U72" s="29"/>
    </row>
    <row r="73" spans="2:21">
      <c r="B73" s="112"/>
      <c r="C73" s="111"/>
      <c r="D73" s="587"/>
      <c r="E73" s="431"/>
      <c r="F73" s="111"/>
      <c r="G73" s="111"/>
      <c r="H73" s="111"/>
      <c r="I73" s="111"/>
      <c r="J73" s="111"/>
      <c r="K73" s="111"/>
      <c r="L73" s="111"/>
      <c r="M73" s="111"/>
      <c r="N73" s="8"/>
      <c r="O73" s="8"/>
      <c r="P73" s="8"/>
      <c r="Q73" s="8"/>
      <c r="R73" s="8"/>
      <c r="S73" s="8"/>
      <c r="T73" s="17"/>
      <c r="U73" s="29"/>
    </row>
    <row r="74" spans="2:21">
      <c r="B74" s="488" t="s">
        <v>236</v>
      </c>
      <c r="C74" s="489" t="s">
        <v>612</v>
      </c>
      <c r="D74" s="590" t="s">
        <v>461</v>
      </c>
      <c r="E74" s="493"/>
      <c r="F74" s="489"/>
      <c r="G74" s="489"/>
      <c r="H74" s="489"/>
      <c r="I74" s="489"/>
      <c r="J74" s="489"/>
      <c r="K74" s="489"/>
      <c r="L74" s="489"/>
      <c r="M74" s="489"/>
      <c r="N74" s="10"/>
      <c r="O74" s="10"/>
      <c r="P74" s="10"/>
      <c r="Q74" s="10"/>
      <c r="R74" s="10"/>
      <c r="S74" s="10"/>
      <c r="T74" s="18"/>
      <c r="U74" s="237"/>
    </row>
    <row r="75" spans="2:21">
      <c r="B75" s="42" t="s">
        <v>228</v>
      </c>
      <c r="C75" s="111"/>
      <c r="D75" s="587"/>
      <c r="E75" s="431"/>
      <c r="F75" s="111"/>
      <c r="G75" s="111"/>
      <c r="H75" s="111"/>
      <c r="I75" s="111"/>
      <c r="J75" s="111"/>
      <c r="K75" s="111"/>
      <c r="L75" s="111"/>
      <c r="M75" s="111"/>
      <c r="N75" s="111"/>
      <c r="O75" s="111"/>
      <c r="P75" s="111"/>
      <c r="Q75" s="111"/>
      <c r="R75" s="111"/>
      <c r="S75" s="111"/>
      <c r="T75" s="431"/>
      <c r="U75" s="230"/>
    </row>
    <row r="76" spans="2:21">
      <c r="B76" s="42"/>
      <c r="C76" s="486" t="s">
        <v>255</v>
      </c>
      <c r="D76" s="665"/>
      <c r="E76" s="607" t="s">
        <v>602</v>
      </c>
      <c r="F76" s="486"/>
      <c r="G76" s="486"/>
      <c r="H76" s="486"/>
      <c r="I76" s="486"/>
      <c r="J76" s="486"/>
      <c r="K76" s="486"/>
      <c r="L76" s="486"/>
      <c r="M76" s="486"/>
      <c r="N76" s="486"/>
      <c r="O76" s="486"/>
      <c r="P76" s="486"/>
      <c r="Q76" s="486"/>
      <c r="R76" s="486"/>
      <c r="S76" s="486"/>
      <c r="T76" s="607"/>
      <c r="U76" s="77"/>
    </row>
    <row r="77" spans="2:21">
      <c r="B77" s="42"/>
      <c r="C77" s="657" t="s">
        <v>217</v>
      </c>
      <c r="D77" s="588" t="e">
        <f>T77</f>
        <v>#DIV/0!</v>
      </c>
      <c r="E77" s="607"/>
      <c r="F77" s="486"/>
      <c r="G77" s="486"/>
      <c r="H77" s="486"/>
      <c r="I77" s="486"/>
      <c r="J77" s="486"/>
      <c r="K77" s="486"/>
      <c r="L77" s="486"/>
      <c r="M77" s="486"/>
      <c r="N77" s="486"/>
      <c r="O77" s="486"/>
      <c r="P77" s="486"/>
      <c r="Q77" s="486"/>
      <c r="R77" s="486"/>
      <c r="S77" s="486"/>
      <c r="T77" s="607" t="e">
        <f>(J76/Q76)*1000</f>
        <v>#DIV/0!</v>
      </c>
      <c r="U77" s="77" t="s">
        <v>339</v>
      </c>
    </row>
    <row r="78" spans="2:21">
      <c r="B78" s="42"/>
      <c r="C78" s="657" t="s">
        <v>218</v>
      </c>
      <c r="D78" s="588" t="e">
        <f>T78</f>
        <v>#DIV/0!</v>
      </c>
      <c r="E78" s="607"/>
      <c r="F78" s="486"/>
      <c r="G78" s="486"/>
      <c r="H78" s="486"/>
      <c r="I78" s="486"/>
      <c r="J78" s="486"/>
      <c r="K78" s="486"/>
      <c r="L78" s="486"/>
      <c r="M78" s="486"/>
      <c r="N78" s="486"/>
      <c r="O78" s="486"/>
      <c r="P78" s="486"/>
      <c r="Q78" s="486"/>
      <c r="R78" s="486"/>
      <c r="S78" s="486"/>
      <c r="T78" s="607" t="e">
        <f>(L76/Q76)*1000</f>
        <v>#DIV/0!</v>
      </c>
      <c r="U78" s="77" t="s">
        <v>339</v>
      </c>
    </row>
    <row r="79" spans="2:21">
      <c r="B79" s="491"/>
      <c r="C79" s="52"/>
      <c r="D79" s="589"/>
      <c r="E79" s="630"/>
      <c r="F79" s="52"/>
      <c r="G79" s="52"/>
      <c r="H79" s="52"/>
      <c r="I79" s="52"/>
      <c r="J79" s="52"/>
      <c r="K79" s="52"/>
      <c r="L79" s="52"/>
      <c r="M79" s="52"/>
      <c r="N79" s="52"/>
      <c r="O79" s="52"/>
      <c r="P79" s="52"/>
      <c r="Q79" s="52"/>
      <c r="R79" s="52"/>
      <c r="S79" s="52"/>
      <c r="T79" s="630"/>
      <c r="U79" s="629"/>
    </row>
    <row r="80" spans="2:21">
      <c r="B80" s="42" t="s">
        <v>229</v>
      </c>
      <c r="C80" s="111"/>
      <c r="D80" s="587"/>
      <c r="E80" s="431"/>
      <c r="F80" s="111"/>
      <c r="G80" s="111"/>
      <c r="H80" s="111"/>
      <c r="I80" s="111"/>
      <c r="J80" s="111"/>
      <c r="K80" s="111"/>
      <c r="L80" s="111"/>
      <c r="M80" s="111"/>
      <c r="N80" s="111"/>
      <c r="O80" s="111"/>
      <c r="P80" s="111"/>
      <c r="Q80" s="111"/>
      <c r="R80" s="111"/>
      <c r="S80" s="111"/>
      <c r="T80" s="431"/>
      <c r="U80" s="230"/>
    </row>
    <row r="81" spans="2:21">
      <c r="B81" s="42"/>
      <c r="C81" s="486" t="s">
        <v>255</v>
      </c>
      <c r="D81" s="665"/>
      <c r="E81" s="607" t="s">
        <v>603</v>
      </c>
      <c r="F81" s="486"/>
      <c r="G81" s="486"/>
      <c r="H81" s="486"/>
      <c r="I81" s="486"/>
      <c r="J81" s="486"/>
      <c r="K81" s="486"/>
      <c r="L81" s="486"/>
      <c r="M81" s="486"/>
      <c r="N81" s="486"/>
      <c r="O81" s="486"/>
      <c r="P81" s="486"/>
      <c r="Q81" s="486"/>
      <c r="R81" s="486"/>
      <c r="S81" s="486"/>
      <c r="T81" s="607"/>
      <c r="U81" s="77"/>
    </row>
    <row r="82" spans="2:21">
      <c r="B82" s="42"/>
      <c r="C82" s="657" t="s">
        <v>217</v>
      </c>
      <c r="D82" s="588" t="e">
        <f>T82</f>
        <v>#DIV/0!</v>
      </c>
      <c r="E82" s="607"/>
      <c r="F82" s="486"/>
      <c r="G82" s="486"/>
      <c r="H82" s="486"/>
      <c r="I82" s="486"/>
      <c r="J82" s="486"/>
      <c r="K82" s="486"/>
      <c r="L82" s="486"/>
      <c r="M82" s="486"/>
      <c r="N82" s="486"/>
      <c r="O82" s="486"/>
      <c r="P82" s="486"/>
      <c r="Q82" s="486"/>
      <c r="R82" s="486"/>
      <c r="S82" s="486"/>
      <c r="T82" s="607" t="e">
        <f>(J81/Q81)*1000</f>
        <v>#DIV/0!</v>
      </c>
      <c r="U82" s="77" t="s">
        <v>339</v>
      </c>
    </row>
    <row r="83" spans="2:21">
      <c r="B83" s="42"/>
      <c r="C83" s="657" t="s">
        <v>218</v>
      </c>
      <c r="D83" s="588" t="e">
        <f>T83</f>
        <v>#DIV/0!</v>
      </c>
      <c r="E83" s="607"/>
      <c r="F83" s="486"/>
      <c r="G83" s="486"/>
      <c r="H83" s="486"/>
      <c r="I83" s="486"/>
      <c r="J83" s="486"/>
      <c r="K83" s="486"/>
      <c r="L83" s="486"/>
      <c r="M83" s="486"/>
      <c r="N83" s="486"/>
      <c r="O83" s="486"/>
      <c r="P83" s="486"/>
      <c r="Q83" s="486"/>
      <c r="R83" s="486"/>
      <c r="S83" s="486"/>
      <c r="T83" s="607" t="e">
        <f>(L81/Q81)*1000</f>
        <v>#DIV/0!</v>
      </c>
      <c r="U83" s="77" t="s">
        <v>339</v>
      </c>
    </row>
    <row r="84" spans="2:21">
      <c r="B84" s="491"/>
      <c r="C84" s="52"/>
      <c r="D84" s="589"/>
      <c r="E84" s="630"/>
      <c r="F84" s="52"/>
      <c r="G84" s="52"/>
      <c r="H84" s="52"/>
      <c r="I84" s="52"/>
      <c r="J84" s="52"/>
      <c r="K84" s="52"/>
      <c r="L84" s="52"/>
      <c r="M84" s="52"/>
      <c r="N84" s="52"/>
      <c r="O84" s="52"/>
      <c r="P84" s="52"/>
      <c r="Q84" s="52"/>
      <c r="R84" s="52"/>
      <c r="S84" s="52"/>
      <c r="T84" s="630"/>
      <c r="U84" s="629"/>
    </row>
    <row r="85" spans="2:21">
      <c r="B85" s="42" t="s">
        <v>230</v>
      </c>
      <c r="C85" s="111"/>
      <c r="D85" s="587"/>
      <c r="E85" s="431"/>
      <c r="F85" s="111"/>
      <c r="G85" s="111"/>
      <c r="H85" s="111"/>
      <c r="I85" s="111"/>
      <c r="J85" s="111"/>
      <c r="K85" s="111"/>
      <c r="L85" s="111"/>
      <c r="M85" s="111"/>
      <c r="N85" s="111"/>
      <c r="O85" s="111"/>
      <c r="P85" s="111"/>
      <c r="Q85" s="111"/>
      <c r="R85" s="111"/>
      <c r="S85" s="111"/>
      <c r="T85" s="431"/>
      <c r="U85" s="230"/>
    </row>
    <row r="86" spans="2:21">
      <c r="B86" s="42"/>
      <c r="C86" s="486" t="s">
        <v>255</v>
      </c>
      <c r="D86" s="665"/>
      <c r="E86" s="607" t="s">
        <v>604</v>
      </c>
      <c r="F86" s="486"/>
      <c r="G86" s="486"/>
      <c r="H86" s="486"/>
      <c r="I86" s="486"/>
      <c r="J86" s="486"/>
      <c r="K86" s="486"/>
      <c r="L86" s="486"/>
      <c r="M86" s="486"/>
      <c r="N86" s="486"/>
      <c r="O86" s="486"/>
      <c r="P86" s="486"/>
      <c r="Q86" s="486"/>
      <c r="R86" s="486"/>
      <c r="S86" s="486"/>
      <c r="T86" s="607"/>
      <c r="U86" s="77"/>
    </row>
    <row r="87" spans="2:21">
      <c r="B87" s="42"/>
      <c r="C87" s="657" t="s">
        <v>217</v>
      </c>
      <c r="D87" s="588" t="e">
        <f>T87</f>
        <v>#DIV/0!</v>
      </c>
      <c r="E87" s="607"/>
      <c r="F87" s="486"/>
      <c r="G87" s="486"/>
      <c r="H87" s="486"/>
      <c r="I87" s="486"/>
      <c r="J87" s="486"/>
      <c r="K87" s="486"/>
      <c r="L87" s="486"/>
      <c r="M87" s="486"/>
      <c r="N87" s="486"/>
      <c r="O87" s="486"/>
      <c r="P87" s="486"/>
      <c r="Q87" s="486"/>
      <c r="R87" s="486"/>
      <c r="S87" s="486"/>
      <c r="T87" s="607" t="e">
        <f>(J86/Q86)*1000</f>
        <v>#DIV/0!</v>
      </c>
      <c r="U87" s="77" t="s">
        <v>339</v>
      </c>
    </row>
    <row r="88" spans="2:21">
      <c r="B88" s="42"/>
      <c r="C88" s="657" t="s">
        <v>218</v>
      </c>
      <c r="D88" s="588" t="e">
        <f>T88</f>
        <v>#DIV/0!</v>
      </c>
      <c r="E88" s="607"/>
      <c r="F88" s="486"/>
      <c r="G88" s="486"/>
      <c r="H88" s="486"/>
      <c r="I88" s="486"/>
      <c r="J88" s="486"/>
      <c r="K88" s="486"/>
      <c r="L88" s="486"/>
      <c r="M88" s="486"/>
      <c r="N88" s="486"/>
      <c r="O88" s="486"/>
      <c r="P88" s="486"/>
      <c r="Q88" s="486"/>
      <c r="R88" s="486"/>
      <c r="S88" s="486"/>
      <c r="T88" s="607" t="e">
        <f>(L86/Q86)*1000</f>
        <v>#DIV/0!</v>
      </c>
      <c r="U88" s="77" t="s">
        <v>339</v>
      </c>
    </row>
    <row r="89" spans="2:21">
      <c r="B89" s="491"/>
      <c r="C89" s="52"/>
      <c r="D89" s="589"/>
      <c r="E89" s="630"/>
      <c r="F89" s="52"/>
      <c r="G89" s="52"/>
      <c r="H89" s="52"/>
      <c r="I89" s="52"/>
      <c r="J89" s="52"/>
      <c r="K89" s="52"/>
      <c r="L89" s="52"/>
      <c r="M89" s="52"/>
      <c r="N89" s="52"/>
      <c r="O89" s="52"/>
      <c r="P89" s="52"/>
      <c r="Q89" s="52"/>
      <c r="R89" s="52"/>
      <c r="S89" s="52"/>
      <c r="T89" s="630"/>
      <c r="U89" s="629"/>
    </row>
    <row r="90" spans="2:21">
      <c r="B90" s="42" t="s">
        <v>231</v>
      </c>
      <c r="C90" s="111"/>
      <c r="D90" s="587"/>
      <c r="E90" s="431"/>
      <c r="F90" s="111"/>
      <c r="G90" s="111"/>
      <c r="H90" s="111"/>
      <c r="I90" s="111"/>
      <c r="J90" s="111"/>
      <c r="K90" s="111"/>
      <c r="L90" s="111"/>
      <c r="M90" s="111"/>
      <c r="N90" s="111"/>
      <c r="O90" s="111"/>
      <c r="P90" s="111"/>
      <c r="Q90" s="111"/>
      <c r="R90" s="111"/>
      <c r="S90" s="111"/>
      <c r="T90" s="431"/>
      <c r="U90" s="230"/>
    </row>
    <row r="91" spans="2:21">
      <c r="B91" s="42"/>
      <c r="C91" s="486" t="s">
        <v>255</v>
      </c>
      <c r="D91" s="665"/>
      <c r="E91" s="607" t="s">
        <v>605</v>
      </c>
      <c r="F91" s="486"/>
      <c r="G91" s="486"/>
      <c r="H91" s="486"/>
      <c r="I91" s="486"/>
      <c r="J91" s="486"/>
      <c r="K91" s="486"/>
      <c r="L91" s="486"/>
      <c r="M91" s="486"/>
      <c r="N91" s="486"/>
      <c r="O91" s="486"/>
      <c r="P91" s="486"/>
      <c r="Q91" s="486"/>
      <c r="R91" s="486"/>
      <c r="S91" s="486"/>
      <c r="T91" s="607"/>
      <c r="U91" s="77"/>
    </row>
    <row r="92" spans="2:21">
      <c r="B92" s="42"/>
      <c r="C92" s="657" t="s">
        <v>217</v>
      </c>
      <c r="D92" s="588" t="e">
        <f>T92</f>
        <v>#DIV/0!</v>
      </c>
      <c r="E92" s="607"/>
      <c r="F92" s="486"/>
      <c r="G92" s="486"/>
      <c r="H92" s="486"/>
      <c r="I92" s="486"/>
      <c r="J92" s="486"/>
      <c r="K92" s="486"/>
      <c r="L92" s="486"/>
      <c r="M92" s="486"/>
      <c r="N92" s="486"/>
      <c r="O92" s="486"/>
      <c r="P92" s="486"/>
      <c r="Q92" s="486"/>
      <c r="R92" s="486"/>
      <c r="S92" s="486"/>
      <c r="T92" s="607" t="e">
        <f>(J91/Q91)*1000</f>
        <v>#DIV/0!</v>
      </c>
      <c r="U92" s="77" t="s">
        <v>339</v>
      </c>
    </row>
    <row r="93" spans="2:21">
      <c r="B93" s="42"/>
      <c r="C93" s="657" t="s">
        <v>218</v>
      </c>
      <c r="D93" s="588" t="e">
        <f>T93</f>
        <v>#DIV/0!</v>
      </c>
      <c r="E93" s="607"/>
      <c r="F93" s="486"/>
      <c r="G93" s="486"/>
      <c r="H93" s="486"/>
      <c r="I93" s="486"/>
      <c r="J93" s="486"/>
      <c r="K93" s="486"/>
      <c r="L93" s="486"/>
      <c r="M93" s="486"/>
      <c r="N93" s="486"/>
      <c r="O93" s="486"/>
      <c r="P93" s="486"/>
      <c r="Q93" s="486"/>
      <c r="R93" s="486"/>
      <c r="S93" s="486"/>
      <c r="T93" s="607" t="e">
        <f>(L91/Q91)*1000</f>
        <v>#DIV/0!</v>
      </c>
      <c r="U93" s="77" t="s">
        <v>339</v>
      </c>
    </row>
    <row r="94" spans="2:21" ht="16" thickBot="1">
      <c r="B94" s="492"/>
      <c r="C94" s="115"/>
      <c r="D94" s="591"/>
      <c r="E94" s="608"/>
      <c r="F94" s="115"/>
      <c r="G94" s="115"/>
      <c r="H94" s="115"/>
      <c r="I94" s="115"/>
      <c r="J94" s="115"/>
      <c r="K94" s="115"/>
      <c r="L94" s="115"/>
      <c r="M94" s="115"/>
      <c r="N94" s="56"/>
      <c r="O94" s="56"/>
      <c r="P94" s="56"/>
      <c r="Q94" s="56"/>
      <c r="R94" s="56"/>
      <c r="S94" s="56"/>
      <c r="T94" s="350"/>
      <c r="U94" s="57"/>
    </row>
  </sheetData>
  <sortState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Coal gas analysis</vt:lpstr>
      <vt:lpstr>Other energy use</vt:lpstr>
      <vt:lpstr>Fuel aggregation</vt:lpstr>
      <vt:lpstr>csv_export_to_industry_analysis</vt:lpstr>
      <vt:lpstr>csv_metals_electricity_parent</vt:lpstr>
      <vt:lpstr>csv_metals_network_gas_parent</vt:lpstr>
      <vt:lpstr>csv_metals_steam_hot_water_pare</vt:lpstr>
      <vt:lpstr>csv_industry_burner_aluminium_p</vt:lpstr>
      <vt:lpstr>csv_industry_burner_blastfurnac</vt:lpstr>
      <vt:lpstr>csv_energy_distr_coal_gas_paren</vt:lpstr>
      <vt:lpstr>csv_energy_distr_coal_gas_child</vt:lpstr>
      <vt:lpstr>csv_blastfurnace_current_trans</vt:lpstr>
      <vt:lpstr>csv_blastfurnace_bat_trans</vt:lpstr>
      <vt:lpstr>csv_cokesoven_cons_coal_gas</vt:lpstr>
      <vt:lpstr>csv_cokesoven_cons_trans_coal</vt:lpstr>
      <vt:lpstr>csv_blast_current_efficiency</vt:lpstr>
      <vt:lpstr>csv_blast_bat_efficiency</vt:lpstr>
      <vt:lpstr>csv_metal_demands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2013-07-12T12:54:24Z</cp:lastPrinted>
  <dcterms:created xsi:type="dcterms:W3CDTF">2013-06-25T11:11:29Z</dcterms:created>
  <dcterms:modified xsi:type="dcterms:W3CDTF">2013-12-10T10:15:09Z</dcterms:modified>
  <cp:category/>
</cp:coreProperties>
</file>