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codeName="ThisWorkbook" autoCompressPictures="0"/>
  <bookViews>
    <workbookView xWindow="0" yWindow="-20" windowWidth="28800" windowHeight="16140" tabRatio="932" firstSheet="20" activeTab="26"/>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Electricity producer Shares" sheetId="98" r:id="rId15"/>
    <sheet name="Fuel aggregation" sheetId="37"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water_network_gas" sheetId="71" r:id="rId27"/>
    <sheet name="csv_water_electricity" sheetId="72" r:id="rId28"/>
    <sheet name="csv_cooking_electricity" sheetId="73" r:id="rId29"/>
    <sheet name="csv_lighting_electricity" sheetId="74" r:id="rId30"/>
    <sheet name="csv_appliances_electricity" sheetId="75" r:id="rId31"/>
    <sheet name="csv_solar_thermal_heater" sheetId="79" r:id="rId32"/>
    <sheet name="csv_cooling_old-new" sheetId="76" r:id="rId33"/>
    <sheet name="csv_heating_old-new" sheetId="77" r:id="rId34"/>
    <sheet name="csv_cooling_insulation_old" sheetId="91" r:id="rId35"/>
    <sheet name="csv_cooling_insulation_new" sheetId="92" r:id="rId36"/>
    <sheet name="csv_heating_insulation_new" sheetId="93" r:id="rId37"/>
    <sheet name="csv_heating_insulation_old" sheetId="94" r:id="rId38"/>
    <sheet name="csv_heating_micro_chp_gas" sheetId="95" r:id="rId39"/>
    <sheet name="csv_water_micro_chp_gas" sheetId="96" r:id="rId40"/>
    <sheet name="csv_water_fuell_cell_gas" sheetId="97" r:id="rId41"/>
    <sheet name="csv_solar_space_heating_chld" sheetId="101" r:id="rId42"/>
    <sheet name="csv_solar_hot_water_chld" sheetId="102" r:id="rId43"/>
    <sheet name="csv_add_on_space_heating_child" sheetId="103" r:id="rId44"/>
    <sheet name="csv_solar_heater_and_p2h_parent" sheetId="104" r:id="rId45"/>
    <sheet name="csv_hot_water_p2h_child" sheetId="106" r:id="rId46"/>
    <sheet name="csv_export_to_area_analysis" sheetId="107" r:id="rId47"/>
  </sheets>
  <definedNames>
    <definedName name="base_year">Dashboard!$E$12</definedName>
    <definedName name="country">Dashboard!$E$11</definedName>
    <definedName name="Eff_cooking_biomass">technical_specs!$M$50</definedName>
    <definedName name="Eff_cooking_electric">technical_specs!$M$47</definedName>
    <definedName name="Eff_cooking_gas">technical_specs!$M$46</definedName>
    <definedName name="Eff_cooking_halogen">technical_specs!$M$48</definedName>
    <definedName name="Eff_cooking_induction">technical_specs!$M$49</definedName>
    <definedName name="Eff_cooling_airco">technical_specs!$M$43</definedName>
    <definedName name="Eff_cooling_pump_air">technical_specs!$M$42</definedName>
    <definedName name="Eff_cooling_pump_ground">technical_specs!$M$41</definedName>
    <definedName name="Eff_hot_water_coal">technical_specs!$M$36</definedName>
    <definedName name="Eff_hot_water_combi_boiler">technical_specs!$M$26</definedName>
    <definedName name="Eff_hot_water_district">technical_specs!$M$30</definedName>
    <definedName name="Eff_hot_water_electric">technical_specs!$M$33</definedName>
    <definedName name="Eff_hot_water_fuel_cell">technical_specs!$M$37</definedName>
    <definedName name="Eff_hot_water_gas">technical_specs!$M$34</definedName>
    <definedName name="Eff_hot_water_micro_CHP">technical_specs!$M$29</definedName>
    <definedName name="Eff_hot_water_oil">technical_specs!$M$35</definedName>
    <definedName name="Eff_hot_water_pump_air">technical_specs!$M$31</definedName>
    <definedName name="Eff_hot_water_pump_ground">technical_specs!$M$28</definedName>
    <definedName name="Eff_hot_water_solar_thermal_panel">technical_specs!$M$27</definedName>
    <definedName name="Eff_hot_water_woodpellets">technical_specs!$M$32</definedName>
    <definedName name="Eff_lighting_fluorescent">technical_specs!$M$54</definedName>
    <definedName name="Eff_lighting_incandescent">technical_specs!$M$53</definedName>
    <definedName name="Eff_lighting_led">technical_specs!$M$55</definedName>
    <definedName name="Eff_space_heating_coal">technical_specs!$M$21</definedName>
    <definedName name="Eff_space_heating_combi_boiler">technical_specs!$M$11</definedName>
    <definedName name="Eff_space_heating_district">technical_specs!$M$15</definedName>
    <definedName name="Eff_space_heating_electric">technical_specs!$M$18</definedName>
    <definedName name="Eff_space_heating_gas">technical_specs!$M$19</definedName>
    <definedName name="Eff_space_heating_micro_CHP">technical_specs!$M$14</definedName>
    <definedName name="Eff_space_heating_oil">technical_specs!$M$20</definedName>
    <definedName name="Eff_space_heating_pump_add_on">technical_specs!$M$22</definedName>
    <definedName name="Eff_space_heating_pump_air">technical_specs!$M$16</definedName>
    <definedName name="Eff_space_heating_pump_ground">technical_specs!$M$13</definedName>
    <definedName name="Eff_space_heating_solar_thermal">technical_specs!$M$12</definedName>
    <definedName name="Eff_space_heating_woodpellets">technical_specs!$M$17</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37" i="82" l="1"/>
  <c r="E36" i="82"/>
  <c r="E33" i="82"/>
  <c r="E32" i="82"/>
  <c r="E31" i="82"/>
  <c r="E30" i="82"/>
  <c r="E29" i="82"/>
  <c r="E28" i="82"/>
  <c r="E25" i="82"/>
  <c r="E24" i="82"/>
  <c r="E23" i="82"/>
  <c r="E20" i="82"/>
  <c r="E19" i="82"/>
  <c r="E18" i="82"/>
  <c r="E17" i="82"/>
  <c r="E14" i="82"/>
  <c r="E13" i="82"/>
  <c r="E10" i="82"/>
  <c r="E9" i="82"/>
  <c r="F57" i="83"/>
  <c r="F51" i="83"/>
  <c r="F52" i="83"/>
  <c r="F53" i="83"/>
  <c r="F54" i="83"/>
  <c r="F55" i="83"/>
  <c r="F56" i="83"/>
  <c r="F50" i="83"/>
  <c r="F44" i="83"/>
  <c r="F45" i="83"/>
  <c r="F46" i="83"/>
  <c r="F40" i="83"/>
  <c r="F39" i="83"/>
  <c r="F38" i="83"/>
  <c r="F33" i="83"/>
  <c r="F34" i="83"/>
  <c r="F35" i="83"/>
  <c r="F30" i="83"/>
  <c r="F29" i="83"/>
  <c r="F26" i="83"/>
  <c r="F25" i="83"/>
  <c r="F24" i="83"/>
  <c r="F19" i="83"/>
  <c r="F20" i="83"/>
  <c r="F21" i="83"/>
  <c r="F22" i="83"/>
  <c r="F15" i="83"/>
  <c r="F16" i="83"/>
  <c r="F14" i="83"/>
  <c r="F13" i="83"/>
  <c r="F11" i="83"/>
  <c r="F10" i="83"/>
  <c r="F9" i="83"/>
  <c r="B5" i="107"/>
  <c r="B6" i="107"/>
  <c r="B4" i="107"/>
  <c r="B3" i="107"/>
  <c r="A6" i="107"/>
  <c r="A5" i="107"/>
  <c r="A4" i="107"/>
  <c r="A3" i="107"/>
  <c r="L12" i="28"/>
  <c r="P12" i="28"/>
  <c r="L79" i="28"/>
  <c r="M25" i="28"/>
  <c r="M24" i="28"/>
  <c r="M23" i="28"/>
  <c r="M22" i="28"/>
  <c r="M21" i="28"/>
  <c r="M20" i="28"/>
  <c r="M19" i="28"/>
  <c r="P100" i="28"/>
  <c r="P79" i="28"/>
  <c r="P71" i="28"/>
  <c r="P65" i="28"/>
  <c r="P59" i="28"/>
  <c r="P44" i="28"/>
  <c r="P29" i="28"/>
  <c r="E17" i="28"/>
  <c r="E27" i="28"/>
  <c r="L27" i="28"/>
  <c r="M27" i="28"/>
  <c r="M100" i="28"/>
  <c r="M79" i="28"/>
  <c r="M71" i="28"/>
  <c r="M65" i="28"/>
  <c r="M59" i="28"/>
  <c r="M44" i="28"/>
  <c r="M29" i="28"/>
  <c r="L71" i="28"/>
  <c r="L100" i="28"/>
  <c r="L65" i="28"/>
  <c r="L59" i="28"/>
  <c r="L29" i="28"/>
  <c r="L44" i="28"/>
  <c r="L10" i="28"/>
  <c r="F11" i="37"/>
  <c r="M27" i="13"/>
  <c r="J27" i="13"/>
  <c r="J15" i="13"/>
  <c r="C11" i="37"/>
  <c r="D11" i="37"/>
  <c r="E11" i="37"/>
  <c r="G11" i="37"/>
  <c r="H11" i="37"/>
  <c r="I11" i="37"/>
  <c r="J11" i="37"/>
  <c r="K11" i="37"/>
  <c r="L11" i="37"/>
  <c r="E13" i="86"/>
  <c r="D13" i="86"/>
  <c r="K22" i="13"/>
  <c r="M22" i="13"/>
  <c r="E22" i="32"/>
  <c r="M55" i="13"/>
  <c r="E53" i="32"/>
  <c r="M54" i="13"/>
  <c r="E52" i="32"/>
  <c r="M53" i="13"/>
  <c r="E51" i="32"/>
  <c r="J50" i="13"/>
  <c r="M50" i="13"/>
  <c r="E48" i="32"/>
  <c r="J49" i="13"/>
  <c r="M49" i="13"/>
  <c r="E47" i="32"/>
  <c r="J48" i="13"/>
  <c r="M48" i="13"/>
  <c r="E46" i="32"/>
  <c r="J47" i="13"/>
  <c r="M47" i="13"/>
  <c r="E45" i="32"/>
  <c r="J46" i="13"/>
  <c r="M46" i="13"/>
  <c r="E44" i="32"/>
  <c r="K43" i="13"/>
  <c r="M43" i="13"/>
  <c r="E41" i="32"/>
  <c r="K42" i="13"/>
  <c r="M42" i="13"/>
  <c r="E40" i="32"/>
  <c r="K41" i="13"/>
  <c r="M41" i="13"/>
  <c r="E39" i="32"/>
  <c r="J37" i="13"/>
  <c r="M37" i="13"/>
  <c r="E36" i="32"/>
  <c r="J36" i="13"/>
  <c r="M36" i="13"/>
  <c r="E35" i="32"/>
  <c r="J35" i="13"/>
  <c r="M35" i="13"/>
  <c r="E34" i="32"/>
  <c r="J34" i="13"/>
  <c r="M34" i="13"/>
  <c r="E33" i="32"/>
  <c r="J33" i="13"/>
  <c r="M33" i="13"/>
  <c r="E32" i="32"/>
  <c r="J32" i="13"/>
  <c r="M32" i="13"/>
  <c r="E31" i="32"/>
  <c r="K31" i="13"/>
  <c r="M31" i="13"/>
  <c r="E30" i="32"/>
  <c r="J30" i="13"/>
  <c r="M30" i="13"/>
  <c r="E29" i="32"/>
  <c r="J29" i="13"/>
  <c r="M29" i="13"/>
  <c r="E28" i="32"/>
  <c r="K28" i="13"/>
  <c r="M28" i="13"/>
  <c r="E27" i="32"/>
  <c r="E26" i="32"/>
  <c r="J26" i="13"/>
  <c r="M26" i="13"/>
  <c r="E25" i="32"/>
  <c r="J21" i="13"/>
  <c r="M21" i="13"/>
  <c r="E21" i="32"/>
  <c r="J20" i="13"/>
  <c r="M20" i="13"/>
  <c r="E20" i="32"/>
  <c r="J19" i="13"/>
  <c r="M19" i="13"/>
  <c r="E19" i="32"/>
  <c r="J18" i="13"/>
  <c r="M18" i="13"/>
  <c r="E18" i="32"/>
  <c r="J17" i="13"/>
  <c r="M17" i="13"/>
  <c r="E17" i="32"/>
  <c r="K16" i="13"/>
  <c r="M16" i="13"/>
  <c r="E16" i="32"/>
  <c r="M15" i="13"/>
  <c r="E15" i="32"/>
  <c r="J14" i="13"/>
  <c r="M14" i="13"/>
  <c r="E14" i="32"/>
  <c r="K13" i="13"/>
  <c r="M13" i="13"/>
  <c r="E13" i="32"/>
  <c r="J12" i="13"/>
  <c r="M12" i="13"/>
  <c r="E12" i="32"/>
  <c r="J11" i="13"/>
  <c r="M11" i="13"/>
  <c r="E11" i="32"/>
  <c r="L37" i="13"/>
  <c r="L29" i="13"/>
  <c r="L14" i="13"/>
  <c r="D11" i="86"/>
  <c r="D15" i="86"/>
  <c r="D17" i="86"/>
  <c r="E11" i="86"/>
  <c r="E15" i="86"/>
  <c r="E17" i="86"/>
  <c r="D19" i="86"/>
  <c r="B4" i="76"/>
  <c r="E19" i="86"/>
  <c r="B3" i="76"/>
  <c r="B4" i="77"/>
  <c r="B3" i="77"/>
  <c r="D11" i="98"/>
  <c r="C11" i="98"/>
  <c r="G11" i="98"/>
  <c r="C12" i="98"/>
  <c r="D12" i="98"/>
  <c r="F12" i="98"/>
  <c r="F11" i="98"/>
  <c r="D19" i="32"/>
  <c r="G19" i="32"/>
  <c r="D11" i="32"/>
  <c r="G11" i="32"/>
  <c r="D12" i="32"/>
  <c r="G12" i="32"/>
  <c r="D13" i="32"/>
  <c r="G13" i="32"/>
  <c r="D14" i="32"/>
  <c r="F14" i="32"/>
  <c r="G14" i="32"/>
  <c r="D15" i="32"/>
  <c r="G15" i="32"/>
  <c r="D16" i="32"/>
  <c r="G16" i="32"/>
  <c r="D17" i="32"/>
  <c r="G17" i="32"/>
  <c r="D18" i="32"/>
  <c r="G18" i="32"/>
  <c r="D20" i="32"/>
  <c r="G20" i="32"/>
  <c r="D21" i="32"/>
  <c r="G21" i="32"/>
  <c r="D22" i="32"/>
  <c r="G22" i="32"/>
  <c r="H19" i="32"/>
  <c r="E9" i="83"/>
  <c r="H11" i="32"/>
  <c r="E10" i="83"/>
  <c r="H14" i="32"/>
  <c r="E11" i="83"/>
  <c r="H18" i="32"/>
  <c r="E13" i="83"/>
  <c r="H16" i="32"/>
  <c r="E14" i="83"/>
  <c r="H13" i="32"/>
  <c r="E15" i="83"/>
  <c r="H22" i="32"/>
  <c r="E16" i="83"/>
  <c r="D29" i="32"/>
  <c r="G29" i="32"/>
  <c r="D25" i="32"/>
  <c r="G25" i="32"/>
  <c r="D26" i="32"/>
  <c r="G26" i="32"/>
  <c r="D27" i="32"/>
  <c r="G27" i="32"/>
  <c r="D28" i="32"/>
  <c r="F28" i="32"/>
  <c r="G28" i="32"/>
  <c r="D30" i="32"/>
  <c r="G30" i="32"/>
  <c r="D31" i="32"/>
  <c r="G31" i="32"/>
  <c r="D32" i="32"/>
  <c r="G32" i="32"/>
  <c r="D33" i="32"/>
  <c r="G33" i="32"/>
  <c r="D34" i="32"/>
  <c r="G34" i="32"/>
  <c r="D35" i="32"/>
  <c r="G35" i="32"/>
  <c r="D36" i="32"/>
  <c r="C13" i="98"/>
  <c r="D13" i="98"/>
  <c r="F13" i="98"/>
  <c r="F36" i="32"/>
  <c r="G36" i="32"/>
  <c r="H29" i="32"/>
  <c r="D34" i="30"/>
  <c r="K34" i="30"/>
  <c r="D37" i="82"/>
  <c r="H15" i="32"/>
  <c r="D19" i="30"/>
  <c r="K19" i="30"/>
  <c r="D36" i="82"/>
  <c r="D39" i="32"/>
  <c r="G39" i="32"/>
  <c r="D40" i="32"/>
  <c r="G40" i="32"/>
  <c r="D41" i="32"/>
  <c r="G41" i="32"/>
  <c r="H39" i="32"/>
  <c r="D45" i="30"/>
  <c r="F45" i="30"/>
  <c r="H40" i="32"/>
  <c r="D46" i="30"/>
  <c r="F46" i="30"/>
  <c r="H41" i="32"/>
  <c r="D47" i="30"/>
  <c r="F47" i="30"/>
  <c r="D33" i="82"/>
  <c r="D17" i="30"/>
  <c r="F17" i="30"/>
  <c r="D20" i="30"/>
  <c r="F20" i="30"/>
  <c r="D22" i="30"/>
  <c r="F22" i="30"/>
  <c r="D26" i="30"/>
  <c r="F26" i="30"/>
  <c r="D28" i="82"/>
  <c r="H27" i="32"/>
  <c r="D32" i="30"/>
  <c r="F32" i="30"/>
  <c r="H30" i="32"/>
  <c r="D35" i="30"/>
  <c r="F35" i="30"/>
  <c r="H32" i="32"/>
  <c r="D37" i="30"/>
  <c r="F37" i="30"/>
  <c r="H36" i="32"/>
  <c r="D41" i="30"/>
  <c r="F41" i="30"/>
  <c r="D29" i="82"/>
  <c r="D45" i="32"/>
  <c r="G45" i="32"/>
  <c r="D44" i="32"/>
  <c r="G44" i="32"/>
  <c r="D46" i="32"/>
  <c r="G46" i="32"/>
  <c r="D47" i="32"/>
  <c r="G47" i="32"/>
  <c r="D48" i="32"/>
  <c r="G48" i="32"/>
  <c r="H45" i="32"/>
  <c r="D52" i="30"/>
  <c r="F52" i="30"/>
  <c r="H46" i="32"/>
  <c r="D53" i="30"/>
  <c r="F53" i="30"/>
  <c r="H47" i="32"/>
  <c r="D54" i="30"/>
  <c r="F54" i="30"/>
  <c r="D30" i="82"/>
  <c r="D51" i="32"/>
  <c r="G51" i="32"/>
  <c r="D52" i="32"/>
  <c r="G52" i="32"/>
  <c r="D53" i="32"/>
  <c r="G53" i="32"/>
  <c r="H51" i="32"/>
  <c r="D59" i="30"/>
  <c r="F59" i="30"/>
  <c r="H52" i="32"/>
  <c r="D60" i="30"/>
  <c r="F60" i="30"/>
  <c r="H53" i="32"/>
  <c r="D61" i="30"/>
  <c r="F61" i="30"/>
  <c r="D31" i="82"/>
  <c r="D65" i="30"/>
  <c r="F65" i="30"/>
  <c r="D66" i="30"/>
  <c r="F66" i="30"/>
  <c r="D67" i="30"/>
  <c r="F67" i="30"/>
  <c r="D68" i="30"/>
  <c r="F68" i="30"/>
  <c r="D69" i="30"/>
  <c r="F69" i="30"/>
  <c r="D70" i="30"/>
  <c r="F70" i="30"/>
  <c r="D71" i="30"/>
  <c r="F71" i="30"/>
  <c r="D72" i="30"/>
  <c r="F72" i="30"/>
  <c r="D32" i="82"/>
  <c r="H48" i="32"/>
  <c r="D55" i="30"/>
  <c r="J55" i="30"/>
  <c r="D25" i="82"/>
  <c r="H17" i="32"/>
  <c r="D21" i="30"/>
  <c r="J21" i="30"/>
  <c r="D23" i="82"/>
  <c r="H31" i="32"/>
  <c r="D36" i="30"/>
  <c r="J36" i="30"/>
  <c r="D24" i="82"/>
  <c r="H44" i="32"/>
  <c r="D51" i="30"/>
  <c r="E51" i="30"/>
  <c r="D20" i="82"/>
  <c r="D15" i="30"/>
  <c r="E15" i="30"/>
  <c r="D18" i="30"/>
  <c r="E18" i="30"/>
  <c r="D23" i="30"/>
  <c r="E23" i="30"/>
  <c r="D17" i="82"/>
  <c r="H25" i="32"/>
  <c r="D30" i="30"/>
  <c r="E30" i="30"/>
  <c r="H28" i="32"/>
  <c r="D33" i="30"/>
  <c r="E33" i="30"/>
  <c r="H33" i="32"/>
  <c r="D38" i="30"/>
  <c r="E38" i="30"/>
  <c r="D18" i="82"/>
  <c r="D19" i="82"/>
  <c r="H34" i="32"/>
  <c r="D39" i="30"/>
  <c r="I39" i="30"/>
  <c r="D14" i="82"/>
  <c r="H20" i="32"/>
  <c r="D24" i="30"/>
  <c r="I24" i="30"/>
  <c r="D13" i="82"/>
  <c r="H35" i="32"/>
  <c r="D40" i="30"/>
  <c r="H40" i="30"/>
  <c r="D10" i="82"/>
  <c r="H21" i="32"/>
  <c r="D25" i="30"/>
  <c r="H25" i="30"/>
  <c r="D9" i="82"/>
  <c r="H12" i="32"/>
  <c r="E30" i="83"/>
  <c r="H26" i="32"/>
  <c r="E29" i="83"/>
  <c r="L40" i="28"/>
  <c r="B3" i="103"/>
  <c r="B4" i="103"/>
  <c r="B3" i="102"/>
  <c r="B4" i="102"/>
  <c r="B3" i="101"/>
  <c r="B4" i="101"/>
  <c r="C6" i="34"/>
  <c r="C7" i="34"/>
  <c r="C4" i="34"/>
  <c r="C8" i="34"/>
  <c r="C5" i="34"/>
  <c r="L23" i="37"/>
  <c r="K19" i="37"/>
  <c r="K18" i="37"/>
  <c r="E51" i="83"/>
  <c r="E50" i="83"/>
  <c r="E52" i="83"/>
  <c r="E53" i="83"/>
  <c r="E54" i="83"/>
  <c r="E55" i="83"/>
  <c r="E56" i="83"/>
  <c r="E57" i="83"/>
  <c r="B4" i="75"/>
  <c r="B5" i="75"/>
  <c r="B6" i="75"/>
  <c r="B7" i="75"/>
  <c r="B8" i="75"/>
  <c r="B9" i="75"/>
  <c r="B10" i="75"/>
  <c r="B3" i="75"/>
  <c r="C26" i="32"/>
  <c r="D29" i="83"/>
  <c r="E45" i="83"/>
  <c r="E44" i="83"/>
  <c r="E46" i="83"/>
  <c r="E39" i="83"/>
  <c r="E38" i="83"/>
  <c r="E40" i="83"/>
  <c r="E34" i="83"/>
  <c r="E33" i="83"/>
  <c r="E35" i="83"/>
  <c r="D51" i="83"/>
  <c r="D52" i="83"/>
  <c r="D53" i="83"/>
  <c r="D54" i="83"/>
  <c r="D55" i="83"/>
  <c r="D56" i="83"/>
  <c r="D57" i="83"/>
  <c r="D50" i="83"/>
  <c r="H57" i="32"/>
  <c r="H58" i="32"/>
  <c r="H59" i="32"/>
  <c r="H60" i="32"/>
  <c r="H61" i="32"/>
  <c r="H62" i="32"/>
  <c r="H63" i="32"/>
  <c r="H56" i="32"/>
  <c r="F26" i="84"/>
  <c r="F27" i="84"/>
  <c r="F28" i="84"/>
  <c r="F29" i="84"/>
  <c r="F30" i="84"/>
  <c r="F31" i="84"/>
  <c r="F32" i="84"/>
  <c r="F33" i="84"/>
  <c r="F34" i="84"/>
  <c r="F35" i="84"/>
  <c r="F36" i="84"/>
  <c r="F37" i="84"/>
  <c r="F41" i="84"/>
  <c r="F42" i="84"/>
  <c r="F43" i="84"/>
  <c r="F47" i="84"/>
  <c r="F48" i="84"/>
  <c r="F49" i="84"/>
  <c r="F50" i="84"/>
  <c r="F51" i="84"/>
  <c r="F55" i="84"/>
  <c r="F56" i="84"/>
  <c r="F57" i="84"/>
  <c r="D57" i="84"/>
  <c r="E57" i="84"/>
  <c r="G57" i="84"/>
  <c r="D55" i="84"/>
  <c r="E55" i="84"/>
  <c r="G55" i="84"/>
  <c r="D56" i="84"/>
  <c r="E56" i="84"/>
  <c r="G56" i="84"/>
  <c r="H57" i="84"/>
  <c r="D51" i="84"/>
  <c r="E51" i="84"/>
  <c r="G51" i="84"/>
  <c r="D47" i="84"/>
  <c r="E47" i="84"/>
  <c r="G47" i="84"/>
  <c r="D48" i="84"/>
  <c r="E48" i="84"/>
  <c r="G48" i="84"/>
  <c r="D49" i="84"/>
  <c r="E49" i="84"/>
  <c r="G49" i="84"/>
  <c r="D50" i="84"/>
  <c r="E50" i="84"/>
  <c r="G50" i="84"/>
  <c r="H51" i="84"/>
  <c r="H47" i="84"/>
  <c r="F12" i="84"/>
  <c r="F13" i="84"/>
  <c r="F14" i="84"/>
  <c r="F15" i="84"/>
  <c r="F16" i="84"/>
  <c r="F17" i="84"/>
  <c r="F18" i="84"/>
  <c r="F19" i="84"/>
  <c r="F20" i="84"/>
  <c r="F21" i="84"/>
  <c r="F22" i="84"/>
  <c r="F11" i="84"/>
  <c r="C51" i="32"/>
  <c r="C55" i="84"/>
  <c r="C52" i="32"/>
  <c r="C56" i="84"/>
  <c r="C53" i="32"/>
  <c r="C57" i="84"/>
  <c r="C12" i="32"/>
  <c r="C12" i="84"/>
  <c r="C13" i="32"/>
  <c r="C13" i="84"/>
  <c r="C14" i="32"/>
  <c r="C14" i="84"/>
  <c r="C15" i="32"/>
  <c r="C15" i="84"/>
  <c r="C16" i="32"/>
  <c r="C16" i="84"/>
  <c r="C17" i="32"/>
  <c r="C17" i="84"/>
  <c r="C18" i="32"/>
  <c r="C18" i="84"/>
  <c r="C19" i="32"/>
  <c r="C19" i="84"/>
  <c r="C20" i="32"/>
  <c r="C20" i="84"/>
  <c r="C21" i="32"/>
  <c r="C21" i="84"/>
  <c r="C22" i="32"/>
  <c r="C22" i="84"/>
  <c r="C25" i="32"/>
  <c r="C26" i="84"/>
  <c r="C27" i="84"/>
  <c r="C27" i="32"/>
  <c r="C28" i="84"/>
  <c r="C28" i="32"/>
  <c r="C29" i="84"/>
  <c r="C29" i="32"/>
  <c r="C30" i="84"/>
  <c r="C30" i="32"/>
  <c r="C31" i="84"/>
  <c r="C31" i="32"/>
  <c r="C32" i="84"/>
  <c r="C32" i="32"/>
  <c r="C33" i="84"/>
  <c r="C33" i="32"/>
  <c r="C34" i="84"/>
  <c r="C34" i="32"/>
  <c r="C35" i="84"/>
  <c r="C35" i="32"/>
  <c r="C36" i="84"/>
  <c r="C36" i="32"/>
  <c r="C37" i="84"/>
  <c r="C39" i="32"/>
  <c r="C41" i="84"/>
  <c r="C40" i="32"/>
  <c r="C42" i="84"/>
  <c r="C41" i="32"/>
  <c r="C43" i="84"/>
  <c r="C44" i="32"/>
  <c r="C47" i="84"/>
  <c r="C45" i="32"/>
  <c r="C48" i="84"/>
  <c r="C46" i="32"/>
  <c r="C49" i="84"/>
  <c r="C47" i="32"/>
  <c r="C50" i="84"/>
  <c r="C48" i="32"/>
  <c r="C51" i="84"/>
  <c r="C11" i="32"/>
  <c r="C11" i="84"/>
  <c r="H56" i="84"/>
  <c r="H55" i="84"/>
  <c r="H48" i="84"/>
  <c r="H49" i="84"/>
  <c r="H50" i="84"/>
  <c r="G13" i="98"/>
  <c r="B3" i="97"/>
  <c r="B4" i="97"/>
  <c r="B4" i="96"/>
  <c r="G12" i="98"/>
  <c r="B3" i="96"/>
  <c r="B4" i="95"/>
  <c r="B3" i="95"/>
  <c r="E11" i="98"/>
  <c r="E12" i="98"/>
  <c r="E13" i="98"/>
  <c r="C9" i="98"/>
  <c r="D9" i="98"/>
  <c r="B9" i="98"/>
  <c r="B13" i="98"/>
  <c r="B12" i="98"/>
  <c r="B11" i="98"/>
  <c r="D9" i="83"/>
  <c r="D10" i="83"/>
  <c r="D11" i="83"/>
  <c r="D13" i="83"/>
  <c r="D14" i="83"/>
  <c r="D15" i="83"/>
  <c r="D16" i="83"/>
  <c r="D19" i="83"/>
  <c r="D20" i="83"/>
  <c r="D21" i="83"/>
  <c r="D22" i="83"/>
  <c r="D24" i="83"/>
  <c r="D25" i="83"/>
  <c r="D26" i="83"/>
  <c r="D33" i="83"/>
  <c r="D34" i="83"/>
  <c r="D35" i="83"/>
  <c r="D38" i="83"/>
  <c r="D39" i="83"/>
  <c r="D40" i="83"/>
  <c r="D44" i="83"/>
  <c r="D45" i="83"/>
  <c r="D46" i="83"/>
  <c r="D30" i="83"/>
  <c r="D12" i="84"/>
  <c r="E12" i="84"/>
  <c r="G12" i="84"/>
  <c r="D13" i="84"/>
  <c r="E13" i="84"/>
  <c r="G13" i="84"/>
  <c r="D14" i="84"/>
  <c r="E14" i="84"/>
  <c r="G14" i="84"/>
  <c r="D15" i="84"/>
  <c r="E15" i="84"/>
  <c r="G15" i="84"/>
  <c r="D16" i="84"/>
  <c r="E16" i="84"/>
  <c r="G16" i="84"/>
  <c r="D17" i="84"/>
  <c r="E17" i="84"/>
  <c r="G17" i="84"/>
  <c r="D18" i="84"/>
  <c r="E18" i="84"/>
  <c r="G18" i="84"/>
  <c r="D19" i="84"/>
  <c r="E19" i="84"/>
  <c r="G19" i="84"/>
  <c r="D20" i="84"/>
  <c r="E20" i="84"/>
  <c r="G20" i="84"/>
  <c r="D21" i="84"/>
  <c r="E21" i="84"/>
  <c r="G21" i="84"/>
  <c r="D22" i="84"/>
  <c r="E22" i="84"/>
  <c r="G22" i="84"/>
  <c r="D41" i="84"/>
  <c r="E41" i="84"/>
  <c r="G41" i="84"/>
  <c r="D42" i="84"/>
  <c r="E42" i="84"/>
  <c r="G42" i="84"/>
  <c r="D43" i="84"/>
  <c r="E43" i="84"/>
  <c r="G43" i="84"/>
  <c r="K11" i="30"/>
  <c r="E11" i="30"/>
  <c r="G11" i="30"/>
  <c r="H11" i="30"/>
  <c r="I11" i="30"/>
  <c r="J11" i="30"/>
  <c r="K19" i="28" a="1"/>
  <c r="K19" i="28"/>
  <c r="K20" i="28"/>
  <c r="K21" i="28"/>
  <c r="K22" i="28"/>
  <c r="K23" i="28"/>
  <c r="K24" i="28"/>
  <c r="K25" i="28"/>
  <c r="H42" i="84"/>
  <c r="H43" i="84"/>
  <c r="H41" i="84"/>
  <c r="D11" i="84"/>
  <c r="E11" i="84"/>
  <c r="G11" i="84"/>
  <c r="H12" i="84"/>
  <c r="H22" i="84"/>
  <c r="H13" i="84"/>
  <c r="H14" i="84"/>
  <c r="H15" i="84"/>
  <c r="H16" i="84"/>
  <c r="H17" i="84"/>
  <c r="H18" i="84"/>
  <c r="H19" i="84"/>
  <c r="H20" i="84"/>
  <c r="H21" i="84"/>
  <c r="H11" i="84"/>
  <c r="F11" i="30"/>
  <c r="D16" i="30"/>
  <c r="G16" i="30"/>
  <c r="C15" i="30"/>
  <c r="C16" i="30"/>
  <c r="C17" i="30"/>
  <c r="C18" i="30"/>
  <c r="C19" i="30"/>
  <c r="C20" i="30"/>
  <c r="C21" i="30"/>
  <c r="C22" i="30"/>
  <c r="C23" i="30"/>
  <c r="C24" i="30"/>
  <c r="C25" i="30"/>
  <c r="C26" i="30"/>
  <c r="B29" i="30"/>
  <c r="C30" i="30"/>
  <c r="C31" i="30"/>
  <c r="C32" i="30"/>
  <c r="C33" i="30"/>
  <c r="C34" i="30"/>
  <c r="C35" i="30"/>
  <c r="C36" i="30"/>
  <c r="C37" i="30"/>
  <c r="C38" i="30"/>
  <c r="C39" i="30"/>
  <c r="C40" i="30"/>
  <c r="C41" i="30"/>
  <c r="B44" i="30"/>
  <c r="C45" i="30"/>
  <c r="C46" i="30"/>
  <c r="C47" i="30"/>
  <c r="B50" i="30"/>
  <c r="C51" i="30"/>
  <c r="C52" i="30"/>
  <c r="C53" i="30"/>
  <c r="C54" i="30"/>
  <c r="C55" i="30"/>
  <c r="B58" i="30"/>
  <c r="C59" i="30"/>
  <c r="C60" i="30"/>
  <c r="C61" i="30"/>
  <c r="B14" i="30"/>
  <c r="B4" i="74"/>
  <c r="B5" i="74"/>
  <c r="B3" i="74"/>
  <c r="B4" i="73"/>
  <c r="B5" i="73"/>
  <c r="B3" i="73"/>
  <c r="B4" i="70"/>
  <c r="B5" i="70"/>
  <c r="B6" i="70"/>
  <c r="B3" i="70"/>
  <c r="B4" i="69"/>
  <c r="B5" i="69"/>
  <c r="B3" i="69"/>
  <c r="B4" i="68"/>
  <c r="B5" i="68"/>
  <c r="B3" i="68"/>
  <c r="B3" i="66"/>
  <c r="L41" i="28"/>
  <c r="D27" i="84"/>
  <c r="E27" i="84"/>
  <c r="G27" i="84"/>
  <c r="D26" i="84"/>
  <c r="E26" i="84"/>
  <c r="G26" i="84"/>
  <c r="D28" i="84"/>
  <c r="E28" i="84"/>
  <c r="G28" i="84"/>
  <c r="D29" i="84"/>
  <c r="E29" i="84"/>
  <c r="G29" i="84"/>
  <c r="D30" i="84"/>
  <c r="E30" i="84"/>
  <c r="G30" i="84"/>
  <c r="D31" i="84"/>
  <c r="E31" i="84"/>
  <c r="G31" i="84"/>
  <c r="D32" i="84"/>
  <c r="E32" i="84"/>
  <c r="G32" i="84"/>
  <c r="D33" i="84"/>
  <c r="E33" i="84"/>
  <c r="G33" i="84"/>
  <c r="D34" i="84"/>
  <c r="E34" i="84"/>
  <c r="G34" i="84"/>
  <c r="D35" i="84"/>
  <c r="E35" i="84"/>
  <c r="G35" i="84"/>
  <c r="D36" i="84"/>
  <c r="E36" i="84"/>
  <c r="G36" i="84"/>
  <c r="D37" i="84"/>
  <c r="E37" i="84"/>
  <c r="G37" i="84"/>
  <c r="H27" i="84"/>
  <c r="H28" i="84"/>
  <c r="H29" i="84"/>
  <c r="H30" i="84"/>
  <c r="H31" i="84"/>
  <c r="H32" i="84"/>
  <c r="H33" i="84"/>
  <c r="H34" i="84"/>
  <c r="H35" i="84"/>
  <c r="H36" i="84"/>
  <c r="H37" i="84"/>
  <c r="H26" i="84"/>
  <c r="B4" i="67"/>
  <c r="B3" i="67"/>
  <c r="B7" i="66"/>
  <c r="B8" i="66"/>
  <c r="B5" i="66"/>
  <c r="B6" i="66"/>
  <c r="B4" i="66"/>
  <c r="B5" i="64"/>
  <c r="B4" i="64"/>
  <c r="B3" i="64"/>
  <c r="B6" i="63"/>
  <c r="B5" i="63"/>
  <c r="B4" i="63"/>
  <c r="B3" i="63"/>
  <c r="B4" i="62"/>
  <c r="B3" i="62"/>
  <c r="B4" i="21"/>
  <c r="B3" i="21"/>
  <c r="F76" i="30"/>
  <c r="F77" i="30"/>
  <c r="F78" i="30"/>
  <c r="D31" i="30"/>
  <c r="G31" i="30"/>
  <c r="G76" i="30"/>
  <c r="G77" i="30"/>
  <c r="G78" i="30"/>
  <c r="H76" i="30"/>
  <c r="H77" i="30"/>
  <c r="H78" i="30"/>
  <c r="I76" i="30"/>
  <c r="I77" i="30"/>
  <c r="I78" i="30"/>
  <c r="J76" i="30"/>
  <c r="J77" i="30"/>
  <c r="J78" i="30"/>
  <c r="K76" i="30"/>
  <c r="K77" i="30"/>
  <c r="K78" i="30"/>
  <c r="E76" i="30"/>
  <c r="E77" i="30"/>
  <c r="E78" i="30"/>
  <c r="B4" i="79"/>
  <c r="B3" i="79"/>
  <c r="E25" i="83"/>
  <c r="E24" i="83"/>
  <c r="E26" i="83"/>
  <c r="B4" i="72"/>
  <c r="B5" i="72"/>
  <c r="B3" i="72"/>
  <c r="E20" i="83"/>
  <c r="E19" i="83"/>
  <c r="E21" i="83"/>
  <c r="E22" i="83"/>
  <c r="B4" i="71"/>
  <c r="B5" i="71"/>
  <c r="B6" i="71"/>
  <c r="B3" i="71"/>
  <c r="L19" i="28" a="1"/>
  <c r="L19" i="28"/>
  <c r="L20" i="28"/>
  <c r="L21" i="28"/>
  <c r="L22" i="28"/>
  <c r="L23" i="28"/>
  <c r="L24" i="28"/>
  <c r="L25" i="28"/>
</calcChain>
</file>

<file path=xl/sharedStrings.xml><?xml version="1.0" encoding="utf-8"?>
<sst xmlns="http://schemas.openxmlformats.org/spreadsheetml/2006/main" count="1234" uniqueCount="876">
  <si>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</si>
  <si>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</si>
  <si>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</si>
  <si>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</si>
  <si>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</si>
  <si>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</si>
  <si>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</si>
  <si>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</si>
  <si>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</si>
  <si>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</si>
  <si>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</si>
  <si>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</si>
  <si>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</si>
  <si>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</si>
  <si>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</si>
  <si>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</si>
  <si>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</si>
  <si>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</si>
  <si>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</si>
  <si>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</si>
  <si>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</si>
  <si>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</si>
  <si>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</si>
  <si>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</si>
  <si>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</si>
  <si>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</si>
  <si>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</si>
  <si>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</si>
  <si>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</si>
  <si>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</si>
  <si>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</si>
  <si>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</si>
  <si>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</si>
  <si>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</si>
  <si>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</si>
  <si>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</si>
  <si>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</si>
  <si>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</si>
  <si>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</si>
  <si>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</si>
  <si>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</si>
  <si>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</si>
  <si>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</si>
  <si>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</si>
  <si>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</si>
  <si>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</si>
  <si>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</si>
  <si>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</si>
  <si>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</si>
  <si>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</si>
  <si>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</si>
  <si>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</si>
  <si>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</si>
  <si>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</si>
  <si>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</si>
  <si>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</si>
  <si>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</si>
  <si>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</si>
  <si>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</si>
  <si>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</si>
  <si>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</si>
  <si>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</si>
  <si>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</si>
  <si>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</si>
  <si>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</si>
  <si>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</si>
  <si>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</si>
  <si>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</si>
  <si>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</si>
  <si>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</si>
  <si>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</si>
  <si>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</si>
  <si>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</si>
  <si>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</si>
  <si>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</si>
  <si>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</si>
  <si>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</si>
  <si>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</si>
  <si>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</si>
  <si>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</si>
  <si>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</si>
  <si>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</si>
  <si>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</si>
  <si>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</si>
  <si>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</si>
  <si>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</si>
  <si>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</si>
  <si>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</si>
  <si>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</si>
  <si>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</si>
  <si>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</si>
  <si>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</si>
  <si>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</si>
  <si>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</si>
  <si>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</si>
  <si>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</si>
  <si>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</si>
  <si>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</si>
  <si>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</si>
  <si>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</si>
  <si>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</si>
  <si>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</si>
  <si>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</si>
  <si>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</si>
  <si>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</si>
  <si>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</si>
  <si>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</si>
  <si>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</si>
  <si>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</si>
  <si>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</si>
  <si>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</si>
  <si>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</si>
  <si>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</si>
  <si>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</si>
  <si>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</si>
  <si>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</si>
  <si>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</si>
  <si>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</si>
  <si>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</si>
  <si>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</si>
  <si>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</si>
  <si>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</si>
  <si>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</si>
  <si>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</si>
  <si>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</si>
  <si>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</si>
  <si>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</si>
  <si>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</si>
  <si>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</si>
  <si>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</si>
  <si>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</si>
  <si>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</si>
  <si>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</si>
  <si>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</si>
  <si>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</si>
  <si>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</si>
  <si>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</si>
  <si>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</si>
  <si>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</si>
  <si>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</si>
  <si>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</si>
  <si>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</si>
  <si>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</si>
  <si>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</si>
  <si>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</si>
  <si>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</si>
  <si>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</si>
  <si>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</si>
  <si>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</si>
  <si>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</si>
  <si>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</si>
  <si>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</si>
  <si>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</si>
  <si>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</si>
  <si>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</si>
  <si>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</si>
  <si>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</si>
  <si>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</si>
  <si>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</si>
  <si>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</si>
  <si>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</si>
  <si>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</si>
  <si>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</si>
  <si>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</si>
  <si>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</si>
  <si>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</si>
  <si>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</si>
  <si>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</si>
  <si>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</si>
  <si>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</si>
  <si>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</si>
  <si>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</si>
  <si>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</si>
  <si>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</si>
  <si>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</si>
  <si>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</si>
  <si>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</si>
  <si>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</si>
  <si>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</si>
  <si>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</si>
  <si>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</si>
  <si>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</si>
  <si>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</si>
  <si>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</si>
  <si>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</si>
  <si>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</si>
  <si>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</si>
  <si>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</si>
  <si>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</si>
  <si>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</si>
  <si>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</si>
  <si>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</si>
  <si>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</si>
  <si>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</si>
  <si>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</si>
  <si>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</si>
  <si>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</si>
  <si>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</si>
  <si>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</si>
  <si>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</si>
  <si>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</si>
  <si>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</si>
  <si>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</si>
  <si>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</si>
  <si>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</si>
  <si>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</si>
  <si>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</si>
  <si>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</si>
  <si>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</si>
  <si>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</si>
  <si>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</si>
  <si>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</si>
  <si>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</si>
  <si>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</si>
  <si>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</si>
  <si>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</si>
  <si>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</si>
  <si>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</si>
  <si>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</si>
  <si>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</si>
  <si>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</si>
  <si>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</si>
  <si>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</si>
  <si>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</si>
  <si>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</si>
  <si>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</si>
  <si>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</si>
  <si>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</si>
  <si>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</si>
  <si>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</si>
  <si>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</si>
  <si>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</si>
  <si>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</si>
  <si>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</si>
  <si>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</si>
  <si>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</si>
  <si>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</si>
  <si>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</si>
  <si>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</si>
  <si>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</si>
  <si>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</si>
  <si>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</si>
  <si>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</si>
  <si>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</si>
  <si>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</si>
  <si>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</si>
  <si>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</si>
  <si>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</si>
  <si>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</si>
  <si>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</si>
  <si>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</si>
  <si>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</si>
  <si>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</si>
  <si>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</si>
  <si>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households_space_heater_micro_chp_network_gas</t>
  </si>
  <si>
    <t>households_space_heater_electricity</t>
  </si>
  <si>
    <t>households_space_heater_heatpump_air_water_electricity</t>
  </si>
  <si>
    <t>households_space_heater_heatpump_ground_water_electricity</t>
  </si>
  <si>
    <t>households_space_heater_heatpump_add_on_electricity</t>
  </si>
  <si>
    <t>households_water_heater_combined_network_gas</t>
  </si>
  <si>
    <t>households_water_heater_fuel_cell_chp_network_gas</t>
  </si>
  <si>
    <t>households_water_heater_micro_chp_network_gas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</si>
  <si>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</si>
  <si>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</si>
  <si>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</si>
  <si>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</si>
  <si>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</si>
  <si>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</si>
  <si>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</si>
  <si>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</si>
  <si>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</si>
  <si>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</si>
  <si>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</si>
  <si>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</si>
  <si>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</si>
  <si>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</si>
  <si>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</si>
  <si>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</si>
  <si>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</si>
  <si>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</si>
  <si>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</si>
  <si>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</si>
  <si>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</si>
  <si>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</si>
  <si>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</si>
  <si>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</si>
  <si>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</si>
  <si>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</si>
  <si>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</si>
  <si>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</si>
  <si>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</si>
  <si>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households_useful_demand_for_cooling_after_insulation</t>
  </si>
  <si>
    <t>households_new_houses_useful_demand_for_cooling</t>
  </si>
  <si>
    <t>households_old_houses_useful_demand_for_cooling</t>
  </si>
  <si>
    <t>households_useful_demand_for_space_heating_after_insulation</t>
  </si>
  <si>
    <t>households_new_houses_useful_demand_for_heating</t>
  </si>
  <si>
    <t>households_old_houses_useful_demand_for_heating</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</si>
  <si>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</si>
  <si>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</si>
  <si>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</si>
  <si>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</si>
  <si>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</si>
  <si>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households_useful_demand_for_hot_water_for_houses_with_solar_heater</t>
  </si>
  <si>
    <t>households_useful_demand_for_space_heating_after_insulation_for_houses_with_solar_heater</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</si>
  <si>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</si>
  <si>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</si>
  <si>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</si>
  <si>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</si>
  <si>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</si>
  <si>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</si>
  <si>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</si>
  <si>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</si>
  <si>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</si>
  <si>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</si>
  <si>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</si>
  <si>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</si>
  <si>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</si>
  <si>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</si>
  <si>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</si>
  <si>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</si>
  <si>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</si>
  <si>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</si>
  <si>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</si>
  <si>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</si>
  <si>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electric heat pump add-on</t>
  </si>
  <si>
    <t>Eff_space_heating_combi_boiler</t>
  </si>
  <si>
    <t>Eff_space_heating_pump_ground</t>
  </si>
  <si>
    <t>Eff_space_heating_micro_CHP</t>
  </si>
  <si>
    <t>Eff_space_heating_district</t>
  </si>
  <si>
    <t>Eff_space_heating_pump_air</t>
  </si>
  <si>
    <t>Eff_space_heating_woodpellets</t>
  </si>
  <si>
    <t>Eff_space_heating_electric</t>
  </si>
  <si>
    <t>Eff_space_heating_gas</t>
  </si>
  <si>
    <t>Eff_space_heating_oil</t>
  </si>
  <si>
    <t>Eff_space_heating_coal</t>
  </si>
  <si>
    <t>Eff_space_heating_pump_add_on</t>
  </si>
  <si>
    <t>Eff_hot_water_combi_boiler</t>
  </si>
  <si>
    <t>Eff_hot_water_pump_ground</t>
  </si>
  <si>
    <t>Eff_hot_water_micro_CHP</t>
  </si>
  <si>
    <t>Eff_hot_water_district</t>
  </si>
  <si>
    <t>Eff_hot_water_pump_air</t>
  </si>
  <si>
    <t>Eff_hot_water_woodpellets</t>
  </si>
  <si>
    <t>Eff_hot_water_electric</t>
  </si>
  <si>
    <t>Eff_hot_water_gas</t>
  </si>
  <si>
    <t>Eff_hot_water_oil</t>
  </si>
  <si>
    <t>Eff_hot_water_coal</t>
  </si>
  <si>
    <t>Eff_hot_water_fuel_cell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</si>
  <si>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</si>
  <si>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</si>
  <si>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</si>
  <si>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</si>
  <si>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</si>
  <si>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</si>
  <si>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</si>
  <si>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</si>
  <si>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</si>
  <si>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</si>
  <si>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</si>
  <si>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</si>
  <si>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</si>
  <si>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</si>
  <si>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</si>
  <si>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</si>
  <si>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</si>
  <si>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</si>
  <si>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</si>
  <si>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</si>
  <si>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</si>
  <si>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</si>
  <si>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</si>
  <si>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</si>
  <si>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</si>
  <si>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</si>
  <si>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</si>
  <si>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</si>
  <si>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</si>
  <si>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</si>
  <si>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</si>
  <si>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</si>
  <si>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</si>
  <si>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</si>
  <si>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</si>
  <si>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</si>
  <si>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</si>
  <si>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</si>
  <si>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</si>
  <si>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</si>
  <si>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</si>
  <si>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</si>
  <si>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</si>
  <si>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</si>
  <si>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</si>
  <si>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</si>
  <si>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</si>
  <si>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</si>
  <si>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</si>
  <si>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Eff_space_heating_solar_thermal</t>
  </si>
  <si>
    <t>Eff_hot_water_solar_thermal_panel</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</si>
  <si>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</si>
  <si>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</si>
  <si>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</si>
  <si>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</si>
  <si>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</si>
  <si>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</si>
  <si>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</si>
  <si>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</si>
  <si>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</si>
  <si>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</si>
  <si>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</si>
  <si>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</si>
  <si>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</si>
  <si>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</si>
  <si>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</si>
  <si>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</si>
  <si>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</si>
  <si>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Solar thermal panel (hot water)</t>
  </si>
  <si>
    <t>District Heating (hot water)</t>
  </si>
  <si>
    <t>District Heating (space heating)</t>
  </si>
  <si>
    <t>Solar thermal panel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</si>
  <si>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</si>
  <si>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</si>
  <si>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</si>
  <si>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</si>
  <si>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</si>
  <si>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</si>
  <si>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</si>
  <si>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</si>
  <si>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</si>
  <si>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</si>
  <si>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</si>
  <si>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</si>
  <si>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Fuel Cell (hot water)</t>
  </si>
  <si>
    <t>Micro CHP (gas-fired)) (space heating)</t>
  </si>
  <si>
    <t>Micro CHP (gas-fired))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</si>
  <si>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</si>
  <si>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</si>
  <si>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</si>
  <si>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</si>
  <si>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</si>
  <si>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</si>
  <si>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</si>
  <si>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</si>
  <si>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</si>
  <si>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</si>
  <si>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</si>
  <si>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</si>
  <si>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</si>
  <si>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</si>
  <si>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</si>
  <si>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</si>
  <si>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</si>
  <si>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</si>
  <si>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</si>
  <si>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</si>
  <si>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</si>
  <si>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</si>
  <si>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</si>
  <si>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</si>
  <si>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</si>
  <si>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</si>
  <si>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</si>
  <si>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</si>
  <si>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</si>
  <si>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</si>
  <si>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</si>
  <si>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</si>
  <si>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</si>
  <si>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Splt of solar thermal heating</t>
  </si>
  <si>
    <t>This share has to be the same as in Input excel: 51.64 %</t>
  </si>
  <si>
    <t>This can be reached by running the Solver (Excel-Add-on)</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</si>
  <si>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</si>
  <si>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</si>
  <si>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</si>
  <si>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</si>
  <si>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</si>
  <si>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</si>
  <si>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</si>
  <si>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</si>
  <si>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</si>
  <si>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</si>
  <si>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</si>
  <si>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</si>
  <si>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</si>
  <si>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</si>
  <si>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</si>
  <si>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</si>
  <si>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</si>
  <si>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</si>
  <si>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</si>
  <si>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</si>
  <si>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</si>
  <si>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</si>
  <si>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</si>
  <si>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</si>
  <si>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</si>
  <si>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</si>
  <si>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</si>
  <si>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residences_water_heater_solar_thermal_parent_share</t>
  </si>
  <si>
    <t>residences_useful_demand_for_cooling_after_insulation_parent_share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</si>
  <si>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</si>
  <si>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</si>
  <si>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</si>
  <si>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</si>
  <si>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</si>
  <si>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</si>
  <si>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</si>
  <si>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</si>
  <si>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</si>
  <si>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</si>
  <si>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</si>
  <si>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</si>
  <si>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</si>
  <si>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energy_national_gas_network_natural_gas</t>
  </si>
  <si>
    <t>residences_old_houses_useful_demand_for_heating_child_share</t>
  </si>
  <si>
    <t>residences_space_heater_micro_chp_network_gas_child_share</t>
  </si>
  <si>
    <t>residences_water_heater_micro_chp_network_gas_child_share</t>
  </si>
  <si>
    <t>residences_water_heater_fuel_cell_chp_network_gas_child_share</t>
  </si>
  <si>
    <t>residences_old_houses_useful_demand_for_cooling_child_share</t>
  </si>
  <si>
    <t>residences_new_houses_useful_demand_for_cooling_child_share</t>
  </si>
  <si>
    <t>residences_new_houses_useful_demand_for_heating_child_share</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</si>
  <si>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</si>
  <si>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</si>
  <si>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</si>
  <si>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</si>
  <si>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Loss</t>
  </si>
  <si>
    <t>Share of natural gas allocated to final demand in residences</t>
  </si>
  <si>
    <t>Share of natural gas allocated to national final demand</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</si>
  <si>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</si>
  <si>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</si>
  <si>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</si>
  <si>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</si>
  <si>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</si>
  <si>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</si>
  <si>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</si>
  <si>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</si>
  <si>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</si>
  <si>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</si>
  <si>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</si>
  <si>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</si>
  <si>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</si>
  <si>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</si>
  <si>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</si>
  <si>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</si>
  <si>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</si>
  <si>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</si>
  <si>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</si>
  <si>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</si>
  <si>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</si>
  <si>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</si>
  <si>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</si>
  <si>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</si>
  <si>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</si>
  <si>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</si>
  <si>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</si>
  <si>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</si>
  <si>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</si>
  <si>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</si>
  <si>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</si>
  <si>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</si>
  <si>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</si>
  <si>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</si>
  <si>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</si>
  <si>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</si>
  <si>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</si>
  <si>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</si>
  <si>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</si>
  <si>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</si>
  <si>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</si>
  <si>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</si>
  <si>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</si>
  <si>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</si>
  <si>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</si>
  <si>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</si>
  <si>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</si>
  <si>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</si>
  <si>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</si>
  <si>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</si>
  <si>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</si>
  <si>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</si>
  <si>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</si>
  <si>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</si>
  <si>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</si>
  <si>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</si>
  <si>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</si>
  <si>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</si>
  <si>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</si>
  <si>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</si>
  <si>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</si>
  <si>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 xml:space="preserve">Some technologies produce heat and power. Only the share of the energy input that is used for heating is allocated to the final demand of residences. </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</si>
  <si>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</si>
  <si>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</si>
  <si>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</si>
  <si>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</si>
  <si>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</si>
  <si>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</si>
  <si>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</si>
  <si>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</si>
  <si>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</si>
  <si>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residences_percentage_space_heating_solar_thermal</t>
  </si>
  <si>
    <t>residences_percentage_space_heating_heat_pump_ground</t>
  </si>
  <si>
    <t>residences_percentage_space_heating_micro_chp</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</si>
  <si>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</si>
  <si>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</si>
  <si>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</si>
  <si>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</si>
  <si>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</si>
  <si>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</si>
  <si>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</si>
  <si>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residences_percentage_space_heating_heat_pump_add_on</t>
  </si>
  <si>
    <t>residences_percentage_hot_water_combi_boiiler</t>
  </si>
  <si>
    <t>residences_percentage_hot_water_solar_thermal</t>
  </si>
  <si>
    <t>residences_percentage_hot_water_heat_pump_ground</t>
  </si>
  <si>
    <t>residences_percentage_hot_water_micro_chp</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</si>
  <si>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</si>
  <si>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</si>
  <si>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</si>
  <si>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</si>
  <si>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</si>
  <si>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</si>
  <si>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</si>
  <si>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residences_percentage_hot_water_fuel_cell</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</si>
  <si>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</si>
  <si>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</si>
  <si>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</si>
  <si>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</si>
  <si>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</si>
  <si>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</si>
  <si>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</si>
  <si>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</si>
  <si>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</si>
  <si>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</si>
  <si>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</si>
  <si>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</si>
  <si>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</si>
  <si>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</si>
  <si>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</si>
  <si>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</si>
  <si>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</si>
  <si>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</si>
  <si>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</si>
  <si>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residences_percentage_new_residences</t>
  </si>
  <si>
    <t>residences_percentage_old_residences</t>
  </si>
  <si>
    <t>Sector specific gas demand</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</si>
  <si>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</si>
  <si>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</si>
  <si>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</si>
  <si>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</si>
  <si>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</si>
  <si>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</si>
  <si>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</si>
  <si>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</si>
  <si>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</si>
  <si>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</si>
  <si>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</si>
  <si>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</si>
  <si>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</si>
  <si>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</si>
  <si>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</si>
  <si>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</si>
  <si>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</si>
  <si>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</si>
  <si>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</si>
  <si>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</si>
  <si>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</si>
  <si>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</si>
  <si>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</si>
  <si>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</si>
  <si>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</si>
  <si>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</si>
  <si>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</si>
  <si>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</si>
  <si>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</si>
  <si>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</si>
  <si>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</si>
  <si>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</si>
  <si>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</si>
  <si>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</si>
  <si>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</si>
  <si>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</si>
  <si>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</si>
  <si>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</si>
  <si>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</si>
  <si>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</si>
  <si>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</si>
  <si>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</si>
  <si>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</si>
  <si>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</si>
  <si>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</si>
  <si>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</si>
  <si>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</si>
  <si>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households_useful_demand_for_space_heating_after_insulation_and_solar_heater</t>
  </si>
  <si>
    <t>residences_useful_demand_for_space_heating_after_insulation_for_houses_with_solar_heater_child_share</t>
  </si>
  <si>
    <t>csv_solar_hot_water_chld</t>
  </si>
  <si>
    <t>csv_add_on_space_heating_child</t>
  </si>
  <si>
    <t>csv_add_on_hot water_child</t>
  </si>
  <si>
    <t>households_useful_demand_for_hot_water_after_solar_heater</t>
  </si>
  <si>
    <t>residences_useful_demand_for_hot_water_for_houses_with_solar_heater_child_share</t>
  </si>
  <si>
    <t>residences_useful_demand_for_space_heating_after_insulation_for_houses_with_add_on_child_share</t>
  </si>
  <si>
    <t>households_useful_demand_for_space_heating_after_insulation_and_solar_heater_and_add_on</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</si>
  <si>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</si>
  <si>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</si>
  <si>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</si>
  <si>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</si>
  <si>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</si>
  <si>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</si>
  <si>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</si>
  <si>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</si>
  <si>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</si>
  <si>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residences_space_heating_share_coming_from_solar_thermal</t>
  </si>
  <si>
    <t>residences_space_heating_share_coming_from_el_add_on</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</si>
  <si>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</si>
  <si>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</si>
  <si>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</si>
  <si>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</si>
  <si>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</si>
  <si>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</si>
  <si>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</si>
  <si>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</si>
  <si>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</si>
  <si>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This is a fixed share, manually set to 1/0 !!</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</si>
  <si>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</si>
  <si>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</si>
  <si>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</si>
  <si>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</si>
  <si>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</si>
  <si>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</si>
  <si>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</si>
  <si>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</si>
  <si>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</si>
  <si>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</si>
  <si>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</si>
  <si>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counry</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</si>
  <si>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</si>
  <si>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</si>
  <si>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</si>
  <si>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</si>
  <si>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</si>
  <si>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</si>
  <si>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</si>
  <si>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</si>
  <si>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</si>
  <si>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</si>
  <si>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</si>
  <si>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</si>
  <si>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</si>
  <si>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</si>
  <si>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Average R-value of a typical new residence (built after 1991)</t>
  </si>
  <si>
    <t>Average R-value of a typical old residence (built before 1992)</t>
  </si>
  <si>
    <r>
      <t>m</t>
    </r>
    <r>
      <rPr>
        <vertAlign val="superscript"/>
        <sz val="12"/>
        <color theme="1"/>
        <rFont val="Calibri"/>
        <family val="2"/>
        <scheme val="minor"/>
      </rPr>
      <t>2</t>
    </r>
    <r>
      <rPr>
        <sz val="12"/>
        <color theme="1"/>
        <rFont val="Calibri"/>
        <family val="2"/>
        <scheme val="minor"/>
      </rPr>
      <t>K/W</t>
    </r>
  </si>
  <si>
    <t>Old houses</t>
  </si>
  <si>
    <t>New houses</t>
  </si>
  <si>
    <t>Ratio of number of residences</t>
  </si>
  <si>
    <t>Average R-value</t>
  </si>
  <si>
    <t>Share of useful heating/cooling demand</t>
  </si>
  <si>
    <t>Weighted Heat Loss</t>
  </si>
  <si>
    <t>Average heat loss (proporional to 1/R-value )</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</si>
  <si>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</si>
  <si>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</si>
  <si>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</si>
  <si>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</si>
  <si>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</si>
  <si>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</si>
  <si>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</si>
  <si>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</si>
  <si>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</si>
  <si>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</si>
  <si>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households_water_heater_solar_thermal.converter</t>
  </si>
  <si>
    <t>households_space_heater_heatpump_ground_water_electricity.converter</t>
  </si>
  <si>
    <t>households_space_heater_micro_chp_network_gas.converter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</si>
  <si>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</si>
  <si>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</si>
  <si>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</si>
  <si>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</si>
  <si>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</si>
  <si>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</si>
  <si>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</si>
  <si>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households_space_heater_heatpump_add_on_electricity.converter</t>
  </si>
  <si>
    <t>households_water_heater_combined_network_gas.converter</t>
  </si>
  <si>
    <t>households_water_heater_heatpump_ground_water_electricity.converter</t>
  </si>
  <si>
    <t>households_water_heater_micro_chp_network_gas.converter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</si>
  <si>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</si>
  <si>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</si>
  <si>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</si>
  <si>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</si>
  <si>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</si>
  <si>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</si>
  <si>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</si>
  <si>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households_water_heater_fuel_cell_chp_network_gas.converter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</si>
  <si>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</si>
  <si>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</si>
  <si>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</si>
  <si>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</si>
  <si>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</si>
  <si>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</si>
  <si>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</si>
  <si>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</si>
  <si>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</si>
  <si>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</si>
  <si>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</si>
  <si>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</si>
  <si>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</si>
  <si>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</si>
  <si>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</si>
  <si>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</si>
  <si>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</si>
  <si>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</si>
  <si>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</si>
  <si>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</si>
  <si>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</si>
  <si>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</si>
  <si>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</si>
  <si>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</si>
  <si>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</si>
  <si>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</si>
  <si>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</si>
  <si>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 xml:space="preserve">These check can be removed in the future. It only exists to make sure that we can be inline with previous research. </t>
  </si>
  <si>
    <t>reworking checks and layout on dashboard</t>
  </si>
  <si>
    <t xml:space="preserve">Final energy demand for </t>
  </si>
  <si>
    <t>Condensing Combi Boiler</t>
  </si>
  <si>
    <t>solar thermal panels</t>
  </si>
  <si>
    <t>gas-fired Heat Pump (ground)</t>
  </si>
  <si>
    <t>gas-fired micro CHP</t>
  </si>
  <si>
    <t>District Heating</t>
  </si>
  <si>
    <t>electricity-driven Heat pump (air)</t>
  </si>
  <si>
    <t>woodpellets (biomass) heaters</t>
  </si>
  <si>
    <t>Electric Heaters (resistance)</t>
  </si>
  <si>
    <t>Gas-fired Heaters</t>
  </si>
  <si>
    <t>Oil-fired Heaters</t>
  </si>
  <si>
    <t>Coal-fired Heaters</t>
  </si>
  <si>
    <t>gas-fired hot water Pump (ground)</t>
  </si>
  <si>
    <t>District heating</t>
  </si>
  <si>
    <t>woodpellets (biomass) stoves</t>
  </si>
  <si>
    <t>Electric heaters (resistance)</t>
  </si>
  <si>
    <t>Gas-fired heaters</t>
  </si>
  <si>
    <t>Oil-fired heaters</t>
  </si>
  <si>
    <t>Coal-fired heaters</t>
  </si>
  <si>
    <t>Fuel Cells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</si>
  <si>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</si>
  <si>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</si>
  <si>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</si>
  <si>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</si>
  <si>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</si>
  <si>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</si>
  <si>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</si>
  <si>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</si>
  <si>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</si>
  <si>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</si>
  <si>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</si>
  <si>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</si>
  <si>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</si>
  <si>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</si>
  <si>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</si>
  <si>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</si>
  <si>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</si>
  <si>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</si>
  <si>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</si>
  <si>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</si>
  <si>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insulation_level_new_houses_min</t>
  </si>
  <si>
    <t>insulation_level_old_houses_min</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</si>
  <si>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</si>
  <si>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</si>
  <si>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</si>
  <si>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</si>
  <si>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</si>
  <si>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</si>
  <si>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Percentage of old houses (built before 1992)</t>
  </si>
  <si>
    <t>Percentage of new houses (built after 1991)</t>
  </si>
  <si>
    <t>electricity-driven heat pump (air)</t>
  </si>
  <si>
    <t>Percentage of useful heat in space heating delivered by solar thermal panel (if household is equipped)</t>
  </si>
  <si>
    <t>Percentage of useful heat in hot water delivered by electric heater add on (if household is equipped)</t>
  </si>
  <si>
    <t>Percentage of useful heat in space heating delivered by electric heater add on (if household is equipped)</t>
  </si>
  <si>
    <t>residences_useful_demand_for_hot_water_after_solar_heater_and_p2h_parent_share</t>
  </si>
  <si>
    <t>households_useful_demand_for_hot_water_for_houses_with_p2h</t>
  </si>
  <si>
    <t>residences_useful_demand_for_hot_water_for_houses_with_p2h_child_share</t>
  </si>
  <si>
    <t>households_flexibility_p2h_electricity</t>
  </si>
  <si>
    <t>households_useful_demand_for_hot_water_after_solar_heater_and_p2h</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</si>
</sst>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0%"/>
    <numFmt numFmtId="166" formatCode="#,##0.0"/>
    <numFmt numFmtId="167" formatCode="0.00000000E+00"/>
    <numFmt numFmtId="168" formatCode="#,##0.000"/>
    <numFmt numFmtId="169" formatCode="[$-409]mmmm\ d\,\ yyyy;@"/>
    <numFmt numFmtId="170" formatCode="0.000"/>
  </numFmts>
  <fonts count="41"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11"/>
      <name val="Calibri"/>
      <family val="2"/>
      <scheme val="minor"/>
    </font>
    <font>
      <sz val="10"/>
      <name val="Arial"/>
    </font>
    <font>
      <sz val="11"/>
      <color indexed="10"/>
      <name val="Calibri"/>
      <family val="2"/>
    </font>
    <font>
      <i/>
      <sz val="12"/>
      <name val="Calibri"/>
      <scheme val="minor"/>
    </font>
    <font>
      <sz val="12"/>
      <color theme="0" tint="-0.249977111117893"/>
      <name val="Calibri"/>
      <scheme val="minor"/>
    </font>
    <font>
      <u/>
      <sz val="12"/>
      <color rgb="FF000000"/>
      <name val="Calibri"/>
      <scheme val="minor"/>
    </font>
    <font>
      <b/>
      <sz val="12"/>
      <color theme="0" tint="-0.499984740745262"/>
      <name val="Calibri"/>
      <scheme val="minor"/>
    </font>
    <font>
      <sz val="12"/>
      <color theme="0" tint="-0.499984740745262"/>
      <name val="Calibri"/>
      <scheme val="minor"/>
    </font>
    <font>
      <sz val="8"/>
      <name val="Calibri"/>
      <family val="2"/>
      <scheme val="minor"/>
    </font>
    <font>
      <sz val="12"/>
      <color theme="3" tint="-0.249977111117893"/>
      <name val="Calibri"/>
      <scheme val="minor"/>
    </font>
    <font>
      <sz val="12"/>
      <color theme="6" tint="-0.499984740745262"/>
      <name val="Calibri"/>
      <scheme val="minor"/>
    </font>
    <font>
      <i/>
      <sz val="12"/>
      <color theme="1" tint="0.499984740745262"/>
      <name val="Calibri"/>
      <scheme val="minor"/>
    </font>
    <font>
      <b/>
      <sz val="12"/>
      <color theme="3"/>
      <name val="Calibri"/>
      <scheme val="minor"/>
    </font>
    <font>
      <sz val="12"/>
      <color rgb="FF000000"/>
      <name val="Lucida Grande"/>
    </font>
    <font>
      <b/>
      <u/>
      <sz val="12"/>
      <color theme="1"/>
      <name val="Calibri"/>
      <scheme val="minor"/>
    </font>
    <font>
      <i/>
      <u/>
      <sz val="12"/>
      <name val="Calibri"/>
      <scheme val="minor"/>
    </font>
    <font>
      <b/>
      <i/>
      <sz val="12"/>
      <name val="Calibri"/>
      <scheme val="minor"/>
    </font>
    <font>
      <sz val="12"/>
      <color theme="0" tint="-0.14999847407452621"/>
      <name val="Calibri"/>
      <scheme val="minor"/>
    </font>
    <font>
      <i/>
      <sz val="12"/>
      <color theme="0" tint="-0.499984740745262"/>
      <name val="Calibri"/>
      <scheme val="minor"/>
    </font>
    <font>
      <vertAlign val="superscript"/>
      <sz val="12"/>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hair">
        <color rgb="FF7F7F7F"/>
      </left>
      <right/>
      <top style="thin">
        <color auto="1"/>
      </top>
      <bottom/>
      <diagonal/>
    </border>
    <border>
      <left style="hair">
        <color rgb="FF7F7F7F"/>
      </left>
      <right/>
      <top/>
      <bottom/>
      <diagonal/>
    </border>
    <border>
      <left style="hair">
        <color rgb="FF7F7F7F"/>
      </left>
      <right/>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s>
  <cellStyleXfs count="2294">
    <xf numFmtId="0" fontId="0" fillId="0" borderId="0"/>
    <xf numFmtId="9" fontId="5"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164" fontId="21" fillId="14" borderId="25">
      <alignment horizontal="right" vertical="center"/>
    </xf>
    <xf numFmtId="0" fontId="22" fillId="0" borderId="0" applyNumberFormat="0" applyFont="0" applyFill="0" applyBorder="0" applyAlignment="0" applyProtection="0"/>
    <xf numFmtId="9" fontId="22" fillId="0" borderId="0" applyNumberFormat="0" applyFont="0" applyFill="0" applyBorder="0" applyAlignment="0" applyProtection="0"/>
    <xf numFmtId="0" fontId="23"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1" fillId="0" borderId="0"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9" fontId="4"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30" fillId="0" borderId="42"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661">
    <xf numFmtId="0" fontId="0" fillId="0" borderId="0" xfId="0"/>
    <xf numFmtId="0" fontId="0" fillId="2" borderId="0" xfId="0" applyFill="1"/>
    <xf numFmtId="0" fontId="8" fillId="2" borderId="0" xfId="0" applyFont="1" applyFill="1"/>
    <xf numFmtId="0" fontId="7" fillId="2" borderId="1" xfId="0" applyFont="1" applyFill="1" applyBorder="1"/>
    <xf numFmtId="0" fontId="0" fillId="2" borderId="2" xfId="0" applyFill="1" applyBorder="1"/>
    <xf numFmtId="0" fontId="0" fillId="2" borderId="3" xfId="0" applyFill="1" applyBorder="1"/>
    <xf numFmtId="0" fontId="9" fillId="3" borderId="4" xfId="0" applyFont="1" applyFill="1" applyBorder="1" applyAlignment="1">
      <alignment vertical="center"/>
    </xf>
    <xf numFmtId="0" fontId="0" fillId="2" borderId="5" xfId="0" applyFill="1" applyBorder="1"/>
    <xf numFmtId="0" fontId="0" fillId="2" borderId="0" xfId="0" applyFill="1" applyBorder="1"/>
    <xf numFmtId="0" fontId="9" fillId="3" borderId="6" xfId="0" applyFont="1" applyFill="1" applyBorder="1" applyAlignment="1">
      <alignment vertical="center"/>
    </xf>
    <xf numFmtId="0" fontId="0" fillId="2" borderId="7" xfId="0" applyFill="1" applyBorder="1"/>
    <xf numFmtId="0" fontId="0" fillId="2" borderId="8" xfId="0" applyFill="1" applyBorder="1"/>
    <xf numFmtId="0" fontId="9" fillId="3" borderId="1" xfId="0" applyFont="1" applyFill="1" applyBorder="1" applyAlignment="1">
      <alignment vertical="center"/>
    </xf>
    <xf numFmtId="0" fontId="7" fillId="2" borderId="2" xfId="0" applyFont="1" applyFill="1" applyBorder="1"/>
    <xf numFmtId="0" fontId="7" fillId="2" borderId="3" xfId="0" applyFont="1" applyFill="1" applyBorder="1"/>
    <xf numFmtId="0" fontId="7" fillId="2" borderId="0" xfId="0" applyFont="1" applyFill="1" applyBorder="1"/>
    <xf numFmtId="0" fontId="7"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7" fillId="2" borderId="4" xfId="0" applyFont="1" applyFill="1" applyBorder="1"/>
    <xf numFmtId="0" fontId="10"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7" fillId="2" borderId="10" xfId="0" applyFont="1" applyFill="1" applyBorder="1"/>
    <xf numFmtId="0" fontId="7"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7" fillId="2" borderId="15" xfId="0" applyFont="1" applyFill="1" applyBorder="1"/>
    <xf numFmtId="0" fontId="7" fillId="0" borderId="7" xfId="0" applyFont="1" applyFill="1" applyBorder="1"/>
    <xf numFmtId="0" fontId="7" fillId="0" borderId="16" xfId="0" applyFont="1" applyFill="1" applyBorder="1"/>
    <xf numFmtId="0" fontId="7" fillId="2" borderId="13" xfId="0" applyFont="1" applyFill="1" applyBorder="1"/>
    <xf numFmtId="0" fontId="7" fillId="2" borderId="14" xfId="0" applyFont="1" applyFill="1" applyBorder="1"/>
    <xf numFmtId="0" fontId="12"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2" fillId="2" borderId="20" xfId="0" applyFont="1" applyFill="1" applyBorder="1"/>
    <xf numFmtId="0" fontId="14" fillId="2" borderId="13" xfId="0" applyFont="1" applyFill="1" applyBorder="1"/>
    <xf numFmtId="0" fontId="0" fillId="0" borderId="19" xfId="0" applyFill="1" applyBorder="1"/>
    <xf numFmtId="0" fontId="7" fillId="0" borderId="1" xfId="0" applyFont="1" applyBorder="1"/>
    <xf numFmtId="0" fontId="0" fillId="2" borderId="11" xfId="0" applyFill="1" applyBorder="1"/>
    <xf numFmtId="0" fontId="7" fillId="2" borderId="7" xfId="0" applyFont="1" applyFill="1" applyBorder="1"/>
    <xf numFmtId="0" fontId="7" fillId="2" borderId="21" xfId="0" applyFont="1" applyFill="1" applyBorder="1"/>
    <xf numFmtId="0" fontId="7"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3" fillId="8" borderId="0" xfId="0" applyFont="1" applyFill="1" applyBorder="1"/>
    <xf numFmtId="0" fontId="7" fillId="2" borderId="23" xfId="0" applyFont="1" applyFill="1" applyBorder="1"/>
    <xf numFmtId="0" fontId="7" fillId="2" borderId="24" xfId="0" applyFont="1" applyFill="1" applyBorder="1"/>
    <xf numFmtId="0" fontId="0" fillId="2" borderId="23" xfId="0" applyFont="1" applyFill="1" applyBorder="1"/>
    <xf numFmtId="0" fontId="8" fillId="2" borderId="0" xfId="0" applyFont="1" applyFill="1" applyBorder="1"/>
    <xf numFmtId="0" fontId="7" fillId="2" borderId="15" xfId="0" applyFont="1" applyFill="1" applyBorder="1" applyAlignment="1">
      <alignment vertical="top" wrapText="1"/>
    </xf>
    <xf numFmtId="0" fontId="7" fillId="0" borderId="7" xfId="0" applyFont="1" applyFill="1" applyBorder="1" applyAlignment="1">
      <alignment vertical="top" wrapText="1"/>
    </xf>
    <xf numFmtId="0" fontId="7" fillId="2" borderId="0" xfId="0" applyFont="1" applyFill="1" applyBorder="1" applyAlignment="1">
      <alignment vertical="top" wrapText="1"/>
    </xf>
    <xf numFmtId="0" fontId="6" fillId="2" borderId="13" xfId="0" applyFont="1" applyFill="1" applyBorder="1"/>
    <xf numFmtId="0" fontId="7" fillId="2" borderId="7" xfId="0" applyFont="1" applyFill="1" applyBorder="1" applyAlignment="1">
      <alignment vertical="top" wrapText="1"/>
    </xf>
    <xf numFmtId="0" fontId="17" fillId="2" borderId="1" xfId="0" applyFont="1" applyFill="1" applyBorder="1"/>
    <xf numFmtId="0" fontId="10"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8" fillId="8" borderId="13" xfId="0" applyFont="1" applyFill="1" applyBorder="1"/>
    <xf numFmtId="0" fontId="13" fillId="8" borderId="17" xfId="0" applyFont="1" applyFill="1" applyBorder="1"/>
    <xf numFmtId="0" fontId="7" fillId="2" borderId="0" xfId="0" applyFont="1" applyFill="1"/>
    <xf numFmtId="0" fontId="7" fillId="0" borderId="7" xfId="0" applyFont="1" applyFill="1" applyBorder="1" applyAlignment="1">
      <alignment wrapText="1"/>
    </xf>
    <xf numFmtId="164" fontId="7" fillId="2" borderId="0" xfId="0" applyNumberFormat="1" applyFont="1" applyFill="1" applyBorder="1" applyAlignment="1">
      <alignment vertical="top" wrapText="1"/>
    </xf>
    <xf numFmtId="164" fontId="0" fillId="2" borderId="0" xfId="0" applyNumberFormat="1" applyFill="1" applyBorder="1"/>
    <xf numFmtId="0" fontId="7" fillId="2" borderId="34" xfId="0" applyFont="1" applyFill="1" applyBorder="1"/>
    <xf numFmtId="0" fontId="11" fillId="0" borderId="21" xfId="0" applyFont="1" applyBorder="1" applyAlignment="1">
      <alignment vertical="top" wrapText="1"/>
    </xf>
    <xf numFmtId="0" fontId="11" fillId="0" borderId="21" xfId="0" applyFont="1" applyBorder="1" applyAlignment="1">
      <alignment horizontal="left" vertical="top" wrapText="1"/>
    </xf>
    <xf numFmtId="0" fontId="19" fillId="2" borderId="0" xfId="0" applyFont="1" applyFill="1" applyAlignment="1">
      <alignment vertical="center"/>
    </xf>
    <xf numFmtId="0" fontId="19" fillId="2" borderId="0" xfId="0" applyFont="1" applyFill="1" applyAlignment="1">
      <alignment horizontal="center" vertical="center"/>
    </xf>
    <xf numFmtId="0" fontId="0" fillId="2" borderId="0" xfId="0" applyFont="1" applyFill="1" applyAlignment="1">
      <alignment horizontal="left" vertical="center"/>
    </xf>
    <xf numFmtId="0" fontId="8" fillId="2" borderId="0" xfId="0" applyFont="1" applyFill="1" applyAlignment="1">
      <alignment vertical="center"/>
    </xf>
    <xf numFmtId="0" fontId="7" fillId="2" borderId="1" xfId="0" applyFont="1" applyFill="1" applyBorder="1" applyAlignment="1">
      <alignment vertical="center"/>
    </xf>
    <xf numFmtId="0" fontId="19" fillId="2" borderId="2" xfId="0" applyFont="1" applyFill="1" applyBorder="1" applyAlignment="1">
      <alignment vertical="center"/>
    </xf>
    <xf numFmtId="0" fontId="19" fillId="2" borderId="3" xfId="0" applyFont="1" applyFill="1" applyBorder="1" applyAlignment="1">
      <alignment vertical="center"/>
    </xf>
    <xf numFmtId="0" fontId="0" fillId="2" borderId="6" xfId="0" applyFont="1" applyFill="1" applyBorder="1" applyAlignment="1">
      <alignment horizontal="left" vertical="top"/>
    </xf>
    <xf numFmtId="0" fontId="19" fillId="2" borderId="7" xfId="0" applyFont="1" applyFill="1" applyBorder="1" applyAlignment="1">
      <alignment vertical="center"/>
    </xf>
    <xf numFmtId="0" fontId="19" fillId="2" borderId="8" xfId="0" applyFont="1" applyFill="1" applyBorder="1" applyAlignment="1">
      <alignment vertical="center"/>
    </xf>
    <xf numFmtId="0" fontId="0" fillId="7" borderId="0" xfId="0" applyFill="1" applyBorder="1"/>
    <xf numFmtId="0" fontId="11" fillId="0" borderId="0" xfId="0" applyFont="1" applyBorder="1" applyAlignment="1">
      <alignment horizontal="left" vertical="top" wrapText="1"/>
    </xf>
    <xf numFmtId="0" fontId="17" fillId="2" borderId="34" xfId="0" applyFont="1" applyFill="1" applyBorder="1"/>
    <xf numFmtId="0" fontId="17" fillId="2" borderId="23" xfId="0" applyFont="1" applyFill="1" applyBorder="1"/>
    <xf numFmtId="0" fontId="11" fillId="2" borderId="23" xfId="0" applyFont="1" applyFill="1" applyBorder="1"/>
    <xf numFmtId="0" fontId="20" fillId="2" borderId="0" xfId="0" applyFont="1" applyFill="1" applyAlignment="1">
      <alignment horizontal="left" vertical="center"/>
    </xf>
    <xf numFmtId="0" fontId="12" fillId="2" borderId="20" xfId="0" applyFont="1" applyFill="1" applyBorder="1" applyAlignment="1">
      <alignment vertical="top"/>
    </xf>
    <xf numFmtId="0" fontId="0" fillId="2" borderId="33" xfId="0" applyFill="1" applyBorder="1"/>
    <xf numFmtId="0" fontId="13"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7" fillId="2" borderId="16" xfId="0" applyFont="1" applyFill="1" applyBorder="1"/>
    <xf numFmtId="0" fontId="11" fillId="0" borderId="14" xfId="0" applyFont="1" applyFill="1" applyBorder="1"/>
    <xf numFmtId="0" fontId="12" fillId="2" borderId="15" xfId="0" applyFont="1" applyFill="1" applyBorder="1"/>
    <xf numFmtId="0" fontId="11" fillId="2" borderId="0" xfId="0" applyFont="1" applyFill="1"/>
    <xf numFmtId="0" fontId="7" fillId="0" borderId="16" xfId="0" applyFont="1" applyFill="1" applyBorder="1" applyAlignment="1">
      <alignment vertical="top" wrapText="1"/>
    </xf>
    <xf numFmtId="0" fontId="7" fillId="2" borderId="14" xfId="0" applyFont="1" applyFill="1" applyBorder="1" applyAlignment="1">
      <alignment vertical="top" wrapText="1"/>
    </xf>
    <xf numFmtId="164" fontId="7"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6" fillId="2" borderId="15" xfId="0" applyFont="1" applyFill="1" applyBorder="1"/>
    <xf numFmtId="2" fontId="0" fillId="2" borderId="0" xfId="0" applyNumberFormat="1" applyFill="1"/>
    <xf numFmtId="164" fontId="7" fillId="2" borderId="14" xfId="0" applyNumberFormat="1" applyFont="1" applyFill="1" applyBorder="1" applyAlignment="1">
      <alignment vertical="top" wrapText="1"/>
    </xf>
    <xf numFmtId="164" fontId="7" fillId="2" borderId="23" xfId="0" applyNumberFormat="1" applyFont="1" applyFill="1" applyBorder="1"/>
    <xf numFmtId="0" fontId="7" fillId="2" borderId="32" xfId="0" applyFont="1" applyFill="1" applyBorder="1"/>
    <xf numFmtId="0" fontId="7"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7" fillId="0" borderId="11" xfId="0" applyFont="1" applyFill="1" applyBorder="1" applyAlignment="1">
      <alignment wrapText="1"/>
    </xf>
    <xf numFmtId="0" fontId="7" fillId="0" borderId="12" xfId="0" applyFont="1" applyFill="1" applyBorder="1" applyAlignment="1">
      <alignment wrapText="1"/>
    </xf>
    <xf numFmtId="0" fontId="7" fillId="2" borderId="28" xfId="0" applyFont="1" applyFill="1" applyBorder="1"/>
    <xf numFmtId="0" fontId="7" fillId="2" borderId="36" xfId="0" applyFont="1" applyFill="1" applyBorder="1"/>
    <xf numFmtId="0" fontId="0" fillId="2" borderId="30" xfId="0" applyFill="1" applyBorder="1"/>
    <xf numFmtId="0" fontId="7" fillId="2" borderId="29" xfId="0" applyFont="1" applyFill="1" applyBorder="1" applyAlignment="1">
      <alignment vertical="top" wrapText="1"/>
    </xf>
    <xf numFmtId="0" fontId="6" fillId="2" borderId="30" xfId="0" applyFont="1" applyFill="1" applyBorder="1"/>
    <xf numFmtId="0" fontId="6"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3"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9" fillId="8" borderId="4" xfId="0" applyFont="1" applyFill="1" applyBorder="1" applyAlignment="1">
      <alignment vertical="center"/>
    </xf>
    <xf numFmtId="2" fontId="13" fillId="8" borderId="0" xfId="0" applyNumberFormat="1" applyFont="1" applyFill="1" applyAlignment="1">
      <alignment horizontal="left"/>
    </xf>
    <xf numFmtId="1" fontId="13"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4" fillId="2" borderId="0" xfId="0" applyFont="1" applyFill="1" applyAlignment="1">
      <alignment vertical="top"/>
    </xf>
    <xf numFmtId="0" fontId="24" fillId="2" borderId="30" xfId="0" applyFont="1" applyFill="1" applyBorder="1" applyAlignment="1">
      <alignment wrapText="1"/>
    </xf>
    <xf numFmtId="0" fontId="14" fillId="2" borderId="0" xfId="0" applyFont="1" applyFill="1" applyBorder="1"/>
    <xf numFmtId="0" fontId="7" fillId="2" borderId="10" xfId="0" applyFont="1" applyFill="1" applyBorder="1" applyAlignment="1">
      <alignment vertical="top"/>
    </xf>
    <xf numFmtId="0" fontId="14" fillId="2" borderId="7" xfId="0" applyFont="1" applyFill="1" applyBorder="1"/>
    <xf numFmtId="0" fontId="18" fillId="8" borderId="2" xfId="0" applyFont="1" applyFill="1" applyBorder="1"/>
    <xf numFmtId="0" fontId="0" fillId="2" borderId="0" xfId="0" applyFill="1" applyBorder="1" applyAlignment="1">
      <alignment horizontal="left" vertical="top" wrapText="1"/>
    </xf>
    <xf numFmtId="0" fontId="7" fillId="0" borderId="0" xfId="0" applyFont="1" applyFill="1" applyBorder="1" applyAlignment="1">
      <alignment wrapText="1"/>
    </xf>
    <xf numFmtId="0" fontId="7" fillId="2" borderId="11" xfId="0" applyFont="1" applyFill="1" applyBorder="1" applyAlignment="1">
      <alignment vertical="top"/>
    </xf>
    <xf numFmtId="0" fontId="18" fillId="8" borderId="0" xfId="0" applyFont="1" applyFill="1" applyBorder="1"/>
    <xf numFmtId="0" fontId="13" fillId="8" borderId="18" xfId="0" applyFont="1" applyFill="1" applyBorder="1"/>
    <xf numFmtId="3" fontId="0" fillId="2" borderId="0" xfId="0" applyNumberFormat="1" applyFill="1"/>
    <xf numFmtId="0" fontId="7" fillId="0" borderId="16" xfId="0" applyFont="1" applyFill="1" applyBorder="1" applyAlignment="1">
      <alignment wrapText="1"/>
    </xf>
    <xf numFmtId="0" fontId="13" fillId="8" borderId="0" xfId="0" applyFont="1" applyFill="1"/>
    <xf numFmtId="0" fontId="18" fillId="8" borderId="10" xfId="0" applyFont="1" applyFill="1" applyBorder="1"/>
    <xf numFmtId="0" fontId="13" fillId="8" borderId="11" xfId="0" applyFont="1" applyFill="1" applyBorder="1"/>
    <xf numFmtId="0" fontId="18" fillId="8" borderId="11" xfId="0" applyFont="1" applyFill="1" applyBorder="1"/>
    <xf numFmtId="0" fontId="18" fillId="8" borderId="15" xfId="0" applyFont="1" applyFill="1" applyBorder="1" applyAlignment="1">
      <alignment vertical="top" wrapText="1"/>
    </xf>
    <xf numFmtId="0" fontId="18" fillId="8" borderId="13" xfId="0" applyFont="1" applyFill="1" applyBorder="1" applyAlignment="1">
      <alignment vertical="top" wrapText="1"/>
    </xf>
    <xf numFmtId="0" fontId="14" fillId="8" borderId="13" xfId="0" applyFont="1" applyFill="1" applyBorder="1"/>
    <xf numFmtId="0" fontId="6" fillId="8" borderId="13" xfId="0" applyFont="1" applyFill="1" applyBorder="1"/>
    <xf numFmtId="0" fontId="13" fillId="8" borderId="15" xfId="0" applyFont="1" applyFill="1" applyBorder="1"/>
    <xf numFmtId="0" fontId="13" fillId="8" borderId="7" xfId="0" applyFont="1" applyFill="1" applyBorder="1"/>
    <xf numFmtId="0" fontId="26" fillId="8" borderId="20" xfId="0" applyFont="1" applyFill="1" applyBorder="1"/>
    <xf numFmtId="0" fontId="6" fillId="8" borderId="15" xfId="0" applyFont="1" applyFill="1" applyBorder="1"/>
    <xf numFmtId="0" fontId="26" fillId="8" borderId="13" xfId="0" applyFont="1" applyFill="1" applyBorder="1"/>
    <xf numFmtId="10" fontId="0" fillId="2" borderId="0" xfId="0" applyNumberFormat="1" applyFill="1"/>
    <xf numFmtId="0" fontId="11"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165" fontId="10" fillId="0" borderId="0" xfId="1" applyNumberFormat="1" applyFont="1" applyFill="1" applyBorder="1"/>
    <xf numFmtId="0" fontId="10"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8" fillId="8" borderId="0" xfId="0" applyFont="1" applyFill="1" applyBorder="1" applyAlignment="1">
      <alignment vertical="top" wrapText="1"/>
    </xf>
    <xf numFmtId="167" fontId="13" fillId="0" borderId="0" xfId="0" applyNumberFormat="1" applyFont="1"/>
    <xf numFmtId="2" fontId="13" fillId="0" borderId="0" xfId="0" applyNumberFormat="1" applyFont="1"/>
    <xf numFmtId="165" fontId="3" fillId="0" borderId="0" xfId="1" applyNumberFormat="1" applyFont="1" applyFill="1" applyBorder="1"/>
    <xf numFmtId="0" fontId="7" fillId="2" borderId="11" xfId="0" applyFont="1" applyFill="1" applyBorder="1" applyAlignment="1">
      <alignment vertical="top" wrapText="1"/>
    </xf>
    <xf numFmtId="0" fontId="7" fillId="2" borderId="12" xfId="0" applyFont="1" applyFill="1" applyBorder="1" applyAlignment="1">
      <alignment vertical="top" wrapText="1"/>
    </xf>
    <xf numFmtId="0" fontId="7" fillId="2" borderId="16" xfId="0" applyFont="1" applyFill="1" applyBorder="1" applyAlignment="1">
      <alignment vertical="top" wrapText="1"/>
    </xf>
    <xf numFmtId="9" fontId="0" fillId="2" borderId="7" xfId="1" applyFont="1" applyFill="1" applyBorder="1"/>
    <xf numFmtId="0" fontId="0" fillId="0" borderId="0" xfId="0" applyFill="1"/>
    <xf numFmtId="0" fontId="13" fillId="8" borderId="12" xfId="0" applyFont="1" applyFill="1" applyBorder="1"/>
    <xf numFmtId="0" fontId="7" fillId="0" borderId="7" xfId="0" applyFont="1" applyFill="1" applyBorder="1" applyAlignment="1">
      <alignment horizontal="left" wrapText="1"/>
    </xf>
    <xf numFmtId="0" fontId="7" fillId="0" borderId="16" xfId="0" applyFont="1" applyFill="1" applyBorder="1" applyAlignment="1">
      <alignment horizontal="left" wrapText="1"/>
    </xf>
    <xf numFmtId="0" fontId="14" fillId="8" borderId="0" xfId="0" applyFont="1" applyFill="1"/>
    <xf numFmtId="0" fontId="32"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7" fillId="8" borderId="16" xfId="0" applyFont="1" applyFill="1" applyBorder="1"/>
    <xf numFmtId="3" fontId="17" fillId="0" borderId="0" xfId="1524" applyNumberFormat="1" applyFont="1" applyBorder="1"/>
    <xf numFmtId="165" fontId="17" fillId="0" borderId="14" xfId="1524" applyNumberFormat="1" applyFont="1" applyBorder="1"/>
    <xf numFmtId="165" fontId="24" fillId="0" borderId="0" xfId="818" applyNumberFormat="1" applyFont="1"/>
    <xf numFmtId="3" fontId="24" fillId="0" borderId="0" xfId="818" applyNumberFormat="1" applyFont="1"/>
    <xf numFmtId="0" fontId="24"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7" fillId="2" borderId="0" xfId="0" applyFont="1" applyFill="1" applyBorder="1" applyAlignment="1">
      <alignment horizontal="center"/>
    </xf>
    <xf numFmtId="0" fontId="7" fillId="2" borderId="7" xfId="0" applyFont="1" applyFill="1" applyBorder="1" applyAlignment="1">
      <alignment horizontal="center"/>
    </xf>
    <xf numFmtId="0" fontId="0" fillId="2" borderId="18" xfId="0" applyFont="1" applyFill="1" applyBorder="1" applyAlignment="1">
      <alignment horizontal="center"/>
    </xf>
    <xf numFmtId="0" fontId="7" fillId="2" borderId="7" xfId="0" applyFont="1" applyFill="1" applyBorder="1" applyAlignment="1">
      <alignment horizontal="right"/>
    </xf>
    <xf numFmtId="0" fontId="7" fillId="2" borderId="0" xfId="0" applyFont="1" applyFill="1" applyBorder="1" applyAlignment="1">
      <alignment horizontal="right"/>
    </xf>
    <xf numFmtId="9" fontId="0" fillId="2" borderId="0" xfId="1" applyFont="1" applyFill="1" applyBorder="1" applyAlignment="1">
      <alignment horizontal="right"/>
    </xf>
    <xf numFmtId="164" fontId="17" fillId="2" borderId="0" xfId="1" applyNumberFormat="1" applyFont="1" applyFill="1" applyBorder="1" applyAlignment="1">
      <alignment horizontal="right"/>
    </xf>
    <xf numFmtId="9" fontId="0" fillId="2" borderId="2" xfId="1" applyFont="1" applyFill="1" applyBorder="1" applyAlignment="1">
      <alignment horizontal="right"/>
    </xf>
    <xf numFmtId="10" fontId="10" fillId="2" borderId="7" xfId="1" applyNumberFormat="1" applyFont="1" applyFill="1" applyBorder="1" applyAlignment="1">
      <alignment horizontal="right"/>
    </xf>
    <xf numFmtId="10" fontId="10"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3"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10" fillId="2" borderId="0" xfId="0" applyFont="1" applyFill="1" applyBorder="1" applyAlignment="1">
      <alignment horizontal="left" indent="1"/>
    </xf>
    <xf numFmtId="9" fontId="2" fillId="2" borderId="0" xfId="1" applyFont="1" applyFill="1" applyBorder="1" applyAlignment="1">
      <alignment horizontal="right"/>
    </xf>
    <xf numFmtId="0" fontId="13" fillId="0" borderId="39" xfId="0" applyFont="1" applyBorder="1"/>
    <xf numFmtId="0" fontId="14" fillId="0" borderId="13" xfId="0" applyFont="1" applyFill="1" applyBorder="1"/>
    <xf numFmtId="165" fontId="0" fillId="0" borderId="0" xfId="1" applyNumberFormat="1" applyFont="1" applyFill="1" applyBorder="1"/>
    <xf numFmtId="9" fontId="0" fillId="0" borderId="0" xfId="1" applyFont="1" applyFill="1" applyBorder="1"/>
    <xf numFmtId="0" fontId="11" fillId="2" borderId="7" xfId="0" applyFont="1" applyFill="1" applyBorder="1"/>
    <xf numFmtId="9" fontId="0" fillId="0" borderId="8" xfId="1" applyNumberFormat="1" applyFont="1" applyBorder="1"/>
    <xf numFmtId="0" fontId="11" fillId="0" borderId="0" xfId="0" applyFont="1" applyFill="1" applyBorder="1"/>
    <xf numFmtId="0" fontId="11" fillId="0" borderId="7" xfId="0" applyFont="1" applyFill="1" applyBorder="1"/>
    <xf numFmtId="0" fontId="14" fillId="2" borderId="15" xfId="0" applyFont="1" applyFill="1" applyBorder="1"/>
    <xf numFmtId="4" fontId="0" fillId="2" borderId="44" xfId="0" applyNumberFormat="1" applyFill="1" applyBorder="1"/>
    <xf numFmtId="165" fontId="24" fillId="2" borderId="0" xfId="818" applyNumberFormat="1" applyFont="1" applyFill="1"/>
    <xf numFmtId="165" fontId="17" fillId="2" borderId="14" xfId="1524" applyNumberFormat="1" applyFont="1" applyFill="1" applyBorder="1"/>
    <xf numFmtId="165" fontId="24" fillId="0" borderId="0" xfId="818" applyNumberFormat="1" applyFont="1" applyBorder="1"/>
    <xf numFmtId="3" fontId="24" fillId="0" borderId="0" xfId="818" applyNumberFormat="1" applyFont="1" applyBorder="1"/>
    <xf numFmtId="165" fontId="24" fillId="0" borderId="7" xfId="818" applyNumberFormat="1" applyFont="1" applyBorder="1"/>
    <xf numFmtId="3" fontId="24" fillId="0" borderId="7" xfId="818" applyNumberFormat="1" applyFont="1" applyBorder="1"/>
    <xf numFmtId="0" fontId="13" fillId="2" borderId="39" xfId="0" applyFont="1" applyFill="1" applyBorder="1"/>
    <xf numFmtId="0" fontId="13" fillId="2" borderId="38" xfId="0" applyFont="1" applyFill="1" applyBorder="1"/>
    <xf numFmtId="3" fontId="17" fillId="0" borderId="7" xfId="1524" applyNumberFormat="1" applyFont="1" applyBorder="1"/>
    <xf numFmtId="165" fontId="17" fillId="0" borderId="16" xfId="1524" applyNumberFormat="1" applyFont="1" applyBorder="1"/>
    <xf numFmtId="0" fontId="13" fillId="8" borderId="39" xfId="0" applyFont="1" applyFill="1" applyBorder="1"/>
    <xf numFmtId="0" fontId="24" fillId="8" borderId="39" xfId="0" applyFont="1" applyFill="1" applyBorder="1"/>
    <xf numFmtId="0" fontId="17" fillId="8" borderId="39" xfId="0" applyFont="1" applyFill="1" applyBorder="1"/>
    <xf numFmtId="0" fontId="17" fillId="8" borderId="38" xfId="0" applyFont="1" applyFill="1" applyBorder="1"/>
    <xf numFmtId="165" fontId="7" fillId="0" borderId="14" xfId="1" applyNumberFormat="1" applyFont="1" applyFill="1" applyBorder="1"/>
    <xf numFmtId="165" fontId="7" fillId="2" borderId="16" xfId="0" applyNumberFormat="1" applyFont="1" applyFill="1" applyBorder="1"/>
    <xf numFmtId="165" fontId="7" fillId="2" borderId="14" xfId="0" applyNumberFormat="1" applyFont="1" applyFill="1" applyBorder="1"/>
    <xf numFmtId="165" fontId="7" fillId="0" borderId="0" xfId="1" applyNumberFormat="1" applyFont="1" applyFill="1" applyBorder="1"/>
    <xf numFmtId="4" fontId="7" fillId="0" borderId="0" xfId="0" applyNumberFormat="1" applyFont="1" applyFill="1" applyBorder="1"/>
    <xf numFmtId="4" fontId="7" fillId="2" borderId="2" xfId="0" applyNumberFormat="1" applyFont="1" applyFill="1" applyBorder="1"/>
    <xf numFmtId="4" fontId="7" fillId="2" borderId="33" xfId="0" applyNumberFormat="1" applyFont="1" applyFill="1" applyBorder="1"/>
    <xf numFmtId="4" fontId="7" fillId="2" borderId="7" xfId="0" applyNumberFormat="1" applyFont="1" applyFill="1" applyBorder="1"/>
    <xf numFmtId="4" fontId="7" fillId="2" borderId="16" xfId="0" applyNumberFormat="1" applyFont="1" applyFill="1" applyBorder="1"/>
    <xf numFmtId="164" fontId="7" fillId="2" borderId="7" xfId="0" applyNumberFormat="1" applyFont="1" applyFill="1" applyBorder="1"/>
    <xf numFmtId="164" fontId="7" fillId="2" borderId="16" xfId="0" applyNumberFormat="1" applyFont="1" applyFill="1" applyBorder="1"/>
    <xf numFmtId="0" fontId="35" fillId="2" borderId="13" xfId="0" applyFont="1" applyFill="1" applyBorder="1"/>
    <xf numFmtId="9" fontId="7" fillId="0" borderId="0" xfId="1" applyNumberFormat="1" applyFont="1" applyFill="1" applyBorder="1"/>
    <xf numFmtId="9" fontId="0" fillId="0" borderId="0" xfId="1" applyNumberFormat="1" applyFont="1" applyBorder="1"/>
    <xf numFmtId="10" fontId="0" fillId="0" borderId="14" xfId="0" applyNumberFormat="1" applyBorder="1"/>
    <xf numFmtId="0" fontId="27" fillId="2" borderId="13" xfId="0" applyFont="1" applyFill="1" applyBorder="1"/>
    <xf numFmtId="0" fontId="28" fillId="2" borderId="13" xfId="0" applyFont="1" applyFill="1" applyBorder="1"/>
    <xf numFmtId="3" fontId="28" fillId="2" borderId="13" xfId="0" applyNumberFormat="1" applyFont="1" applyFill="1" applyBorder="1" applyAlignment="1">
      <alignment vertical="top" wrapText="1"/>
    </xf>
    <xf numFmtId="165" fontId="10" fillId="0" borderId="0" xfId="1" applyNumberFormat="1" applyFont="1" applyBorder="1"/>
    <xf numFmtId="165" fontId="10" fillId="2" borderId="0" xfId="1" applyNumberFormat="1" applyFont="1" applyFill="1" applyBorder="1"/>
    <xf numFmtId="165" fontId="10" fillId="2" borderId="7" xfId="1" applyNumberFormat="1" applyFont="1" applyFill="1" applyBorder="1"/>
    <xf numFmtId="4" fontId="10" fillId="0" borderId="4" xfId="0" applyNumberFormat="1" applyFont="1" applyFill="1" applyBorder="1"/>
    <xf numFmtId="4" fontId="10" fillId="0" borderId="0" xfId="0" applyNumberFormat="1" applyFont="1" applyFill="1" applyBorder="1"/>
    <xf numFmtId="4" fontId="10" fillId="0" borderId="14" xfId="0" applyNumberFormat="1" applyFont="1" applyFill="1" applyBorder="1"/>
    <xf numFmtId="4" fontId="10" fillId="0" borderId="7" xfId="0" applyNumberFormat="1" applyFont="1" applyFill="1" applyBorder="1"/>
    <xf numFmtId="4" fontId="10" fillId="0" borderId="16" xfId="0" applyNumberFormat="1" applyFont="1" applyFill="1" applyBorder="1"/>
    <xf numFmtId="4" fontId="10" fillId="2" borderId="43" xfId="0" applyNumberFormat="1" applyFont="1" applyFill="1" applyBorder="1"/>
    <xf numFmtId="4" fontId="10" fillId="2" borderId="2" xfId="0" applyNumberFormat="1" applyFont="1" applyFill="1" applyBorder="1"/>
    <xf numFmtId="4" fontId="10" fillId="2" borderId="33" xfId="0" applyNumberFormat="1" applyFont="1" applyFill="1" applyBorder="1"/>
    <xf numFmtId="4" fontId="10" fillId="2" borderId="7" xfId="0" applyNumberFormat="1" applyFont="1" applyFill="1" applyBorder="1"/>
    <xf numFmtId="4" fontId="10" fillId="2" borderId="16" xfId="0" applyNumberFormat="1" applyFont="1" applyFill="1" applyBorder="1"/>
    <xf numFmtId="4" fontId="10" fillId="2" borderId="44" xfId="0" applyNumberFormat="1" applyFont="1" applyFill="1" applyBorder="1"/>
    <xf numFmtId="4" fontId="10" fillId="2" borderId="0" xfId="0" applyNumberFormat="1" applyFont="1" applyFill="1" applyBorder="1"/>
    <xf numFmtId="4" fontId="10" fillId="2" borderId="14" xfId="0" applyNumberFormat="1" applyFont="1" applyFill="1" applyBorder="1"/>
    <xf numFmtId="4" fontId="10" fillId="0" borderId="6" xfId="0" applyNumberFormat="1" applyFont="1" applyFill="1" applyBorder="1"/>
    <xf numFmtId="0" fontId="36" fillId="2" borderId="0" xfId="0" applyFont="1" applyFill="1" applyBorder="1"/>
    <xf numFmtId="0" fontId="36" fillId="2" borderId="7" xfId="0" applyFont="1" applyFill="1" applyBorder="1"/>
    <xf numFmtId="4" fontId="10" fillId="0" borderId="1" xfId="0" applyNumberFormat="1" applyFont="1" applyBorder="1"/>
    <xf numFmtId="4" fontId="10" fillId="0" borderId="2" xfId="0" applyNumberFormat="1" applyFont="1" applyBorder="1"/>
    <xf numFmtId="4" fontId="10" fillId="0" borderId="33" xfId="0" applyNumberFormat="1" applyFont="1" applyBorder="1"/>
    <xf numFmtId="4" fontId="10" fillId="0" borderId="4" xfId="0" applyNumberFormat="1" applyFont="1" applyBorder="1"/>
    <xf numFmtId="4" fontId="10" fillId="0" borderId="0" xfId="0" applyNumberFormat="1" applyFont="1" applyBorder="1"/>
    <xf numFmtId="4" fontId="10" fillId="0" borderId="14" xfId="0" applyNumberFormat="1" applyFont="1" applyBorder="1"/>
    <xf numFmtId="4" fontId="10" fillId="0" borderId="6" xfId="0" applyNumberFormat="1" applyFont="1" applyBorder="1"/>
    <xf numFmtId="4" fontId="10" fillId="0" borderId="7" xfId="0" applyNumberFormat="1" applyFont="1" applyBorder="1"/>
    <xf numFmtId="4" fontId="10" fillId="0" borderId="16" xfId="0" applyNumberFormat="1" applyFont="1" applyBorder="1"/>
    <xf numFmtId="0" fontId="0" fillId="2" borderId="1" xfId="0" applyFill="1" applyBorder="1"/>
    <xf numFmtId="0" fontId="25" fillId="3" borderId="2" xfId="0" applyFont="1" applyFill="1" applyBorder="1"/>
    <xf numFmtId="165" fontId="7" fillId="0" borderId="14" xfId="1" applyNumberFormat="1" applyFont="1" applyBorder="1"/>
    <xf numFmtId="165" fontId="7" fillId="2" borderId="16" xfId="1" applyNumberFormat="1" applyFont="1" applyFill="1" applyBorder="1"/>
    <xf numFmtId="165" fontId="7" fillId="2" borderId="14" xfId="1" applyNumberFormat="1" applyFont="1" applyFill="1" applyBorder="1"/>
    <xf numFmtId="3" fontId="10" fillId="0" borderId="4" xfId="0" applyNumberFormat="1" applyFont="1" applyBorder="1"/>
    <xf numFmtId="3" fontId="10" fillId="2" borderId="6" xfId="0" applyNumberFormat="1" applyFont="1" applyFill="1" applyBorder="1"/>
    <xf numFmtId="3" fontId="10" fillId="2" borderId="4" xfId="0" applyNumberFormat="1" applyFont="1" applyFill="1" applyBorder="1"/>
    <xf numFmtId="165" fontId="13" fillId="0" borderId="4" xfId="0" applyNumberFormat="1" applyFont="1" applyFill="1" applyBorder="1"/>
    <xf numFmtId="165" fontId="13" fillId="8" borderId="4" xfId="0" applyNumberFormat="1" applyFont="1" applyFill="1" applyBorder="1"/>
    <xf numFmtId="165" fontId="13" fillId="8" borderId="6" xfId="0" applyNumberFormat="1" applyFont="1" applyFill="1" applyBorder="1"/>
    <xf numFmtId="165" fontId="18" fillId="0" borderId="14" xfId="1" applyNumberFormat="1" applyFont="1" applyFill="1" applyBorder="1"/>
    <xf numFmtId="165" fontId="18" fillId="8" borderId="14" xfId="1" applyNumberFormat="1" applyFont="1" applyFill="1" applyBorder="1"/>
    <xf numFmtId="165" fontId="18" fillId="8" borderId="16" xfId="1" applyNumberFormat="1" applyFont="1" applyFill="1" applyBorder="1"/>
    <xf numFmtId="0" fontId="7"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7" fillId="2" borderId="1" xfId="0" applyFont="1" applyFill="1" applyBorder="1"/>
    <xf numFmtId="0" fontId="11" fillId="2" borderId="3" xfId="0" applyFont="1" applyFill="1" applyBorder="1"/>
    <xf numFmtId="0" fontId="11" fillId="2" borderId="4" xfId="0" applyFont="1" applyFill="1" applyBorder="1"/>
    <xf numFmtId="0" fontId="11" fillId="2" borderId="5" xfId="0" applyFont="1" applyFill="1" applyBorder="1"/>
    <xf numFmtId="0" fontId="11" fillId="2" borderId="6" xfId="0" applyFont="1" applyFill="1" applyBorder="1"/>
    <xf numFmtId="0" fontId="24" fillId="2" borderId="0" xfId="0" applyFont="1" applyFill="1" applyAlignment="1"/>
    <xf numFmtId="0" fontId="11" fillId="2" borderId="0" xfId="0" applyFont="1" applyFill="1" applyAlignment="1"/>
    <xf numFmtId="164" fontId="10"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1"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3" fillId="8" borderId="53" xfId="0" applyFont="1" applyFill="1" applyBorder="1" applyAlignment="1">
      <alignment horizontal="center"/>
    </xf>
    <xf numFmtId="0" fontId="0" fillId="0" borderId="53" xfId="0" applyFont="1" applyFill="1" applyBorder="1" applyAlignment="1">
      <alignment horizontal="center"/>
    </xf>
    <xf numFmtId="0" fontId="13" fillId="0" borderId="53" xfId="0" applyFont="1" applyFill="1" applyBorder="1" applyAlignment="1">
      <alignment horizontal="center"/>
    </xf>
    <xf numFmtId="168" fontId="28" fillId="2" borderId="13" xfId="0" applyNumberFormat="1" applyFont="1" applyFill="1" applyBorder="1" applyAlignment="1">
      <alignment vertical="top" wrapText="1"/>
    </xf>
    <xf numFmtId="0" fontId="14" fillId="2" borderId="30" xfId="0" applyFont="1" applyFill="1" applyBorder="1" applyAlignment="1">
      <alignment wrapText="1"/>
    </xf>
    <xf numFmtId="0" fontId="13"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10"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10" fillId="2" borderId="7" xfId="0" applyFont="1" applyFill="1" applyBorder="1" applyAlignment="1">
      <alignment horizontal="left"/>
    </xf>
    <xf numFmtId="0" fontId="0" fillId="2" borderId="18" xfId="0" applyFill="1" applyBorder="1" applyAlignment="1">
      <alignment horizontal="left"/>
    </xf>
    <xf numFmtId="0" fontId="10"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3" fillId="0" borderId="9" xfId="0" applyFont="1" applyBorder="1"/>
    <xf numFmtId="0" fontId="13" fillId="0" borderId="26" xfId="0" applyFont="1" applyBorder="1"/>
    <xf numFmtId="0" fontId="0" fillId="0" borderId="56" xfId="0" applyFill="1" applyBorder="1"/>
    <xf numFmtId="0" fontId="0" fillId="0" borderId="26" xfId="0" applyFill="1" applyBorder="1"/>
    <xf numFmtId="0" fontId="10" fillId="2" borderId="58" xfId="0" applyFont="1" applyFill="1" applyBorder="1" applyAlignment="1">
      <alignment horizontal="left"/>
    </xf>
    <xf numFmtId="0" fontId="10"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10" fillId="2" borderId="59" xfId="0" applyFont="1" applyFill="1" applyBorder="1" applyAlignment="1">
      <alignment horizontal="left"/>
    </xf>
    <xf numFmtId="0" fontId="13"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3" fillId="0" borderId="58" xfId="0" applyFont="1" applyFill="1" applyBorder="1" applyAlignment="1">
      <alignment horizontal="left"/>
    </xf>
    <xf numFmtId="0" fontId="7"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2" fillId="2" borderId="17" xfId="0" applyFont="1" applyFill="1" applyBorder="1"/>
    <xf numFmtId="0" fontId="12" fillId="2" borderId="61" xfId="0" applyFont="1" applyFill="1" applyBorder="1"/>
    <xf numFmtId="0" fontId="0" fillId="2" borderId="39" xfId="0" applyFont="1" applyFill="1" applyBorder="1"/>
    <xf numFmtId="10" fontId="0" fillId="0" borderId="50" xfId="1" applyNumberFormat="1" applyFont="1" applyFill="1" applyBorder="1" applyAlignment="1">
      <alignment horizontal="right"/>
    </xf>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0" fontId="0" fillId="0" borderId="5" xfId="0" applyBorder="1"/>
    <xf numFmtId="2" fontId="0" fillId="2" borderId="0" xfId="0" applyNumberFormat="1" applyFill="1" applyBorder="1" applyAlignment="1">
      <alignment horizontal="left"/>
    </xf>
    <xf numFmtId="0" fontId="7" fillId="2" borderId="1" xfId="0" applyFont="1" applyFill="1" applyBorder="1" applyAlignment="1">
      <alignment vertical="top"/>
    </xf>
    <xf numFmtId="0" fontId="28" fillId="2" borderId="4" xfId="0" applyFont="1" applyFill="1" applyBorder="1" applyAlignment="1">
      <alignment vertical="top" wrapText="1"/>
    </xf>
    <xf numFmtId="0" fontId="28" fillId="2" borderId="4" xfId="0" applyFont="1" applyFill="1" applyBorder="1"/>
    <xf numFmtId="0" fontId="28" fillId="2" borderId="6" xfId="0" applyFont="1" applyFill="1" applyBorder="1" applyAlignment="1">
      <alignment vertical="top"/>
    </xf>
    <xf numFmtId="0" fontId="28" fillId="2" borderId="5" xfId="0" applyFont="1" applyFill="1" applyBorder="1"/>
    <xf numFmtId="0" fontId="28" fillId="2" borderId="1" xfId="0" applyFont="1" applyFill="1" applyBorder="1"/>
    <xf numFmtId="0" fontId="28" fillId="2" borderId="3" xfId="0" applyFont="1" applyFill="1" applyBorder="1"/>
    <xf numFmtId="0" fontId="28" fillId="0" borderId="4" xfId="0" applyFont="1" applyFill="1" applyBorder="1"/>
    <xf numFmtId="0" fontId="39" fillId="2" borderId="4" xfId="0" applyFont="1" applyFill="1" applyBorder="1"/>
    <xf numFmtId="0" fontId="28" fillId="0" borderId="4" xfId="0" applyFont="1" applyBorder="1"/>
    <xf numFmtId="0" fontId="27" fillId="2" borderId="6" xfId="0" applyFont="1" applyFill="1" applyBorder="1"/>
    <xf numFmtId="0" fontId="27" fillId="2" borderId="8" xfId="0" applyFont="1" applyFill="1" applyBorder="1"/>
    <xf numFmtId="0" fontId="7" fillId="0" borderId="0" xfId="0" applyFont="1"/>
    <xf numFmtId="0" fontId="17" fillId="2" borderId="0" xfId="0" applyFont="1" applyFill="1"/>
    <xf numFmtId="3" fontId="24" fillId="0" borderId="0" xfId="0" applyNumberFormat="1" applyFont="1" applyFill="1" applyBorder="1" applyAlignment="1">
      <alignment vertical="top"/>
    </xf>
    <xf numFmtId="0" fontId="38" fillId="2" borderId="7" xfId="0" applyFont="1" applyFill="1" applyBorder="1"/>
    <xf numFmtId="0" fontId="0" fillId="2" borderId="0" xfId="0" applyNumberFormat="1" applyFill="1" applyBorder="1" applyAlignment="1">
      <alignment wrapText="1"/>
    </xf>
    <xf numFmtId="3" fontId="11" fillId="0" borderId="14" xfId="0" applyNumberFormat="1" applyFont="1" applyFill="1" applyBorder="1" applyAlignment="1">
      <alignment vertical="top"/>
    </xf>
    <xf numFmtId="0" fontId="24" fillId="0" borderId="14" xfId="0" applyFont="1" applyFill="1" applyBorder="1" applyAlignment="1">
      <alignment horizontal="right"/>
    </xf>
    <xf numFmtId="1" fontId="11" fillId="2" borderId="19" xfId="0" applyNumberFormat="1" applyFont="1" applyFill="1" applyBorder="1"/>
    <xf numFmtId="0" fontId="0" fillId="2" borderId="36" xfId="0" applyFill="1" applyBorder="1"/>
    <xf numFmtId="0" fontId="7" fillId="0" borderId="29" xfId="0" applyFont="1" applyFill="1" applyBorder="1" applyAlignment="1">
      <alignment vertical="top" wrapText="1"/>
    </xf>
    <xf numFmtId="0" fontId="7" fillId="2" borderId="30" xfId="0" applyFont="1" applyFill="1" applyBorder="1" applyAlignment="1">
      <alignment vertical="top" wrapText="1"/>
    </xf>
    <xf numFmtId="3" fontId="24" fillId="0" borderId="30" xfId="0" applyNumberFormat="1" applyFont="1" applyFill="1" applyBorder="1" applyAlignment="1">
      <alignment vertical="top"/>
    </xf>
    <xf numFmtId="0" fontId="37" fillId="0" borderId="30" xfId="0" applyFont="1" applyFill="1" applyBorder="1" applyAlignment="1">
      <alignment horizontal="right"/>
    </xf>
    <xf numFmtId="1" fontId="11" fillId="2" borderId="31" xfId="0" applyNumberFormat="1" applyFont="1" applyFill="1" applyBorder="1"/>
    <xf numFmtId="0" fontId="26" fillId="3" borderId="13" xfId="0" applyFont="1" applyFill="1" applyBorder="1"/>
    <xf numFmtId="0" fontId="26" fillId="8" borderId="15" xfId="0" applyFont="1" applyFill="1" applyBorder="1"/>
    <xf numFmtId="0" fontId="12" fillId="0" borderId="13" xfId="0" applyFont="1" applyBorder="1"/>
    <xf numFmtId="0" fontId="26" fillId="8" borderId="17" xfId="0" applyFont="1" applyFill="1" applyBorder="1"/>
    <xf numFmtId="0" fontId="13" fillId="8" borderId="2" xfId="0" applyFont="1" applyFill="1" applyBorder="1"/>
    <xf numFmtId="0" fontId="7"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1"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1"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10" fillId="0" borderId="2" xfId="0" applyNumberFormat="1" applyFont="1" applyBorder="1"/>
    <xf numFmtId="3" fontId="10" fillId="0" borderId="0" xfId="0" applyNumberFormat="1" applyFont="1" applyBorder="1"/>
    <xf numFmtId="3" fontId="10" fillId="0" borderId="7" xfId="0" applyNumberFormat="1" applyFont="1" applyBorder="1"/>
    <xf numFmtId="3" fontId="10" fillId="0" borderId="4" xfId="0" applyNumberFormat="1" applyFont="1" applyFill="1" applyBorder="1"/>
    <xf numFmtId="3" fontId="10" fillId="0" borderId="6" xfId="0" applyNumberFormat="1" applyFont="1" applyFill="1" applyBorder="1"/>
    <xf numFmtId="3" fontId="10" fillId="0" borderId="0" xfId="0" applyNumberFormat="1" applyFont="1"/>
    <xf numFmtId="4" fontId="7" fillId="0" borderId="4" xfId="0" applyNumberFormat="1" applyFont="1" applyFill="1" applyBorder="1"/>
    <xf numFmtId="0" fontId="7" fillId="2" borderId="2" xfId="0" applyFont="1" applyFill="1" applyBorder="1" applyAlignment="1"/>
    <xf numFmtId="0" fontId="7" fillId="2" borderId="3" xfId="0" applyFont="1" applyFill="1" applyBorder="1" applyAlignment="1"/>
    <xf numFmtId="0" fontId="7" fillId="2" borderId="5" xfId="0" applyFont="1" applyFill="1" applyBorder="1" applyAlignment="1">
      <alignment wrapText="1"/>
    </xf>
    <xf numFmtId="0" fontId="7" fillId="2" borderId="0" xfId="0" applyFont="1" applyFill="1" applyBorder="1" applyAlignment="1"/>
    <xf numFmtId="0" fontId="7" fillId="2" borderId="7" xfId="0" applyFont="1" applyFill="1" applyBorder="1" applyAlignment="1"/>
    <xf numFmtId="0" fontId="7" fillId="2" borderId="8" xfId="0" applyFont="1" applyFill="1" applyBorder="1" applyAlignment="1"/>
    <xf numFmtId="9" fontId="7" fillId="0" borderId="6" xfId="1" applyNumberFormat="1" applyFont="1" applyFill="1" applyBorder="1"/>
    <xf numFmtId="9" fontId="7" fillId="0" borderId="7" xfId="1" applyNumberFormat="1" applyFont="1" applyFill="1" applyBorder="1"/>
    <xf numFmtId="9" fontId="7" fillId="0" borderId="16" xfId="1" applyNumberFormat="1" applyFont="1" applyFill="1" applyBorder="1"/>
    <xf numFmtId="4" fontId="7" fillId="2" borderId="64" xfId="0" applyNumberFormat="1" applyFont="1" applyFill="1" applyBorder="1"/>
    <xf numFmtId="165" fontId="24" fillId="2" borderId="0" xfId="818" applyNumberFormat="1" applyFont="1" applyFill="1" applyBorder="1"/>
    <xf numFmtId="3" fontId="24" fillId="2" borderId="0" xfId="818" applyNumberFormat="1" applyFont="1" applyFill="1" applyBorder="1"/>
    <xf numFmtId="3" fontId="17" fillId="2" borderId="0" xfId="1524" applyNumberFormat="1" applyFont="1" applyFill="1" applyBorder="1"/>
    <xf numFmtId="0" fontId="13" fillId="3" borderId="18" xfId="0" applyFont="1" applyFill="1" applyBorder="1"/>
    <xf numFmtId="0" fontId="13" fillId="3" borderId="19" xfId="0" applyFont="1" applyFill="1" applyBorder="1"/>
    <xf numFmtId="0" fontId="13" fillId="2" borderId="7" xfId="0" applyFont="1" applyFill="1" applyBorder="1"/>
    <xf numFmtId="0" fontId="24" fillId="2" borderId="7" xfId="0" applyFont="1" applyFill="1" applyBorder="1"/>
    <xf numFmtId="0" fontId="17" fillId="2" borderId="7" xfId="0" applyFont="1" applyFill="1" applyBorder="1"/>
    <xf numFmtId="0" fontId="17" fillId="2" borderId="16" xfId="0" applyFont="1" applyFill="1" applyBorder="1"/>
    <xf numFmtId="165" fontId="24" fillId="2" borderId="2" xfId="818" applyNumberFormat="1" applyFont="1" applyFill="1" applyBorder="1"/>
    <xf numFmtId="3" fontId="24" fillId="2" borderId="2" xfId="818" applyNumberFormat="1" applyFont="1" applyFill="1" applyBorder="1"/>
    <xf numFmtId="3" fontId="17" fillId="2" borderId="2" xfId="1524" applyNumberFormat="1" applyFont="1" applyFill="1" applyBorder="1"/>
    <xf numFmtId="165" fontId="17" fillId="2" borderId="33" xfId="1524" applyNumberFormat="1" applyFont="1" applyFill="1" applyBorder="1"/>
    <xf numFmtId="0" fontId="13" fillId="3" borderId="7" xfId="0" applyFont="1" applyFill="1" applyBorder="1"/>
    <xf numFmtId="0" fontId="24" fillId="3" borderId="7" xfId="0" applyFont="1" applyFill="1" applyBorder="1"/>
    <xf numFmtId="0" fontId="17" fillId="3" borderId="7" xfId="0" applyFont="1" applyFill="1" applyBorder="1"/>
    <xf numFmtId="0" fontId="17" fillId="3" borderId="16" xfId="0" applyFont="1" applyFill="1" applyBorder="1"/>
    <xf numFmtId="0" fontId="6" fillId="3" borderId="13" xfId="0" applyFont="1" applyFill="1" applyBorder="1"/>
    <xf numFmtId="0" fontId="13" fillId="3" borderId="13" xfId="0" applyFont="1" applyFill="1" applyBorder="1"/>
    <xf numFmtId="0" fontId="13" fillId="3" borderId="0" xfId="0" applyFont="1" applyFill="1" applyBorder="1"/>
    <xf numFmtId="0" fontId="24" fillId="3" borderId="0" xfId="0" applyFont="1" applyFill="1" applyBorder="1"/>
    <xf numFmtId="0" fontId="17" fillId="3" borderId="0" xfId="0" applyFont="1" applyFill="1" applyBorder="1"/>
    <xf numFmtId="0" fontId="17" fillId="3" borderId="14" xfId="0" applyFont="1" applyFill="1" applyBorder="1"/>
    <xf numFmtId="2" fontId="10" fillId="0" borderId="0" xfId="0" applyNumberFormat="1" applyFont="1" applyFill="1" applyBorder="1" applyAlignment="1">
      <alignment horizontal="right" wrapText="1"/>
    </xf>
    <xf numFmtId="3" fontId="17" fillId="0" borderId="65" xfId="1524" applyNumberFormat="1" applyFont="1" applyBorder="1"/>
    <xf numFmtId="165" fontId="17" fillId="0" borderId="33" xfId="1524" applyNumberFormat="1" applyFont="1" applyBorder="1"/>
    <xf numFmtId="3" fontId="17" fillId="0" borderId="66" xfId="1524" applyNumberFormat="1" applyFont="1" applyBorder="1"/>
    <xf numFmtId="3" fontId="17" fillId="0" borderId="67" xfId="1524" applyNumberFormat="1" applyFont="1" applyBorder="1"/>
    <xf numFmtId="0" fontId="0" fillId="2" borderId="16" xfId="0" applyFill="1" applyBorder="1"/>
    <xf numFmtId="0" fontId="7" fillId="2" borderId="2" xfId="0" applyFont="1" applyFill="1" applyBorder="1" applyAlignment="1">
      <alignment vertical="top" wrapText="1"/>
    </xf>
    <xf numFmtId="3" fontId="7" fillId="2" borderId="2" xfId="0" applyNumberFormat="1" applyFont="1" applyFill="1" applyBorder="1" applyAlignment="1">
      <alignment vertical="top" wrapText="1"/>
    </xf>
    <xf numFmtId="3" fontId="7"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8" xfId="0" applyNumberFormat="1" applyFont="1" applyFill="1" applyBorder="1" applyAlignment="1">
      <alignment vertical="top" wrapText="1"/>
    </xf>
    <xf numFmtId="9" fontId="13" fillId="8" borderId="0" xfId="0" applyNumberFormat="1" applyFont="1" applyFill="1"/>
    <xf numFmtId="170" fontId="13" fillId="8" borderId="0" xfId="0" applyNumberFormat="1" applyFont="1" applyFill="1"/>
    <xf numFmtId="0" fontId="18" fillId="8" borderId="12" xfId="0" applyFont="1" applyFill="1" applyBorder="1"/>
    <xf numFmtId="0" fontId="18" fillId="8" borderId="14" xfId="0" applyFont="1" applyFill="1" applyBorder="1"/>
    <xf numFmtId="0" fontId="13" fillId="8" borderId="16" xfId="0" applyFont="1" applyFill="1" applyBorder="1"/>
    <xf numFmtId="9" fontId="0" fillId="0" borderId="14" xfId="1" applyFont="1" applyFill="1" applyBorder="1"/>
    <xf numFmtId="2" fontId="13" fillId="8" borderId="0" xfId="0" applyNumberFormat="1" applyFont="1" applyFill="1" applyBorder="1"/>
    <xf numFmtId="2" fontId="13" fillId="8" borderId="14" xfId="0" applyNumberFormat="1" applyFont="1" applyFill="1" applyBorder="1"/>
    <xf numFmtId="0" fontId="13" fillId="8" borderId="19" xfId="0" applyFont="1" applyFill="1" applyBorder="1"/>
    <xf numFmtId="0" fontId="13" fillId="0" borderId="13" xfId="0" applyFont="1" applyFill="1" applyBorder="1"/>
    <xf numFmtId="0" fontId="18" fillId="8" borderId="15" xfId="0" applyFont="1" applyFill="1" applyBorder="1"/>
    <xf numFmtId="0" fontId="18" fillId="0" borderId="7" xfId="0" applyFont="1" applyBorder="1"/>
    <xf numFmtId="0" fontId="26" fillId="8" borderId="13" xfId="0" applyFont="1" applyFill="1" applyBorder="1" applyAlignment="1">
      <alignment vertical="top"/>
    </xf>
    <xf numFmtId="0" fontId="17" fillId="2" borderId="4" xfId="0" applyFont="1" applyFill="1" applyBorder="1"/>
    <xf numFmtId="0" fontId="11" fillId="2" borderId="40" xfId="0" quotePrefix="1" applyFont="1" applyFill="1" applyBorder="1"/>
    <xf numFmtId="0" fontId="11" fillId="2" borderId="40" xfId="0" applyFont="1" applyFill="1" applyBorder="1"/>
    <xf numFmtId="0" fontId="11" fillId="2" borderId="7" xfId="0" applyFont="1" applyFill="1" applyBorder="1" applyAlignment="1">
      <alignment horizontal="left"/>
    </xf>
    <xf numFmtId="165" fontId="2" fillId="0" borderId="14" xfId="1" applyNumberFormat="1" applyFont="1" applyFill="1" applyBorder="1"/>
    <xf numFmtId="168" fontId="11" fillId="0" borderId="0" xfId="0" applyNumberFormat="1" applyFont="1" applyFill="1" applyAlignment="1">
      <alignment vertical="top" wrapText="1"/>
    </xf>
    <xf numFmtId="2" fontId="11" fillId="0" borderId="0" xfId="0" applyNumberFormat="1" applyFont="1" applyFill="1" applyBorder="1"/>
    <xf numFmtId="2" fontId="11" fillId="2" borderId="7" xfId="0" applyNumberFormat="1" applyFont="1" applyFill="1" applyBorder="1"/>
    <xf numFmtId="0" fontId="7" fillId="2" borderId="69"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70"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7" fillId="2" borderId="13" xfId="0" applyFont="1" applyFill="1" applyBorder="1" applyAlignment="1">
      <alignment wrapText="1"/>
    </xf>
    <xf numFmtId="0" fontId="7" fillId="2" borderId="0" xfId="0" applyFont="1" applyFill="1" applyBorder="1" applyAlignment="1">
      <alignment wrapText="1"/>
    </xf>
    <xf numFmtId="0" fontId="11" fillId="2" borderId="45" xfId="0" applyFont="1" applyFill="1" applyBorder="1"/>
    <xf numFmtId="0" fontId="11"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2" fontId="7" fillId="2" borderId="14" xfId="0" applyNumberFormat="1" applyFont="1" applyFill="1" applyBorder="1" applyAlignment="1">
      <alignment vertical="center" wrapText="1"/>
    </xf>
    <xf numFmtId="0" fontId="17" fillId="2" borderId="71" xfId="0" quotePrefix="1" applyFont="1" applyFill="1" applyBorder="1"/>
    <xf numFmtId="0" fontId="11"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72" xfId="0" applyNumberFormat="1" applyFont="1" applyFill="1" applyBorder="1"/>
    <xf numFmtId="0" fontId="7"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0" fontId="0" fillId="2" borderId="24" xfId="0" applyFont="1" applyFill="1" applyBorder="1" applyAlignment="1">
      <alignment horizontal="left" wrapText="1"/>
    </xf>
    <xf numFmtId="169" fontId="13" fillId="0" borderId="4" xfId="0" applyNumberFormat="1" applyFont="1" applyBorder="1" applyAlignment="1">
      <alignment horizontal="left" vertical="center"/>
    </xf>
    <xf numFmtId="0" fontId="13" fillId="0" borderId="0" xfId="0" applyFont="1" applyAlignment="1">
      <alignment wrapText="1"/>
    </xf>
    <xf numFmtId="0" fontId="7"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1"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65" fontId="0" fillId="15" borderId="23" xfId="0" applyNumberFormat="1" applyFill="1" applyBorder="1" applyAlignment="1">
      <alignment wrapText="1"/>
    </xf>
    <xf numFmtId="10" fontId="0" fillId="2" borderId="0" xfId="1" applyNumberFormat="1" applyFont="1" applyFill="1" applyBorder="1" applyAlignment="1">
      <alignment horizontal="right"/>
    </xf>
    <xf numFmtId="0" fontId="13" fillId="0" borderId="0" xfId="0" applyFont="1" applyBorder="1" applyAlignment="1">
      <alignment horizontal="left"/>
    </xf>
    <xf numFmtId="0" fontId="13" fillId="0" borderId="0" xfId="0" applyFont="1" applyFill="1" applyBorder="1" applyAlignment="1">
      <alignment horizontal="left"/>
    </xf>
    <xf numFmtId="0" fontId="13" fillId="0" borderId="50" xfId="0" applyFont="1" applyBorder="1"/>
    <xf numFmtId="10" fontId="11" fillId="15" borderId="23" xfId="1" applyNumberFormat="1" applyFont="1" applyFill="1" applyBorder="1"/>
    <xf numFmtId="9" fontId="0" fillId="15" borderId="23" xfId="1" applyFont="1" applyFill="1" applyBorder="1" applyAlignment="1">
      <alignment horizontal="center"/>
    </xf>
    <xf numFmtId="2" fontId="0" fillId="0" borderId="0" xfId="0" applyNumberFormat="1"/>
    <xf numFmtId="164" fontId="0" fillId="0" borderId="9" xfId="1" applyNumberFormat="1" applyFont="1" applyFill="1" applyBorder="1" applyAlignment="1">
      <alignment horizontal="right"/>
    </xf>
    <xf numFmtId="167" fontId="0" fillId="0" borderId="5" xfId="0" applyNumberFormat="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1" fillId="2" borderId="6" xfId="0" applyFont="1" applyFill="1" applyBorder="1" applyAlignment="1">
      <alignment horizontal="left" vertical="top" wrapText="1"/>
    </xf>
    <xf numFmtId="0" fontId="11" fillId="2" borderId="7" xfId="0" applyFont="1" applyFill="1" applyBorder="1" applyAlignment="1">
      <alignment horizontal="left" vertical="top" wrapText="1"/>
    </xf>
    <xf numFmtId="0" fontId="11"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1" fillId="2" borderId="2" xfId="0" applyFont="1" applyFill="1" applyBorder="1" applyAlignment="1">
      <alignment wrapText="1"/>
    </xf>
    <xf numFmtId="0" fontId="0" fillId="0" borderId="2" xfId="0" applyBorder="1" applyAlignment="1">
      <alignment wrapText="1"/>
    </xf>
  </cellXfs>
  <cellStyles count="229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Input cel" xfId="712"/>
    <cellStyle name="Linked Cell" xfId="818" builtinId="24" customBuiltin="1"/>
    <cellStyle name="Normal" xfId="0" builtinId="0"/>
    <cellStyle name="Normal 2" xfId="713"/>
    <cellStyle name="Percent" xfId="1" builtinId="5"/>
    <cellStyle name="Percent 2" xfId="714"/>
    <cellStyle name="Percent 3" xfId="892"/>
    <cellStyle name="Warning Text 3" xfId="715"/>
  </cellStyles>
  <dxfs count="19">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50" Type="http://schemas.openxmlformats.org/officeDocument/2006/relationships/sharedStrings" Target="sharedStrings.xml"/><Relationship Id="rId5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198</v>
      </c>
    </row>
    <row r="4" spans="2:4">
      <c r="B4" s="3" t="s">
        <v>1</v>
      </c>
      <c r="C4" s="4" t="str">
        <f>"Residence analysis "&amp;C6&amp;" "&amp;C7</f>
        <v>Residence analysis 0 0</v>
      </c>
      <c r="D4" s="5"/>
    </row>
    <row r="5" spans="2:4">
      <c r="B5" s="6" t="s">
        <v>2</v>
      </c>
      <c r="C5" s="453">
        <f>MAX(Changelog!D:D)</f>
        <v>2.17</v>
      </c>
      <c r="D5" s="7"/>
    </row>
    <row r="6" spans="2:4">
      <c r="B6" s="146" t="s">
        <v>322</v>
      </c>
      <c r="C6" s="147">
        <f>Dashboard!E11</f>
        <v>0</v>
      </c>
      <c r="D6" s="7"/>
    </row>
    <row r="7" spans="2:4">
      <c r="B7" s="146" t="s">
        <v>323</v>
      </c>
      <c r="C7" s="148">
        <f>Dashboard!E12</f>
        <v>0</v>
      </c>
      <c r="D7" s="7"/>
    </row>
    <row r="8" spans="2:4">
      <c r="B8" s="6" t="s">
        <v>3</v>
      </c>
      <c r="C8" s="409">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6" thickBot="1">
      <c r="B15" s="22"/>
      <c r="C15" s="15" t="s">
        <v>12</v>
      </c>
      <c r="D15" s="7"/>
    </row>
    <row r="16" spans="2:4" ht="16" thickBot="1">
      <c r="B16" s="22"/>
      <c r="C16" s="24" t="s">
        <v>13</v>
      </c>
      <c r="D16" s="7"/>
    </row>
    <row r="17" spans="2:4">
      <c r="B17" s="22"/>
      <c r="C17" s="8" t="s">
        <v>14</v>
      </c>
      <c r="D17" s="7"/>
    </row>
    <row r="18" spans="2:4">
      <c r="B18" s="22"/>
      <c r="C18" s="8"/>
      <c r="D18" s="7"/>
    </row>
    <row r="19" spans="2:4">
      <c r="B19" s="22" t="s">
        <v>677</v>
      </c>
      <c r="C19" s="25" t="s">
        <v>217</v>
      </c>
      <c r="D19" s="7"/>
    </row>
    <row r="20" spans="2:4">
      <c r="B20" s="22"/>
      <c r="C20" s="124" t="s">
        <v>17</v>
      </c>
      <c r="D20" s="7"/>
    </row>
    <row r="21" spans="2:4">
      <c r="B21" s="22"/>
      <c r="C21" s="125" t="s">
        <v>218</v>
      </c>
      <c r="D21" s="7"/>
    </row>
    <row r="22" spans="2:4">
      <c r="B22" s="22"/>
      <c r="C22" s="126" t="s">
        <v>27</v>
      </c>
      <c r="D22" s="7"/>
    </row>
    <row r="23" spans="2:4">
      <c r="B23" s="20"/>
      <c r="C23" s="26" t="s">
        <v>15</v>
      </c>
      <c r="D23" s="7"/>
    </row>
    <row r="24" spans="2:4">
      <c r="B24" s="20"/>
      <c r="C24" s="127" t="s">
        <v>219</v>
      </c>
      <c r="D24" s="7"/>
    </row>
    <row r="25" spans="2:4">
      <c r="B25" s="20"/>
      <c r="C25" s="128" t="s">
        <v>16</v>
      </c>
      <c r="D25" s="7"/>
    </row>
    <row r="26" spans="2:4">
      <c r="B26" s="20"/>
      <c r="C26" s="98" t="s">
        <v>230</v>
      </c>
      <c r="D26" s="7"/>
    </row>
    <row r="27" spans="2:4">
      <c r="B27" s="21"/>
      <c r="C27" s="469"/>
      <c r="D27" s="11"/>
    </row>
    <row r="29" spans="2:4">
      <c r="B29" s="3" t="s">
        <v>18</v>
      </c>
      <c r="C29" s="4"/>
      <c r="D29" s="5"/>
    </row>
    <row r="30" spans="2:4" ht="60">
      <c r="B30" s="20"/>
      <c r="C30" s="470" t="s">
        <v>725</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9" type="noConversion"/>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36"/>
  <sheetViews>
    <sheetView workbookViewId="0"/>
  </sheetViews>
  <sheetFormatPr baseColWidth="10" defaultRowHeight="15" x14ac:dyDescent="0"/>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0">
      <c r="B2" s="2" t="s">
        <v>0</v>
      </c>
    </row>
    <row r="4" spans="2:4">
      <c r="B4" s="12" t="s">
        <v>3</v>
      </c>
      <c r="C4" s="13" t="s">
        <v>6</v>
      </c>
      <c r="D4" s="14" t="s">
        <v>7</v>
      </c>
    </row>
    <row r="5" spans="2:4">
      <c r="B5" s="6"/>
      <c r="C5" s="15"/>
      <c r="D5" s="16"/>
    </row>
    <row r="6" spans="2:4">
      <c r="B6" s="408">
        <v>41474</v>
      </c>
      <c r="C6" s="17" t="s">
        <v>8</v>
      </c>
      <c r="D6" s="27">
        <v>1</v>
      </c>
    </row>
    <row r="7" spans="2:4">
      <c r="B7" s="408">
        <v>41484</v>
      </c>
      <c r="C7" s="17" t="s">
        <v>503</v>
      </c>
      <c r="D7" s="27">
        <v>1</v>
      </c>
    </row>
    <row r="8" spans="2:4">
      <c r="B8" s="408">
        <v>41485</v>
      </c>
      <c r="C8" s="17" t="s">
        <v>520</v>
      </c>
      <c r="D8" s="27">
        <v>1.01</v>
      </c>
    </row>
    <row r="9" spans="2:4">
      <c r="B9" s="19"/>
      <c r="C9" s="17" t="s">
        <v>521</v>
      </c>
      <c r="D9" s="27"/>
    </row>
    <row r="10" spans="2:4">
      <c r="B10" s="408">
        <v>41486</v>
      </c>
      <c r="C10" s="71" t="s">
        <v>582</v>
      </c>
      <c r="D10" s="27"/>
    </row>
    <row r="11" spans="2:4">
      <c r="B11" s="116"/>
      <c r="C11" s="17" t="s">
        <v>532</v>
      </c>
      <c r="D11" s="27"/>
    </row>
    <row r="12" spans="2:4">
      <c r="B12" s="408">
        <v>41490</v>
      </c>
      <c r="C12" s="17" t="s">
        <v>572</v>
      </c>
      <c r="D12" s="27">
        <v>2</v>
      </c>
    </row>
    <row r="13" spans="2:4">
      <c r="B13" s="19"/>
      <c r="C13" s="17" t="s">
        <v>573</v>
      </c>
      <c r="D13" s="27"/>
    </row>
    <row r="14" spans="2:4">
      <c r="B14" s="19"/>
      <c r="C14" s="17" t="s">
        <v>574</v>
      </c>
      <c r="D14" s="27"/>
    </row>
    <row r="15" spans="2:4">
      <c r="B15" s="19"/>
      <c r="C15" s="40" t="s">
        <v>575</v>
      </c>
      <c r="D15" s="27"/>
    </row>
    <row r="16" spans="2:4">
      <c r="B16" s="408">
        <v>41491</v>
      </c>
      <c r="C16" s="17" t="s">
        <v>590</v>
      </c>
      <c r="D16" s="27">
        <v>2.0099999999999998</v>
      </c>
    </row>
    <row r="17" spans="2:4">
      <c r="B17" s="408">
        <v>41492</v>
      </c>
      <c r="C17" s="40" t="s">
        <v>648</v>
      </c>
      <c r="D17" s="27">
        <v>2.02</v>
      </c>
    </row>
    <row r="18" spans="2:4">
      <c r="B18" s="408">
        <v>41494</v>
      </c>
      <c r="C18" s="17" t="s">
        <v>699</v>
      </c>
      <c r="D18" s="27">
        <v>2.02</v>
      </c>
    </row>
    <row r="19" spans="2:4">
      <c r="B19" s="408">
        <v>41495</v>
      </c>
      <c r="C19" s="40" t="s">
        <v>710</v>
      </c>
      <c r="D19" s="27">
        <v>2.0299999999999998</v>
      </c>
    </row>
    <row r="20" spans="2:4">
      <c r="B20" s="408">
        <v>41500</v>
      </c>
      <c r="C20" s="40" t="s">
        <v>724</v>
      </c>
      <c r="D20" s="27">
        <v>2.04</v>
      </c>
    </row>
    <row r="21" spans="2:4">
      <c r="B21" s="408">
        <v>41505</v>
      </c>
      <c r="C21" s="40" t="s">
        <v>729</v>
      </c>
      <c r="D21" s="27">
        <v>2.0499999999999998</v>
      </c>
    </row>
    <row r="22" spans="2:4">
      <c r="B22" s="408">
        <v>41507</v>
      </c>
      <c r="C22" s="40" t="s">
        <v>744</v>
      </c>
      <c r="D22" s="27" t="s">
        <v>482</v>
      </c>
    </row>
    <row r="23" spans="2:4" ht="30">
      <c r="B23" s="408">
        <v>41507</v>
      </c>
      <c r="C23" s="40" t="s">
        <v>736</v>
      </c>
      <c r="D23" s="27">
        <v>2.06</v>
      </c>
    </row>
    <row r="24" spans="2:4" ht="30">
      <c r="B24" s="408">
        <v>41512</v>
      </c>
      <c r="C24" s="40" t="s">
        <v>745</v>
      </c>
      <c r="D24" s="27">
        <v>2.0699999999999998</v>
      </c>
    </row>
    <row r="25" spans="2:4">
      <c r="B25" s="408">
        <v>41534</v>
      </c>
      <c r="C25" s="40" t="s">
        <v>758</v>
      </c>
      <c r="D25" s="27">
        <v>2.08</v>
      </c>
    </row>
    <row r="26" spans="2:4">
      <c r="B26" s="408">
        <v>41535</v>
      </c>
      <c r="C26" s="40" t="s">
        <v>800</v>
      </c>
      <c r="D26" s="27">
        <v>2.09</v>
      </c>
    </row>
    <row r="27" spans="2:4">
      <c r="B27" s="408">
        <v>41535</v>
      </c>
      <c r="C27" s="40" t="s">
        <v>807</v>
      </c>
      <c r="D27" s="27">
        <v>2.1</v>
      </c>
    </row>
    <row r="28" spans="2:4">
      <c r="B28" s="408">
        <v>41561</v>
      </c>
      <c r="C28" s="40" t="s">
        <v>810</v>
      </c>
      <c r="D28" s="18">
        <v>2.11</v>
      </c>
    </row>
    <row r="29" spans="2:4">
      <c r="B29" s="624">
        <v>41562</v>
      </c>
      <c r="C29" s="625" t="s">
        <v>812</v>
      </c>
      <c r="D29" s="18">
        <v>2.12</v>
      </c>
    </row>
    <row r="30" spans="2:4">
      <c r="B30" s="624">
        <v>41578</v>
      </c>
      <c r="C30" s="40" t="s">
        <v>816</v>
      </c>
      <c r="D30" s="18">
        <v>2.13</v>
      </c>
    </row>
    <row r="31" spans="2:4">
      <c r="B31" s="624">
        <v>41618</v>
      </c>
      <c r="C31" s="40" t="s">
        <v>853</v>
      </c>
      <c r="D31" s="18">
        <v>2.14</v>
      </c>
    </row>
    <row r="32" spans="2:4" ht="30">
      <c r="B32" s="408" t="s">
        <v>859</v>
      </c>
      <c r="C32" s="40" t="s">
        <v>860</v>
      </c>
      <c r="D32" s="18">
        <v>2.15</v>
      </c>
    </row>
    <row r="33" spans="2:4" ht="30">
      <c r="B33" s="408" t="s">
        <v>862</v>
      </c>
      <c r="C33" s="40" t="s">
        <v>861</v>
      </c>
      <c r="D33" s="18">
        <v>2.16</v>
      </c>
    </row>
    <row r="34" spans="2:4">
      <c r="B34" s="408" t="s">
        <v>863</v>
      </c>
      <c r="C34" s="40" t="s">
        <v>864</v>
      </c>
      <c r="D34" s="18">
        <v>2.17</v>
      </c>
    </row>
    <row r="35" spans="2:4">
      <c r="B35" s="19"/>
      <c r="C35" s="17"/>
      <c r="D35" s="18"/>
    </row>
    <row r="36" spans="2:4">
      <c r="B36" s="21"/>
      <c r="C36" s="10"/>
      <c r="D36"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D55"/>
  <sheetViews>
    <sheetView workbookViewId="0"/>
  </sheetViews>
  <sheetFormatPr baseColWidth="10" defaultRowHeight="15" x14ac:dyDescent="0"/>
  <cols>
    <col min="1" max="1" width="10.83203125" style="1"/>
    <col min="2" max="2" width="56.1640625" style="1" bestFit="1" customWidth="1"/>
    <col min="3" max="3" width="136.1640625" style="1" bestFit="1" customWidth="1"/>
    <col min="4" max="16384" width="10.83203125" style="1"/>
  </cols>
  <sheetData>
    <row r="2" spans="2:3" ht="20">
      <c r="B2" s="2" t="s">
        <v>20</v>
      </c>
    </row>
    <row r="4" spans="2:3">
      <c r="B4" s="85" t="s">
        <v>21</v>
      </c>
      <c r="C4" s="14" t="s">
        <v>22</v>
      </c>
    </row>
    <row r="5" spans="2:3">
      <c r="B5" s="54"/>
      <c r="C5" s="16"/>
    </row>
    <row r="6" spans="2:3" ht="28" customHeight="1">
      <c r="B6" s="486" t="s">
        <v>198</v>
      </c>
      <c r="C6" s="487" t="s">
        <v>200</v>
      </c>
    </row>
    <row r="7" spans="2:3" ht="28" customHeight="1">
      <c r="B7" s="486" t="s">
        <v>0</v>
      </c>
      <c r="C7" s="488" t="s">
        <v>201</v>
      </c>
    </row>
    <row r="8" spans="2:3" ht="28" customHeight="1">
      <c r="B8" s="486" t="s">
        <v>471</v>
      </c>
      <c r="C8" s="489" t="s">
        <v>472</v>
      </c>
    </row>
    <row r="9" spans="2:3" ht="28" customHeight="1">
      <c r="B9" s="486" t="s">
        <v>20</v>
      </c>
      <c r="C9" s="488" t="s">
        <v>23</v>
      </c>
    </row>
    <row r="10" spans="2:3" ht="28" customHeight="1">
      <c r="B10" s="486" t="s">
        <v>24</v>
      </c>
      <c r="C10" s="488" t="s">
        <v>470</v>
      </c>
    </row>
    <row r="11" spans="2:3" ht="28" customHeight="1">
      <c r="B11" s="486" t="s">
        <v>199</v>
      </c>
      <c r="C11" s="488" t="s">
        <v>197</v>
      </c>
    </row>
    <row r="12" spans="2:3" ht="28" customHeight="1">
      <c r="B12" s="486" t="s">
        <v>25</v>
      </c>
      <c r="C12" s="488" t="s">
        <v>26</v>
      </c>
    </row>
    <row r="13" spans="2:3" ht="28" customHeight="1">
      <c r="B13" s="490" t="s">
        <v>723</v>
      </c>
      <c r="C13" s="488" t="s">
        <v>225</v>
      </c>
    </row>
    <row r="14" spans="2:3" ht="28" customHeight="1">
      <c r="B14" s="490" t="s">
        <v>188</v>
      </c>
      <c r="C14" s="488" t="s">
        <v>220</v>
      </c>
    </row>
    <row r="15" spans="2:3" ht="28" customHeight="1">
      <c r="B15" s="491" t="s">
        <v>27</v>
      </c>
      <c r="C15" s="488" t="s">
        <v>28</v>
      </c>
    </row>
    <row r="16" spans="2:3" ht="28" customHeight="1">
      <c r="B16" s="495" t="s">
        <v>475</v>
      </c>
      <c r="C16" s="496" t="s">
        <v>477</v>
      </c>
    </row>
    <row r="17" spans="2:3" ht="28" customHeight="1">
      <c r="B17" s="495" t="s">
        <v>476</v>
      </c>
      <c r="C17" s="496" t="s">
        <v>478</v>
      </c>
    </row>
    <row r="18" spans="2:3" ht="28" customHeight="1">
      <c r="B18" s="495" t="s">
        <v>479</v>
      </c>
      <c r="C18" s="496" t="s">
        <v>480</v>
      </c>
    </row>
    <row r="19" spans="2:3" ht="28" customHeight="1">
      <c r="B19" s="493" t="s">
        <v>184</v>
      </c>
      <c r="C19" s="488" t="s">
        <v>474</v>
      </c>
    </row>
    <row r="20" spans="2:3" ht="28" customHeight="1">
      <c r="B20" s="493" t="s">
        <v>728</v>
      </c>
      <c r="C20" s="488" t="s">
        <v>223</v>
      </c>
    </row>
    <row r="21" spans="2:3" ht="28" customHeight="1">
      <c r="B21" s="492" t="s">
        <v>522</v>
      </c>
      <c r="C21" s="496" t="s">
        <v>523</v>
      </c>
    </row>
    <row r="22" spans="2:3" ht="28" customHeight="1">
      <c r="B22" s="493" t="s">
        <v>213</v>
      </c>
      <c r="C22" s="488" t="s">
        <v>473</v>
      </c>
    </row>
    <row r="23" spans="2:3" ht="28" customHeight="1">
      <c r="B23" s="494" t="s">
        <v>722</v>
      </c>
      <c r="C23" s="488" t="s">
        <v>224</v>
      </c>
    </row>
    <row r="24" spans="2:3" ht="28" customHeight="1">
      <c r="B24" s="497" t="s">
        <v>649</v>
      </c>
      <c r="C24" s="488" t="s">
        <v>500</v>
      </c>
    </row>
    <row r="25" spans="2:3" ht="28" customHeight="1">
      <c r="B25" s="497" t="s">
        <v>650</v>
      </c>
      <c r="C25" s="488" t="s">
        <v>500</v>
      </c>
    </row>
    <row r="26" spans="2:3" ht="28" customHeight="1">
      <c r="B26" s="497" t="s">
        <v>651</v>
      </c>
      <c r="C26" s="488" t="s">
        <v>500</v>
      </c>
    </row>
    <row r="27" spans="2:3" ht="28" customHeight="1">
      <c r="B27" s="497" t="s">
        <v>652</v>
      </c>
      <c r="C27" s="488" t="s">
        <v>500</v>
      </c>
    </row>
    <row r="28" spans="2:3" ht="28" customHeight="1">
      <c r="B28" s="497" t="s">
        <v>653</v>
      </c>
      <c r="C28" s="488" t="s">
        <v>500</v>
      </c>
    </row>
    <row r="29" spans="2:3" ht="28" customHeight="1">
      <c r="B29" s="497" t="s">
        <v>654</v>
      </c>
      <c r="C29" s="488" t="s">
        <v>500</v>
      </c>
    </row>
    <row r="30" spans="2:3" ht="28" customHeight="1">
      <c r="B30" s="497" t="s">
        <v>655</v>
      </c>
      <c r="C30" s="488" t="s">
        <v>500</v>
      </c>
    </row>
    <row r="31" spans="2:3" ht="28" customHeight="1">
      <c r="B31" s="497" t="s">
        <v>656</v>
      </c>
      <c r="C31" s="488" t="s">
        <v>500</v>
      </c>
    </row>
    <row r="32" spans="2:3" ht="28" customHeight="1">
      <c r="B32" s="497" t="s">
        <v>657</v>
      </c>
      <c r="C32" s="488" t="s">
        <v>500</v>
      </c>
    </row>
    <row r="33" spans="2:3" ht="28" customHeight="1">
      <c r="B33" s="497" t="s">
        <v>658</v>
      </c>
      <c r="C33" s="488" t="s">
        <v>500</v>
      </c>
    </row>
    <row r="34" spans="2:3" ht="28" customHeight="1">
      <c r="B34" s="497" t="s">
        <v>659</v>
      </c>
      <c r="C34" s="488" t="s">
        <v>500</v>
      </c>
    </row>
    <row r="35" spans="2:3" ht="28" customHeight="1">
      <c r="B35" s="497" t="s">
        <v>660</v>
      </c>
      <c r="C35" s="488" t="s">
        <v>500</v>
      </c>
    </row>
    <row r="36" spans="2:3" ht="28" customHeight="1">
      <c r="B36" s="497" t="s">
        <v>661</v>
      </c>
      <c r="C36" s="488" t="s">
        <v>500</v>
      </c>
    </row>
    <row r="37" spans="2:3" ht="28" customHeight="1">
      <c r="B37" s="497" t="s">
        <v>662</v>
      </c>
      <c r="C37" s="488" t="s">
        <v>500</v>
      </c>
    </row>
    <row r="38" spans="2:3" ht="28" customHeight="1">
      <c r="B38" s="497" t="s">
        <v>663</v>
      </c>
      <c r="C38" s="488" t="s">
        <v>500</v>
      </c>
    </row>
    <row r="39" spans="2:3" ht="28" customHeight="1">
      <c r="B39" s="497" t="s">
        <v>664</v>
      </c>
      <c r="C39" s="488" t="s">
        <v>500</v>
      </c>
    </row>
    <row r="40" spans="2:3" ht="28" customHeight="1">
      <c r="B40" s="497" t="s">
        <v>665</v>
      </c>
      <c r="C40" s="488" t="s">
        <v>500</v>
      </c>
    </row>
    <row r="41" spans="2:3" ht="28" customHeight="1">
      <c r="B41" s="497" t="s">
        <v>666</v>
      </c>
      <c r="C41" s="488" t="s">
        <v>500</v>
      </c>
    </row>
    <row r="42" spans="2:3" ht="28" customHeight="1">
      <c r="B42" s="497" t="s">
        <v>667</v>
      </c>
      <c r="C42" s="488" t="s">
        <v>676</v>
      </c>
    </row>
    <row r="43" spans="2:3" ht="28" customHeight="1">
      <c r="B43" s="497" t="s">
        <v>668</v>
      </c>
      <c r="C43" s="488" t="s">
        <v>676</v>
      </c>
    </row>
    <row r="44" spans="2:3" ht="28" customHeight="1">
      <c r="B44" s="497" t="s">
        <v>669</v>
      </c>
      <c r="C44" s="488" t="s">
        <v>676</v>
      </c>
    </row>
    <row r="45" spans="2:3" ht="28" customHeight="1">
      <c r="B45" s="497" t="s">
        <v>670</v>
      </c>
      <c r="C45" s="488" t="s">
        <v>676</v>
      </c>
    </row>
    <row r="46" spans="2:3" ht="28" customHeight="1">
      <c r="B46" s="497" t="s">
        <v>671</v>
      </c>
      <c r="C46" s="488" t="s">
        <v>676</v>
      </c>
    </row>
    <row r="47" spans="2:3" ht="28" customHeight="1">
      <c r="B47" s="497" t="s">
        <v>672</v>
      </c>
      <c r="C47" s="488" t="s">
        <v>676</v>
      </c>
    </row>
    <row r="48" spans="2:3" ht="28" customHeight="1">
      <c r="B48" s="497" t="s">
        <v>673</v>
      </c>
      <c r="C48" s="488" t="s">
        <v>676</v>
      </c>
    </row>
    <row r="49" spans="2:4" ht="28" customHeight="1">
      <c r="B49" s="497" t="s">
        <v>689</v>
      </c>
      <c r="C49" s="488" t="s">
        <v>705</v>
      </c>
    </row>
    <row r="50" spans="2:4" ht="28" customHeight="1">
      <c r="B50" s="497" t="s">
        <v>692</v>
      </c>
      <c r="C50" s="488" t="s">
        <v>705</v>
      </c>
    </row>
    <row r="51" spans="2:4" ht="28" customHeight="1">
      <c r="B51" s="497" t="s">
        <v>693</v>
      </c>
      <c r="C51" s="488" t="s">
        <v>706</v>
      </c>
    </row>
    <row r="52" spans="2:4" ht="28" customHeight="1">
      <c r="B52" s="497" t="s">
        <v>694</v>
      </c>
      <c r="C52" s="488" t="s">
        <v>706</v>
      </c>
    </row>
    <row r="53" spans="2:4" ht="28" customHeight="1">
      <c r="B53" s="497" t="s">
        <v>704</v>
      </c>
      <c r="C53" s="498" t="s">
        <v>720</v>
      </c>
      <c r="D53" s="20"/>
    </row>
    <row r="54" spans="2:4" ht="28" customHeight="1">
      <c r="B54" s="497" t="s">
        <v>674</v>
      </c>
      <c r="C54" s="488" t="s">
        <v>501</v>
      </c>
    </row>
    <row r="55" spans="2:4" ht="28" customHeight="1">
      <c r="B55" s="497" t="s">
        <v>675</v>
      </c>
      <c r="C55" s="488" t="s">
        <v>502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24</v>
      </c>
    </row>
    <row r="4" spans="2:2">
      <c r="B4" s="85" t="s">
        <v>31</v>
      </c>
    </row>
    <row r="5" spans="2:2">
      <c r="B5" s="60"/>
    </row>
    <row r="6" spans="2:2" ht="90">
      <c r="B6" s="87" t="s">
        <v>856</v>
      </c>
    </row>
    <row r="7" spans="2:2">
      <c r="B7" s="99"/>
    </row>
    <row r="8" spans="2:2">
      <c r="B8" s="100" t="s">
        <v>202</v>
      </c>
    </row>
    <row r="9" spans="2:2">
      <c r="B9" s="101"/>
    </row>
    <row r="10" spans="2:2">
      <c r="B10" s="102" t="s">
        <v>678</v>
      </c>
    </row>
    <row r="11" spans="2:2">
      <c r="B11" s="102" t="s">
        <v>679</v>
      </c>
    </row>
    <row r="12" spans="2:2">
      <c r="B12" s="102" t="s">
        <v>680</v>
      </c>
    </row>
    <row r="13" spans="2:2">
      <c r="B13" s="102" t="s">
        <v>681</v>
      </c>
    </row>
    <row r="14" spans="2:2">
      <c r="B14" s="102" t="s">
        <v>682</v>
      </c>
    </row>
    <row r="15" spans="2:2">
      <c r="B15" s="102" t="s">
        <v>683</v>
      </c>
    </row>
    <row r="16" spans="2:2">
      <c r="B16" s="57"/>
    </row>
    <row r="18" spans="2:2">
      <c r="B18" s="85" t="s">
        <v>30</v>
      </c>
    </row>
    <row r="19" spans="2:2">
      <c r="B19" s="60"/>
    </row>
    <row r="20" spans="2:2" ht="90">
      <c r="B20" s="86" t="s">
        <v>732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R54"/>
  <sheetViews>
    <sheetView workbookViewId="0"/>
  </sheetViews>
  <sheetFormatPr baseColWidth="10" defaultColWidth="2.83203125" defaultRowHeight="15" x14ac:dyDescent="0"/>
  <cols>
    <col min="1" max="16384" width="2.83203125" style="1"/>
  </cols>
  <sheetData>
    <row r="2" spans="2:81" ht="30">
      <c r="B2" s="91" t="s">
        <v>232</v>
      </c>
      <c r="C2" s="88"/>
      <c r="D2" s="88"/>
      <c r="E2" s="88"/>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c r="BN2" s="88"/>
      <c r="BO2" s="88"/>
      <c r="BP2" s="88"/>
      <c r="BQ2" s="88"/>
      <c r="BR2" s="88"/>
      <c r="BS2" s="88"/>
      <c r="BT2" s="88"/>
      <c r="BU2" s="88"/>
      <c r="BV2" s="88"/>
      <c r="BW2" s="88"/>
    </row>
    <row r="3" spans="2:81" ht="30">
      <c r="B3" s="92" t="s">
        <v>79</v>
      </c>
      <c r="C3" s="93"/>
      <c r="D3" s="93"/>
      <c r="E3" s="93"/>
      <c r="F3" s="93"/>
      <c r="G3" s="93"/>
      <c r="H3" s="93"/>
      <c r="I3" s="93"/>
      <c r="J3" s="93"/>
      <c r="K3" s="93"/>
      <c r="L3" s="93"/>
      <c r="M3" s="93"/>
      <c r="N3" s="93"/>
      <c r="O3" s="93"/>
      <c r="P3" s="94"/>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row>
    <row r="4" spans="2:81" ht="15" customHeight="1">
      <c r="B4" s="95" t="s">
        <v>197</v>
      </c>
      <c r="C4" s="96"/>
      <c r="D4" s="96"/>
      <c r="E4" s="96"/>
      <c r="F4" s="96"/>
      <c r="G4" s="96"/>
      <c r="H4" s="96"/>
      <c r="I4" s="96"/>
      <c r="J4" s="96"/>
      <c r="K4" s="96"/>
      <c r="L4" s="96"/>
      <c r="M4" s="96"/>
      <c r="N4" s="96"/>
      <c r="O4" s="96"/>
      <c r="P4" s="97"/>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row>
    <row r="5" spans="2:81" ht="15" customHeight="1">
      <c r="Q5" s="90"/>
      <c r="R5" s="90"/>
      <c r="S5" s="90"/>
      <c r="T5" s="90"/>
      <c r="U5" s="90"/>
      <c r="V5" s="90"/>
      <c r="W5" s="90"/>
      <c r="X5" s="90"/>
      <c r="Y5" s="90"/>
      <c r="Z5" s="90"/>
      <c r="AA5" s="90"/>
      <c r="AB5" s="90"/>
      <c r="AC5" s="90"/>
      <c r="AD5" s="90"/>
      <c r="AE5" s="90"/>
      <c r="AF5" s="90"/>
      <c r="AG5" s="90"/>
      <c r="AH5" s="90"/>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90"/>
      <c r="BN5" s="90"/>
      <c r="BO5" s="90"/>
      <c r="BP5" s="90"/>
      <c r="BQ5" s="90"/>
      <c r="BR5" s="90"/>
      <c r="BS5" s="90"/>
      <c r="BT5" s="90"/>
      <c r="BU5" s="90"/>
      <c r="BV5" s="90"/>
      <c r="BW5" s="90"/>
    </row>
    <row r="6" spans="2:81" ht="23">
      <c r="B6" s="90"/>
      <c r="C6" s="103" t="s">
        <v>194</v>
      </c>
      <c r="D6" s="90"/>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N6" s="90"/>
      <c r="AO6" s="103" t="s">
        <v>195</v>
      </c>
      <c r="AP6" s="90"/>
      <c r="AQ6" s="90"/>
      <c r="AR6" s="90"/>
      <c r="AS6" s="90"/>
      <c r="AT6" s="90"/>
      <c r="AU6" s="90"/>
      <c r="AV6" s="90"/>
      <c r="AW6" s="90"/>
      <c r="AX6" s="90"/>
      <c r="AY6" s="90"/>
      <c r="AZ6" s="90"/>
      <c r="BA6" s="90"/>
      <c r="BB6" s="90"/>
      <c r="BC6" s="90"/>
      <c r="BD6" s="90"/>
      <c r="BE6" s="90"/>
      <c r="BF6" s="90"/>
      <c r="BG6" s="90"/>
      <c r="BH6" s="90"/>
      <c r="BI6" s="90"/>
      <c r="BJ6" s="90"/>
      <c r="BK6" s="90"/>
      <c r="BL6" s="90"/>
      <c r="BM6" s="90"/>
      <c r="BN6" s="90"/>
      <c r="BO6" s="90"/>
      <c r="BP6" s="90"/>
      <c r="BQ6" s="90"/>
      <c r="BS6" s="90"/>
      <c r="BT6" s="90"/>
      <c r="BU6" s="90"/>
      <c r="BV6" s="103" t="s">
        <v>196</v>
      </c>
    </row>
    <row r="8" spans="2:81">
      <c r="CC8" s="81"/>
    </row>
    <row r="54" spans="96:96">
      <c r="CR54" s="1" t="s">
        <v>463</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F185"/>
  <sheetViews>
    <sheetView topLeftCell="A20" workbookViewId="0">
      <selection activeCell="C34" sqref="C34"/>
    </sheetView>
  </sheetViews>
  <sheetFormatPr baseColWidth="10" defaultRowHeight="15" x14ac:dyDescent="0"/>
  <cols>
    <col min="1" max="1" width="10.83203125" style="1"/>
    <col min="2" max="2" width="25.5" style="1" customWidth="1"/>
    <col min="3" max="3" width="79.33203125" style="1" customWidth="1"/>
    <col min="4" max="4" width="78.33203125" style="1" customWidth="1"/>
    <col min="5" max="16384" width="10.83203125" style="1"/>
  </cols>
  <sheetData>
    <row r="2" spans="2:4" ht="20">
      <c r="B2" s="2" t="s">
        <v>25</v>
      </c>
      <c r="C2" s="2"/>
    </row>
    <row r="4" spans="2:4">
      <c r="B4" s="3" t="s">
        <v>79</v>
      </c>
      <c r="C4" s="5"/>
    </row>
    <row r="5" spans="2:4" ht="79" customHeight="1">
      <c r="B5" s="648" t="s">
        <v>190</v>
      </c>
      <c r="C5" s="649"/>
    </row>
    <row r="6" spans="2:4" ht="16" thickBot="1"/>
    <row r="7" spans="2:4">
      <c r="B7" s="28" t="s">
        <v>32</v>
      </c>
      <c r="C7" s="29"/>
      <c r="D7" s="30"/>
    </row>
    <row r="8" spans="2:4">
      <c r="B8" s="31"/>
      <c r="C8" s="8"/>
      <c r="D8" s="32"/>
    </row>
    <row r="9" spans="2:4">
      <c r="B9" s="33" t="s">
        <v>33</v>
      </c>
      <c r="C9" s="34" t="s">
        <v>34</v>
      </c>
      <c r="D9" s="35" t="s">
        <v>35</v>
      </c>
    </row>
    <row r="10" spans="2:4">
      <c r="B10" s="38" t="s">
        <v>36</v>
      </c>
      <c r="C10" s="15"/>
      <c r="D10" s="37"/>
    </row>
    <row r="11" spans="2:4" ht="30">
      <c r="B11" s="31"/>
      <c r="C11" s="40" t="s">
        <v>587</v>
      </c>
      <c r="D11" s="41"/>
    </row>
    <row r="12" spans="2:4">
      <c r="B12" s="31"/>
      <c r="C12" s="40"/>
      <c r="D12" s="42"/>
    </row>
    <row r="13" spans="2:4">
      <c r="B13" s="39"/>
      <c r="C13" s="74"/>
      <c r="D13" s="41"/>
    </row>
    <row r="14" spans="2:4">
      <c r="B14" s="39"/>
      <c r="C14" s="74" t="s">
        <v>187</v>
      </c>
      <c r="D14" s="41"/>
    </row>
    <row r="15" spans="2:4">
      <c r="B15" s="39"/>
      <c r="C15" s="74"/>
      <c r="D15" s="41"/>
    </row>
    <row r="16" spans="2:4" ht="15" customHeight="1">
      <c r="B16" s="39"/>
      <c r="C16" s="74" t="s">
        <v>712</v>
      </c>
      <c r="D16" s="41"/>
    </row>
    <row r="17" spans="2:4" ht="15" customHeight="1">
      <c r="B17" s="39"/>
      <c r="C17" s="74"/>
      <c r="D17" s="41"/>
    </row>
    <row r="18" spans="2:4" ht="16" customHeight="1">
      <c r="B18" s="39"/>
      <c r="C18" s="74" t="s">
        <v>481</v>
      </c>
      <c r="D18" s="41" t="s">
        <v>713</v>
      </c>
    </row>
    <row r="19" spans="2:4" ht="14" customHeight="1">
      <c r="B19" s="39"/>
      <c r="C19" s="74"/>
      <c r="D19" s="41"/>
    </row>
    <row r="20" spans="2:4" ht="47" customHeight="1">
      <c r="B20" s="39"/>
      <c r="C20" s="74" t="s">
        <v>589</v>
      </c>
      <c r="D20" s="41"/>
    </row>
    <row r="21" spans="2:4" ht="14" customHeight="1">
      <c r="B21" s="39"/>
      <c r="C21" t="s">
        <v>508</v>
      </c>
      <c r="D21" s="41" t="s">
        <v>711</v>
      </c>
    </row>
    <row r="22" spans="2:4" ht="14" customHeight="1">
      <c r="B22" s="39"/>
      <c r="C22" t="s">
        <v>509</v>
      </c>
      <c r="D22" s="41" t="s">
        <v>711</v>
      </c>
    </row>
    <row r="23" spans="2:4" ht="14" customHeight="1">
      <c r="B23" s="39"/>
      <c r="C23" t="s">
        <v>510</v>
      </c>
      <c r="D23" s="41" t="s">
        <v>711</v>
      </c>
    </row>
    <row r="24" spans="2:4" ht="14" customHeight="1">
      <c r="B24" s="39"/>
      <c r="C24" t="s">
        <v>511</v>
      </c>
      <c r="D24" s="41" t="s">
        <v>711</v>
      </c>
    </row>
    <row r="25" spans="2:4" ht="14" customHeight="1">
      <c r="B25" s="39"/>
      <c r="C25"/>
      <c r="D25" s="41"/>
    </row>
    <row r="26" spans="2:4" ht="75">
      <c r="B26" s="39"/>
      <c r="C26" s="40" t="s">
        <v>756</v>
      </c>
      <c r="D26" s="41"/>
    </row>
    <row r="27" spans="2:4">
      <c r="B27" s="39"/>
      <c r="C27" s="40"/>
      <c r="D27" s="41"/>
    </row>
    <row r="28" spans="2:4" ht="14" customHeight="1">
      <c r="B28" s="39"/>
      <c r="C28" t="s">
        <v>801</v>
      </c>
      <c r="D28" s="41" t="s">
        <v>802</v>
      </c>
    </row>
    <row r="29" spans="2:4" ht="14" customHeight="1">
      <c r="B29" s="39"/>
      <c r="C29"/>
      <c r="D29" s="41"/>
    </row>
    <row r="30" spans="2:4" ht="14" customHeight="1">
      <c r="B30" s="39"/>
      <c r="C30" t="s">
        <v>714</v>
      </c>
      <c r="D30" s="41" t="s">
        <v>711</v>
      </c>
    </row>
    <row r="31" spans="2:4" ht="14" customHeight="1">
      <c r="B31" s="39"/>
      <c r="C31" t="s">
        <v>300</v>
      </c>
      <c r="D31" s="41"/>
    </row>
    <row r="32" spans="2:4" ht="14" customHeight="1">
      <c r="B32" s="39"/>
      <c r="C32" t="s">
        <v>715</v>
      </c>
      <c r="D32" s="41"/>
    </row>
    <row r="33" spans="2:4" ht="14" customHeight="1">
      <c r="B33" s="39"/>
      <c r="C33" t="s">
        <v>716</v>
      </c>
      <c r="D33" s="41"/>
    </row>
    <row r="34" spans="2:4" ht="14" customHeight="1">
      <c r="B34" s="39"/>
      <c r="C34" s="17" t="s">
        <v>717</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6" thickBot="1">
      <c r="B39" s="47"/>
      <c r="C39" s="107"/>
      <c r="D39" s="108"/>
    </row>
    <row r="40" spans="2:4" s="8" customFormat="1" ht="16" thickBot="1">
      <c r="C40" s="75"/>
      <c r="D40" s="76"/>
    </row>
    <row r="41" spans="2:4">
      <c r="B41" s="28" t="s">
        <v>189</v>
      </c>
      <c r="C41" s="29"/>
      <c r="D41" s="192"/>
    </row>
    <row r="42" spans="2:4">
      <c r="B42" s="73"/>
      <c r="C42" s="194"/>
      <c r="D42" s="193"/>
    </row>
    <row r="43" spans="2:4">
      <c r="B43" s="33" t="s">
        <v>33</v>
      </c>
      <c r="C43" s="34" t="s">
        <v>34</v>
      </c>
      <c r="D43" s="35" t="s">
        <v>203</v>
      </c>
    </row>
    <row r="44" spans="2:4">
      <c r="B44" s="38" t="s">
        <v>483</v>
      </c>
      <c r="C44" s="15"/>
      <c r="D44" s="37"/>
    </row>
    <row r="45" spans="2:4">
      <c r="B45" s="196"/>
      <c r="C45" s="277" t="s">
        <v>87</v>
      </c>
      <c r="D45" s="197" t="s">
        <v>482</v>
      </c>
    </row>
    <row r="46" spans="2:4">
      <c r="B46" s="196"/>
      <c r="C46" s="277" t="s">
        <v>280</v>
      </c>
      <c r="D46" s="197" t="s">
        <v>482</v>
      </c>
    </row>
    <row r="47" spans="2:4">
      <c r="B47" s="196"/>
      <c r="C47" s="277" t="s">
        <v>90</v>
      </c>
      <c r="D47" s="197" t="s">
        <v>482</v>
      </c>
    </row>
    <row r="48" spans="2:4">
      <c r="B48" s="196"/>
      <c r="C48" s="277" t="s">
        <v>88</v>
      </c>
      <c r="D48" s="197" t="s">
        <v>482</v>
      </c>
    </row>
    <row r="49" spans="2:6">
      <c r="B49" s="196"/>
      <c r="C49" s="277" t="s">
        <v>281</v>
      </c>
      <c r="D49" s="197" t="s">
        <v>482</v>
      </c>
    </row>
    <row r="50" spans="2:6">
      <c r="B50" s="196"/>
      <c r="C50" s="277" t="s">
        <v>210</v>
      </c>
      <c r="D50" s="197" t="s">
        <v>482</v>
      </c>
    </row>
    <row r="51" spans="2:6">
      <c r="B51" s="196"/>
      <c r="C51" s="198"/>
      <c r="D51" s="199"/>
    </row>
    <row r="52" spans="2:6">
      <c r="B52" s="104" t="s">
        <v>77</v>
      </c>
      <c r="C52" s="200"/>
      <c r="D52" s="201"/>
    </row>
    <row r="53" spans="2:6">
      <c r="B53" s="38"/>
      <c r="C53" s="71" t="s">
        <v>286</v>
      </c>
      <c r="D53" s="202" t="s">
        <v>482</v>
      </c>
      <c r="F53" s="8"/>
    </row>
    <row r="54" spans="2:6">
      <c r="B54" s="73"/>
      <c r="C54" s="71" t="s">
        <v>91</v>
      </c>
      <c r="D54" s="202" t="s">
        <v>482</v>
      </c>
      <c r="F54" s="8"/>
    </row>
    <row r="55" spans="2:6">
      <c r="B55" s="73"/>
      <c r="C55" s="71" t="s">
        <v>287</v>
      </c>
      <c r="D55" s="202" t="s">
        <v>482</v>
      </c>
      <c r="F55" s="8"/>
    </row>
    <row r="56" spans="2:6">
      <c r="B56" s="73"/>
      <c r="C56" s="71" t="s">
        <v>288</v>
      </c>
      <c r="D56" s="202" t="s">
        <v>482</v>
      </c>
      <c r="F56" s="8"/>
    </row>
    <row r="57" spans="2:6">
      <c r="B57" s="73"/>
      <c r="C57" s="71" t="s">
        <v>289</v>
      </c>
      <c r="D57" s="202" t="s">
        <v>482</v>
      </c>
      <c r="F57" s="8"/>
    </row>
    <row r="58" spans="2:6">
      <c r="B58" s="73"/>
      <c r="C58" s="71" t="s">
        <v>385</v>
      </c>
      <c r="D58" s="202" t="s">
        <v>482</v>
      </c>
      <c r="F58" s="8"/>
    </row>
    <row r="59" spans="2:6">
      <c r="B59" s="73"/>
      <c r="C59" s="71" t="s">
        <v>290</v>
      </c>
      <c r="D59" s="202" t="s">
        <v>482</v>
      </c>
      <c r="F59" s="8"/>
    </row>
    <row r="60" spans="2:6">
      <c r="B60" s="73"/>
      <c r="C60" s="71" t="s">
        <v>409</v>
      </c>
      <c r="D60" s="202" t="s">
        <v>482</v>
      </c>
      <c r="F60" s="8"/>
    </row>
    <row r="61" spans="2:6">
      <c r="B61" s="73"/>
      <c r="C61" s="71" t="s">
        <v>297</v>
      </c>
      <c r="D61" s="202" t="s">
        <v>482</v>
      </c>
      <c r="F61" s="8"/>
    </row>
    <row r="62" spans="2:6">
      <c r="B62" s="73"/>
      <c r="C62" s="71" t="s">
        <v>298</v>
      </c>
      <c r="D62" s="202" t="s">
        <v>482</v>
      </c>
      <c r="F62" s="8"/>
    </row>
    <row r="63" spans="2:6">
      <c r="B63" s="73"/>
      <c r="C63" s="71" t="s">
        <v>299</v>
      </c>
      <c r="D63" s="202" t="s">
        <v>482</v>
      </c>
      <c r="F63" s="8"/>
    </row>
    <row r="64" spans="2:6">
      <c r="B64" s="73"/>
      <c r="C64" s="71" t="s">
        <v>304</v>
      </c>
      <c r="D64" s="202" t="s">
        <v>482</v>
      </c>
      <c r="F64" s="8"/>
    </row>
    <row r="65" spans="2:6">
      <c r="B65" s="73"/>
      <c r="C65" s="194"/>
      <c r="D65" s="193"/>
      <c r="F65" s="8"/>
    </row>
    <row r="66" spans="2:6">
      <c r="B66" s="48" t="s">
        <v>89</v>
      </c>
      <c r="C66" s="203"/>
      <c r="D66" s="204"/>
      <c r="F66" s="8"/>
    </row>
    <row r="67" spans="2:6">
      <c r="B67" s="73"/>
      <c r="C67" s="71" t="s">
        <v>306</v>
      </c>
      <c r="D67" s="202" t="s">
        <v>482</v>
      </c>
      <c r="F67" s="8"/>
    </row>
    <row r="68" spans="2:6">
      <c r="B68" s="73"/>
      <c r="C68" s="71" t="s">
        <v>309</v>
      </c>
      <c r="D68" s="202" t="s">
        <v>482</v>
      </c>
      <c r="F68" s="8"/>
    </row>
    <row r="69" spans="2:6">
      <c r="B69" s="73"/>
      <c r="C69" s="71" t="s">
        <v>307</v>
      </c>
      <c r="D69" s="202" t="s">
        <v>482</v>
      </c>
      <c r="F69" s="8"/>
    </row>
    <row r="70" spans="2:6">
      <c r="B70" s="73"/>
      <c r="C70" s="71" t="s">
        <v>308</v>
      </c>
      <c r="D70" s="202" t="s">
        <v>482</v>
      </c>
      <c r="F70" s="8"/>
    </row>
    <row r="71" spans="2:6">
      <c r="B71" s="73"/>
      <c r="C71" s="71" t="s">
        <v>310</v>
      </c>
      <c r="D71" s="202" t="s">
        <v>482</v>
      </c>
      <c r="F71" s="8"/>
    </row>
    <row r="72" spans="2:6">
      <c r="B72" s="73"/>
      <c r="C72" s="71" t="s">
        <v>386</v>
      </c>
      <c r="D72" s="202" t="s">
        <v>482</v>
      </c>
      <c r="F72" s="8"/>
    </row>
    <row r="73" spans="2:6">
      <c r="B73" s="73"/>
      <c r="C73" s="71" t="s">
        <v>311</v>
      </c>
      <c r="D73" s="202" t="s">
        <v>482</v>
      </c>
      <c r="F73" s="8"/>
    </row>
    <row r="74" spans="2:6">
      <c r="B74" s="73"/>
      <c r="C74" s="71" t="s">
        <v>410</v>
      </c>
      <c r="D74" s="202" t="s">
        <v>482</v>
      </c>
      <c r="F74" s="8"/>
    </row>
    <row r="75" spans="2:6">
      <c r="B75" s="73"/>
      <c r="C75" s="71" t="s">
        <v>312</v>
      </c>
      <c r="D75" s="202" t="s">
        <v>482</v>
      </c>
      <c r="F75" s="8"/>
    </row>
    <row r="76" spans="2:6">
      <c r="B76" s="73"/>
      <c r="C76" s="71" t="s">
        <v>313</v>
      </c>
      <c r="D76" s="202" t="s">
        <v>482</v>
      </c>
      <c r="F76" s="8"/>
    </row>
    <row r="77" spans="2:6">
      <c r="B77" s="73"/>
      <c r="C77" s="71" t="s">
        <v>314</v>
      </c>
      <c r="D77" s="202" t="s">
        <v>482</v>
      </c>
      <c r="F77" s="8"/>
    </row>
    <row r="78" spans="2:6">
      <c r="B78" s="73"/>
      <c r="C78" s="71" t="s">
        <v>315</v>
      </c>
      <c r="D78" s="202" t="s">
        <v>482</v>
      </c>
      <c r="F78" s="8"/>
    </row>
    <row r="79" spans="2:6">
      <c r="B79" s="73"/>
      <c r="C79" s="194"/>
      <c r="D79" s="193"/>
      <c r="F79" s="8"/>
    </row>
    <row r="80" spans="2:6">
      <c r="B80" s="48" t="s">
        <v>76</v>
      </c>
      <c r="C80" s="203"/>
      <c r="D80" s="204"/>
      <c r="F80" s="8"/>
    </row>
    <row r="81" spans="2:6">
      <c r="B81" s="73"/>
      <c r="C81" s="71" t="s">
        <v>185</v>
      </c>
      <c r="D81" s="202" t="s">
        <v>482</v>
      </c>
      <c r="F81" s="8"/>
    </row>
    <row r="82" spans="2:6">
      <c r="B82" s="73"/>
      <c r="C82" s="71" t="s">
        <v>353</v>
      </c>
      <c r="D82" s="202" t="s">
        <v>482</v>
      </c>
      <c r="F82" s="8"/>
    </row>
    <row r="83" spans="2:6">
      <c r="B83" s="73"/>
      <c r="C83" s="71" t="s">
        <v>186</v>
      </c>
      <c r="D83" s="202" t="s">
        <v>482</v>
      </c>
      <c r="F83" s="8"/>
    </row>
    <row r="84" spans="2:6">
      <c r="B84" s="73"/>
      <c r="C84" s="194"/>
      <c r="D84" s="193"/>
      <c r="F84" s="8"/>
    </row>
    <row r="85" spans="2:6">
      <c r="B85" s="48" t="s">
        <v>89</v>
      </c>
      <c r="C85" s="203"/>
      <c r="D85" s="204"/>
      <c r="F85" s="8"/>
    </row>
    <row r="86" spans="2:6">
      <c r="B86" s="38"/>
      <c r="C86" s="71" t="s">
        <v>316</v>
      </c>
      <c r="D86" s="202" t="s">
        <v>482</v>
      </c>
      <c r="F86" s="8"/>
    </row>
    <row r="87" spans="2:6">
      <c r="B87" s="73"/>
      <c r="C87" s="71" t="s">
        <v>317</v>
      </c>
      <c r="D87" s="202" t="s">
        <v>482</v>
      </c>
      <c r="F87" s="8"/>
    </row>
    <row r="88" spans="2:6">
      <c r="B88" s="73"/>
      <c r="C88" s="106" t="s">
        <v>92</v>
      </c>
      <c r="D88" s="202" t="s">
        <v>482</v>
      </c>
      <c r="F88" s="8"/>
    </row>
    <row r="89" spans="2:6">
      <c r="B89" s="73"/>
      <c r="C89" s="106"/>
      <c r="D89" s="202"/>
      <c r="F89" s="8"/>
    </row>
    <row r="90" spans="2:6">
      <c r="B90" s="48" t="s">
        <v>93</v>
      </c>
      <c r="C90" s="203"/>
      <c r="D90" s="204"/>
      <c r="F90" s="8"/>
    </row>
    <row r="91" spans="2:6">
      <c r="B91" s="73"/>
      <c r="C91" s="71" t="s">
        <v>94</v>
      </c>
      <c r="D91" s="202" t="s">
        <v>482</v>
      </c>
      <c r="F91" s="8"/>
    </row>
    <row r="92" spans="2:6">
      <c r="B92" s="206"/>
      <c r="C92" s="198"/>
      <c r="D92" s="207"/>
      <c r="F92" s="8"/>
    </row>
    <row r="93" spans="2:6">
      <c r="B93" s="38" t="s">
        <v>282</v>
      </c>
      <c r="C93" s="194"/>
      <c r="D93" s="193"/>
      <c r="F93" s="8"/>
    </row>
    <row r="94" spans="2:6">
      <c r="B94" s="73"/>
      <c r="C94" s="71" t="s">
        <v>392</v>
      </c>
      <c r="D94" s="202" t="s">
        <v>482</v>
      </c>
      <c r="F94" s="8"/>
    </row>
    <row r="95" spans="2:6">
      <c r="B95" s="73"/>
      <c r="C95" s="71" t="s">
        <v>411</v>
      </c>
      <c r="D95" s="202" t="s">
        <v>482</v>
      </c>
      <c r="F95" s="8"/>
    </row>
    <row r="96" spans="2:6">
      <c r="B96" s="73"/>
      <c r="C96" s="71" t="s">
        <v>393</v>
      </c>
      <c r="D96" s="202" t="s">
        <v>482</v>
      </c>
      <c r="F96" s="8"/>
    </row>
    <row r="97" spans="2:6">
      <c r="B97" s="73"/>
      <c r="C97" s="71" t="s">
        <v>394</v>
      </c>
      <c r="D97" s="202" t="s">
        <v>482</v>
      </c>
      <c r="F97" s="8"/>
    </row>
    <row r="98" spans="2:6">
      <c r="B98" s="73"/>
      <c r="C98" s="71" t="s">
        <v>395</v>
      </c>
      <c r="D98" s="202" t="s">
        <v>482</v>
      </c>
      <c r="F98" s="8"/>
    </row>
    <row r="99" spans="2:6">
      <c r="B99" s="73"/>
      <c r="C99" s="194"/>
      <c r="D99" s="193"/>
      <c r="F99" s="8"/>
    </row>
    <row r="100" spans="2:6">
      <c r="B100" s="48" t="s">
        <v>401</v>
      </c>
      <c r="C100" s="203"/>
      <c r="D100" s="204"/>
      <c r="F100" s="8"/>
    </row>
    <row r="101" spans="2:6">
      <c r="B101" s="73"/>
      <c r="C101" s="71" t="s">
        <v>387</v>
      </c>
      <c r="D101" s="202" t="s">
        <v>482</v>
      </c>
      <c r="F101" s="8"/>
    </row>
    <row r="102" spans="2:6">
      <c r="B102" s="73"/>
      <c r="C102" s="71" t="s">
        <v>319</v>
      </c>
      <c r="D102" s="202" t="s">
        <v>482</v>
      </c>
      <c r="F102" s="8"/>
    </row>
    <row r="103" spans="2:6">
      <c r="B103" s="73"/>
      <c r="C103" s="71" t="s">
        <v>320</v>
      </c>
      <c r="D103" s="202" t="s">
        <v>482</v>
      </c>
      <c r="F103" s="8"/>
    </row>
    <row r="104" spans="2:6">
      <c r="B104" s="73"/>
      <c r="C104" s="71" t="s">
        <v>321</v>
      </c>
      <c r="D104" s="202" t="s">
        <v>482</v>
      </c>
      <c r="F104" s="8"/>
    </row>
    <row r="105" spans="2:6">
      <c r="B105" s="73"/>
      <c r="C105" s="71" t="s">
        <v>388</v>
      </c>
      <c r="D105" s="202" t="s">
        <v>482</v>
      </c>
      <c r="F105" s="8"/>
    </row>
    <row r="106" spans="2:6">
      <c r="B106" s="73"/>
      <c r="C106" s="71" t="s">
        <v>389</v>
      </c>
      <c r="D106" s="202" t="s">
        <v>482</v>
      </c>
      <c r="F106" s="8"/>
    </row>
    <row r="107" spans="2:6">
      <c r="B107" s="73"/>
      <c r="C107" s="71" t="s">
        <v>390</v>
      </c>
      <c r="D107" s="202" t="s">
        <v>482</v>
      </c>
      <c r="F107" s="8"/>
    </row>
    <row r="108" spans="2:6">
      <c r="B108" s="73"/>
      <c r="C108" s="71" t="s">
        <v>391</v>
      </c>
      <c r="D108" s="202" t="s">
        <v>482</v>
      </c>
      <c r="F108" s="8"/>
    </row>
    <row r="109" spans="2:6">
      <c r="B109" s="73"/>
      <c r="C109" s="194"/>
      <c r="D109" s="193"/>
      <c r="F109" s="8"/>
    </row>
    <row r="110" spans="2:6">
      <c r="B110" s="442"/>
      <c r="C110" s="443"/>
      <c r="D110" s="445"/>
      <c r="F110" s="8"/>
    </row>
    <row r="111" spans="2:6">
      <c r="B111" s="38" t="s">
        <v>703</v>
      </c>
      <c r="C111" s="194"/>
      <c r="D111" s="446"/>
      <c r="F111" s="8"/>
    </row>
    <row r="112" spans="2:6">
      <c r="B112" s="38"/>
      <c r="C112" s="397" t="s">
        <v>700</v>
      </c>
      <c r="D112" s="447"/>
      <c r="F112" s="8"/>
    </row>
    <row r="113" spans="2:6">
      <c r="B113" s="38"/>
      <c r="C113" s="397" t="s">
        <v>702</v>
      </c>
      <c r="D113" s="447"/>
      <c r="F113" s="8"/>
    </row>
    <row r="114" spans="2:6">
      <c r="B114" s="38"/>
      <c r="C114" s="397"/>
      <c r="D114" s="447"/>
      <c r="F114" s="8"/>
    </row>
    <row r="115" spans="2:6">
      <c r="B115" s="38"/>
      <c r="C115" s="397" t="s">
        <v>701</v>
      </c>
      <c r="D115" s="447"/>
      <c r="F115" s="8"/>
    </row>
    <row r="116" spans="2:6">
      <c r="B116" s="38"/>
      <c r="C116" s="194"/>
      <c r="D116" s="446"/>
      <c r="F116" s="8"/>
    </row>
    <row r="117" spans="2:6">
      <c r="B117" s="111"/>
      <c r="C117" s="198"/>
      <c r="D117" s="448"/>
      <c r="F117" s="8"/>
    </row>
    <row r="118" spans="2:6">
      <c r="B118" s="38" t="s">
        <v>443</v>
      </c>
      <c r="C118" s="72"/>
      <c r="D118" s="446"/>
      <c r="F118" s="8"/>
    </row>
    <row r="119" spans="2:6">
      <c r="B119" s="38"/>
      <c r="C119" s="397" t="s">
        <v>444</v>
      </c>
      <c r="D119" s="451" t="s">
        <v>482</v>
      </c>
      <c r="F119" s="8"/>
    </row>
    <row r="120" spans="2:6">
      <c r="B120" s="38"/>
      <c r="C120" s="397" t="s">
        <v>445</v>
      </c>
      <c r="D120" s="451" t="s">
        <v>482</v>
      </c>
      <c r="F120" s="8"/>
    </row>
    <row r="121" spans="2:6">
      <c r="B121" s="38"/>
      <c r="C121" s="72"/>
      <c r="D121" s="450"/>
      <c r="F121" s="8"/>
    </row>
    <row r="122" spans="2:6">
      <c r="B122" s="38"/>
      <c r="C122" s="397" t="s">
        <v>567</v>
      </c>
      <c r="D122" s="451" t="s">
        <v>482</v>
      </c>
      <c r="F122" s="8"/>
    </row>
    <row r="123" spans="2:6">
      <c r="B123" s="38"/>
      <c r="C123" s="397" t="s">
        <v>568</v>
      </c>
      <c r="D123" s="451" t="s">
        <v>482</v>
      </c>
      <c r="F123" s="8"/>
    </row>
    <row r="124" spans="2:6">
      <c r="B124" s="38"/>
      <c r="C124" s="72"/>
      <c r="D124" s="450"/>
      <c r="F124" s="8"/>
    </row>
    <row r="125" spans="2:6">
      <c r="B125" s="38"/>
      <c r="C125" s="397" t="s">
        <v>569</v>
      </c>
      <c r="D125" s="451" t="s">
        <v>482</v>
      </c>
      <c r="F125" s="8"/>
    </row>
    <row r="126" spans="2:6">
      <c r="B126" s="38"/>
      <c r="C126" s="397" t="s">
        <v>570</v>
      </c>
      <c r="D126" s="451" t="s">
        <v>482</v>
      </c>
      <c r="F126" s="8"/>
    </row>
    <row r="127" spans="2:6" ht="16" thickBot="1">
      <c r="B127" s="441"/>
      <c r="C127" s="205"/>
      <c r="D127" s="449"/>
      <c r="F127" s="8"/>
    </row>
    <row r="128" spans="2:6" ht="16" thickBot="1">
      <c r="F128" s="8"/>
    </row>
    <row r="129" spans="2:6">
      <c r="B129" s="28" t="s">
        <v>204</v>
      </c>
      <c r="C129" s="30"/>
      <c r="F129" s="8"/>
    </row>
    <row r="130" spans="2:6">
      <c r="B130" s="31"/>
      <c r="C130" s="32"/>
      <c r="F130" s="8"/>
    </row>
    <row r="131" spans="2:6">
      <c r="B131" s="33" t="s">
        <v>226</v>
      </c>
      <c r="C131" s="109"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10" t="s">
        <v>43</v>
      </c>
    </row>
    <row r="139" spans="2:6">
      <c r="B139" s="49"/>
      <c r="C139" s="110"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46"/>
    </row>
    <row r="146" spans="2:3">
      <c r="B146" s="38" t="s">
        <v>407</v>
      </c>
      <c r="C146" s="43" t="s">
        <v>207</v>
      </c>
    </row>
    <row r="147" spans="2:3">
      <c r="B147" s="38"/>
      <c r="C147" s="43" t="s">
        <v>73</v>
      </c>
    </row>
    <row r="148" spans="2:3">
      <c r="B148" s="111"/>
      <c r="C148" s="546"/>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46"/>
    </row>
    <row r="173" spans="2:3">
      <c r="B173" s="38" t="s">
        <v>209</v>
      </c>
      <c r="C173" s="43" t="s">
        <v>74</v>
      </c>
    </row>
    <row r="174" spans="2:3">
      <c r="B174" s="31"/>
      <c r="C174" s="43" t="s">
        <v>75</v>
      </c>
    </row>
    <row r="175" spans="2:3">
      <c r="B175" s="31"/>
      <c r="C175" s="32"/>
    </row>
    <row r="176" spans="2:3">
      <c r="B176" s="48" t="s">
        <v>212</v>
      </c>
      <c r="C176" s="117" t="s">
        <v>212</v>
      </c>
    </row>
    <row r="177" spans="2:3">
      <c r="B177" s="38"/>
      <c r="C177" s="32"/>
    </row>
    <row r="178" spans="2:3">
      <c r="B178" s="48" t="s">
        <v>107</v>
      </c>
      <c r="C178" s="117" t="s">
        <v>107</v>
      </c>
    </row>
    <row r="179" spans="2:3">
      <c r="B179" s="38"/>
      <c r="C179" s="32"/>
    </row>
    <row r="180" spans="2:3">
      <c r="B180" s="48" t="s">
        <v>106</v>
      </c>
      <c r="C180" s="117" t="s">
        <v>106</v>
      </c>
    </row>
    <row r="181" spans="2:3">
      <c r="B181" s="111"/>
      <c r="C181" s="546"/>
    </row>
    <row r="182" spans="2:3">
      <c r="B182" s="49" t="s">
        <v>809</v>
      </c>
      <c r="C182" s="43" t="s">
        <v>104</v>
      </c>
    </row>
    <row r="183" spans="2:3">
      <c r="B183" s="31"/>
      <c r="C183" s="43"/>
    </row>
    <row r="184" spans="2:3">
      <c r="B184" s="31"/>
      <c r="C184" s="32"/>
    </row>
    <row r="185" spans="2:3" ht="16" thickBot="1">
      <c r="B185" s="47"/>
      <c r="C185" s="50"/>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P116"/>
  <sheetViews>
    <sheetView workbookViewId="0"/>
  </sheetViews>
  <sheetFormatPr baseColWidth="10" defaultRowHeight="15" x14ac:dyDescent="0"/>
  <cols>
    <col min="1" max="1" width="10.83203125" style="1"/>
    <col min="2" max="2" width="17.1640625" style="72" customWidth="1"/>
    <col min="3" max="3" width="83.6640625" style="72" bestFit="1" customWidth="1"/>
    <col min="4" max="4" width="7.1640625" style="248" bestFit="1" customWidth="1"/>
    <col min="5" max="5" width="17.1640625" style="264" customWidth="1"/>
    <col min="6" max="6" width="3.83203125" style="264"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0">
      <c r="B2" s="2" t="s">
        <v>27</v>
      </c>
      <c r="I2" s="454" t="s">
        <v>718</v>
      </c>
      <c r="J2" s="13"/>
      <c r="K2" s="4"/>
      <c r="L2" s="5"/>
    </row>
    <row r="3" spans="2:16">
      <c r="B3" s="263"/>
      <c r="I3" s="455"/>
      <c r="J3" s="8"/>
      <c r="K3" s="8"/>
      <c r="L3" s="7"/>
    </row>
    <row r="4" spans="2:16">
      <c r="B4" s="51" t="s">
        <v>79</v>
      </c>
      <c r="C4" s="203"/>
      <c r="D4" s="249"/>
      <c r="E4" s="265"/>
      <c r="F4" s="247"/>
      <c r="I4" s="456"/>
      <c r="J4" s="8"/>
      <c r="K4" s="8"/>
      <c r="L4" s="7"/>
    </row>
    <row r="5" spans="2:16" ht="45" customHeight="1">
      <c r="B5" s="650" t="s">
        <v>227</v>
      </c>
      <c r="C5" s="651"/>
      <c r="D5" s="651"/>
      <c r="E5" s="652"/>
      <c r="F5" s="410"/>
      <c r="I5" s="457"/>
      <c r="J5" s="10"/>
      <c r="K5" s="10"/>
      <c r="L5" s="11"/>
    </row>
    <row r="6" spans="2:16" ht="16" thickBot="1"/>
    <row r="7" spans="2:16">
      <c r="B7" s="28" t="s">
        <v>25</v>
      </c>
      <c r="C7" s="246"/>
      <c r="D7" s="250"/>
      <c r="E7" s="266"/>
      <c r="F7" s="266"/>
      <c r="G7" s="52"/>
      <c r="H7" s="52"/>
      <c r="I7" s="52"/>
      <c r="J7" s="52"/>
      <c r="K7" s="122" t="s">
        <v>80</v>
      </c>
      <c r="L7" s="52"/>
      <c r="M7" s="30"/>
      <c r="N7" s="8"/>
      <c r="O7" s="459"/>
      <c r="P7" s="460"/>
    </row>
    <row r="8" spans="2:16">
      <c r="B8" s="73"/>
      <c r="C8" s="194"/>
      <c r="D8" s="251"/>
      <c r="E8" s="247"/>
      <c r="F8" s="247"/>
      <c r="G8" s="8"/>
      <c r="H8" s="8"/>
      <c r="I8" s="8"/>
      <c r="J8" s="8"/>
      <c r="K8" s="20"/>
      <c r="L8" s="8"/>
      <c r="M8" s="32"/>
      <c r="N8" s="8"/>
      <c r="O8" s="456"/>
      <c r="P8" s="458"/>
    </row>
    <row r="9" spans="2:16">
      <c r="B9" s="563" t="s">
        <v>81</v>
      </c>
      <c r="C9" s="564" t="s">
        <v>34</v>
      </c>
      <c r="D9" s="564" t="s">
        <v>83</v>
      </c>
      <c r="E9" s="564" t="s">
        <v>82</v>
      </c>
      <c r="F9" s="564"/>
      <c r="G9" s="564" t="s">
        <v>757</v>
      </c>
      <c r="H9" s="564"/>
      <c r="I9" s="564" t="s">
        <v>35</v>
      </c>
      <c r="J9" s="564"/>
      <c r="K9" s="54" t="s">
        <v>84</v>
      </c>
      <c r="L9" s="54" t="s">
        <v>85</v>
      </c>
      <c r="M9" s="55" t="s">
        <v>79</v>
      </c>
      <c r="N9" s="15"/>
      <c r="O9" s="464" t="s">
        <v>808</v>
      </c>
      <c r="P9" s="465" t="s">
        <v>688</v>
      </c>
    </row>
    <row r="10" spans="2:16">
      <c r="B10" s="565" t="s">
        <v>36</v>
      </c>
      <c r="C10" s="15"/>
      <c r="D10" s="252"/>
      <c r="E10" s="256"/>
      <c r="F10" s="256"/>
      <c r="G10" s="15"/>
      <c r="H10" s="15"/>
      <c r="I10" s="15"/>
      <c r="J10" s="16"/>
      <c r="K10" s="566" t="s">
        <v>684</v>
      </c>
      <c r="L10" s="627" t="b">
        <f>IF(COUNTIF(P:P,0)+COUNTIF(P:P,FALSE)=0,TRUE,FALSE)</f>
        <v>0</v>
      </c>
      <c r="M10" s="61"/>
      <c r="N10" s="15"/>
      <c r="O10" s="456"/>
      <c r="P10" s="458"/>
    </row>
    <row r="11" spans="2:16">
      <c r="B11" s="36"/>
      <c r="C11" s="71" t="s">
        <v>322</v>
      </c>
      <c r="D11" s="436"/>
      <c r="E11" s="71"/>
      <c r="F11" s="194"/>
      <c r="G11" s="23" t="s">
        <v>731</v>
      </c>
      <c r="H11" s="15"/>
      <c r="I11" s="15"/>
      <c r="J11" s="16"/>
      <c r="K11" s="8"/>
      <c r="L11" s="56"/>
      <c r="M11" s="355"/>
      <c r="N11" s="438"/>
      <c r="O11" s="456" t="s">
        <v>687</v>
      </c>
      <c r="P11" s="458"/>
    </row>
    <row r="12" spans="2:16">
      <c r="B12" s="36"/>
      <c r="C12" s="71" t="s">
        <v>685</v>
      </c>
      <c r="D12" s="436"/>
      <c r="E12" s="71"/>
      <c r="F12" s="194"/>
      <c r="G12" s="23" t="s">
        <v>686</v>
      </c>
      <c r="H12" s="15"/>
      <c r="I12" s="15"/>
      <c r="J12" s="16"/>
      <c r="K12" s="60" t="s">
        <v>216</v>
      </c>
      <c r="L12" s="628" t="b">
        <f>IF(COUNTBLANK(E11:E96)-COUNTBLANK(C11:C96)=7,TRUE,FALSE)</f>
        <v>0</v>
      </c>
      <c r="M12" s="355"/>
      <c r="N12" s="438"/>
      <c r="O12" s="456" t="s">
        <v>686</v>
      </c>
      <c r="P12" s="458">
        <f>IF(L12=TRUE,1,0)</f>
        <v>0</v>
      </c>
    </row>
    <row r="13" spans="2:16">
      <c r="B13" s="36"/>
      <c r="C13" s="15"/>
      <c r="D13" s="252"/>
      <c r="E13" s="256"/>
      <c r="F13" s="256"/>
      <c r="G13" s="15"/>
      <c r="H13" s="15"/>
      <c r="I13" s="15"/>
      <c r="J13" s="16"/>
      <c r="K13" s="62"/>
      <c r="L13" s="121"/>
      <c r="M13" s="355"/>
      <c r="N13" s="438"/>
      <c r="O13" s="456"/>
      <c r="P13" s="458"/>
    </row>
    <row r="14" spans="2:16">
      <c r="B14" s="36"/>
      <c r="C14" s="15"/>
      <c r="D14" s="252"/>
      <c r="E14" s="256"/>
      <c r="F14" s="256"/>
      <c r="G14" s="15"/>
      <c r="H14" s="15"/>
      <c r="I14" s="15"/>
      <c r="J14" s="16"/>
      <c r="K14" s="62"/>
      <c r="L14" s="121"/>
      <c r="M14" s="140"/>
      <c r="N14" s="439"/>
      <c r="O14" s="456"/>
      <c r="P14" s="458"/>
    </row>
    <row r="15" spans="2:16">
      <c r="B15" s="33"/>
      <c r="C15" s="53"/>
      <c r="D15" s="253"/>
      <c r="E15" s="255"/>
      <c r="F15" s="255"/>
      <c r="G15" s="53"/>
      <c r="H15" s="53"/>
      <c r="I15" s="53"/>
      <c r="J15" s="123"/>
      <c r="K15" s="54"/>
      <c r="L15" s="54"/>
      <c r="M15" s="55"/>
      <c r="N15" s="15"/>
      <c r="O15" s="456"/>
      <c r="P15" s="458"/>
    </row>
    <row r="16" spans="2:16">
      <c r="B16" s="38" t="s">
        <v>86</v>
      </c>
      <c r="C16" s="15"/>
      <c r="D16" s="252"/>
      <c r="E16" s="256"/>
      <c r="F16" s="256"/>
      <c r="G16" s="15"/>
      <c r="H16" s="15"/>
      <c r="I16" s="15"/>
      <c r="J16" s="15"/>
      <c r="K16" s="60"/>
      <c r="L16" s="60"/>
      <c r="M16" s="61"/>
      <c r="N16" s="15"/>
      <c r="O16" s="456"/>
      <c r="P16" s="458"/>
    </row>
    <row r="17" spans="2:16" ht="15" customHeight="1">
      <c r="B17" s="31"/>
      <c r="C17" s="71" t="s">
        <v>374</v>
      </c>
      <c r="D17" s="436" t="s">
        <v>214</v>
      </c>
      <c r="E17" s="411">
        <f>Final_demand_residences</f>
        <v>0</v>
      </c>
      <c r="F17" s="17"/>
      <c r="G17" s="427"/>
      <c r="H17" s="419"/>
      <c r="I17" s="17" t="s">
        <v>464</v>
      </c>
      <c r="J17" s="8"/>
      <c r="K17" s="653" t="s">
        <v>814</v>
      </c>
      <c r="L17" s="356"/>
      <c r="M17" s="357"/>
      <c r="N17" s="75"/>
      <c r="O17" s="456"/>
      <c r="P17" s="458"/>
    </row>
    <row r="18" spans="2:16">
      <c r="B18" s="38"/>
      <c r="C18" s="194"/>
      <c r="D18" s="398"/>
      <c r="E18" s="270"/>
      <c r="F18" s="270"/>
      <c r="G18" s="426"/>
      <c r="H18" s="414"/>
      <c r="I18" s="8"/>
      <c r="J18" s="8"/>
      <c r="K18" s="654"/>
      <c r="L18" s="420"/>
      <c r="M18" s="357"/>
      <c r="N18" s="75"/>
      <c r="O18" s="456"/>
      <c r="P18" s="458"/>
    </row>
    <row r="19" spans="2:16" ht="16" customHeight="1" thickBot="1">
      <c r="B19" s="38"/>
      <c r="C19" s="630" t="s">
        <v>817</v>
      </c>
      <c r="D19" s="398"/>
      <c r="E19" s="270"/>
      <c r="F19" s="270"/>
      <c r="G19" s="426"/>
      <c r="H19" s="414"/>
      <c r="I19" s="8"/>
      <c r="J19" s="8"/>
      <c r="K19" s="632" t="str">
        <f t="array" ref="K19:K25">TRANSPOSE('Final demand per energy carrier'!E75:K75)</f>
        <v>Network gas</v>
      </c>
      <c r="L19" s="643" t="e">
        <f t="array" ref="L19:L25">TRANSPOSE('Final demand per energy carrier'!E78:K78)</f>
        <v>#DIV/0!</v>
      </c>
      <c r="M19" s="364" t="e">
        <f>IF(ABS(L19)&lt;0.03," ","Consider adjusting your inputs that influence the demand for gas.")</f>
        <v>#DIV/0!</v>
      </c>
      <c r="N19" s="75"/>
      <c r="O19" s="456"/>
      <c r="P19" s="458"/>
    </row>
    <row r="20" spans="2:16" ht="16" thickBot="1">
      <c r="B20" s="38"/>
      <c r="C20" s="629" t="s">
        <v>77</v>
      </c>
      <c r="D20" s="399" t="s">
        <v>214</v>
      </c>
      <c r="E20" s="394"/>
      <c r="F20" s="411"/>
      <c r="G20" s="427" t="s">
        <v>368</v>
      </c>
      <c r="H20" s="419"/>
      <c r="I20" s="421"/>
      <c r="J20" s="7"/>
      <c r="K20" s="633" t="str">
        <v>Electricity</v>
      </c>
      <c r="L20" s="643" t="e">
        <v>#DIV/0!</v>
      </c>
      <c r="M20" s="364" t="e">
        <f>IF(ABS(L20)&lt;0.03," ","Consider adjusting your inputs that influence the demand for electricity.")</f>
        <v>#DIV/0!</v>
      </c>
      <c r="N20" s="75"/>
      <c r="O20" s="456" t="s">
        <v>591</v>
      </c>
      <c r="P20" s="458"/>
    </row>
    <row r="21" spans="2:16" ht="16" thickBot="1">
      <c r="B21" s="38"/>
      <c r="C21" s="629" t="s">
        <v>305</v>
      </c>
      <c r="D21" s="399" t="s">
        <v>214</v>
      </c>
      <c r="E21" s="394"/>
      <c r="F21" s="411"/>
      <c r="G21" s="427" t="s">
        <v>369</v>
      </c>
      <c r="H21" s="419"/>
      <c r="I21" s="421"/>
      <c r="J21" s="7"/>
      <c r="K21" s="633" t="str">
        <v>Solar thermal</v>
      </c>
      <c r="L21" s="643" t="e">
        <v>#DIV/0!</v>
      </c>
      <c r="M21" s="364" t="e">
        <f>IF(ABS(L21)&lt;0.03," ","Consider adjusting your inputs that influence the demand for solar thermal energy.")</f>
        <v>#DIV/0!</v>
      </c>
      <c r="N21" s="75"/>
      <c r="O21" s="456" t="s">
        <v>592</v>
      </c>
      <c r="P21" s="458"/>
    </row>
    <row r="22" spans="2:16" ht="16" thickBot="1">
      <c r="B22" s="38"/>
      <c r="C22" s="629" t="s">
        <v>89</v>
      </c>
      <c r="D22" s="399" t="s">
        <v>214</v>
      </c>
      <c r="E22" s="394"/>
      <c r="F22" s="411"/>
      <c r="G22" s="427" t="s">
        <v>370</v>
      </c>
      <c r="H22" s="419"/>
      <c r="I22" s="421"/>
      <c r="J22" s="7"/>
      <c r="K22" s="633" t="str">
        <v>Coal</v>
      </c>
      <c r="L22" s="643" t="e">
        <v>#DIV/0!</v>
      </c>
      <c r="M22" s="364" t="e">
        <f>IF(ABS(L22)&lt;0.03," ","Consider adjusting your inputs that influence the demand for coal.")</f>
        <v>#DIV/0!</v>
      </c>
      <c r="N22" s="75"/>
      <c r="O22" s="456" t="s">
        <v>593</v>
      </c>
      <c r="P22" s="458"/>
    </row>
    <row r="23" spans="2:16" ht="16" thickBot="1">
      <c r="B23" s="38"/>
      <c r="C23" s="629" t="s">
        <v>76</v>
      </c>
      <c r="D23" s="399" t="s">
        <v>214</v>
      </c>
      <c r="E23" s="394"/>
      <c r="F23" s="411"/>
      <c r="G23" s="427" t="s">
        <v>371</v>
      </c>
      <c r="H23" s="419"/>
      <c r="I23" s="421"/>
      <c r="J23" s="7"/>
      <c r="K23" s="633" t="str">
        <v>Oil</v>
      </c>
      <c r="L23" s="643" t="e">
        <v>#DIV/0!</v>
      </c>
      <c r="M23" s="364" t="e">
        <f>IF(ABS(L23)&lt;0.03," ","Consider adjusting your inputs that influence the demand for oil.")</f>
        <v>#DIV/0!</v>
      </c>
      <c r="N23" s="75"/>
      <c r="O23" s="456" t="s">
        <v>594</v>
      </c>
      <c r="P23" s="458"/>
    </row>
    <row r="24" spans="2:16" ht="16" thickBot="1">
      <c r="B24" s="38"/>
      <c r="C24" s="629" t="s">
        <v>282</v>
      </c>
      <c r="D24" s="399" t="s">
        <v>214</v>
      </c>
      <c r="E24" s="394"/>
      <c r="F24" s="411"/>
      <c r="G24" s="427" t="s">
        <v>372</v>
      </c>
      <c r="H24" s="419"/>
      <c r="I24" s="421"/>
      <c r="J24" s="8"/>
      <c r="K24" s="633" t="str">
        <v>Woodpellets</v>
      </c>
      <c r="L24" s="643" t="e">
        <v>#DIV/0!</v>
      </c>
      <c r="M24" s="364" t="e">
        <f>IF(ABS(L24)&lt;0.03," ","Consider adjusting your inputs that influence the demand for wood pellets.")</f>
        <v>#DIV/0!</v>
      </c>
      <c r="N24" s="75"/>
      <c r="O24" s="456" t="s">
        <v>595</v>
      </c>
      <c r="P24" s="458"/>
    </row>
    <row r="25" spans="2:16" ht="16" thickBot="1">
      <c r="B25" s="38"/>
      <c r="C25" s="629" t="s">
        <v>401</v>
      </c>
      <c r="D25" s="399" t="s">
        <v>214</v>
      </c>
      <c r="E25" s="394"/>
      <c r="F25" s="411"/>
      <c r="G25" s="427" t="s">
        <v>373</v>
      </c>
      <c r="H25" s="419"/>
      <c r="I25" s="421"/>
      <c r="J25" s="8"/>
      <c r="K25" s="632" t="str">
        <v>District heat</v>
      </c>
      <c r="L25" s="643" t="e">
        <v>#DIV/0!</v>
      </c>
      <c r="M25" s="364" t="e">
        <f>IF(ABS(L25)&lt;0.03," ","Consider adjusting your inputs that influence the demand for district heat.")</f>
        <v>#DIV/0!</v>
      </c>
      <c r="N25" s="75"/>
      <c r="O25" s="456" t="s">
        <v>596</v>
      </c>
      <c r="P25" s="458"/>
    </row>
    <row r="26" spans="2:16">
      <c r="B26" s="38"/>
      <c r="C26" s="194"/>
      <c r="D26" s="398"/>
      <c r="E26" s="247"/>
      <c r="F26" s="247"/>
      <c r="G26" s="428"/>
      <c r="H26" s="149"/>
      <c r="I26" s="8"/>
      <c r="J26" s="8"/>
      <c r="K26" s="356"/>
      <c r="L26" s="360"/>
      <c r="M26" s="357"/>
      <c r="N26" s="75"/>
      <c r="O26" s="456"/>
      <c r="P26" s="458"/>
    </row>
    <row r="27" spans="2:16">
      <c r="B27" s="38"/>
      <c r="C27" s="194" t="s">
        <v>813</v>
      </c>
      <c r="D27" s="398" t="s">
        <v>214</v>
      </c>
      <c r="E27" s="631">
        <f>E17-SUM(E20:E25)</f>
        <v>0</v>
      </c>
      <c r="F27" s="258"/>
      <c r="G27" s="428"/>
      <c r="H27" s="149"/>
      <c r="I27" s="8"/>
      <c r="J27" s="8"/>
      <c r="K27" s="356" t="s">
        <v>571</v>
      </c>
      <c r="L27" s="644" t="e">
        <f>IF(ABS(E27)/E17&lt;0.05,TRUE,E27/E17)</f>
        <v>#DIV/0!</v>
      </c>
      <c r="M27" s="364" t="e">
        <f>IF(L27=TRUE," ","Consider adjusting the final demands for space heating, space cooling....")</f>
        <v>#DIV/0!</v>
      </c>
      <c r="N27" s="75"/>
      <c r="O27" s="456"/>
      <c r="P27" s="458"/>
    </row>
    <row r="28" spans="2:16">
      <c r="B28" s="111"/>
      <c r="C28" s="198"/>
      <c r="D28" s="400"/>
      <c r="E28" s="267"/>
      <c r="F28" s="267"/>
      <c r="G28" s="429"/>
      <c r="H28" s="596"/>
      <c r="I28" s="10"/>
      <c r="J28" s="10"/>
      <c r="K28" s="361"/>
      <c r="L28" s="361"/>
      <c r="M28" s="358"/>
      <c r="N28" s="75"/>
      <c r="O28" s="456"/>
      <c r="P28" s="458"/>
    </row>
    <row r="29" spans="2:16" ht="16" customHeight="1">
      <c r="B29" s="38" t="s">
        <v>77</v>
      </c>
      <c r="C29" s="194"/>
      <c r="D29" s="398"/>
      <c r="E29" s="259"/>
      <c r="F29" s="257"/>
      <c r="G29" s="428"/>
      <c r="H29" s="149"/>
      <c r="I29" s="8"/>
      <c r="J29" s="8"/>
      <c r="K29" s="626" t="s">
        <v>191</v>
      </c>
      <c r="L29" s="635">
        <f>IF(SUM(E31:E42)=1,TRUE,SUM(E31:E42))</f>
        <v>0</v>
      </c>
      <c r="M29" s="364"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40"/>
      <c r="O29" s="456"/>
      <c r="P29" s="458">
        <f>IF(L29=TRUE,1,0)</f>
        <v>0</v>
      </c>
    </row>
    <row r="30" spans="2:16" ht="16" customHeight="1" thickBot="1">
      <c r="B30" s="38"/>
      <c r="C30" s="630" t="s">
        <v>852</v>
      </c>
      <c r="D30" s="398"/>
      <c r="E30" s="257"/>
      <c r="F30" s="257"/>
      <c r="G30" s="428"/>
      <c r="H30" s="149"/>
      <c r="I30" s="8"/>
      <c r="J30" s="8"/>
      <c r="K30" s="626"/>
      <c r="L30" s="359"/>
      <c r="M30" s="364"/>
      <c r="N30" s="440"/>
      <c r="O30" s="456"/>
      <c r="P30" s="458"/>
    </row>
    <row r="31" spans="2:16" ht="16" thickBot="1">
      <c r="B31" s="38"/>
      <c r="C31" s="629" t="s">
        <v>818</v>
      </c>
      <c r="D31" s="401"/>
      <c r="E31" s="395"/>
      <c r="F31" s="412"/>
      <c r="G31" s="430"/>
      <c r="H31" s="416"/>
      <c r="I31" s="421"/>
      <c r="J31" s="8"/>
      <c r="K31" s="356"/>
      <c r="L31" s="359"/>
      <c r="M31" s="364"/>
      <c r="N31" s="440"/>
      <c r="O31" s="456" t="s">
        <v>597</v>
      </c>
      <c r="P31" s="458"/>
    </row>
    <row r="32" spans="2:16" ht="16" thickBot="1">
      <c r="B32" s="38"/>
      <c r="C32" s="629" t="s">
        <v>819</v>
      </c>
      <c r="D32" s="401"/>
      <c r="E32" s="395"/>
      <c r="F32" s="412"/>
      <c r="G32" s="430"/>
      <c r="H32" s="416"/>
      <c r="I32" s="421"/>
      <c r="J32" s="8"/>
      <c r="K32" s="356"/>
      <c r="L32" s="359"/>
      <c r="M32" s="364"/>
      <c r="N32" s="440"/>
      <c r="O32" s="456" t="s">
        <v>598</v>
      </c>
      <c r="P32" s="458"/>
    </row>
    <row r="33" spans="2:16" ht="16" thickBot="1">
      <c r="B33" s="38"/>
      <c r="C33" s="629" t="s">
        <v>820</v>
      </c>
      <c r="D33" s="401"/>
      <c r="E33" s="395"/>
      <c r="F33" s="412"/>
      <c r="G33" s="430"/>
      <c r="H33" s="416"/>
      <c r="I33" s="421"/>
      <c r="J33" s="8"/>
      <c r="K33" s="356"/>
      <c r="L33" s="359"/>
      <c r="M33" s="364"/>
      <c r="N33" s="440"/>
      <c r="O33" s="456" t="s">
        <v>599</v>
      </c>
      <c r="P33" s="458"/>
    </row>
    <row r="34" spans="2:16" ht="16" thickBot="1">
      <c r="B34" s="38"/>
      <c r="C34" s="629" t="s">
        <v>821</v>
      </c>
      <c r="D34" s="401"/>
      <c r="E34" s="395"/>
      <c r="F34" s="412"/>
      <c r="G34" s="430"/>
      <c r="H34" s="416"/>
      <c r="I34" s="421"/>
      <c r="J34" s="8"/>
      <c r="K34" s="356"/>
      <c r="L34" s="360"/>
      <c r="M34" s="623"/>
      <c r="N34" s="440"/>
      <c r="O34" s="456" t="s">
        <v>600</v>
      </c>
      <c r="P34" s="458"/>
    </row>
    <row r="35" spans="2:16" ht="16" thickBot="1">
      <c r="B35" s="38"/>
      <c r="C35" s="629" t="s">
        <v>822</v>
      </c>
      <c r="D35" s="401"/>
      <c r="E35" s="395"/>
      <c r="F35" s="412"/>
      <c r="G35" s="430"/>
      <c r="H35" s="416"/>
      <c r="I35" s="421"/>
      <c r="J35" s="8"/>
      <c r="K35" s="356"/>
      <c r="L35" s="359"/>
      <c r="M35" s="357"/>
      <c r="N35" s="75"/>
      <c r="O35" s="456" t="s">
        <v>603</v>
      </c>
      <c r="P35" s="458"/>
    </row>
    <row r="36" spans="2:16" ht="16" thickBot="1">
      <c r="B36" s="38"/>
      <c r="C36" s="629" t="s">
        <v>823</v>
      </c>
      <c r="D36" s="401"/>
      <c r="E36" s="395"/>
      <c r="F36" s="412"/>
      <c r="G36" s="430"/>
      <c r="H36" s="416"/>
      <c r="I36" s="421"/>
      <c r="J36" s="8"/>
      <c r="K36" s="356"/>
      <c r="L36" s="359"/>
      <c r="M36" s="357"/>
      <c r="N36" s="75"/>
      <c r="O36" s="456" t="s">
        <v>601</v>
      </c>
      <c r="P36" s="458"/>
    </row>
    <row r="37" spans="2:16" ht="16" thickBot="1">
      <c r="B37" s="38"/>
      <c r="C37" s="629" t="s">
        <v>824</v>
      </c>
      <c r="D37" s="401"/>
      <c r="E37" s="395"/>
      <c r="F37" s="412"/>
      <c r="G37" s="430"/>
      <c r="H37" s="416"/>
      <c r="I37" s="421"/>
      <c r="J37" s="8"/>
      <c r="K37" s="356"/>
      <c r="L37" s="359"/>
      <c r="M37" s="357"/>
      <c r="N37" s="75"/>
      <c r="O37" s="456" t="s">
        <v>602</v>
      </c>
      <c r="P37" s="458"/>
    </row>
    <row r="38" spans="2:16" ht="16" thickBot="1">
      <c r="B38" s="38"/>
      <c r="C38" s="629" t="s">
        <v>825</v>
      </c>
      <c r="D38" s="401"/>
      <c r="E38" s="395"/>
      <c r="F38" s="412"/>
      <c r="G38" s="430"/>
      <c r="H38" s="416"/>
      <c r="I38" s="421"/>
      <c r="J38" s="8"/>
      <c r="K38" s="356"/>
      <c r="L38" s="359"/>
      <c r="M38" s="357"/>
      <c r="N38" s="75"/>
      <c r="O38" s="461" t="s">
        <v>604</v>
      </c>
      <c r="P38" s="458"/>
    </row>
    <row r="39" spans="2:16" ht="16" thickBot="1">
      <c r="B39" s="38"/>
      <c r="C39" s="629" t="s">
        <v>826</v>
      </c>
      <c r="D39" s="401"/>
      <c r="E39" s="395"/>
      <c r="F39" s="412"/>
      <c r="G39" s="430"/>
      <c r="H39" s="416"/>
      <c r="I39" s="421"/>
      <c r="J39" s="8"/>
      <c r="K39" s="356" t="s">
        <v>467</v>
      </c>
      <c r="L39" s="359"/>
      <c r="M39" s="357"/>
      <c r="N39" s="75"/>
      <c r="O39" s="461" t="s">
        <v>606</v>
      </c>
      <c r="P39" s="458"/>
    </row>
    <row r="40" spans="2:16" ht="16" thickBot="1">
      <c r="B40" s="38"/>
      <c r="C40" s="629" t="s">
        <v>827</v>
      </c>
      <c r="D40" s="401"/>
      <c r="E40" s="395"/>
      <c r="F40" s="412"/>
      <c r="G40" s="430"/>
      <c r="H40" s="416"/>
      <c r="I40" s="421"/>
      <c r="J40" s="8"/>
      <c r="K40" s="356" t="s">
        <v>468</v>
      </c>
      <c r="L40" s="638" t="e">
        <f>'Technology Shares'!F30</f>
        <v>#DIV/0!</v>
      </c>
      <c r="M40" s="357" t="s">
        <v>815</v>
      </c>
      <c r="N40" s="75"/>
      <c r="O40" s="461" t="s">
        <v>605</v>
      </c>
      <c r="P40" s="458"/>
    </row>
    <row r="41" spans="2:16" ht="16" thickBot="1">
      <c r="B41" s="38"/>
      <c r="C41" s="629" t="s">
        <v>828</v>
      </c>
      <c r="D41" s="401"/>
      <c r="E41" s="395"/>
      <c r="F41" s="412"/>
      <c r="G41" s="430"/>
      <c r="H41" s="416"/>
      <c r="I41" s="421"/>
      <c r="J41" s="8"/>
      <c r="K41" s="356" t="s">
        <v>469</v>
      </c>
      <c r="L41" s="638" t="e">
        <f>'Technology Shares'!F29</f>
        <v>#DIV/0!</v>
      </c>
      <c r="M41" s="364"/>
      <c r="O41" s="461" t="s">
        <v>607</v>
      </c>
      <c r="P41" s="458"/>
    </row>
    <row r="42" spans="2:16" ht="16" thickBot="1">
      <c r="B42" s="38"/>
      <c r="C42" s="629" t="s">
        <v>324</v>
      </c>
      <c r="D42" s="401"/>
      <c r="E42" s="395"/>
      <c r="F42" s="412"/>
      <c r="G42" s="430"/>
      <c r="H42" s="416"/>
      <c r="I42" s="421"/>
      <c r="J42" s="8"/>
      <c r="K42" s="356"/>
      <c r="L42" s="75"/>
      <c r="M42" s="357"/>
      <c r="N42" s="75"/>
      <c r="O42" s="461" t="s">
        <v>608</v>
      </c>
      <c r="P42" s="458"/>
    </row>
    <row r="43" spans="2:16">
      <c r="B43" s="111"/>
      <c r="C43" s="198"/>
      <c r="D43" s="400"/>
      <c r="E43" s="260"/>
      <c r="F43" s="260"/>
      <c r="G43" s="431"/>
      <c r="H43" s="417"/>
      <c r="I43" s="10"/>
      <c r="J43" s="10"/>
      <c r="K43" s="361"/>
      <c r="L43" s="361"/>
      <c r="M43" s="358"/>
      <c r="N43" s="75"/>
      <c r="O43" s="462"/>
      <c r="P43" s="458"/>
    </row>
    <row r="44" spans="2:16" ht="16" customHeight="1">
      <c r="B44" s="38" t="s">
        <v>305</v>
      </c>
      <c r="C44" s="194"/>
      <c r="D44" s="398"/>
      <c r="E44" s="261"/>
      <c r="F44" s="261"/>
      <c r="G44" s="428"/>
      <c r="H44" s="149"/>
      <c r="I44" s="8"/>
      <c r="J44" s="8"/>
      <c r="K44" s="626" t="s">
        <v>191</v>
      </c>
      <c r="L44" s="635">
        <f>IF(SUM(E46:E57)=1,TRUE,SUM(E46:E57))</f>
        <v>0</v>
      </c>
      <c r="M44" s="364" t="str">
        <f>IF(L44=TRUE," ","Please adjust the percentages on the left. You might find it usefule to temporarily define one share as '1-sum( all others )' ")</f>
        <v xml:space="preserve">Please adjust the percentages on the left. You might find it usefule to temporarily define one share as '1-sum( all others )' </v>
      </c>
      <c r="N44" s="440"/>
      <c r="O44" s="456"/>
      <c r="P44" s="458">
        <f>IF(L44=TRUE,1,0)</f>
        <v>0</v>
      </c>
    </row>
    <row r="45" spans="2:16" ht="16" customHeight="1" thickBot="1">
      <c r="B45" s="38"/>
      <c r="C45" s="630" t="s">
        <v>851</v>
      </c>
      <c r="D45" s="398"/>
      <c r="E45" s="261"/>
      <c r="F45" s="261"/>
      <c r="G45" s="428"/>
      <c r="H45" s="149"/>
      <c r="I45" s="8"/>
      <c r="J45" s="8"/>
      <c r="K45" s="626"/>
      <c r="L45" s="359"/>
      <c r="M45" s="364"/>
      <c r="N45" s="440"/>
      <c r="O45" s="456"/>
      <c r="P45" s="458"/>
    </row>
    <row r="46" spans="2:16" ht="16" thickBot="1">
      <c r="B46" s="38"/>
      <c r="C46" s="629" t="s">
        <v>818</v>
      </c>
      <c r="D46" s="401"/>
      <c r="E46" s="395"/>
      <c r="F46" s="412"/>
      <c r="G46" s="430"/>
      <c r="H46" s="416"/>
      <c r="I46" s="421"/>
      <c r="J46" s="8"/>
      <c r="K46" s="356"/>
      <c r="L46" s="359"/>
      <c r="M46" s="357"/>
      <c r="N46" s="440"/>
      <c r="O46" s="456" t="s">
        <v>609</v>
      </c>
      <c r="P46" s="458"/>
    </row>
    <row r="47" spans="2:16" ht="16" thickBot="1">
      <c r="B47" s="38"/>
      <c r="C47" s="629" t="s">
        <v>819</v>
      </c>
      <c r="D47" s="401"/>
      <c r="E47" s="395"/>
      <c r="F47" s="412"/>
      <c r="G47" s="430"/>
      <c r="H47" s="416"/>
      <c r="I47" s="423"/>
      <c r="J47" s="8"/>
      <c r="K47" s="356"/>
      <c r="L47" s="359"/>
      <c r="M47" s="32"/>
      <c r="N47" s="440"/>
      <c r="O47" s="456" t="s">
        <v>610</v>
      </c>
      <c r="P47" s="458"/>
    </row>
    <row r="48" spans="2:16" ht="16" thickBot="1">
      <c r="B48" s="38"/>
      <c r="C48" s="629" t="s">
        <v>829</v>
      </c>
      <c r="D48" s="401"/>
      <c r="E48" s="395"/>
      <c r="F48" s="412"/>
      <c r="G48" s="430"/>
      <c r="H48" s="416"/>
      <c r="I48" s="423"/>
      <c r="J48" s="8"/>
      <c r="K48" s="356"/>
      <c r="L48" s="359"/>
      <c r="M48" s="32"/>
      <c r="N48" s="440"/>
      <c r="O48" s="456" t="s">
        <v>611</v>
      </c>
      <c r="P48" s="458"/>
    </row>
    <row r="49" spans="2:16" ht="16" thickBot="1">
      <c r="B49" s="38"/>
      <c r="C49" s="629" t="s">
        <v>821</v>
      </c>
      <c r="D49" s="401"/>
      <c r="E49" s="395"/>
      <c r="F49" s="412"/>
      <c r="G49" s="430"/>
      <c r="H49" s="416"/>
      <c r="I49" s="423"/>
      <c r="J49" s="8"/>
      <c r="K49" s="356"/>
      <c r="L49" s="360"/>
      <c r="M49" s="32"/>
      <c r="N49" s="440"/>
      <c r="O49" s="456" t="s">
        <v>612</v>
      </c>
      <c r="P49" s="458"/>
    </row>
    <row r="50" spans="2:16" ht="16" thickBot="1">
      <c r="B50" s="38"/>
      <c r="C50" s="629" t="s">
        <v>830</v>
      </c>
      <c r="D50" s="401"/>
      <c r="E50" s="395"/>
      <c r="F50" s="412"/>
      <c r="G50" s="430"/>
      <c r="H50" s="416"/>
      <c r="I50" s="423"/>
      <c r="J50" s="8"/>
      <c r="K50" s="356"/>
      <c r="L50" s="359"/>
      <c r="M50" s="32"/>
      <c r="N50" s="75"/>
      <c r="O50" s="456" t="s">
        <v>613</v>
      </c>
      <c r="P50" s="458"/>
    </row>
    <row r="51" spans="2:16" ht="16" thickBot="1">
      <c r="B51" s="38"/>
      <c r="C51" s="629" t="s">
        <v>867</v>
      </c>
      <c r="D51" s="401"/>
      <c r="E51" s="395"/>
      <c r="F51" s="412"/>
      <c r="G51" s="430"/>
      <c r="H51" s="416"/>
      <c r="I51" s="423"/>
      <c r="J51" s="8"/>
      <c r="K51" s="356"/>
      <c r="L51" s="359"/>
      <c r="M51" s="32"/>
      <c r="N51" s="75"/>
      <c r="O51" s="456" t="s">
        <v>614</v>
      </c>
      <c r="P51" s="458"/>
    </row>
    <row r="52" spans="2:16" ht="16" thickBot="1">
      <c r="B52" s="38"/>
      <c r="C52" s="629" t="s">
        <v>831</v>
      </c>
      <c r="D52" s="401"/>
      <c r="E52" s="395"/>
      <c r="F52" s="412"/>
      <c r="G52" s="430"/>
      <c r="H52" s="416"/>
      <c r="I52" s="422"/>
      <c r="J52" s="8"/>
      <c r="K52" s="356"/>
      <c r="L52" s="359"/>
      <c r="M52" s="357"/>
      <c r="N52" s="75"/>
      <c r="O52" s="456" t="s">
        <v>615</v>
      </c>
      <c r="P52" s="458"/>
    </row>
    <row r="53" spans="2:16" ht="16" thickBot="1">
      <c r="B53" s="38"/>
      <c r="C53" s="629" t="s">
        <v>832</v>
      </c>
      <c r="D53" s="401"/>
      <c r="E53" s="395"/>
      <c r="F53" s="412"/>
      <c r="G53" s="430"/>
      <c r="H53" s="416"/>
      <c r="I53" s="423"/>
      <c r="J53" s="8"/>
      <c r="K53" s="356"/>
      <c r="L53" s="359"/>
      <c r="M53" s="357"/>
      <c r="N53" s="75"/>
      <c r="O53" s="461" t="s">
        <v>616</v>
      </c>
      <c r="P53" s="458"/>
    </row>
    <row r="54" spans="2:16" ht="16" thickBot="1">
      <c r="B54" s="38"/>
      <c r="C54" s="629" t="s">
        <v>833</v>
      </c>
      <c r="D54" s="401"/>
      <c r="E54" s="395"/>
      <c r="F54" s="412"/>
      <c r="G54" s="430"/>
      <c r="H54" s="416"/>
      <c r="I54" s="423"/>
      <c r="J54" s="8"/>
      <c r="K54" s="356"/>
      <c r="L54" s="359"/>
      <c r="M54" s="357"/>
      <c r="N54" s="75"/>
      <c r="O54" s="461" t="s">
        <v>617</v>
      </c>
      <c r="P54" s="458"/>
    </row>
    <row r="55" spans="2:16" ht="16" thickBot="1">
      <c r="B55" s="38"/>
      <c r="C55" s="629" t="s">
        <v>834</v>
      </c>
      <c r="D55" s="401"/>
      <c r="E55" s="395"/>
      <c r="F55" s="412"/>
      <c r="G55" s="430"/>
      <c r="H55" s="416"/>
      <c r="I55" s="423"/>
      <c r="J55" s="8"/>
      <c r="K55" s="356"/>
      <c r="L55" s="359"/>
      <c r="M55" s="357"/>
      <c r="N55" s="75"/>
      <c r="O55" s="461" t="s">
        <v>618</v>
      </c>
      <c r="P55" s="458"/>
    </row>
    <row r="56" spans="2:16" ht="16" thickBot="1">
      <c r="B56" s="38"/>
      <c r="C56" s="629" t="s">
        <v>835</v>
      </c>
      <c r="D56" s="401"/>
      <c r="E56" s="395"/>
      <c r="F56" s="412"/>
      <c r="G56" s="430"/>
      <c r="H56" s="416"/>
      <c r="I56" s="423"/>
      <c r="J56" s="8"/>
      <c r="K56" s="356"/>
      <c r="L56" s="359"/>
      <c r="M56" s="357"/>
      <c r="N56" s="75"/>
      <c r="O56" s="461" t="s">
        <v>619</v>
      </c>
      <c r="P56" s="458"/>
    </row>
    <row r="57" spans="2:16" ht="16" thickBot="1">
      <c r="B57" s="38"/>
      <c r="C57" s="629" t="s">
        <v>836</v>
      </c>
      <c r="D57" s="401"/>
      <c r="E57" s="395"/>
      <c r="F57" s="412"/>
      <c r="G57" s="430"/>
      <c r="H57" s="416"/>
      <c r="I57" s="423"/>
      <c r="J57" s="8"/>
      <c r="K57" s="356"/>
      <c r="L57" s="356"/>
      <c r="M57" s="357"/>
      <c r="N57" s="75"/>
      <c r="O57" s="461" t="s">
        <v>620</v>
      </c>
      <c r="P57" s="458"/>
    </row>
    <row r="58" spans="2:16">
      <c r="B58" s="111"/>
      <c r="C58" s="198"/>
      <c r="D58" s="400"/>
      <c r="E58" s="262"/>
      <c r="F58" s="262"/>
      <c r="G58" s="429"/>
      <c r="H58" s="596"/>
      <c r="I58" s="10"/>
      <c r="J58" s="10"/>
      <c r="K58" s="362"/>
      <c r="L58" s="362"/>
      <c r="M58" s="358"/>
      <c r="N58" s="75"/>
      <c r="O58" s="456"/>
      <c r="P58" s="458"/>
    </row>
    <row r="59" spans="2:16">
      <c r="B59" s="38" t="s">
        <v>89</v>
      </c>
      <c r="C59" s="59"/>
      <c r="D59" s="402"/>
      <c r="E59" s="639"/>
      <c r="F59" s="639"/>
      <c r="G59" s="428"/>
      <c r="H59" s="149"/>
      <c r="I59" s="8"/>
      <c r="J59" s="8"/>
      <c r="K59" s="626" t="s">
        <v>191</v>
      </c>
      <c r="L59" s="635">
        <f>IF(SUM(E61:E63)=1,TRUE,SUM(E61:E63))</f>
        <v>0</v>
      </c>
      <c r="M59" s="634" t="str">
        <f>IF(L59=TRUE," ","Please adjust the percentages on the left. ")</f>
        <v xml:space="preserve">Please adjust the percentages on the left. </v>
      </c>
      <c r="N59" s="75"/>
      <c r="O59" s="456"/>
      <c r="P59" s="458">
        <f>IF(L59=TRUE,1,0)</f>
        <v>0</v>
      </c>
    </row>
    <row r="60" spans="2:16" ht="16" thickBot="1">
      <c r="B60" s="38"/>
      <c r="C60" s="630" t="s">
        <v>850</v>
      </c>
      <c r="D60" s="402"/>
      <c r="E60" s="639"/>
      <c r="F60" s="639"/>
      <c r="G60" s="428"/>
      <c r="H60" s="149"/>
      <c r="I60" s="8"/>
      <c r="J60" s="8"/>
      <c r="K60" s="626"/>
      <c r="L60" s="359"/>
      <c r="M60" s="637"/>
      <c r="N60" s="75"/>
      <c r="O60" s="456"/>
      <c r="P60" s="458"/>
    </row>
    <row r="61" spans="2:16" ht="16" thickBot="1">
      <c r="B61" s="38"/>
      <c r="C61" s="629" t="s">
        <v>837</v>
      </c>
      <c r="D61" s="403"/>
      <c r="E61" s="396"/>
      <c r="F61" s="413"/>
      <c r="G61" s="430"/>
      <c r="H61" s="416"/>
      <c r="I61" s="422"/>
      <c r="J61" s="8"/>
      <c r="K61" s="356"/>
      <c r="L61" s="359"/>
      <c r="M61" s="357"/>
      <c r="N61" s="75"/>
      <c r="O61" s="461" t="s">
        <v>621</v>
      </c>
      <c r="P61" s="458"/>
    </row>
    <row r="62" spans="2:16" ht="16" thickBot="1">
      <c r="B62" s="38"/>
      <c r="C62" s="629" t="s">
        <v>838</v>
      </c>
      <c r="D62" s="403"/>
      <c r="E62" s="396"/>
      <c r="F62" s="413"/>
      <c r="G62" s="430"/>
      <c r="H62" s="416"/>
      <c r="I62" s="423"/>
      <c r="J62" s="8"/>
      <c r="K62" s="356"/>
      <c r="L62" s="359"/>
      <c r="M62" s="357"/>
      <c r="N62" s="75"/>
      <c r="O62" s="461" t="s">
        <v>622</v>
      </c>
      <c r="P62" s="458"/>
    </row>
    <row r="63" spans="2:16" ht="16" thickBot="1">
      <c r="B63" s="38"/>
      <c r="C63" s="629" t="s">
        <v>839</v>
      </c>
      <c r="D63" s="404"/>
      <c r="E63" s="396"/>
      <c r="F63" s="413"/>
      <c r="G63" s="432"/>
      <c r="H63" s="640"/>
      <c r="I63" s="423"/>
      <c r="J63" s="8"/>
      <c r="K63" s="356"/>
      <c r="L63" s="359"/>
      <c r="M63" s="357"/>
      <c r="N63" s="75"/>
      <c r="O63" s="463" t="s">
        <v>623</v>
      </c>
      <c r="P63" s="458"/>
    </row>
    <row r="64" spans="2:16">
      <c r="B64" s="111"/>
      <c r="C64" s="198"/>
      <c r="D64" s="400"/>
      <c r="E64" s="262"/>
      <c r="F64" s="262"/>
      <c r="G64" s="429"/>
      <c r="H64" s="596"/>
      <c r="I64" s="10"/>
      <c r="J64" s="10"/>
      <c r="K64" s="362"/>
      <c r="L64" s="361"/>
      <c r="M64" s="358"/>
      <c r="N64" s="75"/>
      <c r="O64" s="456"/>
      <c r="P64" s="458"/>
    </row>
    <row r="65" spans="2:16">
      <c r="B65" s="38" t="s">
        <v>76</v>
      </c>
      <c r="C65" s="194"/>
      <c r="D65" s="398"/>
      <c r="E65" s="639"/>
      <c r="F65" s="413"/>
      <c r="G65" s="430"/>
      <c r="H65" s="416"/>
      <c r="I65" s="8"/>
      <c r="J65" s="8"/>
      <c r="K65" s="626" t="s">
        <v>191</v>
      </c>
      <c r="L65" s="635">
        <f>IF(SUM(E67:E69)=1,TRUE,SUM(E67:E69))</f>
        <v>0</v>
      </c>
      <c r="M65" s="634" t="str">
        <f>IF(L65=TRUE," ","Please adjust the percentages on the left. ")</f>
        <v xml:space="preserve">Please adjust the percentages on the left. </v>
      </c>
      <c r="N65" s="75"/>
      <c r="O65" s="456"/>
      <c r="P65" s="458">
        <f>IF(L65=TRUE,1,0)</f>
        <v>0</v>
      </c>
    </row>
    <row r="66" spans="2:16" ht="16" thickBot="1">
      <c r="B66" s="38"/>
      <c r="C66" s="630" t="s">
        <v>849</v>
      </c>
      <c r="D66" s="398"/>
      <c r="E66" s="639"/>
      <c r="F66" s="413"/>
      <c r="G66" s="430"/>
      <c r="H66" s="416"/>
      <c r="I66" s="8"/>
      <c r="J66" s="8"/>
      <c r="K66" s="626"/>
      <c r="L66" s="359"/>
      <c r="M66" s="637"/>
      <c r="N66" s="75"/>
      <c r="O66" s="456"/>
      <c r="P66" s="458"/>
    </row>
    <row r="67" spans="2:16" ht="16" thickBot="1">
      <c r="B67" s="38"/>
      <c r="C67" s="629" t="s">
        <v>840</v>
      </c>
      <c r="D67" s="403"/>
      <c r="E67" s="396"/>
      <c r="F67" s="413"/>
      <c r="G67" s="430"/>
      <c r="H67" s="416"/>
      <c r="I67" s="422"/>
      <c r="J67" s="8"/>
      <c r="K67" s="356"/>
      <c r="L67" s="356"/>
      <c r="M67" s="357"/>
      <c r="N67" s="75"/>
      <c r="O67" s="461" t="s">
        <v>624</v>
      </c>
      <c r="P67" s="458"/>
    </row>
    <row r="68" spans="2:16" ht="16" thickBot="1">
      <c r="B68" s="38"/>
      <c r="C68" s="629" t="s">
        <v>841</v>
      </c>
      <c r="D68" s="403"/>
      <c r="E68" s="396"/>
      <c r="F68" s="413"/>
      <c r="G68" s="430"/>
      <c r="H68" s="416"/>
      <c r="I68" s="422"/>
      <c r="J68" s="8"/>
      <c r="K68" s="356"/>
      <c r="L68" s="356"/>
      <c r="M68" s="357"/>
      <c r="N68" s="75"/>
      <c r="O68" s="461" t="s">
        <v>625</v>
      </c>
      <c r="P68" s="458"/>
    </row>
    <row r="69" spans="2:16" ht="16" thickBot="1">
      <c r="B69" s="38"/>
      <c r="C69" s="629" t="s">
        <v>100</v>
      </c>
      <c r="D69" s="403"/>
      <c r="E69" s="396"/>
      <c r="F69" s="413"/>
      <c r="G69" s="432"/>
      <c r="H69" s="640"/>
      <c r="I69" s="422"/>
      <c r="J69" s="8"/>
      <c r="K69" s="356"/>
      <c r="L69" s="356"/>
      <c r="M69" s="357"/>
      <c r="N69" s="75"/>
      <c r="O69" s="463" t="s">
        <v>626</v>
      </c>
      <c r="P69" s="458"/>
    </row>
    <row r="70" spans="2:16">
      <c r="B70" s="111"/>
      <c r="C70" s="198"/>
      <c r="D70" s="400"/>
      <c r="E70" s="262"/>
      <c r="F70" s="262"/>
      <c r="G70" s="429"/>
      <c r="H70" s="596"/>
      <c r="I70" s="10"/>
      <c r="J70" s="10"/>
      <c r="K70" s="362"/>
      <c r="L70" s="362"/>
      <c r="M70" s="358"/>
      <c r="N70" s="75"/>
      <c r="O70" s="456"/>
      <c r="P70" s="458"/>
    </row>
    <row r="71" spans="2:16">
      <c r="B71" s="38" t="s">
        <v>282</v>
      </c>
      <c r="C71" s="194"/>
      <c r="D71" s="398"/>
      <c r="E71" s="639"/>
      <c r="F71" s="639"/>
      <c r="G71" s="428"/>
      <c r="H71" s="149"/>
      <c r="I71" s="8"/>
      <c r="J71" s="8"/>
      <c r="K71" s="626" t="s">
        <v>191</v>
      </c>
      <c r="L71" s="635">
        <f>IF(SUM(E73:E77)=1,TRUE,SUM(E73:E77))</f>
        <v>0</v>
      </c>
      <c r="M71" s="634" t="str">
        <f>IF(L71=TRUE," ","Please adjust the percentages on the left. ")</f>
        <v xml:space="preserve">Please adjust the percentages on the left. </v>
      </c>
      <c r="N71" s="75"/>
      <c r="O71" s="456"/>
      <c r="P71" s="458">
        <f>IF(L71=TRUE,1,0)</f>
        <v>0</v>
      </c>
    </row>
    <row r="72" spans="2:16" ht="16" thickBot="1">
      <c r="B72" s="38"/>
      <c r="C72" s="630" t="s">
        <v>848</v>
      </c>
      <c r="D72" s="398"/>
      <c r="E72" s="639"/>
      <c r="F72" s="639"/>
      <c r="G72" s="428"/>
      <c r="H72" s="149"/>
      <c r="I72" s="8"/>
      <c r="J72" s="8"/>
      <c r="K72" s="626"/>
      <c r="L72" s="359"/>
      <c r="M72" s="637"/>
      <c r="N72" s="75"/>
      <c r="O72" s="456"/>
      <c r="P72" s="458"/>
    </row>
    <row r="73" spans="2:16" ht="16" thickBot="1">
      <c r="B73" s="38"/>
      <c r="C73" s="629" t="s">
        <v>842</v>
      </c>
      <c r="D73" s="403"/>
      <c r="E73" s="396"/>
      <c r="F73" s="413"/>
      <c r="G73" s="430"/>
      <c r="H73" s="416"/>
      <c r="I73" s="422"/>
      <c r="J73" s="8"/>
      <c r="K73" s="356"/>
      <c r="L73" s="356"/>
      <c r="M73" s="357"/>
      <c r="N73" s="75"/>
      <c r="O73" s="461" t="s">
        <v>628</v>
      </c>
      <c r="P73" s="458"/>
    </row>
    <row r="74" spans="2:16" ht="16" thickBot="1">
      <c r="B74" s="38"/>
      <c r="C74" s="629" t="s">
        <v>843</v>
      </c>
      <c r="D74" s="403"/>
      <c r="E74" s="396"/>
      <c r="F74" s="413"/>
      <c r="G74" s="430"/>
      <c r="H74" s="416"/>
      <c r="I74" s="422"/>
      <c r="J74" s="8"/>
      <c r="K74" s="356"/>
      <c r="L74" s="356"/>
      <c r="M74" s="357"/>
      <c r="N74" s="75"/>
      <c r="O74" s="461" t="s">
        <v>627</v>
      </c>
      <c r="P74" s="458"/>
    </row>
    <row r="75" spans="2:16" ht="16" thickBot="1">
      <c r="B75" s="38"/>
      <c r="C75" s="629" t="s">
        <v>844</v>
      </c>
      <c r="D75" s="403"/>
      <c r="E75" s="396"/>
      <c r="F75" s="413"/>
      <c r="G75" s="432"/>
      <c r="H75" s="640"/>
      <c r="I75" s="422"/>
      <c r="J75" s="8"/>
      <c r="K75" s="356"/>
      <c r="L75" s="356"/>
      <c r="M75" s="357"/>
      <c r="N75" s="75"/>
      <c r="O75" s="463" t="s">
        <v>629</v>
      </c>
      <c r="P75" s="458"/>
    </row>
    <row r="76" spans="2:16" ht="16" thickBot="1">
      <c r="B76" s="38"/>
      <c r="C76" s="629" t="s">
        <v>845</v>
      </c>
      <c r="D76" s="403"/>
      <c r="E76" s="396"/>
      <c r="F76" s="413"/>
      <c r="G76" s="432"/>
      <c r="H76" s="640"/>
      <c r="I76" s="422"/>
      <c r="J76" s="8"/>
      <c r="K76" s="356"/>
      <c r="L76" s="356"/>
      <c r="M76" s="357"/>
      <c r="N76" s="75"/>
      <c r="O76" s="463" t="s">
        <v>630</v>
      </c>
      <c r="P76" s="458"/>
    </row>
    <row r="77" spans="2:16" ht="16" thickBot="1">
      <c r="B77" s="38"/>
      <c r="C77" s="629" t="s">
        <v>846</v>
      </c>
      <c r="D77" s="403"/>
      <c r="E77" s="396"/>
      <c r="F77" s="413"/>
      <c r="G77" s="432"/>
      <c r="H77" s="640"/>
      <c r="I77" s="422"/>
      <c r="J77" s="8"/>
      <c r="K77" s="356"/>
      <c r="L77" s="356"/>
      <c r="M77" s="357"/>
      <c r="N77" s="75"/>
      <c r="O77" s="463" t="s">
        <v>631</v>
      </c>
      <c r="P77" s="458"/>
    </row>
    <row r="78" spans="2:16">
      <c r="B78" s="111"/>
      <c r="C78" s="198"/>
      <c r="D78" s="400"/>
      <c r="E78" s="262"/>
      <c r="F78" s="262"/>
      <c r="G78" s="429"/>
      <c r="H78" s="596"/>
      <c r="I78" s="10"/>
      <c r="J78" s="10"/>
      <c r="K78" s="362"/>
      <c r="L78" s="362"/>
      <c r="M78" s="358"/>
      <c r="N78" s="75"/>
      <c r="O78" s="456"/>
      <c r="P78" s="458"/>
    </row>
    <row r="79" spans="2:16">
      <c r="B79" s="38" t="s">
        <v>318</v>
      </c>
      <c r="C79" s="194"/>
      <c r="D79" s="398"/>
      <c r="E79" s="639"/>
      <c r="F79" s="639"/>
      <c r="G79" s="428"/>
      <c r="H79" s="149"/>
      <c r="I79" s="8"/>
      <c r="J79" s="8"/>
      <c r="K79" s="626" t="s">
        <v>191</v>
      </c>
      <c r="L79" s="635">
        <f>IF(SUM(E81:E88)=1,TRUE,SUM(E81:E88))</f>
        <v>0</v>
      </c>
      <c r="M79" s="634" t="str">
        <f>IF(L79=TRUE," ","Please adjust the percentages on the left. ")</f>
        <v xml:space="preserve">Please adjust the percentages on the left. </v>
      </c>
      <c r="N79" s="75"/>
      <c r="O79" s="456"/>
      <c r="P79" s="458">
        <f>IF(L79=TRUE,1,0)</f>
        <v>0</v>
      </c>
    </row>
    <row r="80" spans="2:16" ht="16" thickBot="1">
      <c r="B80" s="38"/>
      <c r="C80" s="630" t="s">
        <v>847</v>
      </c>
      <c r="D80" s="398"/>
      <c r="E80" s="639"/>
      <c r="F80" s="639"/>
      <c r="G80" s="428"/>
      <c r="H80" s="149"/>
      <c r="I80" s="8"/>
      <c r="J80" s="8"/>
      <c r="K80" s="626"/>
      <c r="L80" s="359"/>
      <c r="M80" s="637"/>
      <c r="N80" s="75"/>
      <c r="O80" s="456"/>
      <c r="P80" s="458"/>
    </row>
    <row r="81" spans="2:16" ht="16" thickBot="1">
      <c r="B81" s="38"/>
      <c r="C81" s="629" t="s">
        <v>566</v>
      </c>
      <c r="D81" s="403"/>
      <c r="E81" s="396"/>
      <c r="F81" s="413"/>
      <c r="G81" s="437"/>
      <c r="H81" s="641"/>
      <c r="I81" s="422"/>
      <c r="J81" s="8"/>
      <c r="K81" s="356"/>
      <c r="L81" s="356"/>
      <c r="M81" s="357"/>
      <c r="N81" s="75"/>
      <c r="O81" s="463" t="s">
        <v>632</v>
      </c>
      <c r="P81" s="458"/>
    </row>
    <row r="82" spans="2:16" ht="16" thickBot="1">
      <c r="B82" s="38"/>
      <c r="C82" s="629" t="s">
        <v>319</v>
      </c>
      <c r="D82" s="403"/>
      <c r="E82" s="396"/>
      <c r="F82" s="413"/>
      <c r="G82" s="430"/>
      <c r="H82" s="416"/>
      <c r="I82" s="422"/>
      <c r="J82" s="8"/>
      <c r="K82" s="356"/>
      <c r="L82" s="356"/>
      <c r="M82" s="357"/>
      <c r="N82" s="75"/>
      <c r="O82" s="461" t="s">
        <v>633</v>
      </c>
      <c r="P82" s="458"/>
    </row>
    <row r="83" spans="2:16" ht="16" thickBot="1">
      <c r="B83" s="38"/>
      <c r="C83" s="629" t="s">
        <v>320</v>
      </c>
      <c r="D83" s="403"/>
      <c r="E83" s="396"/>
      <c r="F83" s="413"/>
      <c r="G83" s="430"/>
      <c r="H83" s="416"/>
      <c r="I83" s="422"/>
      <c r="J83" s="8"/>
      <c r="K83" s="356"/>
      <c r="L83" s="356"/>
      <c r="M83" s="357"/>
      <c r="N83" s="75"/>
      <c r="O83" s="461" t="s">
        <v>635</v>
      </c>
      <c r="P83" s="458"/>
    </row>
    <row r="84" spans="2:16" ht="16" thickBot="1">
      <c r="B84" s="38"/>
      <c r="C84" s="629" t="s">
        <v>321</v>
      </c>
      <c r="D84" s="403"/>
      <c r="E84" s="396"/>
      <c r="F84" s="413"/>
      <c r="G84" s="430"/>
      <c r="H84" s="416"/>
      <c r="I84" s="422"/>
      <c r="J84" s="8"/>
      <c r="K84" s="356"/>
      <c r="L84" s="356"/>
      <c r="M84" s="357"/>
      <c r="N84" s="75"/>
      <c r="O84" s="461" t="s">
        <v>634</v>
      </c>
      <c r="P84" s="458"/>
    </row>
    <row r="85" spans="2:16" ht="16" thickBot="1">
      <c r="B85" s="38"/>
      <c r="C85" s="629" t="s">
        <v>388</v>
      </c>
      <c r="D85" s="403"/>
      <c r="E85" s="396"/>
      <c r="F85" s="413"/>
      <c r="G85" s="430"/>
      <c r="H85" s="416"/>
      <c r="I85" s="422"/>
      <c r="J85" s="8"/>
      <c r="K85" s="356"/>
      <c r="L85" s="356"/>
      <c r="M85" s="357"/>
      <c r="N85" s="75"/>
      <c r="O85" s="461" t="s">
        <v>636</v>
      </c>
      <c r="P85" s="458"/>
    </row>
    <row r="86" spans="2:16" ht="16" thickBot="1">
      <c r="B86" s="38"/>
      <c r="C86" s="629" t="s">
        <v>389</v>
      </c>
      <c r="D86" s="403"/>
      <c r="E86" s="396"/>
      <c r="F86" s="413"/>
      <c r="G86" s="430"/>
      <c r="H86" s="416"/>
      <c r="I86" s="422"/>
      <c r="J86" s="8"/>
      <c r="K86" s="356"/>
      <c r="L86" s="356"/>
      <c r="M86" s="357"/>
      <c r="N86" s="75"/>
      <c r="O86" s="461" t="s">
        <v>637</v>
      </c>
      <c r="P86" s="458"/>
    </row>
    <row r="87" spans="2:16" ht="16" thickBot="1">
      <c r="B87" s="38"/>
      <c r="C87" s="629" t="s">
        <v>390</v>
      </c>
      <c r="D87" s="403"/>
      <c r="E87" s="396"/>
      <c r="F87" s="413"/>
      <c r="G87" s="430"/>
      <c r="H87" s="416"/>
      <c r="I87" s="422"/>
      <c r="J87" s="8"/>
      <c r="K87" s="356"/>
      <c r="L87" s="356"/>
      <c r="M87" s="357"/>
      <c r="N87" s="75"/>
      <c r="O87" s="461" t="s">
        <v>638</v>
      </c>
      <c r="P87" s="458"/>
    </row>
    <row r="88" spans="2:16" ht="16" thickBot="1">
      <c r="B88" s="38"/>
      <c r="C88" s="629" t="s">
        <v>391</v>
      </c>
      <c r="D88" s="403"/>
      <c r="E88" s="396"/>
      <c r="F88" s="413"/>
      <c r="G88" s="430"/>
      <c r="H88" s="416"/>
      <c r="I88" s="422"/>
      <c r="J88" s="8"/>
      <c r="K88" s="356"/>
      <c r="L88" s="356"/>
      <c r="M88" s="357"/>
      <c r="N88" s="75"/>
      <c r="O88" s="461" t="s">
        <v>639</v>
      </c>
      <c r="P88" s="458"/>
    </row>
    <row r="89" spans="2:16">
      <c r="B89" s="111"/>
      <c r="C89" s="198"/>
      <c r="D89" s="400"/>
      <c r="E89" s="267"/>
      <c r="F89" s="267"/>
      <c r="G89" s="429"/>
      <c r="H89" s="596"/>
      <c r="I89" s="10"/>
      <c r="J89" s="10"/>
      <c r="K89" s="362"/>
      <c r="L89" s="362"/>
      <c r="M89" s="358"/>
      <c r="N89" s="75"/>
      <c r="O89" s="456"/>
      <c r="P89" s="458"/>
    </row>
    <row r="90" spans="2:16">
      <c r="B90" s="48"/>
      <c r="C90" s="203"/>
      <c r="D90" s="249"/>
      <c r="E90" s="590"/>
      <c r="F90" s="590"/>
      <c r="G90" s="586"/>
      <c r="H90" s="586"/>
      <c r="I90" s="4"/>
      <c r="J90" s="4"/>
      <c r="K90" s="587"/>
      <c r="L90" s="587"/>
      <c r="M90" s="591"/>
      <c r="N90" s="75"/>
      <c r="O90" s="456"/>
      <c r="P90" s="458"/>
    </row>
    <row r="91" spans="2:16">
      <c r="B91" s="111"/>
      <c r="C91" s="198"/>
      <c r="D91" s="592"/>
      <c r="E91" s="267"/>
      <c r="F91" s="267"/>
      <c r="G91" s="596"/>
      <c r="H91" s="596"/>
      <c r="I91" s="10"/>
      <c r="J91" s="10"/>
      <c r="K91" s="362"/>
      <c r="L91" s="362"/>
      <c r="M91" s="593"/>
      <c r="N91" s="75"/>
      <c r="O91" s="456"/>
      <c r="P91" s="458"/>
    </row>
    <row r="92" spans="2:16" ht="16" thickBot="1">
      <c r="B92" s="38" t="s">
        <v>703</v>
      </c>
      <c r="C92" s="194"/>
      <c r="D92" s="398"/>
      <c r="E92" s="247"/>
      <c r="F92" s="247"/>
      <c r="G92" s="428"/>
      <c r="H92" s="149"/>
      <c r="I92" s="8"/>
      <c r="J92" s="8"/>
      <c r="K92" s="356"/>
      <c r="L92" s="356"/>
      <c r="M92" s="357"/>
      <c r="N92" s="75"/>
      <c r="O92" s="456"/>
      <c r="P92" s="458"/>
    </row>
    <row r="93" spans="2:16" ht="16" thickBot="1">
      <c r="B93" s="38"/>
      <c r="C93" s="71" t="s">
        <v>868</v>
      </c>
      <c r="D93" s="403"/>
      <c r="E93" s="396"/>
      <c r="F93" s="413"/>
      <c r="G93" s="437"/>
      <c r="H93" s="641"/>
      <c r="I93" s="422"/>
      <c r="J93" s="8"/>
      <c r="K93" s="356"/>
      <c r="L93" s="356"/>
      <c r="M93" s="357"/>
      <c r="N93" s="75"/>
      <c r="O93" s="463" t="s">
        <v>708</v>
      </c>
      <c r="P93" s="458"/>
    </row>
    <row r="94" spans="2:16" ht="16" thickBot="1">
      <c r="B94" s="38"/>
      <c r="C94" s="71" t="s">
        <v>869</v>
      </c>
      <c r="D94" s="403"/>
      <c r="E94" s="396"/>
      <c r="F94" s="413"/>
      <c r="G94" s="430"/>
      <c r="H94" s="416"/>
      <c r="I94" s="423"/>
      <c r="J94" s="8"/>
      <c r="K94" s="356"/>
      <c r="L94" s="356"/>
      <c r="M94" s="357"/>
      <c r="N94" s="75"/>
      <c r="O94" s="463" t="s">
        <v>707</v>
      </c>
      <c r="P94" s="458"/>
    </row>
    <row r="95" spans="2:16" ht="16" thickBot="1">
      <c r="B95" s="38"/>
      <c r="C95" s="71"/>
      <c r="D95" s="403"/>
      <c r="E95" s="444"/>
      <c r="F95" s="413"/>
      <c r="G95" s="430"/>
      <c r="H95" s="416"/>
      <c r="I95" s="642"/>
      <c r="J95" s="8"/>
      <c r="K95" s="356"/>
      <c r="L95" s="356"/>
      <c r="M95" s="357"/>
      <c r="N95" s="75"/>
      <c r="O95" s="456"/>
      <c r="P95" s="458"/>
    </row>
    <row r="96" spans="2:16" ht="16" thickBot="1">
      <c r="B96" s="38"/>
      <c r="C96" s="71" t="s">
        <v>870</v>
      </c>
      <c r="D96" s="403"/>
      <c r="E96" s="396"/>
      <c r="F96" s="413"/>
      <c r="G96" s="430"/>
      <c r="H96" s="416"/>
      <c r="I96" s="423"/>
      <c r="J96" s="8"/>
      <c r="K96" s="356"/>
      <c r="L96" s="356"/>
      <c r="M96" s="357"/>
      <c r="N96" s="75"/>
      <c r="O96" s="463" t="s">
        <v>709</v>
      </c>
      <c r="P96" s="458"/>
    </row>
    <row r="97" spans="2:16">
      <c r="B97" s="38"/>
      <c r="C97" s="194"/>
      <c r="D97" s="398"/>
      <c r="E97" s="247"/>
      <c r="F97" s="247"/>
      <c r="G97" s="428"/>
      <c r="H97" s="149"/>
      <c r="I97" s="8"/>
      <c r="J97" s="8"/>
      <c r="K97" s="356"/>
      <c r="L97" s="356"/>
      <c r="M97" s="357"/>
      <c r="N97" s="75"/>
      <c r="O97" s="456"/>
      <c r="P97" s="458"/>
    </row>
    <row r="98" spans="2:16">
      <c r="B98" s="111"/>
      <c r="C98" s="198"/>
      <c r="D98" s="400"/>
      <c r="E98" s="267"/>
      <c r="F98" s="267"/>
      <c r="G98" s="429"/>
      <c r="H98" s="596"/>
      <c r="I98" s="10"/>
      <c r="J98" s="10"/>
      <c r="K98" s="362"/>
      <c r="L98" s="362"/>
      <c r="M98" s="358"/>
      <c r="N98" s="75"/>
      <c r="O98" s="456"/>
      <c r="P98" s="458"/>
    </row>
    <row r="99" spans="2:16" ht="16" thickBot="1">
      <c r="B99" s="48" t="s">
        <v>443</v>
      </c>
      <c r="C99" s="203"/>
      <c r="D99" s="583"/>
      <c r="E99" s="584"/>
      <c r="F99" s="584"/>
      <c r="G99" s="585"/>
      <c r="H99" s="586"/>
      <c r="I99" s="4"/>
      <c r="J99" s="4"/>
      <c r="K99" s="587"/>
      <c r="L99" s="636"/>
      <c r="M99" s="588"/>
      <c r="N99" s="75"/>
      <c r="O99" s="456"/>
      <c r="P99" s="458"/>
    </row>
    <row r="100" spans="2:16" ht="16" thickBot="1">
      <c r="B100" s="38"/>
      <c r="C100" s="71" t="s">
        <v>865</v>
      </c>
      <c r="D100" s="403"/>
      <c r="E100" s="396"/>
      <c r="F100" s="413"/>
      <c r="G100" s="430"/>
      <c r="H100" s="416"/>
      <c r="I100" s="424"/>
      <c r="J100" s="8"/>
      <c r="K100" s="626" t="s">
        <v>191</v>
      </c>
      <c r="L100" s="635">
        <f>IF(SUM(E100:E101)=1,TRUE,SUM(E100:E101))</f>
        <v>0</v>
      </c>
      <c r="M100" s="637" t="str">
        <f>IF(L100=TRUE," ","Please adjust the percentages on the left. ")</f>
        <v xml:space="preserve">Please adjust the percentages on the left. </v>
      </c>
      <c r="N100" s="75"/>
      <c r="O100" s="461" t="s">
        <v>641</v>
      </c>
      <c r="P100" s="458">
        <f>IF(L100=TRUE,1,0)</f>
        <v>0</v>
      </c>
    </row>
    <row r="101" spans="2:16" ht="16" thickBot="1">
      <c r="B101" s="38"/>
      <c r="C101" s="71" t="s">
        <v>866</v>
      </c>
      <c r="D101" s="403"/>
      <c r="E101" s="396"/>
      <c r="F101" s="413"/>
      <c r="G101" s="430"/>
      <c r="H101" s="416"/>
      <c r="I101" s="421"/>
      <c r="J101" s="8"/>
      <c r="K101" s="356"/>
      <c r="L101" s="356"/>
      <c r="M101" s="357"/>
      <c r="N101" s="75"/>
      <c r="O101" s="461" t="s">
        <v>640</v>
      </c>
      <c r="P101" s="458"/>
    </row>
    <row r="102" spans="2:16" ht="16" thickBot="1">
      <c r="B102" s="73"/>
      <c r="C102" s="194"/>
      <c r="D102" s="251"/>
      <c r="E102" s="247"/>
      <c r="F102" s="247"/>
      <c r="G102" s="428"/>
      <c r="H102" s="149"/>
      <c r="I102" s="8"/>
      <c r="J102" s="8"/>
      <c r="K102" s="56"/>
      <c r="L102" s="56"/>
      <c r="M102" s="32"/>
      <c r="O102" s="20"/>
      <c r="P102" s="7"/>
    </row>
    <row r="103" spans="2:16" ht="17" thickBot="1">
      <c r="B103" s="73"/>
      <c r="C103" s="17" t="s">
        <v>747</v>
      </c>
      <c r="D103" s="403" t="s">
        <v>748</v>
      </c>
      <c r="E103" s="646"/>
      <c r="F103" s="413"/>
      <c r="G103" s="430"/>
      <c r="H103" s="416"/>
      <c r="I103" s="421"/>
      <c r="J103" s="8"/>
      <c r="K103" s="56"/>
      <c r="L103" s="56"/>
      <c r="M103" s="32"/>
      <c r="O103" s="461" t="s">
        <v>858</v>
      </c>
      <c r="P103" s="7"/>
    </row>
    <row r="104" spans="2:16" ht="17" thickBot="1">
      <c r="B104" s="73"/>
      <c r="C104" s="17" t="s">
        <v>746</v>
      </c>
      <c r="D104" s="403" t="s">
        <v>748</v>
      </c>
      <c r="E104" s="646"/>
      <c r="F104" s="413"/>
      <c r="G104" s="430"/>
      <c r="H104" s="416"/>
      <c r="I104" s="425"/>
      <c r="J104" s="8"/>
      <c r="K104" s="56"/>
      <c r="L104" s="56"/>
      <c r="M104" s="32"/>
      <c r="O104" s="461" t="s">
        <v>857</v>
      </c>
      <c r="P104" s="7"/>
    </row>
    <row r="105" spans="2:16" ht="16" thickBot="1">
      <c r="B105" s="589"/>
      <c r="C105" s="205"/>
      <c r="D105" s="254"/>
      <c r="E105" s="268"/>
      <c r="F105" s="268"/>
      <c r="G105" s="433"/>
      <c r="H105" s="418"/>
      <c r="I105" s="77"/>
      <c r="J105" s="77"/>
      <c r="K105" s="594"/>
      <c r="L105" s="594"/>
      <c r="M105" s="78"/>
      <c r="O105" s="21"/>
      <c r="P105" s="11"/>
    </row>
    <row r="106" spans="2:16">
      <c r="G106" s="428"/>
      <c r="H106" s="415"/>
    </row>
    <row r="107" spans="2:16">
      <c r="G107" s="428"/>
      <c r="H107" s="415"/>
    </row>
    <row r="108" spans="2:16">
      <c r="G108" s="434"/>
    </row>
    <row r="109" spans="2:16">
      <c r="G109" s="434"/>
    </row>
    <row r="110" spans="2:16">
      <c r="G110" s="435"/>
      <c r="H110" s="162"/>
      <c r="I110" s="162"/>
      <c r="J110" s="162"/>
      <c r="K110" s="162"/>
    </row>
    <row r="111" spans="2:16">
      <c r="G111" s="435"/>
      <c r="H111" s="162"/>
      <c r="I111" s="162"/>
      <c r="J111" s="162"/>
      <c r="K111" s="162"/>
    </row>
    <row r="112" spans="2:16">
      <c r="G112" s="435"/>
      <c r="H112" s="162"/>
      <c r="I112" s="162"/>
      <c r="J112" s="162"/>
      <c r="K112" s="162"/>
    </row>
    <row r="113" spans="7:11">
      <c r="G113" s="435"/>
      <c r="H113" s="162"/>
      <c r="I113" s="162"/>
      <c r="J113" s="162"/>
      <c r="K113" s="162"/>
    </row>
    <row r="114" spans="7:11">
      <c r="G114" s="435"/>
      <c r="H114" s="162"/>
      <c r="I114" s="162"/>
      <c r="J114" s="162"/>
      <c r="K114" s="162"/>
    </row>
    <row r="115" spans="7:11">
      <c r="G115" s="435"/>
      <c r="H115" s="162"/>
      <c r="I115" s="162"/>
      <c r="J115" s="162"/>
      <c r="K115" s="162"/>
    </row>
    <row r="116" spans="7:11">
      <c r="G116" s="435"/>
      <c r="H116" s="162"/>
      <c r="I116" s="162"/>
      <c r="J116" s="162"/>
      <c r="K116" s="162"/>
    </row>
  </sheetData>
  <mergeCells count="2">
    <mergeCell ref="B5:E5"/>
    <mergeCell ref="K17:K18"/>
  </mergeCells>
  <conditionalFormatting sqref="L19:L25">
    <cfRule type="cellIs" dxfId="18" priority="28" operator="between">
      <formula>-0.03</formula>
      <formula>0.03</formula>
    </cfRule>
  </conditionalFormatting>
  <conditionalFormatting sqref="L40">
    <cfRule type="cellIs" dxfId="17" priority="24" operator="between">
      <formula>0.51</formula>
      <formula>0.52</formula>
    </cfRule>
  </conditionalFormatting>
  <conditionalFormatting sqref="L41">
    <cfRule type="cellIs" dxfId="16" priority="22" operator="between">
      <formula>0.48</formula>
      <formula>0.49</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4">
    <cfRule type="cellIs" dxfId="13" priority="11" operator="equal">
      <formula>TRUE</formula>
    </cfRule>
  </conditionalFormatting>
  <conditionalFormatting sqref="L29">
    <cfRule type="cellIs" dxfId="12" priority="10" operator="equal">
      <formula>TRUE</formula>
    </cfRule>
  </conditionalFormatting>
  <conditionalFormatting sqref="L59">
    <cfRule type="cellIs" dxfId="11" priority="9" operator="equal">
      <formula>TRUE</formula>
    </cfRule>
  </conditionalFormatting>
  <conditionalFormatting sqref="L65">
    <cfRule type="cellIs" dxfId="10" priority="8" operator="equal">
      <formula>TRUE</formula>
    </cfRule>
  </conditionalFormatting>
  <conditionalFormatting sqref="L100">
    <cfRule type="cellIs" dxfId="9" priority="4" operator="equal">
      <formula>TRUE</formula>
    </cfRule>
  </conditionalFormatting>
  <conditionalFormatting sqref="L71">
    <cfRule type="cellIs" dxfId="8" priority="3" operator="equal">
      <formula>TRUE</formula>
    </cfRule>
  </conditionalFormatting>
  <conditionalFormatting sqref="L79">
    <cfRule type="cellIs" dxfId="7" priority="2" operator="equal">
      <formula>TRUE</formula>
    </cfRule>
  </conditionalFormatting>
  <conditionalFormatting sqref="L27">
    <cfRule type="cellIs" dxfId="6" priority="1" operator="equal">
      <formula>TRUE</formula>
    </cfRule>
  </conditionalFormatting>
  <dataValidations disablePrompts="1" count="3">
    <dataValidation type="decimal" operator="greaterThanOrEqual" allowBlank="1" showInputMessage="1" showErrorMessage="1" errorTitle="Number Range" error="You may only enter positive numbers here. " sqref="E20:E25">
      <formula1>0</formula1>
    </dataValidation>
    <dataValidation type="decimal" operator="greaterThanOrEqual" showInputMessage="1" showErrorMessage="1" errorTitle="Number Range" error="You may only add positive numbers. _x000d_" sqref="E31:E92 E97:E101">
      <formula1>0</formula1>
    </dataValidation>
    <dataValidation type="decimal" showInputMessage="1" showErrorMessage="1" errorTitle="Number Range" error="You may only  instert a number between 0 and 100%_x000d_" sqref="E93:E96">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anchor moveWithCells="1" sizeWithCells="1">
                  <from>
                    <xdr:col>8</xdr:col>
                    <xdr:colOff>101600</xdr:colOff>
                    <xdr:row>2</xdr:row>
                    <xdr:rowOff>38100</xdr:rowOff>
                  </from>
                  <to>
                    <xdr:col>10</xdr:col>
                    <xdr:colOff>3771900</xdr:colOff>
                    <xdr:row>3</xdr:row>
                    <xdr:rowOff>63500</xdr:rowOff>
                  </to>
                </anchor>
              </controlPr>
            </control>
          </mc:Choice>
          <mc:Fallback/>
        </mc:AlternateContent>
        <mc:AlternateContent xmlns:mc="http://schemas.openxmlformats.org/markup-compatibility/2006">
          <mc:Choice Requires="x14">
            <control shapeId="3074" r:id="rId4" name="export_data">
              <controlPr defaultSize="0" print="0" autoFill="0" autoPict="0">
                <anchor moveWithCells="1" sizeWithCells="1">
                  <from>
                    <xdr:col>8</xdr:col>
                    <xdr:colOff>139700</xdr:colOff>
                    <xdr:row>4</xdr:row>
                    <xdr:rowOff>279400</xdr:rowOff>
                  </from>
                  <to>
                    <xdr:col>10</xdr:col>
                    <xdr:colOff>3810000</xdr:colOff>
                    <xdr:row>4</xdr:row>
                    <xdr:rowOff>495300</xdr:rowOff>
                  </to>
                </anchor>
              </controlPr>
            </control>
          </mc:Choice>
          <mc:Fallback/>
        </mc:AlternateContent>
        <mc:AlternateContent xmlns:mc="http://schemas.openxmlformats.org/markup-compatibility/2006">
          <mc:Choice Requires="x14">
            <control shapeId="3076" r:id="rId5" name="select_dashboard">
              <controlPr defaultSize="0" print="0" autoFill="0" autoPict="0">
                <anchor moveWithCells="1" sizeWithCells="1">
                  <from>
                    <xdr:col>8</xdr:col>
                    <xdr:colOff>2273300</xdr:colOff>
                    <xdr:row>3</xdr:row>
                    <xdr:rowOff>152400</xdr:rowOff>
                  </from>
                  <to>
                    <xdr:col>10</xdr:col>
                    <xdr:colOff>3784600</xdr:colOff>
                    <xdr:row>4</xdr:row>
                    <xdr:rowOff>177800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AY42" activePane="bottomRight" state="frozen"/>
      <selection activeCell="Z57" sqref="Z57"/>
      <selection pane="topRight" activeCell="Z57" sqref="Z57"/>
      <selection pane="bottomLeft" activeCell="Z57" sqref="Z57"/>
      <selection pane="bottomRight"/>
    </sheetView>
  </sheetViews>
  <sheetFormatPr baseColWidth="10" defaultRowHeight="15" x14ac:dyDescent="0"/>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0">
      <c r="B2" s="2" t="s">
        <v>723</v>
      </c>
    </row>
    <row r="3" spans="2:67" ht="15" customHeight="1">
      <c r="B3" s="2"/>
    </row>
    <row r="4" spans="2:67" ht="15" customHeight="1">
      <c r="B4" s="69" t="s">
        <v>79</v>
      </c>
      <c r="C4" s="4"/>
      <c r="D4" s="4"/>
      <c r="E4" s="4"/>
      <c r="F4" s="4"/>
      <c r="G4" s="4"/>
      <c r="H4" s="5"/>
    </row>
    <row r="5" spans="2:67" ht="30" customHeight="1">
      <c r="B5" s="655"/>
      <c r="C5" s="656"/>
      <c r="D5" s="656"/>
      <c r="E5" s="656"/>
      <c r="F5" s="656"/>
      <c r="G5" s="656"/>
      <c r="H5" s="657"/>
    </row>
    <row r="6" spans="2:67" ht="15" customHeight="1" thickBot="1">
      <c r="B6" s="2"/>
    </row>
    <row r="7" spans="2:67" ht="30" customHeight="1">
      <c r="B7" s="373" t="s">
        <v>103</v>
      </c>
      <c r="C7" s="374" t="s">
        <v>37</v>
      </c>
      <c r="D7" s="374" t="s">
        <v>38</v>
      </c>
      <c r="E7" s="374" t="s">
        <v>39</v>
      </c>
      <c r="F7" s="374" t="s">
        <v>40</v>
      </c>
      <c r="G7" s="374" t="s">
        <v>41</v>
      </c>
      <c r="H7" s="374" t="s">
        <v>42</v>
      </c>
      <c r="I7" s="374" t="s">
        <v>49</v>
      </c>
      <c r="J7" s="374" t="s">
        <v>44</v>
      </c>
      <c r="K7" s="374" t="s">
        <v>45</v>
      </c>
      <c r="L7" s="374" t="s">
        <v>46</v>
      </c>
      <c r="M7" s="374" t="s">
        <v>47</v>
      </c>
      <c r="N7" s="374" t="s">
        <v>48</v>
      </c>
      <c r="O7" s="374" t="s">
        <v>534</v>
      </c>
      <c r="P7" s="374" t="s">
        <v>535</v>
      </c>
      <c r="Q7" s="374" t="s">
        <v>536</v>
      </c>
      <c r="R7" s="374" t="s">
        <v>537</v>
      </c>
      <c r="S7" s="374" t="s">
        <v>43</v>
      </c>
      <c r="T7" s="374" t="s">
        <v>538</v>
      </c>
      <c r="U7" s="374" t="s">
        <v>50</v>
      </c>
      <c r="V7" s="374" t="s">
        <v>51</v>
      </c>
      <c r="W7" s="374" t="s">
        <v>52</v>
      </c>
      <c r="X7" s="374" t="s">
        <v>53</v>
      </c>
      <c r="Y7" s="374" t="s">
        <v>54</v>
      </c>
      <c r="Z7" s="374" t="s">
        <v>55</v>
      </c>
      <c r="AA7" s="374" t="s">
        <v>56</v>
      </c>
      <c r="AB7" s="374" t="s">
        <v>57</v>
      </c>
      <c r="AC7" s="374" t="s">
        <v>58</v>
      </c>
      <c r="AD7" s="374" t="s">
        <v>59</v>
      </c>
      <c r="AE7" s="374" t="s">
        <v>60</v>
      </c>
      <c r="AF7" s="374" t="s">
        <v>61</v>
      </c>
      <c r="AG7" s="374" t="s">
        <v>62</v>
      </c>
      <c r="AH7" s="374" t="s">
        <v>63</v>
      </c>
      <c r="AI7" s="374" t="s">
        <v>64</v>
      </c>
      <c r="AJ7" s="374" t="s">
        <v>65</v>
      </c>
      <c r="AK7" s="374" t="s">
        <v>66</v>
      </c>
      <c r="AL7" s="374" t="s">
        <v>67</v>
      </c>
      <c r="AM7" s="374" t="s">
        <v>68</v>
      </c>
      <c r="AN7" s="374" t="s">
        <v>69</v>
      </c>
      <c r="AO7" s="374" t="s">
        <v>70</v>
      </c>
      <c r="AP7" s="374" t="s">
        <v>71</v>
      </c>
      <c r="AQ7" s="374" t="s">
        <v>72</v>
      </c>
      <c r="AR7" s="374" t="s">
        <v>539</v>
      </c>
      <c r="AS7" s="374" t="s">
        <v>540</v>
      </c>
      <c r="AT7" s="374" t="s">
        <v>541</v>
      </c>
      <c r="AU7" s="374" t="s">
        <v>74</v>
      </c>
      <c r="AV7" s="374" t="s">
        <v>73</v>
      </c>
      <c r="AW7" s="374" t="s">
        <v>542</v>
      </c>
      <c r="AX7" s="374" t="s">
        <v>543</v>
      </c>
      <c r="AY7" s="374" t="s">
        <v>544</v>
      </c>
      <c r="AZ7" s="374" t="s">
        <v>75</v>
      </c>
      <c r="BA7" s="374" t="s">
        <v>104</v>
      </c>
      <c r="BB7" s="374" t="s">
        <v>545</v>
      </c>
      <c r="BC7" s="374" t="s">
        <v>546</v>
      </c>
      <c r="BD7" s="374" t="s">
        <v>547</v>
      </c>
      <c r="BE7" s="374" t="s">
        <v>548</v>
      </c>
      <c r="BF7" s="374" t="s">
        <v>549</v>
      </c>
      <c r="BG7" s="374" t="s">
        <v>550</v>
      </c>
      <c r="BH7" s="374" t="s">
        <v>105</v>
      </c>
      <c r="BI7" s="374" t="s">
        <v>551</v>
      </c>
      <c r="BJ7" s="374" t="s">
        <v>552</v>
      </c>
      <c r="BK7" s="374" t="s">
        <v>553</v>
      </c>
      <c r="BL7" s="374" t="s">
        <v>106</v>
      </c>
      <c r="BM7" s="374" t="s">
        <v>107</v>
      </c>
      <c r="BN7" s="375" t="s">
        <v>101</v>
      </c>
      <c r="BO7" s="376" t="s">
        <v>554</v>
      </c>
    </row>
    <row r="8" spans="2:67">
      <c r="B8" s="377" t="s">
        <v>108</v>
      </c>
      <c r="C8" s="378"/>
      <c r="D8" s="378"/>
      <c r="E8" s="378"/>
      <c r="F8" s="378"/>
      <c r="G8" s="378"/>
      <c r="H8" s="378"/>
      <c r="I8" s="378"/>
      <c r="J8" s="378"/>
      <c r="K8" s="378"/>
      <c r="L8" s="378"/>
      <c r="M8" s="378"/>
      <c r="N8" s="378"/>
      <c r="O8" s="378"/>
      <c r="P8" s="378"/>
      <c r="Q8" s="378"/>
      <c r="R8" s="378"/>
      <c r="S8" s="378"/>
      <c r="T8" s="378"/>
      <c r="U8" s="378"/>
      <c r="V8" s="378"/>
      <c r="W8" s="378"/>
      <c r="X8" s="378"/>
      <c r="Y8" s="378"/>
      <c r="Z8" s="378"/>
      <c r="AA8" s="378"/>
      <c r="AB8" s="378"/>
      <c r="AC8" s="378"/>
      <c r="AD8" s="378"/>
      <c r="AE8" s="378"/>
      <c r="AF8" s="378"/>
      <c r="AG8" s="378"/>
      <c r="AH8" s="378"/>
      <c r="AI8" s="378"/>
      <c r="AJ8" s="378"/>
      <c r="AK8" s="378"/>
      <c r="AL8" s="378"/>
      <c r="AM8" s="378"/>
      <c r="AN8" s="378"/>
      <c r="AO8" s="378"/>
      <c r="AP8" s="378"/>
      <c r="AQ8" s="378"/>
      <c r="AR8" s="378"/>
      <c r="AS8" s="378"/>
      <c r="AT8" s="378"/>
      <c r="AU8" s="378"/>
      <c r="AV8" s="378"/>
      <c r="AW8" s="378"/>
      <c r="AX8" s="378"/>
      <c r="AY8" s="378"/>
      <c r="AZ8" s="378"/>
      <c r="BA8" s="378"/>
      <c r="BB8" s="378"/>
      <c r="BC8" s="378"/>
      <c r="BD8" s="378"/>
      <c r="BE8" s="378"/>
      <c r="BF8" s="378"/>
      <c r="BG8" s="378"/>
      <c r="BH8" s="378"/>
      <c r="BI8" s="378"/>
      <c r="BJ8" s="378"/>
      <c r="BK8" s="378"/>
      <c r="BL8" s="378"/>
      <c r="BM8" s="378"/>
      <c r="BN8" s="379"/>
      <c r="BO8" s="380"/>
    </row>
    <row r="9" spans="2:67">
      <c r="B9" s="381"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82"/>
      <c r="BO9" s="43"/>
    </row>
    <row r="10" spans="2:67">
      <c r="B10" s="381"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82"/>
      <c r="BO10" s="43"/>
    </row>
    <row r="11" spans="2:67">
      <c r="B11" s="381"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82"/>
      <c r="BO11" s="43"/>
    </row>
    <row r="12" spans="2:67">
      <c r="B12" s="381"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82"/>
      <c r="BO12" s="43"/>
    </row>
    <row r="13" spans="2:67">
      <c r="B13" s="381"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82"/>
      <c r="BO13" s="43"/>
    </row>
    <row r="14" spans="2:67" ht="16" thickBot="1">
      <c r="B14" s="381"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82"/>
      <c r="BO14" s="43"/>
    </row>
    <row r="15" spans="2:67" ht="16" thickBot="1">
      <c r="B15" s="383" t="s">
        <v>115</v>
      </c>
      <c r="C15" s="384"/>
      <c r="D15" s="384"/>
      <c r="E15" s="384"/>
      <c r="F15" s="384"/>
      <c r="G15" s="384"/>
      <c r="H15" s="384"/>
      <c r="I15" s="384"/>
      <c r="J15" s="384"/>
      <c r="K15" s="384"/>
      <c r="L15" s="384"/>
      <c r="M15" s="384"/>
      <c r="N15" s="384"/>
      <c r="O15" s="384"/>
      <c r="P15" s="384"/>
      <c r="Q15" s="384"/>
      <c r="R15" s="384"/>
      <c r="S15" s="384"/>
      <c r="T15" s="384"/>
      <c r="U15" s="384"/>
      <c r="V15" s="384"/>
      <c r="W15" s="384"/>
      <c r="X15" s="385"/>
      <c r="Y15" s="384"/>
      <c r="Z15" s="384"/>
      <c r="AA15" s="384"/>
      <c r="AB15" s="384"/>
      <c r="AC15" s="384"/>
      <c r="AD15" s="384"/>
      <c r="AE15" s="384"/>
      <c r="AF15" s="384"/>
      <c r="AG15" s="384"/>
      <c r="AH15" s="384"/>
      <c r="AI15" s="384"/>
      <c r="AJ15" s="384"/>
      <c r="AK15" s="384"/>
      <c r="AL15" s="384"/>
      <c r="AM15" s="384"/>
      <c r="AN15" s="384"/>
      <c r="AO15" s="384"/>
      <c r="AP15" s="384"/>
      <c r="AQ15" s="384"/>
      <c r="AR15" s="384"/>
      <c r="AS15" s="384"/>
      <c r="AT15" s="384"/>
      <c r="AU15" s="384"/>
      <c r="AV15" s="384"/>
      <c r="AW15" s="384"/>
      <c r="AX15" s="384"/>
      <c r="AY15" s="384"/>
      <c r="AZ15" s="384"/>
      <c r="BA15" s="384"/>
      <c r="BB15" s="384"/>
      <c r="BC15" s="384"/>
      <c r="BD15" s="384"/>
      <c r="BE15" s="384"/>
      <c r="BF15" s="384"/>
      <c r="BG15" s="384"/>
      <c r="BH15" s="384"/>
      <c r="BI15" s="384"/>
      <c r="BJ15" s="384"/>
      <c r="BK15" s="384"/>
      <c r="BL15" s="384"/>
      <c r="BM15" s="384"/>
      <c r="BN15" s="386"/>
      <c r="BO15" s="387"/>
    </row>
    <row r="16" spans="2:67">
      <c r="B16" s="381"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82"/>
      <c r="BO16" s="43"/>
    </row>
    <row r="17" spans="2:67" ht="16" thickBot="1">
      <c r="B17" s="381"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82"/>
      <c r="BO17" s="43"/>
    </row>
    <row r="18" spans="2:67" ht="16" thickBot="1">
      <c r="B18" s="383" t="s">
        <v>118</v>
      </c>
      <c r="C18" s="384"/>
      <c r="D18" s="384"/>
      <c r="E18" s="384"/>
      <c r="F18" s="384"/>
      <c r="G18" s="384"/>
      <c r="H18" s="384"/>
      <c r="I18" s="384"/>
      <c r="J18" s="384"/>
      <c r="K18" s="384"/>
      <c r="L18" s="384"/>
      <c r="M18" s="384"/>
      <c r="N18" s="384"/>
      <c r="O18" s="384"/>
      <c r="P18" s="384"/>
      <c r="Q18" s="384"/>
      <c r="R18" s="384"/>
      <c r="S18" s="384"/>
      <c r="T18" s="384"/>
      <c r="U18" s="384"/>
      <c r="V18" s="384"/>
      <c r="W18" s="384"/>
      <c r="X18" s="384"/>
      <c r="Y18" s="384"/>
      <c r="Z18" s="384"/>
      <c r="AA18" s="384"/>
      <c r="AB18" s="384"/>
      <c r="AC18" s="384"/>
      <c r="AD18" s="384"/>
      <c r="AE18" s="384"/>
      <c r="AF18" s="384"/>
      <c r="AG18" s="384"/>
      <c r="AH18" s="384"/>
      <c r="AI18" s="384"/>
      <c r="AJ18" s="384"/>
      <c r="AK18" s="384"/>
      <c r="AL18" s="384"/>
      <c r="AM18" s="384"/>
      <c r="AN18" s="384"/>
      <c r="AO18" s="384"/>
      <c r="AP18" s="384"/>
      <c r="AQ18" s="384"/>
      <c r="AR18" s="384"/>
      <c r="AS18" s="384"/>
      <c r="AT18" s="384"/>
      <c r="AU18" s="384"/>
      <c r="AV18" s="384"/>
      <c r="AW18" s="384"/>
      <c r="AX18" s="384"/>
      <c r="AY18" s="384"/>
      <c r="AZ18" s="384"/>
      <c r="BA18" s="384"/>
      <c r="BB18" s="384"/>
      <c r="BC18" s="384"/>
      <c r="BD18" s="384"/>
      <c r="BE18" s="384"/>
      <c r="BF18" s="384"/>
      <c r="BG18" s="384"/>
      <c r="BH18" s="384"/>
      <c r="BI18" s="384"/>
      <c r="BJ18" s="384"/>
      <c r="BK18" s="384"/>
      <c r="BL18" s="384"/>
      <c r="BM18" s="384"/>
      <c r="BN18" s="386"/>
      <c r="BO18" s="387"/>
    </row>
    <row r="19" spans="2:67">
      <c r="B19" s="381"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82"/>
      <c r="BO19" s="43"/>
    </row>
    <row r="20" spans="2:67">
      <c r="B20" s="381"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82"/>
      <c r="BO20" s="43"/>
    </row>
    <row r="21" spans="2:67">
      <c r="B21" s="381"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82"/>
      <c r="BO21" s="43"/>
    </row>
    <row r="22" spans="2:67">
      <c r="B22" s="381"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82"/>
      <c r="BO22" s="43"/>
    </row>
    <row r="23" spans="2:67">
      <c r="B23" s="381"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82"/>
      <c r="BO23" s="43"/>
    </row>
    <row r="24" spans="2:67">
      <c r="B24" s="388"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89"/>
      <c r="BO24" s="46"/>
    </row>
    <row r="25" spans="2:67">
      <c r="B25" s="381"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82"/>
      <c r="BO25" s="43"/>
    </row>
    <row r="26" spans="2:67">
      <c r="B26" s="381"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82"/>
      <c r="BO26" s="43"/>
    </row>
    <row r="27" spans="2:67">
      <c r="B27" s="381"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82"/>
      <c r="BO27" s="43"/>
    </row>
    <row r="28" spans="2:67">
      <c r="B28" s="381" t="s">
        <v>447</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82"/>
      <c r="BO28" s="43"/>
    </row>
    <row r="29" spans="2:67">
      <c r="B29" s="381" t="s">
        <v>448</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82"/>
      <c r="BO29" s="43"/>
    </row>
    <row r="30" spans="2:67">
      <c r="B30" s="381" t="s">
        <v>449</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82"/>
      <c r="BO30" s="43"/>
    </row>
    <row r="31" spans="2:67">
      <c r="B31" s="381" t="s">
        <v>450</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82"/>
      <c r="BO31" s="43"/>
    </row>
    <row r="32" spans="2:67">
      <c r="B32" s="381" t="s">
        <v>451</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82"/>
      <c r="BO32" s="43"/>
    </row>
    <row r="33" spans="2:67">
      <c r="B33" s="381" t="s">
        <v>452</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82"/>
      <c r="BO33" s="43"/>
    </row>
    <row r="34" spans="2:67">
      <c r="B34" s="381"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82"/>
      <c r="BO34" s="43"/>
    </row>
    <row r="35" spans="2:67">
      <c r="B35" s="381" t="s">
        <v>453</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82"/>
      <c r="BO35" s="43"/>
    </row>
    <row r="36" spans="2:67">
      <c r="B36" s="381" t="s">
        <v>454</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82"/>
      <c r="BO36" s="43"/>
    </row>
    <row r="37" spans="2:67">
      <c r="B37" s="381"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82"/>
      <c r="BO37" s="43"/>
    </row>
    <row r="38" spans="2:67">
      <c r="B38" s="381"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82"/>
      <c r="BO38" s="43"/>
    </row>
    <row r="39" spans="2:67" ht="16" thickBot="1">
      <c r="B39" s="381"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82"/>
      <c r="BO39" s="43"/>
    </row>
    <row r="40" spans="2:67" ht="16" thickBot="1">
      <c r="B40" s="383" t="s">
        <v>132</v>
      </c>
      <c r="C40" s="384"/>
      <c r="D40" s="384"/>
      <c r="E40" s="384"/>
      <c r="F40" s="384"/>
      <c r="G40" s="384"/>
      <c r="H40" s="384"/>
      <c r="I40" s="384"/>
      <c r="J40" s="384"/>
      <c r="K40" s="384"/>
      <c r="L40" s="384"/>
      <c r="M40" s="384"/>
      <c r="N40" s="384"/>
      <c r="O40" s="384"/>
      <c r="P40" s="384"/>
      <c r="Q40" s="384"/>
      <c r="R40" s="384"/>
      <c r="S40" s="384"/>
      <c r="T40" s="384"/>
      <c r="U40" s="384"/>
      <c r="V40" s="384"/>
      <c r="W40" s="384"/>
      <c r="X40" s="384"/>
      <c r="Y40" s="384"/>
      <c r="Z40" s="384"/>
      <c r="AA40" s="384"/>
      <c r="AB40" s="384"/>
      <c r="AC40" s="384"/>
      <c r="AD40" s="384"/>
      <c r="AE40" s="384"/>
      <c r="AF40" s="384"/>
      <c r="AG40" s="384"/>
      <c r="AH40" s="384"/>
      <c r="AI40" s="384"/>
      <c r="AJ40" s="384"/>
      <c r="AK40" s="384"/>
      <c r="AL40" s="384"/>
      <c r="AM40" s="384"/>
      <c r="AN40" s="384"/>
      <c r="AO40" s="384"/>
      <c r="AP40" s="384"/>
      <c r="AQ40" s="384"/>
      <c r="AR40" s="384"/>
      <c r="AS40" s="384"/>
      <c r="AT40" s="384"/>
      <c r="AU40" s="384"/>
      <c r="AV40" s="384"/>
      <c r="AW40" s="384"/>
      <c r="AX40" s="384"/>
      <c r="AY40" s="384"/>
      <c r="AZ40" s="384"/>
      <c r="BA40" s="384"/>
      <c r="BB40" s="384"/>
      <c r="BC40" s="384"/>
      <c r="BD40" s="384"/>
      <c r="BE40" s="384"/>
      <c r="BF40" s="384"/>
      <c r="BG40" s="384"/>
      <c r="BH40" s="384"/>
      <c r="BI40" s="384"/>
      <c r="BJ40" s="384"/>
      <c r="BK40" s="384"/>
      <c r="BL40" s="384"/>
      <c r="BM40" s="384"/>
      <c r="BN40" s="386"/>
      <c r="BO40" s="387"/>
    </row>
    <row r="41" spans="2:67">
      <c r="B41" s="381"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82"/>
      <c r="BO41" s="43"/>
    </row>
    <row r="42" spans="2:67">
      <c r="B42" s="381"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82"/>
      <c r="BO42" s="43"/>
    </row>
    <row r="43" spans="2:67">
      <c r="B43" s="381" t="s">
        <v>455</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82"/>
      <c r="BO43" s="43"/>
    </row>
    <row r="44" spans="2:67">
      <c r="B44" s="381" t="s">
        <v>456</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82"/>
      <c r="BO44" s="43"/>
    </row>
    <row r="45" spans="2:67">
      <c r="B45" s="381"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82"/>
      <c r="BO45" s="43"/>
    </row>
    <row r="46" spans="2:67">
      <c r="B46" s="381" t="s">
        <v>457</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82"/>
      <c r="BO46" s="43"/>
    </row>
    <row r="47" spans="2:67">
      <c r="B47" s="381" t="s">
        <v>458</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82"/>
      <c r="BO47" s="43"/>
    </row>
    <row r="48" spans="2:67">
      <c r="B48" s="381" t="s">
        <v>459</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82"/>
      <c r="BO48" s="43"/>
    </row>
    <row r="49" spans="2:67">
      <c r="B49" s="381" t="s">
        <v>460</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82"/>
      <c r="BO49" s="43"/>
    </row>
    <row r="50" spans="2:67">
      <c r="B50" s="381" t="s">
        <v>461</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82"/>
      <c r="BO50" s="43"/>
    </row>
    <row r="51" spans="2:67">
      <c r="B51" s="381"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82"/>
      <c r="BO51" s="43"/>
    </row>
    <row r="52" spans="2:67">
      <c r="B52" s="381" t="s">
        <v>462</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82"/>
      <c r="BO52" s="43"/>
    </row>
    <row r="53" spans="2:67">
      <c r="B53" s="381"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82"/>
      <c r="BO53" s="43"/>
    </row>
    <row r="54" spans="2:67">
      <c r="B54" s="381"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82"/>
      <c r="BO54" s="43"/>
    </row>
    <row r="55" spans="2:67">
      <c r="B55" s="381"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82"/>
      <c r="BO55" s="43"/>
    </row>
    <row r="56" spans="2:67">
      <c r="B56" s="381"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82"/>
      <c r="BO56" s="43"/>
    </row>
    <row r="57" spans="2:67">
      <c r="B57" s="381"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82"/>
      <c r="BO57" s="43"/>
    </row>
    <row r="58" spans="2:67" ht="16" thickBot="1">
      <c r="B58" s="381"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82"/>
      <c r="BO58" s="43"/>
    </row>
    <row r="59" spans="2:67" ht="16" thickBot="1">
      <c r="B59" s="383" t="s">
        <v>142</v>
      </c>
      <c r="C59" s="384"/>
      <c r="D59" s="384"/>
      <c r="E59" s="384"/>
      <c r="F59" s="384"/>
      <c r="G59" s="384"/>
      <c r="H59" s="384"/>
      <c r="I59" s="384"/>
      <c r="J59" s="384"/>
      <c r="K59" s="384"/>
      <c r="L59" s="384"/>
      <c r="M59" s="384"/>
      <c r="N59" s="384"/>
      <c r="O59" s="384"/>
      <c r="P59" s="384"/>
      <c r="Q59" s="384"/>
      <c r="R59" s="384"/>
      <c r="S59" s="384"/>
      <c r="T59" s="384"/>
      <c r="U59" s="384"/>
      <c r="V59" s="384"/>
      <c r="W59" s="384"/>
      <c r="X59" s="384"/>
      <c r="Y59" s="384"/>
      <c r="Z59" s="384"/>
      <c r="AA59" s="384"/>
      <c r="AB59" s="384"/>
      <c r="AC59" s="384"/>
      <c r="AD59" s="384"/>
      <c r="AE59" s="384"/>
      <c r="AF59" s="384"/>
      <c r="AG59" s="384"/>
      <c r="AH59" s="384"/>
      <c r="AI59" s="384"/>
      <c r="AJ59" s="384"/>
      <c r="AK59" s="384"/>
      <c r="AL59" s="384"/>
      <c r="AM59" s="384"/>
      <c r="AN59" s="384"/>
      <c r="AO59" s="384"/>
      <c r="AP59" s="384"/>
      <c r="AQ59" s="384"/>
      <c r="AR59" s="384"/>
      <c r="AS59" s="384"/>
      <c r="AT59" s="384"/>
      <c r="AU59" s="384"/>
      <c r="AV59" s="384"/>
      <c r="AW59" s="384"/>
      <c r="AX59" s="384"/>
      <c r="AY59" s="384"/>
      <c r="AZ59" s="384"/>
      <c r="BA59" s="384"/>
      <c r="BB59" s="384"/>
      <c r="BC59" s="384"/>
      <c r="BD59" s="384"/>
      <c r="BE59" s="384"/>
      <c r="BF59" s="384"/>
      <c r="BG59" s="384"/>
      <c r="BH59" s="384"/>
      <c r="BI59" s="384"/>
      <c r="BJ59" s="384"/>
      <c r="BK59" s="384"/>
      <c r="BL59" s="384"/>
      <c r="BM59" s="384"/>
      <c r="BN59" s="386"/>
      <c r="BO59" s="387"/>
    </row>
    <row r="60" spans="2:67" ht="16" thickBot="1">
      <c r="B60" s="383" t="s">
        <v>29</v>
      </c>
      <c r="C60" s="384"/>
      <c r="D60" s="384"/>
      <c r="E60" s="384"/>
      <c r="F60" s="384"/>
      <c r="G60" s="384"/>
      <c r="H60" s="384"/>
      <c r="I60" s="384"/>
      <c r="J60" s="384"/>
      <c r="K60" s="384"/>
      <c r="L60" s="384"/>
      <c r="M60" s="384"/>
      <c r="N60" s="384"/>
      <c r="O60" s="384"/>
      <c r="P60" s="384"/>
      <c r="Q60" s="384"/>
      <c r="R60" s="384"/>
      <c r="S60" s="384"/>
      <c r="T60" s="384"/>
      <c r="U60" s="384"/>
      <c r="V60" s="384"/>
      <c r="W60" s="384"/>
      <c r="X60" s="384"/>
      <c r="Y60" s="384"/>
      <c r="Z60" s="384"/>
      <c r="AA60" s="384"/>
      <c r="AB60" s="384"/>
      <c r="AC60" s="384"/>
      <c r="AD60" s="384"/>
      <c r="AE60" s="384"/>
      <c r="AF60" s="384"/>
      <c r="AG60" s="384"/>
      <c r="AH60" s="384"/>
      <c r="AI60" s="384"/>
      <c r="AJ60" s="384"/>
      <c r="AK60" s="384"/>
      <c r="AL60" s="384"/>
      <c r="AM60" s="384"/>
      <c r="AN60" s="384"/>
      <c r="AO60" s="384"/>
      <c r="AP60" s="384"/>
      <c r="AQ60" s="384"/>
      <c r="AR60" s="384"/>
      <c r="AS60" s="384"/>
      <c r="AT60" s="384"/>
      <c r="AU60" s="384"/>
      <c r="AV60" s="384"/>
      <c r="AW60" s="384"/>
      <c r="AX60" s="384"/>
      <c r="AY60" s="384"/>
      <c r="AZ60" s="384"/>
      <c r="BA60" s="384"/>
      <c r="BB60" s="384"/>
      <c r="BC60" s="384"/>
      <c r="BD60" s="384"/>
      <c r="BE60" s="384"/>
      <c r="BF60" s="384"/>
      <c r="BG60" s="384"/>
      <c r="BH60" s="384"/>
      <c r="BI60" s="384"/>
      <c r="BJ60" s="384"/>
      <c r="BK60" s="384"/>
      <c r="BL60" s="384"/>
      <c r="BM60" s="384"/>
      <c r="BN60" s="386"/>
      <c r="BO60" s="387"/>
    </row>
    <row r="61" spans="2:67">
      <c r="B61" s="381"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82"/>
      <c r="BO61" s="43"/>
    </row>
    <row r="62" spans="2:67">
      <c r="B62" s="381"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82"/>
      <c r="BO62" s="43"/>
    </row>
    <row r="63" spans="2:67">
      <c r="B63" s="381"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82"/>
      <c r="BO63" s="43"/>
    </row>
    <row r="64" spans="2:67">
      <c r="B64" s="381"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82"/>
      <c r="BO64" s="43"/>
    </row>
    <row r="65" spans="2:67">
      <c r="B65" s="381"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82"/>
      <c r="BO65" s="43"/>
    </row>
    <row r="66" spans="2:67">
      <c r="B66" s="381"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82"/>
      <c r="BO66" s="43"/>
    </row>
    <row r="67" spans="2:67">
      <c r="B67" s="381"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82"/>
      <c r="BO67" s="43"/>
    </row>
    <row r="68" spans="2:67">
      <c r="B68" s="381"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82"/>
      <c r="BO68" s="43"/>
    </row>
    <row r="69" spans="2:67">
      <c r="B69" s="381"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82"/>
      <c r="BO69" s="43"/>
    </row>
    <row r="70" spans="2:67">
      <c r="B70" s="381"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82"/>
      <c r="BO70" s="43"/>
    </row>
    <row r="71" spans="2:67">
      <c r="B71" s="381"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82"/>
      <c r="BO71" s="43"/>
    </row>
    <row r="72" spans="2:67">
      <c r="B72" s="381"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82"/>
      <c r="BO72" s="43"/>
    </row>
    <row r="73" spans="2:67" ht="16" thickBot="1">
      <c r="B73" s="381"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82"/>
      <c r="BO73" s="43"/>
    </row>
    <row r="74" spans="2:67" ht="16" thickBot="1">
      <c r="B74" s="383" t="s">
        <v>156</v>
      </c>
      <c r="C74" s="384"/>
      <c r="D74" s="384"/>
      <c r="E74" s="384"/>
      <c r="F74" s="384"/>
      <c r="G74" s="384"/>
      <c r="H74" s="384"/>
      <c r="I74" s="384"/>
      <c r="J74" s="384"/>
      <c r="K74" s="384"/>
      <c r="L74" s="384"/>
      <c r="M74" s="384"/>
      <c r="N74" s="384"/>
      <c r="O74" s="384"/>
      <c r="P74" s="384"/>
      <c r="Q74" s="384"/>
      <c r="R74" s="384"/>
      <c r="S74" s="384"/>
      <c r="T74" s="384"/>
      <c r="U74" s="384"/>
      <c r="V74" s="384"/>
      <c r="W74" s="384"/>
      <c r="X74" s="384"/>
      <c r="Y74" s="384"/>
      <c r="Z74" s="384"/>
      <c r="AA74" s="384"/>
      <c r="AB74" s="384"/>
      <c r="AC74" s="384"/>
      <c r="AD74" s="384"/>
      <c r="AE74" s="384"/>
      <c r="AF74" s="384"/>
      <c r="AG74" s="384"/>
      <c r="AH74" s="384"/>
      <c r="AI74" s="384"/>
      <c r="AJ74" s="384"/>
      <c r="AK74" s="384"/>
      <c r="AL74" s="384"/>
      <c r="AM74" s="384"/>
      <c r="AN74" s="384"/>
      <c r="AO74" s="384"/>
      <c r="AP74" s="384"/>
      <c r="AQ74" s="384"/>
      <c r="AR74" s="384"/>
      <c r="AS74" s="384"/>
      <c r="AT74" s="384"/>
      <c r="AU74" s="384"/>
      <c r="AV74" s="384"/>
      <c r="AW74" s="384"/>
      <c r="AX74" s="384"/>
      <c r="AY74" s="384"/>
      <c r="AZ74" s="384"/>
      <c r="BA74" s="384"/>
      <c r="BB74" s="384"/>
      <c r="BC74" s="384"/>
      <c r="BD74" s="384"/>
      <c r="BE74" s="384"/>
      <c r="BF74" s="384"/>
      <c r="BG74" s="384"/>
      <c r="BH74" s="384"/>
      <c r="BI74" s="384"/>
      <c r="BJ74" s="384"/>
      <c r="BK74" s="384"/>
      <c r="BL74" s="384"/>
      <c r="BM74" s="384"/>
      <c r="BN74" s="386"/>
      <c r="BO74" s="387"/>
    </row>
    <row r="75" spans="2:67">
      <c r="B75" s="381"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82"/>
      <c r="BO75" s="43"/>
    </row>
    <row r="76" spans="2:67">
      <c r="B76" s="381"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82"/>
      <c r="BO76" s="43"/>
    </row>
    <row r="77" spans="2:67">
      <c r="B77" s="381"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82"/>
      <c r="BO77" s="43"/>
    </row>
    <row r="78" spans="2:67">
      <c r="B78" s="381"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82"/>
      <c r="BO78" s="43"/>
    </row>
    <row r="79" spans="2:67">
      <c r="B79" s="381"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82"/>
      <c r="BO79" s="43"/>
    </row>
    <row r="80" spans="2:67" ht="16" thickBot="1">
      <c r="B80" s="381"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82"/>
      <c r="BO80" s="43"/>
    </row>
    <row r="81" spans="2:67" ht="16" thickBot="1">
      <c r="B81" s="383" t="s">
        <v>78</v>
      </c>
      <c r="C81" s="384"/>
      <c r="D81" s="384"/>
      <c r="E81" s="384"/>
      <c r="F81" s="384"/>
      <c r="G81" s="384"/>
      <c r="H81" s="384"/>
      <c r="I81" s="384"/>
      <c r="J81" s="384"/>
      <c r="K81" s="384"/>
      <c r="L81" s="384"/>
      <c r="M81" s="384"/>
      <c r="N81" s="384"/>
      <c r="O81" s="384"/>
      <c r="P81" s="384"/>
      <c r="Q81" s="384"/>
      <c r="R81" s="384"/>
      <c r="S81" s="384"/>
      <c r="T81" s="384"/>
      <c r="U81" s="384"/>
      <c r="V81" s="384"/>
      <c r="W81" s="384"/>
      <c r="X81" s="384"/>
      <c r="Y81" s="384"/>
      <c r="Z81" s="384"/>
      <c r="AA81" s="384"/>
      <c r="AB81" s="384"/>
      <c r="AC81" s="384"/>
      <c r="AD81" s="384"/>
      <c r="AE81" s="384"/>
      <c r="AF81" s="384"/>
      <c r="AG81" s="384"/>
      <c r="AH81" s="384"/>
      <c r="AI81" s="384"/>
      <c r="AJ81" s="384"/>
      <c r="AK81" s="384"/>
      <c r="AL81" s="384"/>
      <c r="AM81" s="384"/>
      <c r="AN81" s="384"/>
      <c r="AO81" s="384"/>
      <c r="AP81" s="384"/>
      <c r="AQ81" s="384"/>
      <c r="AR81" s="384"/>
      <c r="AS81" s="384"/>
      <c r="AT81" s="384"/>
      <c r="AU81" s="384"/>
      <c r="AV81" s="384"/>
      <c r="AW81" s="384"/>
      <c r="AX81" s="384"/>
      <c r="AY81" s="384"/>
      <c r="AZ81" s="384"/>
      <c r="BA81" s="384"/>
      <c r="BB81" s="384"/>
      <c r="BC81" s="384"/>
      <c r="BD81" s="384"/>
      <c r="BE81" s="384"/>
      <c r="BF81" s="384"/>
      <c r="BG81" s="384"/>
      <c r="BH81" s="384"/>
      <c r="BI81" s="384"/>
      <c r="BJ81" s="384"/>
      <c r="BK81" s="384"/>
      <c r="BL81" s="384"/>
      <c r="BM81" s="384"/>
      <c r="BN81" s="386"/>
      <c r="BO81" s="387"/>
    </row>
    <row r="82" spans="2:67">
      <c r="B82" s="381"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82"/>
      <c r="BO82" s="43"/>
    </row>
    <row r="83" spans="2:67">
      <c r="B83" s="381"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82"/>
      <c r="BO83" s="43"/>
    </row>
    <row r="84" spans="2:67">
      <c r="B84" s="381"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82"/>
      <c r="BO84" s="43"/>
    </row>
    <row r="85" spans="2:67">
      <c r="B85" s="381"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82"/>
      <c r="BO85" s="43"/>
    </row>
    <row r="86" spans="2:67" ht="16" thickBot="1">
      <c r="B86" s="381"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82"/>
      <c r="BO86" s="43"/>
    </row>
    <row r="87" spans="2:67" ht="16" thickBot="1">
      <c r="B87" s="383" t="s">
        <v>168</v>
      </c>
      <c r="C87" s="384"/>
      <c r="D87" s="384"/>
      <c r="E87" s="384"/>
      <c r="F87" s="384"/>
      <c r="G87" s="384"/>
      <c r="H87" s="384"/>
      <c r="I87" s="384"/>
      <c r="J87" s="384"/>
      <c r="K87" s="384"/>
      <c r="L87" s="384"/>
      <c r="M87" s="384"/>
      <c r="N87" s="384"/>
      <c r="O87" s="384"/>
      <c r="P87" s="384"/>
      <c r="Q87" s="384"/>
      <c r="R87" s="384"/>
      <c r="S87" s="384"/>
      <c r="T87" s="384"/>
      <c r="U87" s="384"/>
      <c r="V87" s="384"/>
      <c r="W87" s="384"/>
      <c r="X87" s="384"/>
      <c r="Y87" s="384"/>
      <c r="Z87" s="384"/>
      <c r="AA87" s="384"/>
      <c r="AB87" s="384"/>
      <c r="AC87" s="384"/>
      <c r="AD87" s="384"/>
      <c r="AE87" s="384"/>
      <c r="AF87" s="384"/>
      <c r="AG87" s="384"/>
      <c r="AH87" s="384"/>
      <c r="AI87" s="384"/>
      <c r="AJ87" s="384"/>
      <c r="AK87" s="384"/>
      <c r="AL87" s="384"/>
      <c r="AM87" s="384"/>
      <c r="AN87" s="384"/>
      <c r="AO87" s="384"/>
      <c r="AP87" s="384"/>
      <c r="AQ87" s="384"/>
      <c r="AR87" s="384"/>
      <c r="AS87" s="384"/>
      <c r="AT87" s="384"/>
      <c r="AU87" s="384"/>
      <c r="AV87" s="384"/>
      <c r="AW87" s="384"/>
      <c r="AX87" s="384"/>
      <c r="AY87" s="384"/>
      <c r="AZ87" s="384"/>
      <c r="BA87" s="384"/>
      <c r="BB87" s="384"/>
      <c r="BC87" s="384"/>
      <c r="BD87" s="384"/>
      <c r="BE87" s="384"/>
      <c r="BF87" s="384"/>
      <c r="BG87" s="384"/>
      <c r="BH87" s="384"/>
      <c r="BI87" s="384"/>
      <c r="BJ87" s="384"/>
      <c r="BK87" s="384"/>
      <c r="BL87" s="384"/>
      <c r="BM87" s="384"/>
      <c r="BN87" s="386"/>
      <c r="BO87" s="387"/>
    </row>
    <row r="88" spans="2:67">
      <c r="B88" s="381"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82"/>
      <c r="BO88" s="43"/>
    </row>
    <row r="89" spans="2:67">
      <c r="B89" s="381"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82"/>
      <c r="BO89" s="43"/>
    </row>
    <row r="90" spans="2:67">
      <c r="B90" s="381"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82"/>
      <c r="BO90" s="43"/>
    </row>
    <row r="91" spans="2:67" ht="16" thickBot="1">
      <c r="B91" s="381"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82"/>
      <c r="BO91" s="43"/>
    </row>
    <row r="92" spans="2:67" ht="16" thickBot="1">
      <c r="B92" s="383" t="s">
        <v>173</v>
      </c>
      <c r="C92" s="384"/>
      <c r="D92" s="384"/>
      <c r="E92" s="384"/>
      <c r="F92" s="384"/>
      <c r="G92" s="384"/>
      <c r="H92" s="384"/>
      <c r="I92" s="384"/>
      <c r="J92" s="384"/>
      <c r="K92" s="384"/>
      <c r="L92" s="384"/>
      <c r="M92" s="384"/>
      <c r="N92" s="384"/>
      <c r="O92" s="384"/>
      <c r="P92" s="384"/>
      <c r="Q92" s="384"/>
      <c r="R92" s="384"/>
      <c r="S92" s="384"/>
      <c r="T92" s="384"/>
      <c r="U92" s="384"/>
      <c r="V92" s="384"/>
      <c r="W92" s="384"/>
      <c r="X92" s="384"/>
      <c r="Y92" s="384"/>
      <c r="Z92" s="384"/>
      <c r="AA92" s="384"/>
      <c r="AB92" s="384"/>
      <c r="AC92" s="384"/>
      <c r="AD92" s="384"/>
      <c r="AE92" s="384"/>
      <c r="AF92" s="384"/>
      <c r="AG92" s="384"/>
      <c r="AH92" s="384"/>
      <c r="AI92" s="384"/>
      <c r="AJ92" s="384"/>
      <c r="AK92" s="384"/>
      <c r="AL92" s="384"/>
      <c r="AM92" s="384"/>
      <c r="AN92" s="384"/>
      <c r="AO92" s="384"/>
      <c r="AP92" s="384"/>
      <c r="AQ92" s="384"/>
      <c r="AR92" s="384"/>
      <c r="AS92" s="384"/>
      <c r="AT92" s="384"/>
      <c r="AU92" s="384"/>
      <c r="AV92" s="384"/>
      <c r="AW92" s="384"/>
      <c r="AX92" s="384"/>
      <c r="AY92" s="384"/>
      <c r="AZ92" s="384"/>
      <c r="BA92" s="384"/>
      <c r="BB92" s="384"/>
      <c r="BC92" s="384"/>
      <c r="BD92" s="384"/>
      <c r="BE92" s="384"/>
      <c r="BF92" s="384"/>
      <c r="BG92" s="384"/>
      <c r="BH92" s="384"/>
      <c r="BI92" s="384"/>
      <c r="BJ92" s="384"/>
      <c r="BK92" s="384"/>
      <c r="BL92" s="384"/>
      <c r="BM92" s="384"/>
      <c r="BN92" s="386"/>
      <c r="BO92" s="387"/>
    </row>
    <row r="93" spans="2:67">
      <c r="B93" s="381"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82"/>
      <c r="BO93" s="43"/>
    </row>
    <row r="94" spans="2:67">
      <c r="B94" s="381"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82"/>
      <c r="BO94" s="43"/>
    </row>
    <row r="95" spans="2:67">
      <c r="B95" s="381"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82"/>
      <c r="BO95" s="43"/>
    </row>
    <row r="96" spans="2:67" ht="16" thickBot="1">
      <c r="B96" s="381"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82"/>
      <c r="BO96" s="43"/>
    </row>
    <row r="97" spans="2:67" ht="16" thickBot="1">
      <c r="B97" s="383" t="s">
        <v>178</v>
      </c>
      <c r="C97" s="384"/>
      <c r="D97" s="384"/>
      <c r="E97" s="384"/>
      <c r="F97" s="384"/>
      <c r="G97" s="384"/>
      <c r="H97" s="384"/>
      <c r="I97" s="384"/>
      <c r="J97" s="384"/>
      <c r="K97" s="384"/>
      <c r="L97" s="384"/>
      <c r="M97" s="384"/>
      <c r="N97" s="384"/>
      <c r="O97" s="384"/>
      <c r="P97" s="384"/>
      <c r="Q97" s="384"/>
      <c r="R97" s="384"/>
      <c r="S97" s="384"/>
      <c r="T97" s="384"/>
      <c r="U97" s="384"/>
      <c r="V97" s="384"/>
      <c r="W97" s="384"/>
      <c r="X97" s="384"/>
      <c r="Y97" s="384"/>
      <c r="Z97" s="384"/>
      <c r="AA97" s="384"/>
      <c r="AB97" s="384"/>
      <c r="AC97" s="384"/>
      <c r="AD97" s="384"/>
      <c r="AE97" s="384"/>
      <c r="AF97" s="384"/>
      <c r="AG97" s="384"/>
      <c r="AH97" s="384"/>
      <c r="AI97" s="384"/>
      <c r="AJ97" s="384"/>
      <c r="AK97" s="384"/>
      <c r="AL97" s="384"/>
      <c r="AM97" s="384"/>
      <c r="AN97" s="384"/>
      <c r="AO97" s="384"/>
      <c r="AP97" s="384"/>
      <c r="AQ97" s="384"/>
      <c r="AR97" s="384"/>
      <c r="AS97" s="384"/>
      <c r="AT97" s="384"/>
      <c r="AU97" s="384"/>
      <c r="AV97" s="384"/>
      <c r="AW97" s="384"/>
      <c r="AX97" s="384"/>
      <c r="AY97" s="384"/>
      <c r="AZ97" s="384"/>
      <c r="BA97" s="384"/>
      <c r="BB97" s="384"/>
      <c r="BC97" s="384"/>
      <c r="BD97" s="384"/>
      <c r="BE97" s="384"/>
      <c r="BF97" s="384"/>
      <c r="BG97" s="384"/>
      <c r="BH97" s="384"/>
      <c r="BI97" s="384"/>
      <c r="BJ97" s="384"/>
      <c r="BK97" s="384"/>
      <c r="BL97" s="384"/>
      <c r="BM97" s="384"/>
      <c r="BN97" s="386"/>
      <c r="BO97" s="387"/>
    </row>
    <row r="98" spans="2:67">
      <c r="B98" s="381"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82"/>
      <c r="BO98" s="43"/>
    </row>
    <row r="99" spans="2:67">
      <c r="B99" s="381"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82"/>
      <c r="BO99" s="43"/>
    </row>
    <row r="100" spans="2:67">
      <c r="B100" s="381"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82"/>
      <c r="BO100" s="43"/>
    </row>
    <row r="101" spans="2:67" ht="16" thickBot="1">
      <c r="B101" s="390" t="s">
        <v>182</v>
      </c>
      <c r="C101" s="391"/>
      <c r="D101" s="391"/>
      <c r="E101" s="391"/>
      <c r="F101" s="391"/>
      <c r="G101" s="391"/>
      <c r="H101" s="391"/>
      <c r="I101" s="391"/>
      <c r="J101" s="391"/>
      <c r="K101" s="391"/>
      <c r="L101" s="391"/>
      <c r="M101" s="391"/>
      <c r="N101" s="391"/>
      <c r="O101" s="391"/>
      <c r="P101" s="391"/>
      <c r="Q101" s="391"/>
      <c r="R101" s="391"/>
      <c r="S101" s="391"/>
      <c r="T101" s="391"/>
      <c r="U101" s="391"/>
      <c r="V101" s="391"/>
      <c r="W101" s="391"/>
      <c r="X101" s="391"/>
      <c r="Y101" s="391"/>
      <c r="Z101" s="391"/>
      <c r="AA101" s="391"/>
      <c r="AB101" s="391"/>
      <c r="AC101" s="391"/>
      <c r="AD101" s="391"/>
      <c r="AE101" s="391"/>
      <c r="AF101" s="391"/>
      <c r="AG101" s="391"/>
      <c r="AH101" s="391"/>
      <c r="AI101" s="391"/>
      <c r="AJ101" s="391"/>
      <c r="AK101" s="391"/>
      <c r="AL101" s="391"/>
      <c r="AM101" s="391"/>
      <c r="AN101" s="391"/>
      <c r="AO101" s="391"/>
      <c r="AP101" s="391"/>
      <c r="AQ101" s="391"/>
      <c r="AR101" s="391"/>
      <c r="AS101" s="391"/>
      <c r="AT101" s="391"/>
      <c r="AU101" s="391"/>
      <c r="AV101" s="391"/>
      <c r="AW101" s="391"/>
      <c r="AX101" s="391"/>
      <c r="AY101" s="391"/>
      <c r="AZ101" s="391"/>
      <c r="BA101" s="391"/>
      <c r="BB101" s="391"/>
      <c r="BC101" s="391"/>
      <c r="BD101" s="391"/>
      <c r="BE101" s="391"/>
      <c r="BF101" s="391"/>
      <c r="BG101" s="391"/>
      <c r="BH101" s="391"/>
      <c r="BI101" s="391"/>
      <c r="BJ101" s="391"/>
      <c r="BK101" s="391"/>
      <c r="BL101" s="391"/>
      <c r="BM101" s="391"/>
      <c r="BN101" s="392"/>
      <c r="BO101" s="50"/>
    </row>
  </sheetData>
  <mergeCells count="1">
    <mergeCell ref="B5: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N57"/>
  <sheetViews>
    <sheetView workbookViewId="0"/>
  </sheetViews>
  <sheetFormatPr baseColWidth="10" defaultRowHeight="15" x14ac:dyDescent="0"/>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14" style="1" bestFit="1" customWidth="1"/>
    <col min="8" max="8" width="16.83203125" style="1" bestFit="1" customWidth="1"/>
    <col min="9" max="9" width="13.1640625" style="1" bestFit="1" customWidth="1"/>
    <col min="10" max="10" width="17" style="1" customWidth="1"/>
    <col min="11" max="11" width="16.83203125" style="1" customWidth="1"/>
    <col min="12" max="12" width="17.1640625" style="1" customWidth="1"/>
    <col min="13" max="13" width="22.83203125" style="119" customWidth="1"/>
    <col min="14" max="14" width="29.1640625" style="1" bestFit="1" customWidth="1"/>
    <col min="15" max="16384" width="10.83203125" style="1"/>
  </cols>
  <sheetData>
    <row r="2" spans="2:14" ht="20">
      <c r="B2" s="63" t="s">
        <v>188</v>
      </c>
      <c r="C2" s="8"/>
      <c r="D2" s="8"/>
      <c r="E2" s="8"/>
      <c r="F2" s="8"/>
      <c r="G2" s="8"/>
      <c r="H2" s="8"/>
      <c r="I2" s="8"/>
    </row>
    <row r="4" spans="2:14">
      <c r="B4" s="617" t="s">
        <v>79</v>
      </c>
      <c r="C4" s="618"/>
      <c r="D4" s="618"/>
      <c r="E4" s="619"/>
      <c r="F4" s="621"/>
      <c r="G4" s="622"/>
      <c r="H4" s="622"/>
      <c r="I4" s="622"/>
      <c r="J4" s="622"/>
      <c r="K4" s="622"/>
      <c r="L4" s="8"/>
      <c r="M4" s="188"/>
    </row>
    <row r="5" spans="2:14">
      <c r="B5" s="595" t="s">
        <v>806</v>
      </c>
      <c r="C5" s="596"/>
      <c r="D5" s="596"/>
      <c r="E5" s="620"/>
      <c r="F5" s="499"/>
      <c r="G5" s="149"/>
      <c r="H5" s="149"/>
      <c r="I5" s="149"/>
      <c r="J5" s="149"/>
      <c r="K5" s="149"/>
      <c r="L5" s="149"/>
      <c r="M5" s="188"/>
    </row>
    <row r="6" spans="2:14" ht="16" thickBot="1">
      <c r="B6" s="8"/>
      <c r="C6" s="8"/>
      <c r="D6" s="8"/>
      <c r="E6" s="8"/>
      <c r="F6" s="8"/>
      <c r="G6" s="8"/>
      <c r="H6" s="8"/>
      <c r="I6" s="8"/>
    </row>
    <row r="7" spans="2:14">
      <c r="B7" s="574" t="s">
        <v>647</v>
      </c>
      <c r="C7" s="575"/>
      <c r="D7" s="575"/>
      <c r="E7" s="608" t="s">
        <v>805</v>
      </c>
      <c r="F7" s="568" t="s">
        <v>803</v>
      </c>
      <c r="G7" s="567"/>
      <c r="H7" s="568"/>
      <c r="I7" s="599"/>
      <c r="J7" s="602"/>
      <c r="K7" s="603"/>
      <c r="L7" s="603"/>
      <c r="M7" s="604"/>
    </row>
    <row r="8" spans="2:14" ht="30" customHeight="1">
      <c r="B8" s="597" t="s">
        <v>285</v>
      </c>
      <c r="C8" s="598" t="s">
        <v>183</v>
      </c>
      <c r="D8" s="8"/>
      <c r="E8" s="609" t="s">
        <v>233</v>
      </c>
      <c r="F8" s="8" t="s">
        <v>760</v>
      </c>
      <c r="G8" s="8" t="s">
        <v>764</v>
      </c>
      <c r="H8" s="8" t="s">
        <v>761</v>
      </c>
      <c r="I8" s="600" t="s">
        <v>804</v>
      </c>
      <c r="J8" s="605" t="s">
        <v>733</v>
      </c>
      <c r="K8" s="606" t="s">
        <v>734</v>
      </c>
      <c r="L8" s="606" t="s">
        <v>527</v>
      </c>
      <c r="M8" s="607" t="s">
        <v>735</v>
      </c>
      <c r="N8" s="269" t="s">
        <v>367</v>
      </c>
    </row>
    <row r="9" spans="2:14" ht="15" customHeight="1">
      <c r="B9" s="44"/>
      <c r="C9" s="10"/>
      <c r="D9" s="68"/>
      <c r="E9" s="609"/>
      <c r="F9" s="569" t="s">
        <v>762</v>
      </c>
      <c r="G9" s="569" t="s">
        <v>763</v>
      </c>
      <c r="H9" s="569" t="s">
        <v>759</v>
      </c>
      <c r="I9" s="11" t="s">
        <v>799</v>
      </c>
      <c r="J9" s="21"/>
      <c r="K9" s="10"/>
      <c r="L9" s="10"/>
      <c r="M9" s="601"/>
    </row>
    <row r="10" spans="2:14">
      <c r="B10" s="49" t="s">
        <v>77</v>
      </c>
      <c r="C10" s="8"/>
      <c r="D10" s="8"/>
      <c r="E10" s="20"/>
      <c r="F10" s="8"/>
      <c r="G10" s="8"/>
      <c r="H10" s="8"/>
      <c r="I10" s="7"/>
      <c r="J10" s="70"/>
      <c r="K10" s="8"/>
      <c r="L10" s="8"/>
      <c r="M10" s="138"/>
      <c r="N10" s="269"/>
    </row>
    <row r="11" spans="2:14">
      <c r="B11" s="49"/>
      <c r="C11" s="17" t="s">
        <v>412</v>
      </c>
      <c r="D11" s="17"/>
      <c r="E11" s="19" t="s">
        <v>765</v>
      </c>
      <c r="F11" s="576"/>
      <c r="G11" s="576"/>
      <c r="H11" s="576"/>
      <c r="I11" s="610"/>
      <c r="J11" s="222">
        <f>F11</f>
        <v>0</v>
      </c>
      <c r="K11" s="228"/>
      <c r="L11" s="71"/>
      <c r="M11" s="229">
        <f>J11</f>
        <v>0</v>
      </c>
      <c r="N11" s="269" t="s">
        <v>325</v>
      </c>
    </row>
    <row r="12" spans="2:14">
      <c r="B12" s="49"/>
      <c r="C12" s="17" t="s">
        <v>418</v>
      </c>
      <c r="D12" s="17"/>
      <c r="E12" s="19" t="s">
        <v>766</v>
      </c>
      <c r="F12" s="576"/>
      <c r="G12" s="576"/>
      <c r="H12" s="576"/>
      <c r="I12" s="610"/>
      <c r="J12" s="222">
        <f>F12</f>
        <v>0</v>
      </c>
      <c r="K12" s="228"/>
      <c r="L12" s="71"/>
      <c r="M12" s="229">
        <f>J12</f>
        <v>0</v>
      </c>
      <c r="N12" s="269" t="s">
        <v>396</v>
      </c>
    </row>
    <row r="13" spans="2:14">
      <c r="B13" s="49"/>
      <c r="C13" s="17" t="s">
        <v>414</v>
      </c>
      <c r="D13" s="17"/>
      <c r="E13" s="19" t="s">
        <v>767</v>
      </c>
      <c r="F13" s="576"/>
      <c r="G13" s="576"/>
      <c r="H13" s="576"/>
      <c r="I13" s="610"/>
      <c r="J13" s="222"/>
      <c r="K13" s="228" t="e">
        <f>1/G13</f>
        <v>#DIV/0!</v>
      </c>
      <c r="L13" s="71"/>
      <c r="M13" s="229" t="e">
        <f>K13</f>
        <v>#DIV/0!</v>
      </c>
      <c r="N13" s="269" t="s">
        <v>326</v>
      </c>
    </row>
    <row r="14" spans="2:14">
      <c r="B14" s="49"/>
      <c r="C14" s="17" t="s">
        <v>432</v>
      </c>
      <c r="D14" s="17"/>
      <c r="E14" s="19" t="s">
        <v>768</v>
      </c>
      <c r="F14" s="576"/>
      <c r="G14" s="576"/>
      <c r="H14" s="576"/>
      <c r="I14" s="610"/>
      <c r="J14" s="222">
        <f>F14</f>
        <v>0</v>
      </c>
      <c r="K14" s="228"/>
      <c r="L14" s="500">
        <f>H14</f>
        <v>0</v>
      </c>
      <c r="M14" s="229">
        <f>J14</f>
        <v>0</v>
      </c>
      <c r="N14" s="269" t="s">
        <v>327</v>
      </c>
    </row>
    <row r="15" spans="2:14">
      <c r="B15" s="49"/>
      <c r="C15" s="17" t="s">
        <v>417</v>
      </c>
      <c r="D15" s="17"/>
      <c r="E15" s="19" t="s">
        <v>769</v>
      </c>
      <c r="F15" s="576"/>
      <c r="G15" s="576"/>
      <c r="H15" s="576"/>
      <c r="I15" s="610"/>
      <c r="J15" s="222">
        <f>F15</f>
        <v>0</v>
      </c>
      <c r="K15" s="228"/>
      <c r="L15" s="71"/>
      <c r="M15" s="229">
        <f>J15</f>
        <v>0</v>
      </c>
      <c r="N15" s="269" t="s">
        <v>328</v>
      </c>
    </row>
    <row r="16" spans="2:14">
      <c r="B16" s="67"/>
      <c r="C16" s="17" t="s">
        <v>419</v>
      </c>
      <c r="D16" s="17"/>
      <c r="E16" s="19" t="s">
        <v>770</v>
      </c>
      <c r="F16" s="576"/>
      <c r="G16" s="576"/>
      <c r="H16" s="576"/>
      <c r="I16" s="610"/>
      <c r="J16" s="222"/>
      <c r="K16" s="228" t="e">
        <f>1/G16</f>
        <v>#DIV/0!</v>
      </c>
      <c r="L16" s="71"/>
      <c r="M16" s="229" t="e">
        <f>K16</f>
        <v>#DIV/0!</v>
      </c>
      <c r="N16" s="269" t="s">
        <v>329</v>
      </c>
    </row>
    <row r="17" spans="2:14">
      <c r="B17" s="67"/>
      <c r="C17" s="17" t="s">
        <v>421</v>
      </c>
      <c r="D17" s="17"/>
      <c r="E17" s="19" t="s">
        <v>771</v>
      </c>
      <c r="F17" s="576"/>
      <c r="G17" s="576"/>
      <c r="H17" s="576"/>
      <c r="I17" s="610"/>
      <c r="J17" s="222">
        <f>F17</f>
        <v>0</v>
      </c>
      <c r="K17" s="228"/>
      <c r="L17" s="71"/>
      <c r="M17" s="229">
        <f>J17</f>
        <v>0</v>
      </c>
      <c r="N17" s="269" t="s">
        <v>330</v>
      </c>
    </row>
    <row r="18" spans="2:14">
      <c r="B18" s="67"/>
      <c r="C18" s="17" t="s">
        <v>422</v>
      </c>
      <c r="D18" s="17"/>
      <c r="E18" s="19" t="s">
        <v>772</v>
      </c>
      <c r="F18" s="576"/>
      <c r="G18" s="576"/>
      <c r="H18" s="576"/>
      <c r="I18" s="610"/>
      <c r="J18" s="222">
        <f>F18</f>
        <v>0</v>
      </c>
      <c r="K18" s="228"/>
      <c r="L18" s="71"/>
      <c r="M18" s="229">
        <f>J18</f>
        <v>0</v>
      </c>
      <c r="N18" s="269" t="s">
        <v>331</v>
      </c>
    </row>
    <row r="19" spans="2:14">
      <c r="B19" s="67"/>
      <c r="C19" s="17" t="s">
        <v>423</v>
      </c>
      <c r="D19" s="17"/>
      <c r="E19" s="19" t="s">
        <v>773</v>
      </c>
      <c r="F19" s="576"/>
      <c r="G19" s="576"/>
      <c r="H19" s="576"/>
      <c r="I19" s="610"/>
      <c r="J19" s="222">
        <f>F19</f>
        <v>0</v>
      </c>
      <c r="K19" s="228"/>
      <c r="L19" s="71"/>
      <c r="M19" s="229">
        <f>J19</f>
        <v>0</v>
      </c>
      <c r="N19" s="269" t="s">
        <v>332</v>
      </c>
    </row>
    <row r="20" spans="2:14">
      <c r="B20" s="67"/>
      <c r="C20" s="17" t="s">
        <v>424</v>
      </c>
      <c r="D20" s="17"/>
      <c r="E20" s="19" t="s">
        <v>774</v>
      </c>
      <c r="F20" s="576"/>
      <c r="G20" s="576"/>
      <c r="H20" s="576"/>
      <c r="I20" s="610"/>
      <c r="J20" s="222">
        <f>F20</f>
        <v>0</v>
      </c>
      <c r="K20" s="228"/>
      <c r="L20" s="71"/>
      <c r="M20" s="229">
        <f>J20</f>
        <v>0</v>
      </c>
      <c r="N20" s="269" t="s">
        <v>333</v>
      </c>
    </row>
    <row r="21" spans="2:14">
      <c r="B21" s="67"/>
      <c r="C21" s="17" t="s">
        <v>425</v>
      </c>
      <c r="D21" s="17"/>
      <c r="E21" s="19" t="s">
        <v>775</v>
      </c>
      <c r="F21" s="576"/>
      <c r="G21" s="576"/>
      <c r="H21" s="576"/>
      <c r="I21" s="610"/>
      <c r="J21" s="222">
        <f>F21</f>
        <v>0</v>
      </c>
      <c r="K21" s="228"/>
      <c r="L21" s="71"/>
      <c r="M21" s="229">
        <f>J21</f>
        <v>0</v>
      </c>
      <c r="N21" s="269" t="s">
        <v>334</v>
      </c>
    </row>
    <row r="22" spans="2:14">
      <c r="B22" s="67"/>
      <c r="C22" s="17" t="s">
        <v>324</v>
      </c>
      <c r="D22" s="17"/>
      <c r="E22" s="19" t="s">
        <v>776</v>
      </c>
      <c r="F22" s="576"/>
      <c r="G22" s="576"/>
      <c r="H22" s="576"/>
      <c r="I22" s="610"/>
      <c r="J22" s="222"/>
      <c r="K22" s="228" t="e">
        <f>1/G22</f>
        <v>#DIV/0!</v>
      </c>
      <c r="L22" s="71"/>
      <c r="M22" s="229" t="e">
        <f>K22</f>
        <v>#DIV/0!</v>
      </c>
      <c r="N22" s="269" t="s">
        <v>335</v>
      </c>
    </row>
    <row r="23" spans="2:14">
      <c r="B23" s="67"/>
      <c r="C23" s="17"/>
      <c r="D23" s="17"/>
      <c r="E23" s="19"/>
      <c r="F23" s="576"/>
      <c r="G23" s="576"/>
      <c r="H23" s="576"/>
      <c r="I23" s="610"/>
      <c r="J23" s="222"/>
      <c r="K23" s="228"/>
      <c r="L23" s="71"/>
      <c r="M23" s="229"/>
      <c r="N23" s="221"/>
    </row>
    <row r="24" spans="2:14">
      <c r="B24" s="44"/>
      <c r="C24" s="10"/>
      <c r="D24" s="10"/>
      <c r="E24" s="21"/>
      <c r="F24" s="577"/>
      <c r="G24" s="577"/>
      <c r="H24" s="577"/>
      <c r="I24" s="611"/>
      <c r="J24" s="223"/>
      <c r="K24" s="230"/>
      <c r="L24" s="198"/>
      <c r="M24" s="231"/>
      <c r="N24" s="221"/>
    </row>
    <row r="25" spans="2:14">
      <c r="B25" s="49" t="s">
        <v>305</v>
      </c>
      <c r="C25" s="8"/>
      <c r="D25" s="8"/>
      <c r="E25" s="20"/>
      <c r="F25" s="578"/>
      <c r="G25" s="578"/>
      <c r="H25" s="578"/>
      <c r="I25" s="612"/>
      <c r="J25" s="224"/>
      <c r="K25" s="232"/>
      <c r="L25" s="194"/>
      <c r="M25" s="233"/>
      <c r="N25" s="221"/>
    </row>
    <row r="26" spans="2:14">
      <c r="B26" s="49"/>
      <c r="C26" s="17" t="s">
        <v>413</v>
      </c>
      <c r="D26" s="17"/>
      <c r="E26" s="19" t="s">
        <v>777</v>
      </c>
      <c r="F26" s="576"/>
      <c r="G26" s="576"/>
      <c r="H26" s="576"/>
      <c r="I26" s="610"/>
      <c r="J26" s="222">
        <f>F26</f>
        <v>0</v>
      </c>
      <c r="K26" s="228"/>
      <c r="L26" s="71"/>
      <c r="M26" s="229">
        <f>J26</f>
        <v>0</v>
      </c>
      <c r="N26" s="269" t="s">
        <v>336</v>
      </c>
    </row>
    <row r="27" spans="2:14">
      <c r="B27" s="49"/>
      <c r="C27" s="17" t="s">
        <v>415</v>
      </c>
      <c r="D27" s="17"/>
      <c r="E27" s="19" t="s">
        <v>766</v>
      </c>
      <c r="F27" s="576"/>
      <c r="G27" s="576"/>
      <c r="H27" s="576"/>
      <c r="I27" s="610"/>
      <c r="J27" s="222">
        <f>F27</f>
        <v>0</v>
      </c>
      <c r="K27" s="210"/>
      <c r="L27" s="142"/>
      <c r="M27" s="229">
        <f>J27</f>
        <v>0</v>
      </c>
      <c r="N27" s="269" t="s">
        <v>397</v>
      </c>
    </row>
    <row r="28" spans="2:14">
      <c r="B28" s="49"/>
      <c r="C28" s="17" t="s">
        <v>434</v>
      </c>
      <c r="D28" s="17"/>
      <c r="E28" s="19" t="s">
        <v>778</v>
      </c>
      <c r="F28" s="576"/>
      <c r="G28" s="576"/>
      <c r="H28" s="576"/>
      <c r="I28" s="610"/>
      <c r="J28" s="222"/>
      <c r="K28" s="228" t="e">
        <f>1/G28</f>
        <v>#DIV/0!</v>
      </c>
      <c r="L28" s="71"/>
      <c r="M28" s="229" t="e">
        <f>K28</f>
        <v>#DIV/0!</v>
      </c>
      <c r="N28" s="269" t="s">
        <v>337</v>
      </c>
    </row>
    <row r="29" spans="2:14">
      <c r="B29" s="49"/>
      <c r="C29" s="17" t="s">
        <v>433</v>
      </c>
      <c r="D29" s="17"/>
      <c r="E29" s="19" t="s">
        <v>779</v>
      </c>
      <c r="F29" s="576"/>
      <c r="G29" s="576"/>
      <c r="H29" s="576"/>
      <c r="I29" s="610"/>
      <c r="J29" s="222">
        <f>F29</f>
        <v>0</v>
      </c>
      <c r="K29" s="228"/>
      <c r="L29" s="500">
        <f>H29</f>
        <v>0</v>
      </c>
      <c r="M29" s="229">
        <f>J29</f>
        <v>0</v>
      </c>
      <c r="N29" s="269" t="s">
        <v>338</v>
      </c>
    </row>
    <row r="30" spans="2:14">
      <c r="B30" s="49"/>
      <c r="C30" s="17" t="s">
        <v>416</v>
      </c>
      <c r="D30" s="17"/>
      <c r="E30" s="19" t="s">
        <v>780</v>
      </c>
      <c r="F30" s="576"/>
      <c r="G30" s="576"/>
      <c r="H30" s="576"/>
      <c r="I30" s="610"/>
      <c r="J30" s="222">
        <f>F30</f>
        <v>0</v>
      </c>
      <c r="K30" s="228"/>
      <c r="L30" s="71"/>
      <c r="M30" s="229">
        <f>J30</f>
        <v>0</v>
      </c>
      <c r="N30" s="269" t="s">
        <v>339</v>
      </c>
    </row>
    <row r="31" spans="2:14">
      <c r="B31" s="67"/>
      <c r="C31" s="17" t="s">
        <v>420</v>
      </c>
      <c r="D31" s="17"/>
      <c r="E31" s="19" t="s">
        <v>781</v>
      </c>
      <c r="F31" s="576"/>
      <c r="G31" s="576"/>
      <c r="H31" s="576"/>
      <c r="I31" s="610"/>
      <c r="J31" s="222"/>
      <c r="K31" s="228" t="e">
        <f>1/G31</f>
        <v>#DIV/0!</v>
      </c>
      <c r="L31" s="71"/>
      <c r="M31" s="229" t="e">
        <f>K31</f>
        <v>#DIV/0!</v>
      </c>
      <c r="N31" s="269" t="s">
        <v>340</v>
      </c>
    </row>
    <row r="32" spans="2:14">
      <c r="B32" s="67"/>
      <c r="C32" s="17" t="s">
        <v>426</v>
      </c>
      <c r="D32" s="17"/>
      <c r="E32" s="19" t="s">
        <v>782</v>
      </c>
      <c r="F32" s="576"/>
      <c r="G32" s="576"/>
      <c r="H32" s="576"/>
      <c r="I32" s="610"/>
      <c r="J32" s="222">
        <f t="shared" ref="J32:J37" si="0">F32</f>
        <v>0</v>
      </c>
      <c r="K32" s="228"/>
      <c r="L32" s="71"/>
      <c r="M32" s="229">
        <f t="shared" ref="M32:M36" si="1">J32</f>
        <v>0</v>
      </c>
      <c r="N32" s="269" t="s">
        <v>341</v>
      </c>
    </row>
    <row r="33" spans="2:14">
      <c r="B33" s="67"/>
      <c r="C33" s="17" t="s">
        <v>427</v>
      </c>
      <c r="D33" s="17"/>
      <c r="E33" s="19" t="s">
        <v>783</v>
      </c>
      <c r="F33" s="576"/>
      <c r="G33" s="576"/>
      <c r="H33" s="576"/>
      <c r="I33" s="610"/>
      <c r="J33" s="222">
        <f t="shared" si="0"/>
        <v>0</v>
      </c>
      <c r="K33" s="228"/>
      <c r="L33" s="71"/>
      <c r="M33" s="229">
        <f t="shared" si="1"/>
        <v>0</v>
      </c>
      <c r="N33" s="269" t="s">
        <v>342</v>
      </c>
    </row>
    <row r="34" spans="2:14">
      <c r="B34" s="67"/>
      <c r="C34" s="17" t="s">
        <v>428</v>
      </c>
      <c r="D34" s="17"/>
      <c r="E34" s="19" t="s">
        <v>784</v>
      </c>
      <c r="F34" s="576"/>
      <c r="G34" s="576"/>
      <c r="H34" s="576"/>
      <c r="I34" s="610"/>
      <c r="J34" s="222">
        <f t="shared" si="0"/>
        <v>0</v>
      </c>
      <c r="K34" s="228"/>
      <c r="L34" s="71"/>
      <c r="M34" s="229">
        <f t="shared" si="1"/>
        <v>0</v>
      </c>
      <c r="N34" s="269" t="s">
        <v>343</v>
      </c>
    </row>
    <row r="35" spans="2:14">
      <c r="B35" s="67"/>
      <c r="C35" s="17" t="s">
        <v>429</v>
      </c>
      <c r="D35" s="17"/>
      <c r="E35" s="19" t="s">
        <v>785</v>
      </c>
      <c r="F35" s="576"/>
      <c r="G35" s="576"/>
      <c r="H35" s="576"/>
      <c r="I35" s="610"/>
      <c r="J35" s="222">
        <f t="shared" si="0"/>
        <v>0</v>
      </c>
      <c r="K35" s="228"/>
      <c r="L35" s="71"/>
      <c r="M35" s="229">
        <f t="shared" si="1"/>
        <v>0</v>
      </c>
      <c r="N35" s="269" t="s">
        <v>344</v>
      </c>
    </row>
    <row r="36" spans="2:14">
      <c r="B36" s="67"/>
      <c r="C36" s="17" t="s">
        <v>430</v>
      </c>
      <c r="D36" s="17"/>
      <c r="E36" s="19" t="s">
        <v>786</v>
      </c>
      <c r="F36" s="576"/>
      <c r="G36" s="576"/>
      <c r="H36" s="576"/>
      <c r="I36" s="610"/>
      <c r="J36" s="222">
        <f t="shared" si="0"/>
        <v>0</v>
      </c>
      <c r="K36" s="228"/>
      <c r="L36" s="71"/>
      <c r="M36" s="229">
        <f t="shared" si="1"/>
        <v>0</v>
      </c>
      <c r="N36" s="269" t="s">
        <v>345</v>
      </c>
    </row>
    <row r="37" spans="2:14">
      <c r="B37" s="67"/>
      <c r="C37" s="17" t="s">
        <v>431</v>
      </c>
      <c r="D37" s="17"/>
      <c r="E37" s="19" t="s">
        <v>787</v>
      </c>
      <c r="F37" s="576"/>
      <c r="G37" s="576"/>
      <c r="H37" s="576"/>
      <c r="I37" s="610"/>
      <c r="J37" s="222">
        <f t="shared" si="0"/>
        <v>0</v>
      </c>
      <c r="K37" s="228"/>
      <c r="L37" s="500">
        <f>H37</f>
        <v>0</v>
      </c>
      <c r="M37" s="229">
        <f>J37</f>
        <v>0</v>
      </c>
      <c r="N37" s="269" t="s">
        <v>346</v>
      </c>
    </row>
    <row r="38" spans="2:14">
      <c r="B38" s="67"/>
      <c r="C38" s="17"/>
      <c r="D38" s="17"/>
      <c r="E38" s="19"/>
      <c r="F38" s="576"/>
      <c r="G38" s="576"/>
      <c r="H38" s="576"/>
      <c r="I38" s="610"/>
      <c r="J38" s="222"/>
      <c r="K38" s="228"/>
      <c r="L38" s="71"/>
      <c r="M38" s="229"/>
      <c r="N38" s="221"/>
    </row>
    <row r="39" spans="2:14">
      <c r="B39" s="31"/>
      <c r="C39" s="8"/>
      <c r="D39" s="8"/>
      <c r="E39" s="20"/>
      <c r="F39" s="578"/>
      <c r="G39" s="578"/>
      <c r="H39" s="578"/>
      <c r="I39" s="612"/>
      <c r="J39" s="225"/>
      <c r="K39" s="232"/>
      <c r="L39" s="194"/>
      <c r="M39" s="234"/>
      <c r="N39" s="221"/>
    </row>
    <row r="40" spans="2:14">
      <c r="B40" s="48" t="s">
        <v>89</v>
      </c>
      <c r="C40" s="4"/>
      <c r="D40" s="4"/>
      <c r="E40" s="341"/>
      <c r="F40" s="579"/>
      <c r="G40" s="579"/>
      <c r="H40" s="579"/>
      <c r="I40" s="613"/>
      <c r="J40" s="226"/>
      <c r="K40" s="235"/>
      <c r="L40" s="203"/>
      <c r="M40" s="236"/>
      <c r="N40" s="221"/>
    </row>
    <row r="41" spans="2:14">
      <c r="B41" s="67"/>
      <c r="C41" s="17" t="s">
        <v>348</v>
      </c>
      <c r="D41" s="17"/>
      <c r="E41" s="19" t="s">
        <v>788</v>
      </c>
      <c r="F41" s="576"/>
      <c r="G41" s="576"/>
      <c r="H41" s="576"/>
      <c r="I41" s="610"/>
      <c r="J41" s="222"/>
      <c r="K41" s="228" t="e">
        <f>1/G41</f>
        <v>#DIV/0!</v>
      </c>
      <c r="L41" s="71"/>
      <c r="M41" s="229" t="e">
        <f>K41</f>
        <v>#DIV/0!</v>
      </c>
      <c r="N41" s="269" t="s">
        <v>350</v>
      </c>
    </row>
    <row r="42" spans="2:14">
      <c r="B42" s="67"/>
      <c r="C42" s="17" t="s">
        <v>347</v>
      </c>
      <c r="D42" s="17"/>
      <c r="E42" s="19" t="s">
        <v>789</v>
      </c>
      <c r="F42" s="576"/>
      <c r="G42" s="576"/>
      <c r="H42" s="576"/>
      <c r="I42" s="610"/>
      <c r="J42" s="222"/>
      <c r="K42" s="228" t="e">
        <f>1/G42</f>
        <v>#DIV/0!</v>
      </c>
      <c r="L42" s="71"/>
      <c r="M42" s="229" t="e">
        <f>K42</f>
        <v>#DIV/0!</v>
      </c>
      <c r="N42" s="269" t="s">
        <v>351</v>
      </c>
    </row>
    <row r="43" spans="2:14">
      <c r="B43" s="67"/>
      <c r="C43" s="17" t="s">
        <v>349</v>
      </c>
      <c r="D43" s="17"/>
      <c r="E43" s="19" t="s">
        <v>790</v>
      </c>
      <c r="F43" s="576"/>
      <c r="G43" s="576"/>
      <c r="H43" s="576"/>
      <c r="I43" s="610"/>
      <c r="J43" s="222"/>
      <c r="K43" s="228" t="e">
        <f>1/G43</f>
        <v>#DIV/0!</v>
      </c>
      <c r="L43" s="71"/>
      <c r="M43" s="229" t="e">
        <f>K43</f>
        <v>#DIV/0!</v>
      </c>
      <c r="N43" s="269" t="s">
        <v>352</v>
      </c>
    </row>
    <row r="44" spans="2:14">
      <c r="B44" s="44"/>
      <c r="C44" s="10"/>
      <c r="D44" s="10"/>
      <c r="E44" s="21"/>
      <c r="F44" s="577"/>
      <c r="G44" s="577"/>
      <c r="H44" s="577"/>
      <c r="I44" s="611"/>
      <c r="J44" s="223"/>
      <c r="K44" s="230"/>
      <c r="L44" s="198"/>
      <c r="M44" s="231"/>
      <c r="N44" s="221"/>
    </row>
    <row r="45" spans="2:14">
      <c r="B45" s="49" t="s">
        <v>282</v>
      </c>
      <c r="C45" s="8"/>
      <c r="D45" s="8"/>
      <c r="E45" s="20"/>
      <c r="F45" s="578"/>
      <c r="G45" s="578"/>
      <c r="H45" s="578"/>
      <c r="I45" s="612"/>
      <c r="J45" s="224"/>
      <c r="K45" s="232"/>
      <c r="L45" s="194"/>
      <c r="M45" s="233"/>
      <c r="N45" s="221"/>
    </row>
    <row r="46" spans="2:14">
      <c r="B46" s="49"/>
      <c r="C46" s="17" t="s">
        <v>358</v>
      </c>
      <c r="D46" s="17"/>
      <c r="E46" s="19" t="s">
        <v>791</v>
      </c>
      <c r="F46" s="576"/>
      <c r="G46" s="576"/>
      <c r="H46" s="576"/>
      <c r="I46" s="610"/>
      <c r="J46" s="222">
        <f>F46</f>
        <v>0</v>
      </c>
      <c r="K46" s="228"/>
      <c r="L46" s="71"/>
      <c r="M46" s="229">
        <f>J46</f>
        <v>0</v>
      </c>
      <c r="N46" s="269" t="s">
        <v>363</v>
      </c>
    </row>
    <row r="47" spans="2:14">
      <c r="B47" s="49"/>
      <c r="C47" s="17" t="s">
        <v>408</v>
      </c>
      <c r="D47" s="17"/>
      <c r="E47" s="19" t="s">
        <v>792</v>
      </c>
      <c r="F47" s="576"/>
      <c r="G47" s="576"/>
      <c r="H47" s="576"/>
      <c r="I47" s="610"/>
      <c r="J47" s="222">
        <f>F47</f>
        <v>0</v>
      </c>
      <c r="K47" s="228"/>
      <c r="L47" s="71"/>
      <c r="M47" s="229">
        <f t="shared" ref="M47:M50" si="2">J47</f>
        <v>0</v>
      </c>
      <c r="N47" s="269" t="s">
        <v>362</v>
      </c>
    </row>
    <row r="48" spans="2:14">
      <c r="B48" s="49"/>
      <c r="C48" s="17" t="s">
        <v>359</v>
      </c>
      <c r="D48" s="17"/>
      <c r="E48" s="19" t="s">
        <v>793</v>
      </c>
      <c r="F48" s="576"/>
      <c r="G48" s="576"/>
      <c r="H48" s="576"/>
      <c r="I48" s="610"/>
      <c r="J48" s="222">
        <f>F48</f>
        <v>0</v>
      </c>
      <c r="K48" s="228"/>
      <c r="L48" s="71"/>
      <c r="M48" s="229">
        <f t="shared" si="2"/>
        <v>0</v>
      </c>
      <c r="N48" s="269" t="s">
        <v>364</v>
      </c>
    </row>
    <row r="49" spans="2:14">
      <c r="B49" s="49"/>
      <c r="C49" s="17" t="s">
        <v>360</v>
      </c>
      <c r="D49" s="17"/>
      <c r="E49" s="19" t="s">
        <v>794</v>
      </c>
      <c r="F49" s="576"/>
      <c r="G49" s="576"/>
      <c r="H49" s="576"/>
      <c r="I49" s="610"/>
      <c r="J49" s="222">
        <f>F49</f>
        <v>0</v>
      </c>
      <c r="K49" s="228"/>
      <c r="L49" s="71"/>
      <c r="M49" s="229">
        <f t="shared" si="2"/>
        <v>0</v>
      </c>
      <c r="N49" s="269" t="s">
        <v>365</v>
      </c>
    </row>
    <row r="50" spans="2:14">
      <c r="B50" s="67"/>
      <c r="C50" s="17" t="s">
        <v>361</v>
      </c>
      <c r="D50" s="17"/>
      <c r="E50" s="19" t="s">
        <v>795</v>
      </c>
      <c r="F50" s="576"/>
      <c r="G50" s="576"/>
      <c r="H50" s="576"/>
      <c r="I50" s="610"/>
      <c r="J50" s="222">
        <f>F50</f>
        <v>0</v>
      </c>
      <c r="K50" s="228"/>
      <c r="L50" s="71"/>
      <c r="M50" s="229">
        <f t="shared" si="2"/>
        <v>0</v>
      </c>
      <c r="N50" s="269" t="s">
        <v>366</v>
      </c>
    </row>
    <row r="51" spans="2:14">
      <c r="B51" s="118"/>
      <c r="C51" s="45"/>
      <c r="D51" s="45"/>
      <c r="E51" s="614"/>
      <c r="F51" s="580"/>
      <c r="G51" s="580"/>
      <c r="H51" s="580"/>
      <c r="I51" s="615"/>
      <c r="J51" s="227"/>
      <c r="K51" s="237"/>
      <c r="L51" s="238"/>
      <c r="M51" s="239"/>
      <c r="N51" s="221"/>
    </row>
    <row r="52" spans="2:14">
      <c r="B52" s="38" t="s">
        <v>76</v>
      </c>
      <c r="C52" s="8"/>
      <c r="D52" s="8"/>
      <c r="E52" s="20"/>
      <c r="F52" s="578"/>
      <c r="G52" s="578"/>
      <c r="H52" s="578"/>
      <c r="I52" s="612"/>
      <c r="J52" s="225"/>
      <c r="K52" s="232"/>
      <c r="L52" s="194"/>
      <c r="M52" s="234"/>
      <c r="N52" s="221"/>
    </row>
    <row r="53" spans="2:14">
      <c r="B53" s="67"/>
      <c r="C53" s="17" t="s">
        <v>99</v>
      </c>
      <c r="D53" s="17"/>
      <c r="E53" s="19" t="s">
        <v>796</v>
      </c>
      <c r="F53" s="576"/>
      <c r="G53" s="576"/>
      <c r="H53" s="576"/>
      <c r="I53" s="610"/>
      <c r="J53" s="222"/>
      <c r="K53" s="228"/>
      <c r="L53" s="71"/>
      <c r="M53" s="570">
        <f>I53</f>
        <v>0</v>
      </c>
      <c r="N53" s="269" t="s">
        <v>355</v>
      </c>
    </row>
    <row r="54" spans="2:14">
      <c r="B54" s="67"/>
      <c r="C54" s="17" t="s">
        <v>354</v>
      </c>
      <c r="D54" s="17"/>
      <c r="E54" s="19" t="s">
        <v>797</v>
      </c>
      <c r="F54" s="576"/>
      <c r="G54" s="576"/>
      <c r="H54" s="576"/>
      <c r="I54" s="610"/>
      <c r="J54" s="222"/>
      <c r="K54" s="228"/>
      <c r="L54" s="71"/>
      <c r="M54" s="570">
        <f>I54</f>
        <v>0</v>
      </c>
      <c r="N54" s="269" t="s">
        <v>356</v>
      </c>
    </row>
    <row r="55" spans="2:14">
      <c r="B55" s="67"/>
      <c r="C55" s="17" t="s">
        <v>100</v>
      </c>
      <c r="D55" s="17"/>
      <c r="E55" s="19" t="s">
        <v>798</v>
      </c>
      <c r="F55" s="576"/>
      <c r="G55" s="576"/>
      <c r="H55" s="576"/>
      <c r="I55" s="610"/>
      <c r="J55" s="222"/>
      <c r="K55" s="228"/>
      <c r="L55" s="71"/>
      <c r="M55" s="570">
        <f>I55</f>
        <v>0</v>
      </c>
      <c r="N55" s="269" t="s">
        <v>357</v>
      </c>
    </row>
    <row r="56" spans="2:14" ht="16" thickBot="1">
      <c r="B56" s="47"/>
      <c r="C56" s="77"/>
      <c r="D56" s="77"/>
      <c r="E56" s="129"/>
      <c r="F56" s="581"/>
      <c r="G56" s="581"/>
      <c r="H56" s="581"/>
      <c r="I56" s="616"/>
      <c r="J56" s="129"/>
      <c r="K56" s="77"/>
      <c r="L56" s="77"/>
      <c r="M56" s="139"/>
    </row>
    <row r="57" spans="2:14">
      <c r="F57" s="582"/>
      <c r="G57" s="582"/>
      <c r="H57" s="582"/>
      <c r="I57" s="582"/>
    </row>
  </sheetData>
  <pageMargins left="0.75" right="0.75" top="1" bottom="1" header="0.5" footer="0.5"/>
  <pageSetup paperSize="9" orientation="portrait" horizontalDpi="4294967292" verticalDpi="4294967292"/>
  <ignoredErrors>
    <ignoredError sqref="M31 M13:M16"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F38"/>
  <sheetViews>
    <sheetView topLeftCell="A5" workbookViewId="0">
      <selection activeCell="E33" sqref="E33"/>
    </sheetView>
  </sheetViews>
  <sheetFormatPr baseColWidth="10" defaultRowHeight="15" x14ac:dyDescent="0"/>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0">
      <c r="B2" s="2" t="s">
        <v>584</v>
      </c>
    </row>
    <row r="4" spans="2:6">
      <c r="B4" s="3" t="s">
        <v>79</v>
      </c>
      <c r="C4" s="4"/>
      <c r="D4" s="4"/>
      <c r="E4" s="5"/>
      <c r="F4" s="8"/>
    </row>
    <row r="5" spans="2:6">
      <c r="B5" s="648" t="s">
        <v>402</v>
      </c>
      <c r="C5" s="658"/>
      <c r="D5" s="658"/>
      <c r="E5" s="649"/>
      <c r="F5" s="157"/>
    </row>
    <row r="6" spans="2:6" ht="16" thickBot="1"/>
    <row r="7" spans="2:6" ht="30">
      <c r="B7" s="154" t="s">
        <v>406</v>
      </c>
      <c r="C7" s="485" t="s">
        <v>285</v>
      </c>
      <c r="D7" s="130" t="s">
        <v>439</v>
      </c>
      <c r="E7" s="131" t="s">
        <v>283</v>
      </c>
      <c r="F7" s="158"/>
    </row>
    <row r="8" spans="2:6">
      <c r="B8" s="174" t="s">
        <v>206</v>
      </c>
      <c r="D8" s="341"/>
      <c r="E8" s="105"/>
      <c r="F8" s="8"/>
    </row>
    <row r="9" spans="2:6">
      <c r="B9" s="176"/>
      <c r="C9" t="s">
        <v>97</v>
      </c>
      <c r="D9" s="346" t="e">
        <f>SUM('Final demand per energy carrier'!H15:H26)</f>
        <v>#DIV/0!</v>
      </c>
      <c r="E9" s="343" t="e">
        <f>IF(SUM($D$9:$D$10)=0,1,D9/SUM($D$9:$D$10))</f>
        <v>#DIV/0!</v>
      </c>
      <c r="F9" s="8"/>
    </row>
    <row r="10" spans="2:6">
      <c r="B10" s="176"/>
      <c r="C10" t="s">
        <v>404</v>
      </c>
      <c r="D10" s="346" t="e">
        <f>SUM('Final demand per energy carrier'!H30:H41)</f>
        <v>#DIV/0!</v>
      </c>
      <c r="E10" s="343" t="e">
        <f>IF(SUM($D$9:$D$10)=0,0,D10/SUM($D$9:$D$10))</f>
        <v>#DIV/0!</v>
      </c>
      <c r="F10" s="8"/>
    </row>
    <row r="11" spans="2:6">
      <c r="B11" s="176"/>
      <c r="C11" s="10"/>
      <c r="D11" s="347"/>
      <c r="E11" s="344"/>
      <c r="F11" s="8"/>
    </row>
    <row r="12" spans="2:6">
      <c r="B12" s="174" t="s">
        <v>208</v>
      </c>
      <c r="D12" s="348"/>
      <c r="E12" s="345"/>
      <c r="F12" s="8"/>
    </row>
    <row r="13" spans="2:6">
      <c r="B13" s="176"/>
      <c r="C13" t="s">
        <v>97</v>
      </c>
      <c r="D13" s="346" t="e">
        <f>SUM('Final demand per energy carrier'!I15:I26)</f>
        <v>#DIV/0!</v>
      </c>
      <c r="E13" s="343" t="e">
        <f>IF(SUM($D$13:$D$14)=0,1,D13/SUM($D$13:$D$14))</f>
        <v>#DIV/0!</v>
      </c>
    </row>
    <row r="14" spans="2:6">
      <c r="B14" s="176"/>
      <c r="C14" t="s">
        <v>305</v>
      </c>
      <c r="D14" s="346" t="e">
        <f>SUM('Final demand per energy carrier'!I30:I41)</f>
        <v>#DIV/0!</v>
      </c>
      <c r="E14" s="343" t="e">
        <f>IF(SUM($D$13:$D$14)=0,0,D14/SUM($D$13:$D$14))</f>
        <v>#DIV/0!</v>
      </c>
    </row>
    <row r="15" spans="2:6">
      <c r="B15" s="176"/>
      <c r="C15" s="8"/>
      <c r="D15" s="347"/>
      <c r="E15" s="344"/>
    </row>
    <row r="16" spans="2:6">
      <c r="B16" s="174" t="s">
        <v>407</v>
      </c>
      <c r="C16" s="342"/>
      <c r="D16" s="348"/>
      <c r="E16" s="345"/>
      <c r="F16" s="8"/>
    </row>
    <row r="17" spans="2:6">
      <c r="B17" s="176"/>
      <c r="C17" t="s">
        <v>97</v>
      </c>
      <c r="D17" s="346" t="e">
        <f>SUM('Final demand per energy carrier'!E15:E26)</f>
        <v>#DIV/0!</v>
      </c>
      <c r="E17" s="343" t="e">
        <f>IF(SUM($D$17:$D$20)=0,1,D17/SUM($D$17:$D$20))</f>
        <v>#DIV/0!</v>
      </c>
      <c r="F17" s="8"/>
    </row>
    <row r="18" spans="2:6">
      <c r="B18" s="176"/>
      <c r="C18" t="s">
        <v>404</v>
      </c>
      <c r="D18" s="346" t="e">
        <f>SUM('Final demand per energy carrier'!E30:E41)</f>
        <v>#DIV/0!</v>
      </c>
      <c r="E18" s="343" t="e">
        <f>IF(SUM($D$17:$D$20)=0,0,D18/SUM($D$17:$D$20))</f>
        <v>#DIV/0!</v>
      </c>
      <c r="F18" s="8"/>
    </row>
    <row r="19" spans="2:6">
      <c r="B19" s="176"/>
      <c r="C19" t="s">
        <v>96</v>
      </c>
      <c r="D19" s="346">
        <f>SUM('Final demand per energy carrier'!E45:E47)</f>
        <v>0</v>
      </c>
      <c r="E19" s="343" t="e">
        <f>IF(SUM($D$17:$D$20)=0,0,D19/SUM($D$17:$D$20))</f>
        <v>#DIV/0!</v>
      </c>
      <c r="F19" s="8"/>
    </row>
    <row r="20" spans="2:6">
      <c r="B20" s="480"/>
      <c r="C20" t="s">
        <v>282</v>
      </c>
      <c r="D20" s="346" t="e">
        <f>SUM('Final demand per energy carrier'!E51:E55)</f>
        <v>#DIV/0!</v>
      </c>
      <c r="E20" s="343" t="e">
        <f>IF(SUM($D$17:$D$20)=0,0,D20/SUM($D$17:$D$20))</f>
        <v>#DIV/0!</v>
      </c>
      <c r="F20" s="8"/>
    </row>
    <row r="21" spans="2:6">
      <c r="B21" s="38"/>
      <c r="D21" s="347"/>
      <c r="E21" s="344"/>
      <c r="F21" s="8"/>
    </row>
    <row r="22" spans="2:6">
      <c r="B22" s="174" t="s">
        <v>400</v>
      </c>
      <c r="C22" s="342"/>
      <c r="D22" s="348"/>
      <c r="E22" s="345"/>
      <c r="F22" s="8"/>
    </row>
    <row r="23" spans="2:6">
      <c r="B23" s="176"/>
      <c r="C23" t="s">
        <v>97</v>
      </c>
      <c r="D23" s="346" t="e">
        <f>SUM('Final demand per energy carrier'!J15:J26)</f>
        <v>#DIV/0!</v>
      </c>
      <c r="E23" s="343" t="e">
        <f>IF(SUM($D$23:$D$25)=0,1,D23/SUM($D$23:$D$25))</f>
        <v>#DIV/0!</v>
      </c>
      <c r="F23" s="8"/>
    </row>
    <row r="24" spans="2:6">
      <c r="B24" s="176"/>
      <c r="C24" t="s">
        <v>404</v>
      </c>
      <c r="D24" s="346" t="e">
        <f>SUM('Final demand per energy carrier'!J30:J41)</f>
        <v>#DIV/0!</v>
      </c>
      <c r="E24" s="343" t="e">
        <f>IF(SUM($D$23:$D$25)=0,0,D24/SUM($D$23:$D$25))</f>
        <v>#DIV/0!</v>
      </c>
      <c r="F24" s="8"/>
    </row>
    <row r="25" spans="2:6">
      <c r="B25" s="176"/>
      <c r="C25" t="s">
        <v>282</v>
      </c>
      <c r="D25" s="346" t="e">
        <f>SUM('Final demand per energy carrier'!J51:J55)</f>
        <v>#DIV/0!</v>
      </c>
      <c r="E25" s="343" t="e">
        <f>IF(SUM($D$23:$D$25)=0,0,D25/SUM($D$23:$D$25))</f>
        <v>#DIV/0!</v>
      </c>
      <c r="F25" s="8"/>
    </row>
    <row r="26" spans="2:6">
      <c r="B26" s="176"/>
      <c r="C26" s="8"/>
      <c r="D26" s="347"/>
      <c r="E26" s="344"/>
      <c r="F26" s="8"/>
    </row>
    <row r="27" spans="2:6">
      <c r="B27" s="174" t="s">
        <v>221</v>
      </c>
      <c r="C27" s="342"/>
      <c r="D27" s="348"/>
      <c r="E27" s="345"/>
      <c r="F27" s="8"/>
    </row>
    <row r="28" spans="2:6">
      <c r="B28" s="176"/>
      <c r="C28" t="s">
        <v>97</v>
      </c>
      <c r="D28" s="346" t="e">
        <f>SUM('Final demand per energy carrier'!F15:F26)</f>
        <v>#DIV/0!</v>
      </c>
      <c r="E28" s="343" t="e">
        <f>IF(SUM($D$28:$D$33)=0,1,D28/SUM($D$28:$D$33))</f>
        <v>#DIV/0!</v>
      </c>
      <c r="F28" s="8"/>
    </row>
    <row r="29" spans="2:6">
      <c r="B29" s="176"/>
      <c r="C29" t="s">
        <v>404</v>
      </c>
      <c r="D29" s="346" t="e">
        <f>SUM('Final demand per energy carrier'!F30:F41)</f>
        <v>#DIV/0!</v>
      </c>
      <c r="E29" s="343" t="e">
        <f>IF(SUM($D$28:$D$33)=0,0,D29/SUM($D$28:$D$33))</f>
        <v>#DIV/0!</v>
      </c>
      <c r="F29" s="8"/>
    </row>
    <row r="30" spans="2:6">
      <c r="B30" s="176"/>
      <c r="C30" t="s">
        <v>282</v>
      </c>
      <c r="D30" s="346" t="e">
        <f>SUM('Final demand per energy carrier'!F51:F55)</f>
        <v>#DIV/0!</v>
      </c>
      <c r="E30" s="343" t="e">
        <f>IF(SUM($D$28:$D$33)=0,0,D30/SUM($D$28:$D$33))</f>
        <v>#DIV/0!</v>
      </c>
      <c r="F30" s="8"/>
    </row>
    <row r="31" spans="2:6">
      <c r="B31" s="176"/>
      <c r="C31" t="s">
        <v>76</v>
      </c>
      <c r="D31" s="346" t="e">
        <f>SUM('Final demand per energy carrier'!F59:F61)</f>
        <v>#DIV/0!</v>
      </c>
      <c r="E31" s="343" t="e">
        <f>IF(SUM($D$28:$D$33)=0,0,D31/SUM($D$28:$D$33))</f>
        <v>#DIV/0!</v>
      </c>
      <c r="F31" s="8"/>
    </row>
    <row r="32" spans="2:6">
      <c r="B32" s="176"/>
      <c r="C32" t="s">
        <v>743</v>
      </c>
      <c r="D32" s="346">
        <f>SUM('Final demand per energy carrier'!F65:F72)</f>
        <v>0</v>
      </c>
      <c r="E32" s="343" t="e">
        <f>IF(SUM($D$28:$D$33)=0,0,D32/SUM($D$28:$D$33))</f>
        <v>#DIV/0!</v>
      </c>
      <c r="F32" s="8"/>
    </row>
    <row r="33" spans="2:6">
      <c r="B33" s="176"/>
      <c r="C33" t="s">
        <v>96</v>
      </c>
      <c r="D33" s="346" t="e">
        <f>SUM('Final demand per energy carrier'!F45:F47)</f>
        <v>#DIV/0!</v>
      </c>
      <c r="E33" s="343" t="e">
        <f>IF(SUM($D$28:$D$33)=0,0,D33/SUM($D$28:$D$33))</f>
        <v>#DIV/0!</v>
      </c>
      <c r="F33" s="8"/>
    </row>
    <row r="34" spans="2:6">
      <c r="B34" s="481"/>
      <c r="D34" s="347"/>
      <c r="E34" s="344"/>
      <c r="F34" s="8"/>
    </row>
    <row r="35" spans="2:6">
      <c r="B35" s="482" t="s">
        <v>730</v>
      </c>
      <c r="C35" s="342"/>
      <c r="D35" s="348"/>
      <c r="E35" s="345"/>
      <c r="F35" s="8"/>
    </row>
    <row r="36" spans="2:6">
      <c r="B36" s="176"/>
      <c r="C36" t="s">
        <v>97</v>
      </c>
      <c r="D36" s="346" t="e">
        <f>SUM('Final demand per energy carrier'!K15:K26)</f>
        <v>#DIV/0!</v>
      </c>
      <c r="E36" s="343" t="e">
        <f>IF(SUM($D$36:$D$37)=0,1,D36/SUM($D$36:$D$37))</f>
        <v>#DIV/0!</v>
      </c>
      <c r="F36" s="8"/>
    </row>
    <row r="37" spans="2:6">
      <c r="B37" s="176"/>
      <c r="C37" t="s">
        <v>404</v>
      </c>
      <c r="D37" s="346" t="e">
        <f>SUM('Final demand per energy carrier'!K30:K41)</f>
        <v>#DIV/0!</v>
      </c>
      <c r="E37" s="343" t="e">
        <f>IF(SUM($D$36:$D$37)=0,0,D37/SUM($D$36:$D$37))</f>
        <v>#DIV/0!</v>
      </c>
      <c r="F37" s="8"/>
    </row>
    <row r="38" spans="2:6" ht="16" thickBot="1">
      <c r="B38" s="483"/>
      <c r="C38" s="77"/>
      <c r="D38" s="129"/>
      <c r="E38" s="78"/>
      <c r="F38" s="8"/>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G58"/>
  <sheetViews>
    <sheetView topLeftCell="A29" workbookViewId="0">
      <selection activeCell="F58" sqref="F58"/>
    </sheetView>
  </sheetViews>
  <sheetFormatPr baseColWidth="10" defaultRowHeight="15" x14ac:dyDescent="0"/>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0">
      <c r="B2" s="2" t="s">
        <v>586</v>
      </c>
      <c r="C2" s="2"/>
    </row>
    <row r="4" spans="2:7">
      <c r="B4" s="3" t="s">
        <v>79</v>
      </c>
      <c r="C4" s="13"/>
      <c r="D4" s="4"/>
      <c r="E4" s="4"/>
      <c r="F4" s="5"/>
      <c r="G4" s="8"/>
    </row>
    <row r="5" spans="2:7" ht="33" customHeight="1">
      <c r="B5" s="648" t="s">
        <v>563</v>
      </c>
      <c r="C5" s="658"/>
      <c r="D5" s="658"/>
      <c r="E5" s="658"/>
      <c r="F5" s="649"/>
      <c r="G5" s="158"/>
    </row>
    <row r="6" spans="2:7" ht="16" thickBot="1"/>
    <row r="7" spans="2:7" ht="30">
      <c r="B7" s="154" t="s">
        <v>285</v>
      </c>
      <c r="C7" s="159" t="s">
        <v>406</v>
      </c>
      <c r="D7" s="132"/>
      <c r="E7" s="130" t="s">
        <v>403</v>
      </c>
      <c r="F7" s="131" t="s">
        <v>440</v>
      </c>
    </row>
    <row r="8" spans="2:7">
      <c r="B8" s="174" t="s">
        <v>97</v>
      </c>
      <c r="C8" s="484"/>
      <c r="D8" s="156"/>
      <c r="E8" s="341"/>
      <c r="F8" s="105"/>
      <c r="G8" s="8"/>
    </row>
    <row r="9" spans="2:7">
      <c r="B9" s="176"/>
      <c r="C9" s="59" t="s">
        <v>407</v>
      </c>
      <c r="D9" s="17" t="str">
        <f>technical_specs!C19</f>
        <v>Gas-fired Heaters (space heating)</v>
      </c>
      <c r="E9" s="349" t="e">
        <f>'Technology split final demand'!H19</f>
        <v>#DIV/0!</v>
      </c>
      <c r="F9" s="352" t="e">
        <f>IF(SUM($E$9:$E$11)=0,1,E9/SUM($E$9:$E$11))</f>
        <v>#DIV/0!</v>
      </c>
      <c r="G9" s="8"/>
    </row>
    <row r="10" spans="2:7">
      <c r="B10" s="176"/>
      <c r="C10" s="59"/>
      <c r="D10" s="17" t="str">
        <f>technical_specs!C11</f>
        <v>Condensing Combi Boiler (space heating)</v>
      </c>
      <c r="E10" s="349" t="e">
        <f>'Technology split final demand'!H11</f>
        <v>#DIV/0!</v>
      </c>
      <c r="F10" s="352" t="e">
        <f>IF(SUM($E$9:$E$11)=0,0,E10/SUM($E$9:$E$11))</f>
        <v>#DIV/0!</v>
      </c>
      <c r="G10" s="8"/>
    </row>
    <row r="11" spans="2:7">
      <c r="B11" s="176"/>
      <c r="C11" s="59"/>
      <c r="D11" s="17" t="str">
        <f>technical_specs!C14</f>
        <v>Micro CHP (gas-fired)) (space heating)</v>
      </c>
      <c r="E11" s="349" t="e">
        <f>'Technology split final demand'!H14</f>
        <v>#DIV/0!</v>
      </c>
      <c r="F11" s="352" t="e">
        <f>IF(SUM($E$9:$E$11)=0,0,E11/SUM($E$9:$E$11))</f>
        <v>#DIV/0!</v>
      </c>
      <c r="G11" s="8"/>
    </row>
    <row r="12" spans="2:7">
      <c r="B12" s="38"/>
      <c r="C12" s="194"/>
      <c r="D12" s="8"/>
      <c r="E12" s="350"/>
      <c r="F12" s="345"/>
      <c r="G12" s="8"/>
    </row>
    <row r="13" spans="2:7">
      <c r="B13" s="38"/>
      <c r="C13" s="59" t="s">
        <v>106</v>
      </c>
      <c r="D13" s="17" t="str">
        <f>technical_specs!C18</f>
        <v>Electric Heaters (resistance) (space heating)</v>
      </c>
      <c r="E13" s="349" t="e">
        <f>'Technology split final demand'!H18</f>
        <v>#DIV/0!</v>
      </c>
      <c r="F13" s="352" t="e">
        <f>IF(SUM($E$13:$E$16)=0,1,E13/SUM($E$13:$E$16))</f>
        <v>#DIV/0!</v>
      </c>
      <c r="G13" s="8"/>
    </row>
    <row r="14" spans="2:7">
      <c r="B14" s="38"/>
      <c r="C14" s="194"/>
      <c r="D14" s="17" t="str">
        <f>technical_specs!C16</f>
        <v>electricity-driven Heat pump (air) (space heating)</v>
      </c>
      <c r="E14" s="349" t="e">
        <f>'Technology split final demand'!H16</f>
        <v>#DIV/0!</v>
      </c>
      <c r="F14" s="352" t="e">
        <f>IF(SUM($E$13:$E$16)=0,0,E14/SUM($E$13:$E$16))</f>
        <v>#DIV/0!</v>
      </c>
      <c r="G14" s="8"/>
    </row>
    <row r="15" spans="2:7">
      <c r="B15" s="38"/>
      <c r="C15" s="194"/>
      <c r="D15" s="17" t="str">
        <f>technical_specs!C13</f>
        <v>Electric Heat Pump (ground) (space heating)</v>
      </c>
      <c r="E15" s="349" t="e">
        <f>'Technology split final demand'!H13</f>
        <v>#DIV/0!</v>
      </c>
      <c r="F15" s="352" t="e">
        <f t="shared" ref="F15:F16" si="0">IF(SUM($E$13:$E$16)=0,0,E15/SUM($E$13:$E$16))</f>
        <v>#DIV/0!</v>
      </c>
      <c r="G15" s="8"/>
    </row>
    <row r="16" spans="2:7">
      <c r="B16" s="38"/>
      <c r="C16" s="194"/>
      <c r="D16" s="17" t="str">
        <f>technical_specs!C22</f>
        <v>electric heat pump add-on</v>
      </c>
      <c r="E16" s="349" t="e">
        <f>'Technology split final demand'!H22</f>
        <v>#DIV/0!</v>
      </c>
      <c r="F16" s="352" t="e">
        <f t="shared" si="0"/>
        <v>#DIV/0!</v>
      </c>
      <c r="G16" s="8"/>
    </row>
    <row r="17" spans="2:7">
      <c r="B17" s="111"/>
      <c r="C17" s="198"/>
      <c r="D17" s="10"/>
      <c r="E17" s="351"/>
      <c r="F17" s="344"/>
      <c r="G17" s="8"/>
    </row>
    <row r="18" spans="2:7">
      <c r="B18" s="176" t="s">
        <v>404</v>
      </c>
      <c r="C18" s="194"/>
      <c r="D18" s="8"/>
      <c r="E18" s="350"/>
      <c r="F18" s="345"/>
      <c r="G18" s="8"/>
    </row>
    <row r="19" spans="2:7">
      <c r="B19" s="38"/>
      <c r="C19" s="59" t="s">
        <v>407</v>
      </c>
      <c r="D19" s="17" t="str">
        <f>technical_specs!C26</f>
        <v>Condensing Combi Boiler (hot water)</v>
      </c>
      <c r="E19" s="349" t="e">
        <f>'Technology split final demand'!H25</f>
        <v>#DIV/0!</v>
      </c>
      <c r="F19" s="352" t="e">
        <f>IF(SUM($E$19:$E$22)=0,0,E19/SUM($E$19:$E$22))</f>
        <v>#DIV/0!</v>
      </c>
      <c r="G19" s="8"/>
    </row>
    <row r="20" spans="2:7">
      <c r="B20" s="38"/>
      <c r="C20" s="194"/>
      <c r="D20" s="17" t="str">
        <f>technical_specs!C37</f>
        <v>Fuel Cell (hot water)</v>
      </c>
      <c r="E20" s="349" t="e">
        <f>'Technology split final demand'!H36</f>
        <v>#DIV/0!</v>
      </c>
      <c r="F20" s="352" t="e">
        <f>IF(SUM($E$19:$E$22)=0,0,E20/SUM($E$19:$E$22))</f>
        <v>#DIV/0!</v>
      </c>
      <c r="G20" s="8"/>
    </row>
    <row r="21" spans="2:7">
      <c r="B21" s="38"/>
      <c r="C21" s="194"/>
      <c r="D21" s="17" t="str">
        <f>technical_specs!C29</f>
        <v>Micro CHP (gas-fired)) (hot water)</v>
      </c>
      <c r="E21" s="349" t="e">
        <f>'Technology split final demand'!H28</f>
        <v>#DIV/0!</v>
      </c>
      <c r="F21" s="352" t="e">
        <f>IF(SUM($E$19:$E$22)=0,0,E21/SUM($E$19:$E$22))</f>
        <v>#DIV/0!</v>
      </c>
      <c r="G21" s="8"/>
    </row>
    <row r="22" spans="2:7">
      <c r="B22" s="38"/>
      <c r="C22" s="194"/>
      <c r="D22" s="17" t="str">
        <f>technical_specs!C34</f>
        <v>Gas-fired Heaters (hot water)</v>
      </c>
      <c r="E22" s="349" t="e">
        <f>'Technology split final demand'!H33</f>
        <v>#DIV/0!</v>
      </c>
      <c r="F22" s="352" t="e">
        <f>IF(SUM($E$19:$E$22)=0,1,E22/SUM($E$19:$E$22))</f>
        <v>#DIV/0!</v>
      </c>
      <c r="G22" s="8"/>
    </row>
    <row r="23" spans="2:7">
      <c r="B23" s="38"/>
      <c r="C23" s="194"/>
      <c r="D23" s="8"/>
      <c r="E23" s="350"/>
      <c r="F23" s="353"/>
      <c r="G23" s="8"/>
    </row>
    <row r="24" spans="2:7">
      <c r="B24" s="38"/>
      <c r="C24" s="59" t="s">
        <v>106</v>
      </c>
      <c r="D24" s="17" t="str">
        <f>technical_specs!C31</f>
        <v>electricity-driven Heat pump (air) (hot water)</v>
      </c>
      <c r="E24" s="349" t="e">
        <f>'Technology split final demand'!H30</f>
        <v>#DIV/0!</v>
      </c>
      <c r="F24" s="352" t="e">
        <f>IF(SUM($E$24:$E$26)=0,0,E24/SUM($E$24:$E$26))</f>
        <v>#DIV/0!</v>
      </c>
      <c r="G24" s="8"/>
    </row>
    <row r="25" spans="2:7">
      <c r="B25" s="38"/>
      <c r="C25" s="194"/>
      <c r="D25" s="17" t="str">
        <f>technical_specs!C28</f>
        <v>Electric Heat Pump (ground) (hot water)</v>
      </c>
      <c r="E25" s="349" t="e">
        <f>'Technology split final demand'!H27</f>
        <v>#DIV/0!</v>
      </c>
      <c r="F25" s="352" t="e">
        <f t="shared" ref="F25" si="1">IF(SUM($E$24:$E$26)=0,0,E25/SUM($E$24:$E$26))</f>
        <v>#DIV/0!</v>
      </c>
      <c r="G25" s="8"/>
    </row>
    <row r="26" spans="2:7">
      <c r="B26" s="38"/>
      <c r="C26" s="194"/>
      <c r="D26" s="17" t="str">
        <f>technical_specs!C33</f>
        <v>Electric Heaters (resistance) (hot water)</v>
      </c>
      <c r="E26" s="349" t="e">
        <f>'Technology split final demand'!H32</f>
        <v>#DIV/0!</v>
      </c>
      <c r="F26" s="352" t="e">
        <f>IF(SUM($E$24:$E$26)=0,1,E26/SUM($E$24:$E$26))</f>
        <v>#DIV/0!</v>
      </c>
      <c r="G26" s="8"/>
    </row>
    <row r="27" spans="2:7">
      <c r="B27" s="111"/>
      <c r="C27" s="198"/>
      <c r="D27" s="10"/>
      <c r="E27" s="351"/>
      <c r="F27" s="354"/>
      <c r="G27" s="8"/>
    </row>
    <row r="28" spans="2:7">
      <c r="B28" s="176" t="s">
        <v>441</v>
      </c>
      <c r="C28" s="194"/>
      <c r="D28" s="8"/>
      <c r="E28" s="350"/>
      <c r="F28" s="353"/>
      <c r="G28" s="8"/>
    </row>
    <row r="29" spans="2:7">
      <c r="B29" s="38"/>
      <c r="C29" s="59" t="s">
        <v>105</v>
      </c>
      <c r="D29" s="17" t="str">
        <f>'Technology split final demand'!C26</f>
        <v>Solar thermal panel (hot water)</v>
      </c>
      <c r="E29" s="349" t="e">
        <f>'Technology split final demand'!H26</f>
        <v>#DIV/0!</v>
      </c>
      <c r="F29" s="352" t="e">
        <f>IF(SUM($E$29:$E$30)=0,1,E29/SUM($E$29:$E$30))</f>
        <v>#DIV/0!</v>
      </c>
      <c r="G29" s="8"/>
    </row>
    <row r="30" spans="2:7">
      <c r="B30" s="38"/>
      <c r="C30" s="194"/>
      <c r="D30" s="17" t="str">
        <f>technical_specs!C12</f>
        <v>Solar thermal panel (space heating)</v>
      </c>
      <c r="E30" s="349" t="e">
        <f>'Technology split final demand'!H12</f>
        <v>#DIV/0!</v>
      </c>
      <c r="F30" s="352" t="e">
        <f>IF(SUM($E$29:$E$30)=0,0,E30/SUM($E$29:$E$30))</f>
        <v>#DIV/0!</v>
      </c>
    </row>
    <row r="31" spans="2:7">
      <c r="B31" s="111"/>
      <c r="C31" s="198"/>
      <c r="D31" s="10"/>
      <c r="E31" s="351"/>
      <c r="F31" s="354"/>
    </row>
    <row r="32" spans="2:7">
      <c r="B32" s="176" t="s">
        <v>96</v>
      </c>
      <c r="C32" s="194"/>
      <c r="D32" s="8"/>
      <c r="E32" s="350"/>
      <c r="F32" s="353"/>
    </row>
    <row r="33" spans="2:7">
      <c r="B33" s="38"/>
      <c r="C33" s="59" t="s">
        <v>106</v>
      </c>
      <c r="D33" s="17" t="str">
        <f>technical_specs!C43</f>
        <v>Conventional electric airconditioning</v>
      </c>
      <c r="E33" s="349" t="e">
        <f>'Technology split final demand'!H41</f>
        <v>#DIV/0!</v>
      </c>
      <c r="F33" s="352" t="e">
        <f>IF(SUM($E$33:$E$35)=0,1,E33/SUM($E$33:$E$35))</f>
        <v>#DIV/0!</v>
      </c>
    </row>
    <row r="34" spans="2:7">
      <c r="B34" s="38"/>
      <c r="C34" s="194"/>
      <c r="D34" s="17" t="str">
        <f>technical_specs!C41</f>
        <v>Electric heat pump ground</v>
      </c>
      <c r="E34" s="349" t="e">
        <f>'Technology split final demand'!H39</f>
        <v>#DIV/0!</v>
      </c>
      <c r="F34" s="352" t="e">
        <f t="shared" ref="F34:F35" si="2">IF(SUM($E$33:$E$35)=0,0,E34/SUM($E$33:$E$35))</f>
        <v>#DIV/0!</v>
      </c>
    </row>
    <row r="35" spans="2:7">
      <c r="B35" s="38"/>
      <c r="C35" s="194"/>
      <c r="D35" s="17" t="str">
        <f>technical_specs!C42</f>
        <v>Electric heat pump air</v>
      </c>
      <c r="E35" s="349" t="e">
        <f>'Technology split final demand'!H40</f>
        <v>#DIV/0!</v>
      </c>
      <c r="F35" s="352" t="e">
        <f t="shared" si="2"/>
        <v>#DIV/0!</v>
      </c>
    </row>
    <row r="36" spans="2:7">
      <c r="B36" s="111"/>
      <c r="C36" s="198"/>
      <c r="D36" s="10"/>
      <c r="E36" s="351"/>
      <c r="F36" s="354"/>
    </row>
    <row r="37" spans="2:7">
      <c r="B37" s="176" t="s">
        <v>282</v>
      </c>
      <c r="C37" s="194"/>
      <c r="D37" s="8"/>
      <c r="E37" s="350"/>
      <c r="F37" s="353"/>
    </row>
    <row r="38" spans="2:7">
      <c r="B38" s="38"/>
      <c r="C38" s="59" t="s">
        <v>106</v>
      </c>
      <c r="D38" s="17" t="str">
        <f>technical_specs!C48</f>
        <v>Electric halogen stoves</v>
      </c>
      <c r="E38" s="349" t="e">
        <f>'Technology split final demand'!H46</f>
        <v>#DIV/0!</v>
      </c>
      <c r="F38" s="352" t="e">
        <f>IF(SUM($E$38:$E$40)=0,0,E38/SUM($E$38:$E$40))</f>
        <v>#DIV/0!</v>
      </c>
    </row>
    <row r="39" spans="2:7">
      <c r="B39" s="38"/>
      <c r="C39" s="194"/>
      <c r="D39" s="17" t="str">
        <f>technical_specs!C49</f>
        <v>Electric induction stoves</v>
      </c>
      <c r="E39" s="349" t="e">
        <f>'Technology split final demand'!H47</f>
        <v>#DIV/0!</v>
      </c>
      <c r="F39" s="352" t="e">
        <f t="shared" ref="F39" si="3">IF(SUM($E$38:$E$40)=0,0,E39/SUM($E$38:$E$40))</f>
        <v>#DIV/0!</v>
      </c>
    </row>
    <row r="40" spans="2:7">
      <c r="B40" s="38"/>
      <c r="C40" s="194"/>
      <c r="D40" s="17" t="str">
        <f>technical_specs!C47</f>
        <v>Electric stoves (resistance)</v>
      </c>
      <c r="E40" s="349" t="e">
        <f>'Technology split final demand'!H45</f>
        <v>#DIV/0!</v>
      </c>
      <c r="F40" s="352" t="e">
        <f>IF(SUM($E$38:$E$40)=0,1,E40/SUM($E$38:$E$40))</f>
        <v>#DIV/0!</v>
      </c>
    </row>
    <row r="41" spans="2:7">
      <c r="B41" s="111"/>
      <c r="C41" s="198"/>
      <c r="D41" s="10"/>
      <c r="E41" s="351"/>
      <c r="F41" s="354"/>
    </row>
    <row r="42" spans="2:7">
      <c r="B42" s="176" t="s">
        <v>76</v>
      </c>
      <c r="C42" s="194"/>
      <c r="D42" s="8"/>
      <c r="E42" s="350"/>
      <c r="F42" s="353"/>
    </row>
    <row r="43" spans="2:7">
      <c r="B43" s="38"/>
      <c r="C43" s="59" t="s">
        <v>106</v>
      </c>
      <c r="D43" s="8"/>
      <c r="E43" s="350"/>
      <c r="F43" s="353"/>
    </row>
    <row r="44" spans="2:7">
      <c r="B44" s="38"/>
      <c r="C44" s="194"/>
      <c r="D44" s="17" t="str">
        <f>technical_specs!C54</f>
        <v>Low energy light bulbs / fluorescent lighting</v>
      </c>
      <c r="E44" s="349" t="e">
        <f>'Technology split final demand'!H52</f>
        <v>#DIV/0!</v>
      </c>
      <c r="F44" s="352" t="e">
        <f>IF(SUM($E$44:$E$46)=0,1,E44/SUM($E$44:$E$46))</f>
        <v>#DIV/0!</v>
      </c>
    </row>
    <row r="45" spans="2:7">
      <c r="B45" s="38"/>
      <c r="C45" s="194"/>
      <c r="D45" s="17" t="str">
        <f>technical_specs!C53</f>
        <v>Incandescent lamps</v>
      </c>
      <c r="E45" s="349" t="e">
        <f>'Technology split final demand'!H51</f>
        <v>#DIV/0!</v>
      </c>
      <c r="F45" s="352" t="e">
        <f t="shared" ref="F45:F46" si="4">IF(SUM($E$44:$E$46)=0,0,E45/SUM($E$44:$E$46))</f>
        <v>#DIV/0!</v>
      </c>
    </row>
    <row r="46" spans="2:7">
      <c r="B46" s="38"/>
      <c r="C46" s="194"/>
      <c r="D46" s="17" t="str">
        <f>technical_specs!C55</f>
        <v>LED lamps</v>
      </c>
      <c r="E46" s="349" t="e">
        <f>'Technology split final demand'!H53</f>
        <v>#DIV/0!</v>
      </c>
      <c r="F46" s="352" t="e">
        <f t="shared" si="4"/>
        <v>#DIV/0!</v>
      </c>
      <c r="G46" s="8"/>
    </row>
    <row r="47" spans="2:7">
      <c r="B47" s="111"/>
      <c r="C47" s="198"/>
      <c r="D47" s="10"/>
      <c r="E47" s="351"/>
      <c r="F47" s="354"/>
      <c r="G47" s="8"/>
    </row>
    <row r="48" spans="2:7">
      <c r="B48" s="176" t="s">
        <v>564</v>
      </c>
      <c r="C48" s="194"/>
      <c r="D48" s="8"/>
      <c r="E48" s="350"/>
      <c r="F48" s="353"/>
      <c r="G48" s="8"/>
    </row>
    <row r="49" spans="2:7">
      <c r="B49" s="38"/>
      <c r="C49" s="59" t="s">
        <v>106</v>
      </c>
      <c r="D49" s="8"/>
      <c r="E49" s="350"/>
      <c r="F49" s="353"/>
      <c r="G49" s="8"/>
    </row>
    <row r="50" spans="2:7">
      <c r="B50" s="38"/>
      <c r="C50" s="194"/>
      <c r="D50" s="17" t="str">
        <f>'Final demand per energy carrier'!C65</f>
        <v>Dishwashers</v>
      </c>
      <c r="E50" s="349">
        <f>'Final demand per energy carrier'!D65</f>
        <v>0</v>
      </c>
      <c r="F50" s="352">
        <f>IF(SUM($E$50:$E$57)=0,0,E50/SUM($E$50:$E$57))</f>
        <v>0</v>
      </c>
      <c r="G50" s="8"/>
    </row>
    <row r="51" spans="2:7">
      <c r="B51" s="38"/>
      <c r="C51" s="194"/>
      <c r="D51" s="17" t="str">
        <f>'Final demand per energy carrier'!C66</f>
        <v>Fridges / Freezers</v>
      </c>
      <c r="E51" s="349">
        <f>'Final demand per energy carrier'!D66</f>
        <v>0</v>
      </c>
      <c r="F51" s="352">
        <f t="shared" ref="F51:F56" si="5">IF(SUM($E$50:$E$57)=0,0,E51/SUM($E$50:$E$57))</f>
        <v>0</v>
      </c>
    </row>
    <row r="52" spans="2:7">
      <c r="B52" s="38"/>
      <c r="C52" s="194"/>
      <c r="D52" s="17" t="str">
        <f>'Final demand per energy carrier'!C67</f>
        <v>Washing Machines</v>
      </c>
      <c r="E52" s="349">
        <f>'Final demand per energy carrier'!D67</f>
        <v>0</v>
      </c>
      <c r="F52" s="352">
        <f t="shared" si="5"/>
        <v>0</v>
      </c>
    </row>
    <row r="53" spans="2:7">
      <c r="B53" s="38"/>
      <c r="C53" s="194"/>
      <c r="D53" s="17" t="str">
        <f>'Final demand per energy carrier'!C68</f>
        <v>Dryers</v>
      </c>
      <c r="E53" s="349">
        <f>'Final demand per energy carrier'!D68</f>
        <v>0</v>
      </c>
      <c r="F53" s="352">
        <f t="shared" si="5"/>
        <v>0</v>
      </c>
    </row>
    <row r="54" spans="2:7">
      <c r="B54" s="38"/>
      <c r="C54" s="194"/>
      <c r="D54" s="17" t="str">
        <f>'Final demand per energy carrier'!C69</f>
        <v>Television</v>
      </c>
      <c r="E54" s="349">
        <f>'Final demand per energy carrier'!D69</f>
        <v>0</v>
      </c>
      <c r="F54" s="352">
        <f t="shared" si="5"/>
        <v>0</v>
      </c>
    </row>
    <row r="55" spans="2:7">
      <c r="B55" s="38"/>
      <c r="C55" s="194"/>
      <c r="D55" s="17" t="str">
        <f>'Final demand per energy carrier'!C70</f>
        <v>Computers / Media</v>
      </c>
      <c r="E55" s="349">
        <f>'Final demand per energy carrier'!D70</f>
        <v>0</v>
      </c>
      <c r="F55" s="352">
        <f t="shared" si="5"/>
        <v>0</v>
      </c>
    </row>
    <row r="56" spans="2:7">
      <c r="B56" s="38"/>
      <c r="C56" s="194"/>
      <c r="D56" s="17" t="str">
        <f>'Final demand per energy carrier'!C71</f>
        <v>Vacuum Cleaners</v>
      </c>
      <c r="E56" s="349">
        <f>'Final demand per energy carrier'!D71</f>
        <v>0</v>
      </c>
      <c r="F56" s="352">
        <f t="shared" si="5"/>
        <v>0</v>
      </c>
    </row>
    <row r="57" spans="2:7">
      <c r="B57" s="38"/>
      <c r="C57" s="194"/>
      <c r="D57" s="17" t="str">
        <f>'Final demand per energy carrier'!C72</f>
        <v>Others</v>
      </c>
      <c r="E57" s="349">
        <f>'Final demand per energy carrier'!D72</f>
        <v>0</v>
      </c>
      <c r="F57" s="352">
        <f>IF(SUM($E$50:$E$57)=0,1,E57/SUM($E$50:$E$57))</f>
        <v>1</v>
      </c>
    </row>
    <row r="58" spans="2:7" ht="16" thickBot="1">
      <c r="B58" s="441"/>
      <c r="C58" s="205"/>
      <c r="D58" s="77"/>
      <c r="E58" s="129"/>
      <c r="F58" s="78"/>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5" tint="0.39997558519241921"/>
  </sheetPr>
  <dimension ref="A2:J34"/>
  <sheetViews>
    <sheetView workbookViewId="0"/>
  </sheetViews>
  <sheetFormatPr baseColWidth="10" defaultRowHeight="15" x14ac:dyDescent="0"/>
  <cols>
    <col min="1" max="1" width="10.83203125" style="1"/>
    <col min="2" max="2" width="26.1640625" style="1" customWidth="1"/>
    <col min="3" max="3" width="54.6640625" style="1" bestFit="1" customWidth="1"/>
    <col min="4" max="6" width="22" style="1" customWidth="1"/>
    <col min="7" max="7" width="21.33203125" style="1" customWidth="1"/>
    <col min="8" max="8" width="20.6640625" style="1" customWidth="1"/>
    <col min="9" max="16384" width="10.83203125" style="1"/>
  </cols>
  <sheetData>
    <row r="2" spans="1:10" ht="20">
      <c r="B2" s="2" t="s">
        <v>446</v>
      </c>
    </row>
    <row r="4" spans="1:10">
      <c r="B4" s="3" t="s">
        <v>79</v>
      </c>
      <c r="C4" s="4"/>
      <c r="D4" s="20"/>
      <c r="E4" s="8"/>
    </row>
    <row r="5" spans="1:10">
      <c r="B5" s="648" t="s">
        <v>726</v>
      </c>
      <c r="C5" s="658"/>
      <c r="D5" s="20"/>
      <c r="E5" s="8"/>
    </row>
    <row r="6" spans="1:10" ht="16" thickBot="1">
      <c r="A6" s="164"/>
      <c r="B6" s="164"/>
      <c r="C6" s="164"/>
      <c r="D6" s="164"/>
      <c r="E6" s="164"/>
      <c r="F6" s="59"/>
      <c r="G6" s="59"/>
      <c r="H6" s="8"/>
      <c r="I6" s="8"/>
      <c r="J6" s="8"/>
    </row>
    <row r="7" spans="1:10">
      <c r="A7" s="164"/>
      <c r="B7" s="165" t="s">
        <v>727</v>
      </c>
      <c r="C7" s="166"/>
      <c r="D7" s="167"/>
      <c r="E7" s="555"/>
      <c r="F7" s="59"/>
      <c r="G7" s="59"/>
      <c r="H7" s="194"/>
      <c r="I7" s="8"/>
      <c r="J7" s="8"/>
    </row>
    <row r="8" spans="1:10">
      <c r="A8" s="164"/>
      <c r="B8" s="79"/>
      <c r="C8" s="59"/>
      <c r="D8" s="160"/>
      <c r="E8" s="556"/>
      <c r="F8" s="59"/>
      <c r="G8" s="59"/>
      <c r="H8" s="194"/>
      <c r="I8" s="8"/>
      <c r="J8" s="8"/>
    </row>
    <row r="9" spans="1:10">
      <c r="A9" s="164"/>
      <c r="B9" s="79"/>
      <c r="C9" s="59"/>
      <c r="D9" s="160"/>
      <c r="E9" s="556"/>
      <c r="F9" s="59"/>
      <c r="G9" s="59"/>
      <c r="H9" s="194"/>
      <c r="I9" s="8"/>
      <c r="J9" s="8"/>
    </row>
    <row r="10" spans="1:10">
      <c r="A10" s="164"/>
      <c r="B10" s="172"/>
      <c r="C10" s="173"/>
      <c r="D10" s="173" t="s">
        <v>749</v>
      </c>
      <c r="E10" s="557" t="s">
        <v>750</v>
      </c>
      <c r="F10" s="158"/>
      <c r="G10" s="158"/>
      <c r="H10" s="158"/>
      <c r="I10" s="8"/>
      <c r="J10" s="8"/>
    </row>
    <row r="11" spans="1:10">
      <c r="A11" s="164"/>
      <c r="B11" s="562" t="s">
        <v>751</v>
      </c>
      <c r="C11" s="106"/>
      <c r="D11" s="274">
        <f>Dashboard!E100</f>
        <v>0</v>
      </c>
      <c r="E11" s="558">
        <f>Dashboard!E101</f>
        <v>0</v>
      </c>
      <c r="F11" s="553"/>
      <c r="G11" s="164"/>
    </row>
    <row r="12" spans="1:10">
      <c r="B12" s="31"/>
      <c r="C12" s="59"/>
      <c r="D12" s="59"/>
      <c r="E12" s="407"/>
      <c r="F12" s="164"/>
      <c r="G12" s="164"/>
    </row>
    <row r="13" spans="1:10">
      <c r="B13" s="31" t="s">
        <v>752</v>
      </c>
      <c r="C13" s="59"/>
      <c r="D13" s="559">
        <f>Dashboard!E103</f>
        <v>0</v>
      </c>
      <c r="E13" s="560">
        <f>Dashboard!E104</f>
        <v>0</v>
      </c>
      <c r="F13" s="554"/>
      <c r="G13" s="164"/>
    </row>
    <row r="14" spans="1:10">
      <c r="B14" s="31"/>
      <c r="C14" s="59"/>
      <c r="D14" s="8"/>
      <c r="E14" s="407"/>
      <c r="F14" s="164"/>
      <c r="G14" s="164"/>
    </row>
    <row r="15" spans="1:10">
      <c r="B15" s="31" t="s">
        <v>755</v>
      </c>
      <c r="C15" s="8"/>
      <c r="D15" s="559" t="e">
        <f>1/D13</f>
        <v>#DIV/0!</v>
      </c>
      <c r="E15" s="560" t="e">
        <f>1/E13</f>
        <v>#DIV/0!</v>
      </c>
      <c r="F15" s="554"/>
      <c r="G15" s="164"/>
    </row>
    <row r="16" spans="1:10">
      <c r="B16" s="31"/>
      <c r="C16" s="8"/>
      <c r="D16" s="8"/>
      <c r="E16" s="32"/>
      <c r="G16" s="164"/>
    </row>
    <row r="17" spans="2:7">
      <c r="B17" s="31" t="s">
        <v>754</v>
      </c>
      <c r="C17" s="59"/>
      <c r="D17" s="559" t="e">
        <f>D11*D15</f>
        <v>#DIV/0!</v>
      </c>
      <c r="E17" s="560" t="e">
        <f>E11*E15</f>
        <v>#DIV/0!</v>
      </c>
      <c r="F17" s="553"/>
      <c r="G17" s="164"/>
    </row>
    <row r="18" spans="2:7">
      <c r="B18" s="31"/>
      <c r="C18" s="59"/>
      <c r="D18" s="59"/>
      <c r="E18" s="407"/>
      <c r="F18" s="164"/>
      <c r="G18" s="164"/>
    </row>
    <row r="19" spans="2:7">
      <c r="B19" s="31" t="s">
        <v>753</v>
      </c>
      <c r="C19" s="59"/>
      <c r="D19" s="298" t="e">
        <f>D17/SUM($D$17:$E$17)</f>
        <v>#DIV/0!</v>
      </c>
      <c r="E19" s="295" t="e">
        <f>E17/SUM($D$17:$E$17)</f>
        <v>#DIV/0!</v>
      </c>
      <c r="F19" s="164"/>
      <c r="G19" s="164"/>
    </row>
    <row r="20" spans="2:7" ht="16" thickBot="1">
      <c r="B20" s="47"/>
      <c r="C20" s="161"/>
      <c r="D20" s="161"/>
      <c r="E20" s="561"/>
      <c r="F20" s="164"/>
      <c r="G20" s="164"/>
    </row>
    <row r="21" spans="2:7">
      <c r="C21" s="164"/>
      <c r="D21" s="164"/>
      <c r="E21" s="164"/>
      <c r="F21" s="164"/>
      <c r="G21" s="164"/>
    </row>
    <row r="22" spans="2:7">
      <c r="C22" s="164"/>
      <c r="D22" s="164"/>
      <c r="E22" s="164"/>
      <c r="F22" s="164"/>
      <c r="G22" s="164"/>
    </row>
    <row r="23" spans="2:7">
      <c r="C23" s="164"/>
      <c r="D23" s="164"/>
      <c r="E23" s="164"/>
      <c r="F23" s="164"/>
      <c r="G23" s="164"/>
    </row>
    <row r="24" spans="2:7">
      <c r="C24" s="164"/>
      <c r="D24" s="164"/>
      <c r="E24" s="164"/>
      <c r="F24" s="164"/>
      <c r="G24" s="164"/>
    </row>
    <row r="25" spans="2:7">
      <c r="C25" s="164"/>
      <c r="D25" s="164"/>
      <c r="E25" s="164"/>
      <c r="F25" s="164"/>
      <c r="G25" s="164"/>
    </row>
    <row r="26" spans="2:7">
      <c r="C26" s="164"/>
      <c r="D26" s="164"/>
      <c r="E26" s="164"/>
      <c r="F26" s="164"/>
      <c r="G26" s="164"/>
    </row>
    <row r="27" spans="2:7">
      <c r="C27" s="164"/>
      <c r="D27" s="164"/>
      <c r="E27" s="164"/>
      <c r="F27" s="164"/>
      <c r="G27" s="164"/>
    </row>
    <row r="28" spans="2:7">
      <c r="C28" s="164"/>
      <c r="D28" s="164"/>
      <c r="E28" s="164"/>
      <c r="F28" s="164"/>
      <c r="G28" s="164"/>
    </row>
    <row r="29" spans="2:7">
      <c r="C29" s="164"/>
      <c r="D29" s="164"/>
      <c r="E29" s="164"/>
      <c r="F29" s="164"/>
      <c r="G29" s="164"/>
    </row>
    <row r="30" spans="2:7">
      <c r="C30" s="164"/>
      <c r="D30" s="164"/>
      <c r="E30" s="164"/>
      <c r="F30" s="164"/>
      <c r="G30" s="164"/>
    </row>
    <row r="31" spans="2:7">
      <c r="C31" s="164"/>
      <c r="D31" s="164"/>
      <c r="E31" s="164"/>
      <c r="F31" s="164"/>
      <c r="G31" s="164"/>
    </row>
    <row r="32" spans="2:7">
      <c r="C32" s="164"/>
      <c r="D32" s="164"/>
      <c r="E32" s="164"/>
      <c r="F32" s="164"/>
      <c r="G32" s="164"/>
    </row>
    <row r="33" spans="3:7">
      <c r="C33" s="164"/>
      <c r="D33" s="164"/>
      <c r="E33" s="164"/>
      <c r="F33" s="164"/>
      <c r="G33" s="164"/>
    </row>
    <row r="34" spans="3:7">
      <c r="C34" s="164"/>
      <c r="D34" s="164"/>
      <c r="E34" s="164"/>
      <c r="F34" s="164"/>
      <c r="G34"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B2:M80"/>
  <sheetViews>
    <sheetView workbookViewId="0">
      <pane xSplit="2" ySplit="9" topLeftCell="C14" activePane="bottomRight" state="frozen"/>
      <selection pane="topRight" activeCell="C1" sqref="C1"/>
      <selection pane="bottomLeft" activeCell="A10" sqref="A10"/>
      <selection pane="bottomRight"/>
    </sheetView>
  </sheetViews>
  <sheetFormatPr baseColWidth="10" defaultRowHeight="15" x14ac:dyDescent="0"/>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0">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48" t="s">
        <v>284</v>
      </c>
      <c r="C5" s="658"/>
      <c r="D5" s="658"/>
      <c r="E5" s="658"/>
      <c r="F5" s="658"/>
      <c r="G5" s="649"/>
      <c r="H5" s="8"/>
      <c r="I5" s="8"/>
      <c r="J5" s="8"/>
      <c r="K5" s="8"/>
    </row>
    <row r="6" spans="2:13" ht="16"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0">
      <c r="B9" s="64" t="s">
        <v>285</v>
      </c>
      <c r="C9" s="68" t="s">
        <v>98</v>
      </c>
      <c r="D9" s="82" t="s">
        <v>398</v>
      </c>
      <c r="E9" s="65" t="s">
        <v>737</v>
      </c>
      <c r="F9" s="65" t="s">
        <v>435</v>
      </c>
      <c r="G9" s="65" t="s">
        <v>738</v>
      </c>
      <c r="H9" s="65" t="s">
        <v>436</v>
      </c>
      <c r="I9" s="65" t="s">
        <v>437</v>
      </c>
      <c r="J9" s="65" t="s">
        <v>438</v>
      </c>
      <c r="K9" s="113" t="s">
        <v>739</v>
      </c>
    </row>
    <row r="10" spans="2:13">
      <c r="B10" s="49" t="s">
        <v>102</v>
      </c>
      <c r="C10" s="547"/>
      <c r="D10" s="547"/>
      <c r="E10" s="548"/>
      <c r="F10" s="548"/>
      <c r="G10" s="548"/>
      <c r="H10" s="548"/>
      <c r="I10" s="548"/>
      <c r="J10" s="548"/>
      <c r="K10" s="549"/>
    </row>
    <row r="11" spans="2:13" s="72" customFormat="1">
      <c r="B11" s="73"/>
      <c r="C11" s="443" t="s">
        <v>95</v>
      </c>
      <c r="D11" s="443"/>
      <c r="E11" s="552">
        <f>Final_demand_gas</f>
        <v>0</v>
      </c>
      <c r="F11" s="550">
        <f>Final_demand_electricity</f>
        <v>0</v>
      </c>
      <c r="G11" s="550">
        <f>Final_demand_solar_thermal</f>
        <v>0</v>
      </c>
      <c r="H11" s="550">
        <f>Final_demand_coal</f>
        <v>0</v>
      </c>
      <c r="I11" s="550">
        <f>Final_demand_oil</f>
        <v>0</v>
      </c>
      <c r="J11" s="550">
        <f>Final_demand_woodpellets</f>
        <v>0</v>
      </c>
      <c r="K11" s="551">
        <f>Final_demand_heat</f>
        <v>0</v>
      </c>
      <c r="L11" s="20"/>
    </row>
    <row r="12" spans="2:13">
      <c r="B12" s="67"/>
      <c r="C12" s="66"/>
      <c r="D12" s="66"/>
      <c r="E12" s="83"/>
      <c r="F12" s="83"/>
      <c r="G12" s="83"/>
      <c r="H12" s="83"/>
      <c r="I12" s="83"/>
      <c r="J12" s="83"/>
      <c r="K12" s="120"/>
    </row>
    <row r="13" spans="2:13">
      <c r="B13" s="64"/>
      <c r="C13" s="10"/>
      <c r="D13" s="10"/>
      <c r="E13" s="304"/>
      <c r="F13" s="304"/>
      <c r="G13" s="304"/>
      <c r="H13" s="304"/>
      <c r="I13" s="304"/>
      <c r="J13" s="304"/>
      <c r="K13" s="305"/>
    </row>
    <row r="14" spans="2:13">
      <c r="B14" s="49" t="str">
        <f>'Technology split final demand'!B10</f>
        <v>Space Heating</v>
      </c>
      <c r="C14" s="155"/>
      <c r="D14" s="10"/>
      <c r="E14" s="304"/>
      <c r="F14" s="304"/>
      <c r="G14" s="304"/>
      <c r="H14" s="304"/>
      <c r="I14" s="304"/>
      <c r="J14" s="304"/>
      <c r="K14" s="305"/>
    </row>
    <row r="15" spans="2:13">
      <c r="B15" s="49"/>
      <c r="C15" s="277" t="str">
        <f>'Technology split final demand'!C11</f>
        <v>Condensing Combi Boiler (space heating)</v>
      </c>
      <c r="D15" s="179" t="e">
        <f>'Technology split final demand'!H11</f>
        <v>#DIV/0!</v>
      </c>
      <c r="E15" s="332" t="e">
        <f>D15*Final_demand_space_heating</f>
        <v>#DIV/0!</v>
      </c>
      <c r="F15" s="333"/>
      <c r="G15" s="333"/>
      <c r="H15" s="333"/>
      <c r="I15" s="333"/>
      <c r="J15" s="333"/>
      <c r="K15" s="334"/>
      <c r="L15" s="8"/>
      <c r="M15" s="8"/>
    </row>
    <row r="16" spans="2:13">
      <c r="B16" s="49"/>
      <c r="C16" s="277" t="str">
        <f>'Technology split final demand'!C12</f>
        <v>Solar thermal panel (space heating)</v>
      </c>
      <c r="D16" s="179" t="e">
        <f>'Technology split final demand'!H12</f>
        <v>#DIV/0!</v>
      </c>
      <c r="E16" s="335"/>
      <c r="F16" s="336"/>
      <c r="G16" s="336" t="e">
        <f>D16*Final_demand_space_heating</f>
        <v>#DIV/0!</v>
      </c>
      <c r="H16" s="336"/>
      <c r="I16" s="336"/>
      <c r="J16" s="336"/>
      <c r="K16" s="337"/>
      <c r="L16" s="8"/>
      <c r="M16" s="8"/>
    </row>
    <row r="17" spans="2:13">
      <c r="B17" s="49"/>
      <c r="C17" s="277" t="str">
        <f>'Technology split final demand'!C13</f>
        <v>Electric Heat Pump (ground) (space heating)</v>
      </c>
      <c r="D17" s="179" t="e">
        <f>'Technology split final demand'!H13</f>
        <v>#DIV/0!</v>
      </c>
      <c r="E17" s="335"/>
      <c r="F17" s="336" t="e">
        <f>D17*Final_demand_space_heating</f>
        <v>#DIV/0!</v>
      </c>
      <c r="G17" s="336"/>
      <c r="H17" s="336"/>
      <c r="I17" s="336"/>
      <c r="J17" s="336"/>
      <c r="K17" s="337"/>
      <c r="L17" s="8"/>
      <c r="M17" s="8"/>
    </row>
    <row r="18" spans="2:13">
      <c r="B18" s="49"/>
      <c r="C18" s="277" t="str">
        <f>'Technology split final demand'!C14</f>
        <v>Micro CHP (gas-fired)) (space heating)</v>
      </c>
      <c r="D18" s="179" t="e">
        <f>'Technology split final demand'!H14</f>
        <v>#DIV/0!</v>
      </c>
      <c r="E18" s="335" t="e">
        <f>D18*Final_demand_space_heating</f>
        <v>#DIV/0!</v>
      </c>
      <c r="F18" s="336"/>
      <c r="G18" s="336"/>
      <c r="H18" s="336"/>
      <c r="I18" s="336"/>
      <c r="J18" s="336"/>
      <c r="K18" s="337"/>
      <c r="L18" s="8"/>
      <c r="M18" s="84"/>
    </row>
    <row r="19" spans="2:13">
      <c r="B19" s="49"/>
      <c r="C19" s="277" t="str">
        <f>'Technology split final demand'!C15</f>
        <v>District Heating (space heating)</v>
      </c>
      <c r="D19" s="179" t="e">
        <f>'Technology split final demand'!H15</f>
        <v>#DIV/0!</v>
      </c>
      <c r="E19" s="335"/>
      <c r="F19" s="336"/>
      <c r="G19" s="336"/>
      <c r="H19" s="336"/>
      <c r="I19" s="336"/>
      <c r="J19" s="336"/>
      <c r="K19" s="337" t="e">
        <f>D19*Final_demand_space_heating</f>
        <v>#DIV/0!</v>
      </c>
      <c r="L19" s="8"/>
      <c r="M19" s="8"/>
    </row>
    <row r="20" spans="2:13">
      <c r="B20" s="49"/>
      <c r="C20" s="277" t="str">
        <f>'Technology split final demand'!C16</f>
        <v>electricity-driven Heat pump (air) (space heating)</v>
      </c>
      <c r="D20" s="179" t="e">
        <f>'Technology split final demand'!H16</f>
        <v>#DIV/0!</v>
      </c>
      <c r="E20" s="335"/>
      <c r="F20" s="336" t="e">
        <f>D20*Final_demand_space_heating</f>
        <v>#DIV/0!</v>
      </c>
      <c r="G20" s="336"/>
      <c r="H20" s="336"/>
      <c r="I20" s="336"/>
      <c r="J20" s="336"/>
      <c r="K20" s="337"/>
      <c r="L20" s="8"/>
      <c r="M20" s="8"/>
    </row>
    <row r="21" spans="2:13">
      <c r="B21" s="49"/>
      <c r="C21" s="277" t="str">
        <f>'Technology split final demand'!C17</f>
        <v>woodpellets (biomass) heaters (space heating)</v>
      </c>
      <c r="D21" s="179" t="e">
        <f>'Technology split final demand'!H17</f>
        <v>#DIV/0!</v>
      </c>
      <c r="E21" s="335"/>
      <c r="F21" s="336"/>
      <c r="G21" s="336"/>
      <c r="H21" s="336"/>
      <c r="I21" s="336"/>
      <c r="J21" s="336" t="e">
        <f>D21*Final_demand_space_heating</f>
        <v>#DIV/0!</v>
      </c>
      <c r="K21" s="337"/>
      <c r="L21" s="8"/>
      <c r="M21" s="8"/>
    </row>
    <row r="22" spans="2:13">
      <c r="B22" s="49"/>
      <c r="C22" s="277" t="str">
        <f>'Technology split final demand'!C18</f>
        <v>Electric Heaters (resistance) (space heating)</v>
      </c>
      <c r="D22" s="179" t="e">
        <f>'Technology split final demand'!H18</f>
        <v>#DIV/0!</v>
      </c>
      <c r="E22" s="335"/>
      <c r="F22" s="336" t="e">
        <f>D22*Final_demand_space_heating</f>
        <v>#DIV/0!</v>
      </c>
      <c r="G22" s="336"/>
      <c r="H22" s="336"/>
      <c r="I22" s="336"/>
      <c r="J22" s="336"/>
      <c r="K22" s="337"/>
      <c r="L22" s="8"/>
      <c r="M22" s="8"/>
    </row>
    <row r="23" spans="2:13">
      <c r="B23" s="49"/>
      <c r="C23" s="277" t="str">
        <f>'Technology split final demand'!C19</f>
        <v>Gas-fired Heaters (space heating)</v>
      </c>
      <c r="D23" s="179" t="e">
        <f>'Technology split final demand'!H19</f>
        <v>#DIV/0!</v>
      </c>
      <c r="E23" s="335" t="e">
        <f>D23*Final_demand_space_heating</f>
        <v>#DIV/0!</v>
      </c>
      <c r="F23" s="336"/>
      <c r="G23" s="336"/>
      <c r="H23" s="336"/>
      <c r="I23" s="336"/>
      <c r="J23" s="336"/>
      <c r="K23" s="337"/>
      <c r="L23" s="8"/>
      <c r="M23" s="8"/>
    </row>
    <row r="24" spans="2:13">
      <c r="B24" s="49"/>
      <c r="C24" s="277" t="str">
        <f>'Technology split final demand'!C20</f>
        <v>Oil-fired Heaters (space heating)</v>
      </c>
      <c r="D24" s="179" t="e">
        <f>'Technology split final demand'!H20</f>
        <v>#DIV/0!</v>
      </c>
      <c r="E24" s="335"/>
      <c r="F24" s="336"/>
      <c r="G24" s="336"/>
      <c r="H24" s="336"/>
      <c r="I24" s="336" t="e">
        <f>D24*Final_demand_space_heating</f>
        <v>#DIV/0!</v>
      </c>
      <c r="J24" s="336"/>
      <c r="K24" s="337"/>
      <c r="L24" s="8"/>
      <c r="M24" s="8"/>
    </row>
    <row r="25" spans="2:13">
      <c r="B25" s="49"/>
      <c r="C25" s="277" t="str">
        <f>'Technology split final demand'!C21</f>
        <v>Coal-fired Heaters (space heating)</v>
      </c>
      <c r="D25" s="179" t="e">
        <f>'Technology split final demand'!H21</f>
        <v>#DIV/0!</v>
      </c>
      <c r="E25" s="335"/>
      <c r="F25" s="336"/>
      <c r="G25" s="336"/>
      <c r="H25" s="336" t="e">
        <f>D25*Final_demand_space_heating</f>
        <v>#DIV/0!</v>
      </c>
      <c r="I25" s="336"/>
      <c r="J25" s="336"/>
      <c r="K25" s="337"/>
      <c r="L25" s="8"/>
      <c r="M25" s="8"/>
    </row>
    <row r="26" spans="2:13">
      <c r="B26" s="49"/>
      <c r="C26" s="278" t="str">
        <f>'Technology split final demand'!C22</f>
        <v>electric heat pump add-on</v>
      </c>
      <c r="D26" s="276" t="e">
        <f>'Technology split final demand'!H22</f>
        <v>#DIV/0!</v>
      </c>
      <c r="E26" s="338"/>
      <c r="F26" s="339" t="e">
        <f>D26*Final_demand_space_heating</f>
        <v>#DIV/0!</v>
      </c>
      <c r="G26" s="339"/>
      <c r="H26" s="339"/>
      <c r="I26" s="339"/>
      <c r="J26" s="339"/>
      <c r="K26" s="340"/>
      <c r="L26" s="8"/>
      <c r="M26" s="8"/>
    </row>
    <row r="27" spans="2:13">
      <c r="B27" s="49"/>
      <c r="C27" s="178"/>
      <c r="D27" s="153"/>
      <c r="E27" s="300"/>
      <c r="F27" s="300"/>
      <c r="G27" s="300"/>
      <c r="H27" s="300"/>
      <c r="I27" s="300"/>
      <c r="J27" s="300"/>
      <c r="K27" s="301"/>
      <c r="L27" s="8"/>
      <c r="M27" s="8"/>
    </row>
    <row r="28" spans="2:13">
      <c r="B28" s="279"/>
      <c r="C28" s="275"/>
      <c r="D28" s="155"/>
      <c r="E28" s="302"/>
      <c r="F28" s="302"/>
      <c r="G28" s="302"/>
      <c r="H28" s="302"/>
      <c r="I28" s="302"/>
      <c r="J28" s="302"/>
      <c r="K28" s="303"/>
      <c r="L28" s="8"/>
      <c r="M28" s="8"/>
    </row>
    <row r="29" spans="2:13">
      <c r="B29" s="49" t="str">
        <f>'Technology split final demand'!B24</f>
        <v>Hot Water</v>
      </c>
      <c r="C29" s="275"/>
      <c r="D29" s="155"/>
      <c r="E29" s="180"/>
      <c r="F29" s="180"/>
      <c r="G29" s="180"/>
      <c r="H29" s="180"/>
      <c r="I29" s="180"/>
      <c r="J29" s="180"/>
      <c r="K29" s="181"/>
    </row>
    <row r="30" spans="2:13">
      <c r="B30" s="49"/>
      <c r="C30" s="277" t="str">
        <f>'Technology split final demand'!C25</f>
        <v>Condensing Combi Boiler (hot water)</v>
      </c>
      <c r="D30" s="179" t="e">
        <f>'Technology split final demand'!H25</f>
        <v>#DIV/0!</v>
      </c>
      <c r="E30" s="316" t="e">
        <f>D30*Final_demand_hot_water</f>
        <v>#DIV/0!</v>
      </c>
      <c r="F30" s="317"/>
      <c r="G30" s="317"/>
      <c r="H30" s="317"/>
      <c r="I30" s="317"/>
      <c r="J30" s="317"/>
      <c r="K30" s="318"/>
    </row>
    <row r="31" spans="2:13">
      <c r="B31" s="49"/>
      <c r="C31" s="277" t="str">
        <f>'Technology split final demand'!C26</f>
        <v>Solar thermal panel (hot water)</v>
      </c>
      <c r="D31" s="179" t="e">
        <f>'Technology split final demand'!H26</f>
        <v>#DIV/0!</v>
      </c>
      <c r="E31" s="316"/>
      <c r="F31" s="317"/>
      <c r="G31" s="317" t="e">
        <f>D31*Final_demand_hot_water</f>
        <v>#DIV/0!</v>
      </c>
      <c r="H31" s="317"/>
      <c r="I31" s="317"/>
      <c r="J31" s="317"/>
      <c r="K31" s="318"/>
    </row>
    <row r="32" spans="2:13">
      <c r="B32" s="49"/>
      <c r="C32" s="277" t="str">
        <f>'Technology split final demand'!C27</f>
        <v>Electric Heat Pump (ground) (hot water)</v>
      </c>
      <c r="D32" s="179" t="e">
        <f>'Technology split final demand'!H27</f>
        <v>#DIV/0!</v>
      </c>
      <c r="E32" s="316"/>
      <c r="F32" s="317" t="e">
        <f>D32*Final_demand_hot_water</f>
        <v>#DIV/0!</v>
      </c>
      <c r="G32" s="317"/>
      <c r="H32" s="317"/>
      <c r="I32" s="317"/>
      <c r="J32" s="317"/>
      <c r="K32" s="318"/>
    </row>
    <row r="33" spans="2:11">
      <c r="B33" s="49"/>
      <c r="C33" s="277" t="str">
        <f>'Technology split final demand'!C28</f>
        <v>Micro CHP (gas-fired)) (hot water)</v>
      </c>
      <c r="D33" s="179" t="e">
        <f>'Technology split final demand'!H28</f>
        <v>#DIV/0!</v>
      </c>
      <c r="E33" s="316" t="e">
        <f>D33*Final_demand_hot_water</f>
        <v>#DIV/0!</v>
      </c>
      <c r="F33" s="317"/>
      <c r="G33" s="317"/>
      <c r="H33" s="317"/>
      <c r="I33" s="317"/>
      <c r="J33" s="317"/>
      <c r="K33" s="318"/>
    </row>
    <row r="34" spans="2:11">
      <c r="B34" s="49"/>
      <c r="C34" s="277" t="str">
        <f>'Technology split final demand'!C29</f>
        <v>District Heating (hot water)</v>
      </c>
      <c r="D34" s="179" t="e">
        <f>'Technology split final demand'!H29</f>
        <v>#DIV/0!</v>
      </c>
      <c r="E34" s="316"/>
      <c r="F34" s="317"/>
      <c r="G34" s="317"/>
      <c r="H34" s="317"/>
      <c r="I34" s="317"/>
      <c r="J34" s="317"/>
      <c r="K34" s="318" t="e">
        <f>D34*Final_demand_hot_water</f>
        <v>#DIV/0!</v>
      </c>
    </row>
    <row r="35" spans="2:11">
      <c r="B35" s="49"/>
      <c r="C35" s="277" t="str">
        <f>'Technology split final demand'!C30</f>
        <v>electricity-driven Heat pump (air) (hot water)</v>
      </c>
      <c r="D35" s="179" t="e">
        <f>'Technology split final demand'!H30</f>
        <v>#DIV/0!</v>
      </c>
      <c r="E35" s="316"/>
      <c r="F35" s="317" t="e">
        <f>D35*Final_demand_hot_water</f>
        <v>#DIV/0!</v>
      </c>
      <c r="G35" s="317"/>
      <c r="H35" s="317"/>
      <c r="I35" s="317"/>
      <c r="J35" s="317"/>
      <c r="K35" s="318"/>
    </row>
    <row r="36" spans="2:11">
      <c r="B36" s="49"/>
      <c r="C36" s="277" t="str">
        <f>'Technology split final demand'!C31</f>
        <v>woodpellets (biomass) heaters (hot water)</v>
      </c>
      <c r="D36" s="179" t="e">
        <f>'Technology split final demand'!H31</f>
        <v>#DIV/0!</v>
      </c>
      <c r="E36" s="316"/>
      <c r="F36" s="317"/>
      <c r="G36" s="317"/>
      <c r="H36" s="317"/>
      <c r="I36" s="317"/>
      <c r="J36" s="317" t="e">
        <f>D36*Final_demand_hot_water</f>
        <v>#DIV/0!</v>
      </c>
      <c r="K36" s="318"/>
    </row>
    <row r="37" spans="2:11">
      <c r="B37" s="49"/>
      <c r="C37" s="277" t="str">
        <f>'Technology split final demand'!C32</f>
        <v>Electric Heaters (resistance) (hot water)</v>
      </c>
      <c r="D37" s="179" t="e">
        <f>'Technology split final demand'!H32</f>
        <v>#DIV/0!</v>
      </c>
      <c r="E37" s="316"/>
      <c r="F37" s="317" t="e">
        <f>D37*Final_demand_hot_water</f>
        <v>#DIV/0!</v>
      </c>
      <c r="G37" s="317"/>
      <c r="H37" s="317"/>
      <c r="I37" s="317"/>
      <c r="J37" s="317"/>
      <c r="K37" s="318"/>
    </row>
    <row r="38" spans="2:11">
      <c r="B38" s="49"/>
      <c r="C38" s="277" t="str">
        <f>'Technology split final demand'!C33</f>
        <v>Gas-fired Heaters (hot water)</v>
      </c>
      <c r="D38" s="179" t="e">
        <f>'Technology split final demand'!H33</f>
        <v>#DIV/0!</v>
      </c>
      <c r="E38" s="316" t="e">
        <f>D38*Final_demand_hot_water</f>
        <v>#DIV/0!</v>
      </c>
      <c r="F38" s="317"/>
      <c r="G38" s="317"/>
      <c r="H38" s="317"/>
      <c r="I38" s="317"/>
      <c r="J38" s="317"/>
      <c r="K38" s="318"/>
    </row>
    <row r="39" spans="2:11">
      <c r="B39" s="49"/>
      <c r="C39" s="277" t="str">
        <f>'Technology split final demand'!C34</f>
        <v>Oil-fired Heaters (hot water)</v>
      </c>
      <c r="D39" s="179" t="e">
        <f>'Technology split final demand'!H34</f>
        <v>#DIV/0!</v>
      </c>
      <c r="E39" s="316"/>
      <c r="F39" s="317"/>
      <c r="G39" s="317"/>
      <c r="H39" s="317"/>
      <c r="I39" s="317" t="e">
        <f>D39*Final_demand_hot_water</f>
        <v>#DIV/0!</v>
      </c>
      <c r="J39" s="317"/>
      <c r="K39" s="318"/>
    </row>
    <row r="40" spans="2:11">
      <c r="B40" s="49"/>
      <c r="C40" s="277" t="str">
        <f>'Technology split final demand'!C35</f>
        <v>Coal-fired Heaters (hot water)</v>
      </c>
      <c r="D40" s="179" t="e">
        <f>'Technology split final demand'!H35</f>
        <v>#DIV/0!</v>
      </c>
      <c r="E40" s="316"/>
      <c r="F40" s="317"/>
      <c r="G40" s="317"/>
      <c r="H40" s="317" t="e">
        <f>D40*Final_demand_hot_water</f>
        <v>#DIV/0!</v>
      </c>
      <c r="I40" s="317"/>
      <c r="J40" s="317"/>
      <c r="K40" s="318"/>
    </row>
    <row r="41" spans="2:11">
      <c r="B41" s="49"/>
      <c r="C41" s="278" t="str">
        <f>'Technology split final demand'!C36</f>
        <v>Fuel Cell (hot water)</v>
      </c>
      <c r="D41" s="276" t="e">
        <f>'Technology split final demand'!H36</f>
        <v>#DIV/0!</v>
      </c>
      <c r="E41" s="316"/>
      <c r="F41" s="319" t="e">
        <f>D41*Final_demand_hot_water</f>
        <v>#DIV/0!</v>
      </c>
      <c r="G41" s="319"/>
      <c r="H41" s="319"/>
      <c r="I41" s="319"/>
      <c r="J41" s="319"/>
      <c r="K41" s="320"/>
    </row>
    <row r="42" spans="2:11">
      <c r="B42" s="49"/>
      <c r="C42" s="178"/>
      <c r="D42" s="153"/>
      <c r="E42" s="321"/>
      <c r="F42" s="322"/>
      <c r="G42" s="322"/>
      <c r="H42" s="322"/>
      <c r="I42" s="322"/>
      <c r="J42" s="322"/>
      <c r="K42" s="323"/>
    </row>
    <row r="43" spans="2:11">
      <c r="B43" s="279"/>
      <c r="C43" s="275"/>
      <c r="D43" s="155"/>
      <c r="E43" s="324"/>
      <c r="F43" s="324"/>
      <c r="G43" s="324"/>
      <c r="H43" s="324"/>
      <c r="I43" s="324"/>
      <c r="J43" s="324"/>
      <c r="K43" s="325"/>
    </row>
    <row r="44" spans="2:11">
      <c r="B44" s="49" t="str">
        <f>'Technology split final demand'!B38</f>
        <v>Space Cooling</v>
      </c>
      <c r="C44" s="275"/>
      <c r="D44" s="155"/>
      <c r="E44" s="326"/>
      <c r="F44" s="324"/>
      <c r="G44" s="324"/>
      <c r="H44" s="324"/>
      <c r="I44" s="324"/>
      <c r="J44" s="324"/>
      <c r="K44" s="325"/>
    </row>
    <row r="45" spans="2:11">
      <c r="B45" s="49"/>
      <c r="C45" s="277" t="str">
        <f>'Technology split final demand'!C39</f>
        <v>Electric heat pump ground</v>
      </c>
      <c r="D45" s="179" t="e">
        <f>'Technology split final demand'!H39</f>
        <v>#DIV/0!</v>
      </c>
      <c r="E45" s="316"/>
      <c r="F45" s="317" t="e">
        <f>D45*Final_demand_cooling</f>
        <v>#DIV/0!</v>
      </c>
      <c r="G45" s="317"/>
      <c r="H45" s="317"/>
      <c r="I45" s="317"/>
      <c r="J45" s="317"/>
      <c r="K45" s="318"/>
    </row>
    <row r="46" spans="2:11">
      <c r="B46" s="49"/>
      <c r="C46" s="277" t="str">
        <f>'Technology split final demand'!C40</f>
        <v>Electric heat pump air</v>
      </c>
      <c r="D46" s="179" t="e">
        <f>'Technology split final demand'!H40</f>
        <v>#DIV/0!</v>
      </c>
      <c r="E46" s="316"/>
      <c r="F46" s="317" t="e">
        <f>D46*Final_demand_cooling</f>
        <v>#DIV/0!</v>
      </c>
      <c r="G46" s="317"/>
      <c r="H46" s="317"/>
      <c r="I46" s="317"/>
      <c r="J46" s="317"/>
      <c r="K46" s="318"/>
    </row>
    <row r="47" spans="2:11">
      <c r="B47" s="49"/>
      <c r="C47" s="278" t="str">
        <f>'Technology split final demand'!C41</f>
        <v>Conventional electric airconditioning</v>
      </c>
      <c r="D47" s="276" t="e">
        <f>'Technology split final demand'!H41</f>
        <v>#DIV/0!</v>
      </c>
      <c r="E47" s="316"/>
      <c r="F47" s="319" t="e">
        <f>D47*Final_demand_cooling</f>
        <v>#DIV/0!</v>
      </c>
      <c r="G47" s="319"/>
      <c r="H47" s="319"/>
      <c r="I47" s="319"/>
      <c r="J47" s="319"/>
      <c r="K47" s="320"/>
    </row>
    <row r="48" spans="2:11">
      <c r="B48" s="49"/>
      <c r="C48" s="178"/>
      <c r="D48" s="153"/>
      <c r="E48" s="321"/>
      <c r="F48" s="327"/>
      <c r="G48" s="327"/>
      <c r="H48" s="327"/>
      <c r="I48" s="327"/>
      <c r="J48" s="327"/>
      <c r="K48" s="328"/>
    </row>
    <row r="49" spans="2:13">
      <c r="B49" s="279"/>
      <c r="C49" s="275"/>
      <c r="D49" s="155"/>
      <c r="E49" s="324"/>
      <c r="F49" s="324"/>
      <c r="G49" s="324"/>
      <c r="H49" s="324"/>
      <c r="I49" s="324"/>
      <c r="J49" s="324"/>
      <c r="K49" s="325"/>
    </row>
    <row r="50" spans="2:13">
      <c r="B50" s="49" t="str">
        <f>'Technology split final demand'!B43</f>
        <v>Cooking</v>
      </c>
      <c r="C50" s="275"/>
      <c r="D50" s="155"/>
      <c r="E50" s="326"/>
      <c r="F50" s="324"/>
      <c r="G50" s="324"/>
      <c r="H50" s="324"/>
      <c r="I50" s="324"/>
      <c r="J50" s="324"/>
      <c r="K50" s="325"/>
    </row>
    <row r="51" spans="2:13">
      <c r="B51" s="49"/>
      <c r="C51" s="277" t="str">
        <f>'Technology split final demand'!C44</f>
        <v>Gas stoves</v>
      </c>
      <c r="D51" s="179" t="e">
        <f>'Technology split final demand'!H44</f>
        <v>#DIV/0!</v>
      </c>
      <c r="E51" s="316" t="e">
        <f>$D51*Final_demand_cooking</f>
        <v>#DIV/0!</v>
      </c>
      <c r="F51" s="317"/>
      <c r="G51" s="317"/>
      <c r="H51" s="317"/>
      <c r="I51" s="317"/>
      <c r="J51" s="317"/>
      <c r="K51" s="318"/>
    </row>
    <row r="52" spans="2:13">
      <c r="B52" s="49"/>
      <c r="C52" s="277" t="str">
        <f>'Technology split final demand'!C45</f>
        <v>Electric stoves (resistance)</v>
      </c>
      <c r="D52" s="179" t="e">
        <f>'Technology split final demand'!H45</f>
        <v>#DIV/0!</v>
      </c>
      <c r="E52" s="316"/>
      <c r="F52" s="317" t="e">
        <f>$D52*Final_demand_cooking</f>
        <v>#DIV/0!</v>
      </c>
      <c r="G52" s="317"/>
      <c r="H52" s="317"/>
      <c r="I52" s="317"/>
      <c r="J52" s="317"/>
      <c r="K52" s="318"/>
    </row>
    <row r="53" spans="2:13">
      <c r="B53" s="49"/>
      <c r="C53" s="277" t="str">
        <f>'Technology split final demand'!C46</f>
        <v>Electric halogen stoves</v>
      </c>
      <c r="D53" s="179" t="e">
        <f>'Technology split final demand'!H46</f>
        <v>#DIV/0!</v>
      </c>
      <c r="E53" s="316"/>
      <c r="F53" s="317" t="e">
        <f>$D53*Final_demand_cooking</f>
        <v>#DIV/0!</v>
      </c>
      <c r="G53" s="317"/>
      <c r="H53" s="317"/>
      <c r="I53" s="317"/>
      <c r="J53" s="317"/>
      <c r="K53" s="318"/>
      <c r="M53" s="150"/>
    </row>
    <row r="54" spans="2:13">
      <c r="B54" s="49"/>
      <c r="C54" s="277" t="str">
        <f>'Technology split final demand'!C47</f>
        <v>Electric induction stoves</v>
      </c>
      <c r="D54" s="179" t="e">
        <f>'Technology split final demand'!H47</f>
        <v>#DIV/0!</v>
      </c>
      <c r="E54" s="316"/>
      <c r="F54" s="317" t="e">
        <f>$D54*Final_demand_cooking</f>
        <v>#DIV/0!</v>
      </c>
      <c r="G54" s="317"/>
      <c r="H54" s="317"/>
      <c r="I54" s="317"/>
      <c r="J54" s="317"/>
      <c r="K54" s="318"/>
    </row>
    <row r="55" spans="2:13">
      <c r="B55" s="49"/>
      <c r="C55" s="278" t="str">
        <f>'Technology split final demand'!C48</f>
        <v>Biomass stoves</v>
      </c>
      <c r="D55" s="276" t="e">
        <f>'Technology split final demand'!H48</f>
        <v>#DIV/0!</v>
      </c>
      <c r="E55" s="316"/>
      <c r="F55" s="319"/>
      <c r="G55" s="319"/>
      <c r="H55" s="319"/>
      <c r="I55" s="319"/>
      <c r="J55" s="319" t="e">
        <f>$D55*Final_demand_cooking</f>
        <v>#DIV/0!</v>
      </c>
      <c r="K55" s="320"/>
    </row>
    <row r="56" spans="2:13">
      <c r="B56" s="49"/>
      <c r="C56" s="178"/>
      <c r="D56" s="153"/>
      <c r="E56" s="321"/>
      <c r="F56" s="322"/>
      <c r="G56" s="322"/>
      <c r="H56" s="322"/>
      <c r="I56" s="322"/>
      <c r="J56" s="322"/>
      <c r="K56" s="323"/>
    </row>
    <row r="57" spans="2:13">
      <c r="B57" s="279"/>
      <c r="C57" s="275"/>
      <c r="D57" s="155"/>
      <c r="E57" s="324"/>
      <c r="F57" s="324"/>
      <c r="G57" s="324"/>
      <c r="H57" s="324"/>
      <c r="I57" s="324"/>
      <c r="J57" s="324"/>
      <c r="K57" s="325"/>
    </row>
    <row r="58" spans="2:13">
      <c r="B58" s="49" t="str">
        <f>'Technology split final demand'!B50</f>
        <v>Lighting</v>
      </c>
      <c r="C58" s="275"/>
      <c r="D58" s="155"/>
      <c r="E58" s="326"/>
      <c r="F58" s="324"/>
      <c r="G58" s="324"/>
      <c r="H58" s="324"/>
      <c r="I58" s="324"/>
      <c r="J58" s="324"/>
      <c r="K58" s="324"/>
      <c r="L58" s="31"/>
    </row>
    <row r="59" spans="2:13">
      <c r="B59" s="49"/>
      <c r="C59" s="277" t="str">
        <f>'Technology split final demand'!C51</f>
        <v>Incandescent lamps</v>
      </c>
      <c r="D59" s="179" t="e">
        <f>'Technology split final demand'!H51</f>
        <v>#DIV/0!</v>
      </c>
      <c r="E59" s="316"/>
      <c r="F59" s="317" t="e">
        <f>$D59*Final_demand_lighting</f>
        <v>#DIV/0!</v>
      </c>
      <c r="G59" s="317"/>
      <c r="H59" s="317"/>
      <c r="I59" s="317"/>
      <c r="J59" s="317"/>
      <c r="K59" s="317"/>
      <c r="L59" s="31"/>
    </row>
    <row r="60" spans="2:13">
      <c r="B60" s="49"/>
      <c r="C60" s="277" t="str">
        <f>'Technology split final demand'!C52</f>
        <v>Low energy light bulbs / fluorescent lighting</v>
      </c>
      <c r="D60" s="179" t="e">
        <f>'Technology split final demand'!H52</f>
        <v>#DIV/0!</v>
      </c>
      <c r="E60" s="316"/>
      <c r="F60" s="317" t="e">
        <f>$D60*Final_demand_lighting</f>
        <v>#DIV/0!</v>
      </c>
      <c r="G60" s="317"/>
      <c r="H60" s="317"/>
      <c r="I60" s="317"/>
      <c r="J60" s="317"/>
      <c r="K60" s="317"/>
      <c r="L60" s="31"/>
    </row>
    <row r="61" spans="2:13">
      <c r="B61" s="49"/>
      <c r="C61" s="278" t="str">
        <f>'Technology split final demand'!C53</f>
        <v>LED lamps</v>
      </c>
      <c r="D61" s="276" t="e">
        <f>'Technology split final demand'!H53</f>
        <v>#DIV/0!</v>
      </c>
      <c r="E61" s="329"/>
      <c r="F61" s="319" t="e">
        <f>$D61*Final_demand_lighting</f>
        <v>#DIV/0!</v>
      </c>
      <c r="G61" s="319"/>
      <c r="H61" s="319"/>
      <c r="I61" s="319"/>
      <c r="J61" s="319"/>
      <c r="K61" s="319"/>
      <c r="L61" s="31"/>
    </row>
    <row r="62" spans="2:13">
      <c r="B62" s="49"/>
      <c r="C62" s="153"/>
      <c r="D62" s="153"/>
      <c r="E62" s="330"/>
      <c r="F62" s="330"/>
      <c r="G62" s="330"/>
      <c r="H62" s="330"/>
      <c r="I62" s="330"/>
      <c r="J62" s="330"/>
      <c r="K62" s="330"/>
      <c r="L62" s="31"/>
    </row>
    <row r="63" spans="2:13">
      <c r="B63" s="279"/>
      <c r="C63" s="155"/>
      <c r="D63" s="155"/>
      <c r="E63" s="331"/>
      <c r="F63" s="331"/>
      <c r="G63" s="331"/>
      <c r="H63" s="331"/>
      <c r="I63" s="331"/>
      <c r="J63" s="331"/>
      <c r="K63" s="331"/>
      <c r="L63" s="31"/>
    </row>
    <row r="64" spans="2:13">
      <c r="B64" s="49" t="s">
        <v>401</v>
      </c>
      <c r="C64" s="155"/>
      <c r="D64" s="155"/>
      <c r="E64" s="331"/>
      <c r="F64" s="331"/>
      <c r="G64" s="331"/>
      <c r="H64" s="331"/>
      <c r="I64" s="331"/>
      <c r="J64" s="331"/>
      <c r="K64" s="331"/>
      <c r="L64" s="31"/>
    </row>
    <row r="65" spans="2:13">
      <c r="B65" s="73"/>
      <c r="C65" s="397" t="s">
        <v>555</v>
      </c>
      <c r="D65" s="179">
        <f>Dashboard!E81</f>
        <v>0</v>
      </c>
      <c r="E65" s="504"/>
      <c r="F65" s="506">
        <f t="shared" ref="F65:F72" si="0">D65*Final_demand_appliances</f>
        <v>0</v>
      </c>
      <c r="G65" s="506"/>
      <c r="H65" s="506"/>
      <c r="I65" s="506"/>
      <c r="J65" s="506"/>
      <c r="K65" s="501"/>
      <c r="L65" s="31"/>
      <c r="M65" s="177"/>
    </row>
    <row r="66" spans="2:13">
      <c r="B66" s="73"/>
      <c r="C66" s="397" t="s">
        <v>556</v>
      </c>
      <c r="D66" s="179">
        <f>Dashboard!E82</f>
        <v>0</v>
      </c>
      <c r="E66" s="504"/>
      <c r="F66" s="506">
        <f t="shared" si="0"/>
        <v>0</v>
      </c>
      <c r="G66" s="506"/>
      <c r="H66" s="506"/>
      <c r="I66" s="506"/>
      <c r="J66" s="506"/>
      <c r="K66" s="502"/>
      <c r="L66" s="31"/>
      <c r="M66" s="177"/>
    </row>
    <row r="67" spans="2:13">
      <c r="B67" s="73"/>
      <c r="C67" s="397" t="s">
        <v>557</v>
      </c>
      <c r="D67" s="179">
        <f>Dashboard!E83</f>
        <v>0</v>
      </c>
      <c r="E67" s="504"/>
      <c r="F67" s="506">
        <f t="shared" si="0"/>
        <v>0</v>
      </c>
      <c r="G67" s="506"/>
      <c r="H67" s="506"/>
      <c r="I67" s="506"/>
      <c r="J67" s="506"/>
      <c r="K67" s="502"/>
      <c r="L67" s="31"/>
      <c r="M67" s="177"/>
    </row>
    <row r="68" spans="2:13">
      <c r="B68" s="73"/>
      <c r="C68" s="397" t="s">
        <v>558</v>
      </c>
      <c r="D68" s="179">
        <f>Dashboard!E84</f>
        <v>0</v>
      </c>
      <c r="E68" s="504"/>
      <c r="F68" s="506">
        <f t="shared" si="0"/>
        <v>0</v>
      </c>
      <c r="G68" s="506"/>
      <c r="H68" s="506"/>
      <c r="I68" s="506"/>
      <c r="J68" s="506"/>
      <c r="K68" s="502"/>
      <c r="L68" s="31"/>
      <c r="M68" s="177"/>
    </row>
    <row r="69" spans="2:13">
      <c r="B69" s="73"/>
      <c r="C69" s="397" t="s">
        <v>559</v>
      </c>
      <c r="D69" s="308">
        <f>Dashboard!E85</f>
        <v>0</v>
      </c>
      <c r="E69" s="504"/>
      <c r="F69" s="506">
        <f t="shared" si="0"/>
        <v>0</v>
      </c>
      <c r="G69" s="506"/>
      <c r="H69" s="506"/>
      <c r="I69" s="506"/>
      <c r="J69" s="506"/>
      <c r="K69" s="502"/>
      <c r="L69" s="31"/>
      <c r="M69" s="177"/>
    </row>
    <row r="70" spans="2:13">
      <c r="B70" s="73"/>
      <c r="C70" s="397" t="s">
        <v>560</v>
      </c>
      <c r="D70" s="179">
        <f>Dashboard!E86</f>
        <v>0</v>
      </c>
      <c r="E70" s="504"/>
      <c r="F70" s="506">
        <f t="shared" si="0"/>
        <v>0</v>
      </c>
      <c r="G70" s="506"/>
      <c r="H70" s="506"/>
      <c r="I70" s="506"/>
      <c r="J70" s="506"/>
      <c r="K70" s="502"/>
      <c r="L70" s="31"/>
      <c r="M70" s="177"/>
    </row>
    <row r="71" spans="2:13">
      <c r="B71" s="73"/>
      <c r="C71" s="397" t="s">
        <v>561</v>
      </c>
      <c r="D71" s="179">
        <f>Dashboard!E87</f>
        <v>0</v>
      </c>
      <c r="E71" s="504"/>
      <c r="F71" s="506">
        <f t="shared" si="0"/>
        <v>0</v>
      </c>
      <c r="G71" s="506"/>
      <c r="H71" s="506"/>
      <c r="I71" s="506"/>
      <c r="J71" s="506"/>
      <c r="K71" s="502"/>
      <c r="L71" s="31"/>
      <c r="M71" s="177"/>
    </row>
    <row r="72" spans="2:13">
      <c r="B72" s="73"/>
      <c r="C72" s="238" t="s">
        <v>562</v>
      </c>
      <c r="D72" s="276">
        <f>Dashboard!E88</f>
        <v>0</v>
      </c>
      <c r="E72" s="505"/>
      <c r="F72" s="503">
        <f t="shared" si="0"/>
        <v>0</v>
      </c>
      <c r="G72" s="503"/>
      <c r="H72" s="503"/>
      <c r="I72" s="503"/>
      <c r="J72" s="503"/>
      <c r="K72" s="503"/>
      <c r="L72" s="31"/>
      <c r="M72" s="177"/>
    </row>
    <row r="73" spans="2:13">
      <c r="B73" s="49"/>
      <c r="C73" s="153"/>
      <c r="D73" s="153"/>
      <c r="E73" s="153"/>
      <c r="F73" s="153"/>
      <c r="G73" s="153"/>
      <c r="H73" s="153"/>
      <c r="I73" s="153"/>
      <c r="J73" s="153"/>
      <c r="K73" s="153"/>
      <c r="L73" s="31"/>
    </row>
    <row r="74" spans="2:13">
      <c r="B74" s="279"/>
      <c r="C74" s="10"/>
      <c r="D74" s="10"/>
      <c r="E74" s="280"/>
      <c r="F74" s="180"/>
      <c r="G74" s="180"/>
      <c r="H74" s="180"/>
      <c r="I74" s="180"/>
      <c r="J74" s="180"/>
      <c r="K74" s="180"/>
      <c r="L74" s="31"/>
    </row>
    <row r="75" spans="2:13">
      <c r="B75" s="306" t="s">
        <v>399</v>
      </c>
      <c r="C75" s="53"/>
      <c r="D75" s="53"/>
      <c r="E75" s="517" t="s">
        <v>407</v>
      </c>
      <c r="F75" s="302" t="s">
        <v>106</v>
      </c>
      <c r="G75" s="302" t="s">
        <v>105</v>
      </c>
      <c r="H75" s="302" t="s">
        <v>206</v>
      </c>
      <c r="I75" s="302" t="s">
        <v>208</v>
      </c>
      <c r="J75" s="302" t="s">
        <v>400</v>
      </c>
      <c r="K75" s="303" t="s">
        <v>442</v>
      </c>
      <c r="L75" s="31"/>
    </row>
    <row r="76" spans="2:13">
      <c r="B76" s="36"/>
      <c r="C76" s="508" t="s">
        <v>740</v>
      </c>
      <c r="D76" s="509"/>
      <c r="E76" s="507" t="e">
        <f t="shared" ref="E76:K76" si="1">SUM(E15:E73)</f>
        <v>#DIV/0!</v>
      </c>
      <c r="F76" s="299" t="e">
        <f t="shared" si="1"/>
        <v>#DIV/0!</v>
      </c>
      <c r="G76" s="299" t="e">
        <f t="shared" si="1"/>
        <v>#DIV/0!</v>
      </c>
      <c r="H76" s="299" t="e">
        <f t="shared" si="1"/>
        <v>#DIV/0!</v>
      </c>
      <c r="I76" s="299" t="e">
        <f t="shared" si="1"/>
        <v>#DIV/0!</v>
      </c>
      <c r="J76" s="299" t="e">
        <f t="shared" si="1"/>
        <v>#DIV/0!</v>
      </c>
      <c r="K76" s="299" t="e">
        <f t="shared" si="1"/>
        <v>#DIV/0!</v>
      </c>
      <c r="L76" s="31"/>
    </row>
    <row r="77" spans="2:13">
      <c r="B77" s="36"/>
      <c r="C77" s="511" t="s">
        <v>742</v>
      </c>
      <c r="D77" s="510"/>
      <c r="E77" s="507" t="e">
        <f t="shared" ref="E77:K77" si="2">E11-E76</f>
        <v>#DIV/0!</v>
      </c>
      <c r="F77" s="299" t="e">
        <f t="shared" si="2"/>
        <v>#DIV/0!</v>
      </c>
      <c r="G77" s="299" t="e">
        <f t="shared" si="2"/>
        <v>#DIV/0!</v>
      </c>
      <c r="H77" s="299" t="e">
        <f t="shared" si="2"/>
        <v>#DIV/0!</v>
      </c>
      <c r="I77" s="299" t="e">
        <f t="shared" si="2"/>
        <v>#DIV/0!</v>
      </c>
      <c r="J77" s="299" t="e">
        <f t="shared" si="2"/>
        <v>#DIV/0!</v>
      </c>
      <c r="K77" s="299" t="e">
        <f t="shared" si="2"/>
        <v>#DIV/0!</v>
      </c>
      <c r="L77" s="31"/>
    </row>
    <row r="78" spans="2:13">
      <c r="B78" s="36"/>
      <c r="C78" s="512" t="s">
        <v>741</v>
      </c>
      <c r="D78" s="513"/>
      <c r="E78" s="514" t="e">
        <f t="shared" ref="E78:K78" si="3">E77/E11</f>
        <v>#DIV/0!</v>
      </c>
      <c r="F78" s="515" t="e">
        <f t="shared" si="3"/>
        <v>#DIV/0!</v>
      </c>
      <c r="G78" s="515" t="e">
        <f t="shared" si="3"/>
        <v>#DIV/0!</v>
      </c>
      <c r="H78" s="515" t="e">
        <f t="shared" si="3"/>
        <v>#DIV/0!</v>
      </c>
      <c r="I78" s="515" t="e">
        <f t="shared" si="3"/>
        <v>#DIV/0!</v>
      </c>
      <c r="J78" s="515" t="e">
        <f t="shared" si="3"/>
        <v>#DIV/0!</v>
      </c>
      <c r="K78" s="516" t="e">
        <f t="shared" si="3"/>
        <v>#DIV/0!</v>
      </c>
      <c r="L78" s="31"/>
    </row>
    <row r="79" spans="2:13">
      <c r="B79" s="36"/>
      <c r="C79" s="511"/>
      <c r="D79" s="511"/>
      <c r="E79" s="307"/>
      <c r="F79" s="307"/>
      <c r="G79" s="307"/>
      <c r="H79" s="307"/>
      <c r="I79" s="307"/>
      <c r="J79" s="307"/>
      <c r="K79" s="307"/>
      <c r="L79" s="31"/>
    </row>
    <row r="80" spans="2:13" ht="16" thickBot="1">
      <c r="B80" s="47"/>
      <c r="C80" s="77"/>
      <c r="D80" s="77"/>
      <c r="E80" s="77"/>
      <c r="F80" s="77"/>
      <c r="G80" s="77"/>
      <c r="H80" s="77"/>
      <c r="I80" s="77"/>
      <c r="J80" s="77"/>
      <c r="K80" s="77"/>
      <c r="L80" s="31"/>
    </row>
  </sheetData>
  <mergeCells count="1">
    <mergeCell ref="B5:G5"/>
  </mergeCells>
  <conditionalFormatting sqref="J75">
    <cfRule type="cellIs" dxfId="5" priority="4"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39997558519241921"/>
  </sheetPr>
  <dimension ref="B2:I64"/>
  <sheetViews>
    <sheetView workbookViewId="0"/>
  </sheetViews>
  <sheetFormatPr baseColWidth="10" defaultRowHeight="15" x14ac:dyDescent="0"/>
  <cols>
    <col min="1" max="1" width="10.83203125" style="1"/>
    <col min="2" max="2" width="22.33203125" style="1" customWidth="1"/>
    <col min="3" max="3" width="41.1640625" style="1" bestFit="1" customWidth="1"/>
    <col min="4" max="4" width="17.83203125" style="1" customWidth="1"/>
    <col min="5" max="5" width="27.83203125" style="1" bestFit="1" customWidth="1"/>
    <col min="6" max="6" width="26.6640625" style="1" customWidth="1"/>
    <col min="7" max="7" width="22.5" style="1" customWidth="1"/>
    <col min="8" max="8" width="26.33203125" style="1" customWidth="1"/>
    <col min="9" max="9" width="25.6640625" style="1" bestFit="1" customWidth="1"/>
    <col min="10" max="10" width="10.83203125" style="1"/>
    <col min="11" max="11" width="29.83203125" style="1" customWidth="1"/>
    <col min="12" max="16384" width="10.83203125" style="1"/>
  </cols>
  <sheetData>
    <row r="2" spans="2:9" ht="20">
      <c r="B2" s="2" t="s">
        <v>585</v>
      </c>
    </row>
    <row r="4" spans="2:9">
      <c r="B4" s="3" t="s">
        <v>79</v>
      </c>
      <c r="C4" s="4"/>
      <c r="D4" s="4"/>
      <c r="E4" s="5"/>
      <c r="F4" s="8"/>
    </row>
    <row r="5" spans="2:9" s="141" customFormat="1" ht="75" customHeight="1">
      <c r="B5" s="648" t="s">
        <v>229</v>
      </c>
      <c r="C5" s="658"/>
      <c r="D5" s="658"/>
      <c r="E5" s="649"/>
      <c r="F5" s="157"/>
    </row>
    <row r="6" spans="2:9" ht="16" thickBot="1"/>
    <row r="7" spans="2:9">
      <c r="B7" s="28" t="s">
        <v>643</v>
      </c>
      <c r="C7" s="52"/>
      <c r="D7" s="29"/>
      <c r="E7" s="29"/>
      <c r="F7" s="29"/>
      <c r="G7" s="52"/>
      <c r="H7" s="30"/>
      <c r="I7" s="31"/>
    </row>
    <row r="8" spans="2:9">
      <c r="B8" s="31"/>
      <c r="C8" s="8"/>
      <c r="D8" s="8"/>
      <c r="E8" s="8"/>
      <c r="F8" s="8"/>
      <c r="G8" s="8"/>
      <c r="H8" s="32"/>
      <c r="I8" s="36"/>
    </row>
    <row r="9" spans="2:9" ht="75">
      <c r="B9" s="64" t="s">
        <v>285</v>
      </c>
      <c r="C9" s="68" t="s">
        <v>183</v>
      </c>
      <c r="D9" s="82" t="s">
        <v>465</v>
      </c>
      <c r="E9" s="82" t="s">
        <v>528</v>
      </c>
      <c r="F9" s="82" t="s">
        <v>529</v>
      </c>
      <c r="G9" s="82" t="s">
        <v>193</v>
      </c>
      <c r="H9" s="163" t="s">
        <v>192</v>
      </c>
      <c r="I9" s="310"/>
    </row>
    <row r="10" spans="2:9">
      <c r="B10" s="49" t="s">
        <v>77</v>
      </c>
      <c r="C10" s="8"/>
      <c r="D10" s="8"/>
      <c r="E10" s="8"/>
      <c r="F10" s="8"/>
      <c r="G10" s="8"/>
      <c r="H10" s="32"/>
      <c r="I10" s="311"/>
    </row>
    <row r="11" spans="2:9">
      <c r="B11" s="49"/>
      <c r="C11" s="17" t="str">
        <f>technical_specs!C11</f>
        <v>Condensing Combi Boiler (space heating)</v>
      </c>
      <c r="D11" s="182">
        <f>Dashboard!E31</f>
        <v>0</v>
      </c>
      <c r="E11" s="571">
        <f>Eff_space_heating_combi_boiler</f>
        <v>0</v>
      </c>
      <c r="F11" s="195">
        <v>1</v>
      </c>
      <c r="G11" s="313" t="e">
        <f t="shared" ref="G11:G22" si="0">D11/E11*F11</f>
        <v>#DIV/0!</v>
      </c>
      <c r="H11" s="295" t="e">
        <f>G11/SUM($G$11:$G$22)</f>
        <v>#DIV/0!</v>
      </c>
      <c r="I11" s="405"/>
    </row>
    <row r="12" spans="2:9">
      <c r="B12" s="49"/>
      <c r="C12" s="17" t="str">
        <f>technical_specs!C12</f>
        <v>Solar thermal panel (space heating)</v>
      </c>
      <c r="D12" s="182">
        <f>Dashboard!E32</f>
        <v>0</v>
      </c>
      <c r="E12" s="571">
        <f>Eff_space_heating_solar_thermal</f>
        <v>0</v>
      </c>
      <c r="F12" s="195">
        <v>1</v>
      </c>
      <c r="G12" s="313" t="e">
        <f t="shared" si="0"/>
        <v>#DIV/0!</v>
      </c>
      <c r="H12" s="295" t="e">
        <f t="shared" ref="H12" si="1">G12/SUM($G$11:$G$22)</f>
        <v>#DIV/0!</v>
      </c>
      <c r="I12" s="312"/>
    </row>
    <row r="13" spans="2:9">
      <c r="B13" s="49"/>
      <c r="C13" s="17" t="str">
        <f>technical_specs!C13</f>
        <v>Electric Heat Pump (ground) (space heating)</v>
      </c>
      <c r="D13" s="182">
        <f>Dashboard!E33</f>
        <v>0</v>
      </c>
      <c r="E13" s="571" t="e">
        <f>Eff_space_heating_pump_ground</f>
        <v>#DIV/0!</v>
      </c>
      <c r="F13" s="195">
        <v>1</v>
      </c>
      <c r="G13" s="313" t="e">
        <f t="shared" si="0"/>
        <v>#DIV/0!</v>
      </c>
      <c r="H13" s="295" t="e">
        <f t="shared" ref="H13:H22" si="2">G13/SUM($G$11:$G$22)</f>
        <v>#DIV/0!</v>
      </c>
      <c r="I13" s="312"/>
    </row>
    <row r="14" spans="2:9" s="216" customFormat="1">
      <c r="B14" s="272"/>
      <c r="C14" s="17" t="str">
        <f>technical_specs!C14</f>
        <v>Micro CHP (gas-fired)) (space heating)</v>
      </c>
      <c r="D14" s="273">
        <f>Dashboard!E34</f>
        <v>0</v>
      </c>
      <c r="E14" s="571">
        <f>Eff_space_heating_micro_CHP</f>
        <v>0</v>
      </c>
      <c r="F14" s="274" t="e">
        <f>'Electricity producer Shares'!F11</f>
        <v>#DIV/0!</v>
      </c>
      <c r="G14" s="185" t="e">
        <f t="shared" si="0"/>
        <v>#DIV/0!</v>
      </c>
      <c r="H14" s="295" t="e">
        <f t="shared" si="2"/>
        <v>#DIV/0!</v>
      </c>
      <c r="I14" s="312"/>
    </row>
    <row r="15" spans="2:9">
      <c r="B15" s="49"/>
      <c r="C15" s="17" t="str">
        <f>technical_specs!C15</f>
        <v>District Heating (space heating)</v>
      </c>
      <c r="D15" s="182">
        <f>Dashboard!E35</f>
        <v>0</v>
      </c>
      <c r="E15" s="571">
        <f>Eff_space_heating_district</f>
        <v>0</v>
      </c>
      <c r="F15" s="195">
        <v>1</v>
      </c>
      <c r="G15" s="313" t="e">
        <f t="shared" si="0"/>
        <v>#DIV/0!</v>
      </c>
      <c r="H15" s="295" t="e">
        <f t="shared" si="2"/>
        <v>#DIV/0!</v>
      </c>
      <c r="I15" s="312"/>
    </row>
    <row r="16" spans="2:9">
      <c r="B16" s="67"/>
      <c r="C16" s="17" t="str">
        <f>technical_specs!C16</f>
        <v>electricity-driven Heat pump (air) (space heating)</v>
      </c>
      <c r="D16" s="182">
        <f>Dashboard!E36</f>
        <v>0</v>
      </c>
      <c r="E16" s="571" t="e">
        <f>Eff_space_heating_pump_air</f>
        <v>#DIV/0!</v>
      </c>
      <c r="F16" s="195">
        <v>1</v>
      </c>
      <c r="G16" s="313" t="e">
        <f t="shared" si="0"/>
        <v>#DIV/0!</v>
      </c>
      <c r="H16" s="295" t="e">
        <f t="shared" si="2"/>
        <v>#DIV/0!</v>
      </c>
      <c r="I16" s="312"/>
    </row>
    <row r="17" spans="2:9">
      <c r="B17" s="67"/>
      <c r="C17" s="17" t="str">
        <f>technical_specs!C17</f>
        <v>woodpellets (biomass) heaters (space heating)</v>
      </c>
      <c r="D17" s="182">
        <f>Dashboard!E37</f>
        <v>0</v>
      </c>
      <c r="E17" s="571">
        <f>Eff_space_heating_woodpellets</f>
        <v>0</v>
      </c>
      <c r="F17" s="195">
        <v>1</v>
      </c>
      <c r="G17" s="313" t="e">
        <f t="shared" si="0"/>
        <v>#DIV/0!</v>
      </c>
      <c r="H17" s="295" t="e">
        <f t="shared" si="2"/>
        <v>#DIV/0!</v>
      </c>
      <c r="I17" s="312"/>
    </row>
    <row r="18" spans="2:9">
      <c r="B18" s="67"/>
      <c r="C18" s="17" t="str">
        <f>technical_specs!C18</f>
        <v>Electric Heaters (resistance) (space heating)</v>
      </c>
      <c r="D18" s="182">
        <f>Dashboard!E38</f>
        <v>0</v>
      </c>
      <c r="E18" s="571">
        <f>Eff_space_heating_electric</f>
        <v>0</v>
      </c>
      <c r="F18" s="195">
        <v>1</v>
      </c>
      <c r="G18" s="313" t="e">
        <f t="shared" si="0"/>
        <v>#DIV/0!</v>
      </c>
      <c r="H18" s="295" t="e">
        <f t="shared" si="2"/>
        <v>#DIV/0!</v>
      </c>
      <c r="I18" s="312"/>
    </row>
    <row r="19" spans="2:9" ht="15" customHeight="1">
      <c r="B19" s="67"/>
      <c r="C19" s="17" t="str">
        <f>technical_specs!C19</f>
        <v>Gas-fired Heaters (space heating)</v>
      </c>
      <c r="D19" s="182">
        <f>Dashboard!E39</f>
        <v>0</v>
      </c>
      <c r="E19" s="571">
        <f>Eff_space_heating_gas</f>
        <v>0</v>
      </c>
      <c r="F19" s="195">
        <v>1</v>
      </c>
      <c r="G19" s="313" t="e">
        <f t="shared" si="0"/>
        <v>#DIV/0!</v>
      </c>
      <c r="H19" s="295" t="e">
        <f t="shared" si="2"/>
        <v>#DIV/0!</v>
      </c>
      <c r="I19" s="312"/>
    </row>
    <row r="20" spans="2:9">
      <c r="B20" s="67"/>
      <c r="C20" s="17" t="str">
        <f>technical_specs!C20</f>
        <v>Oil-fired Heaters (space heating)</v>
      </c>
      <c r="D20" s="182">
        <f>Dashboard!E40</f>
        <v>0</v>
      </c>
      <c r="E20" s="571">
        <f>Eff_space_heating_oil</f>
        <v>0</v>
      </c>
      <c r="F20" s="195">
        <v>1</v>
      </c>
      <c r="G20" s="313" t="e">
        <f t="shared" si="0"/>
        <v>#DIV/0!</v>
      </c>
      <c r="H20" s="295" t="e">
        <f t="shared" si="2"/>
        <v>#DIV/0!</v>
      </c>
      <c r="I20" s="312"/>
    </row>
    <row r="21" spans="2:9">
      <c r="B21" s="67"/>
      <c r="C21" s="17" t="str">
        <f>technical_specs!C21</f>
        <v>Coal-fired Heaters (space heating)</v>
      </c>
      <c r="D21" s="182">
        <f>Dashboard!E41</f>
        <v>0</v>
      </c>
      <c r="E21" s="571">
        <f>Eff_space_heating_coal</f>
        <v>0</v>
      </c>
      <c r="F21" s="195">
        <v>1</v>
      </c>
      <c r="G21" s="313" t="e">
        <f t="shared" si="0"/>
        <v>#DIV/0!</v>
      </c>
      <c r="H21" s="295" t="e">
        <f t="shared" si="2"/>
        <v>#DIV/0!</v>
      </c>
      <c r="I21" s="312"/>
    </row>
    <row r="22" spans="2:9">
      <c r="B22" s="67"/>
      <c r="C22" s="184" t="str">
        <f>technical_specs!C22</f>
        <v>electric heat pump add-on</v>
      </c>
      <c r="D22" s="182">
        <f>Dashboard!E42</f>
        <v>0</v>
      </c>
      <c r="E22" s="195" t="e">
        <f>Eff_space_heating_pump_add_on</f>
        <v>#DIV/0!</v>
      </c>
      <c r="F22" s="195">
        <v>1</v>
      </c>
      <c r="G22" s="313" t="e">
        <f t="shared" si="0"/>
        <v>#DIV/0!</v>
      </c>
      <c r="H22" s="295" t="e">
        <f t="shared" si="2"/>
        <v>#DIV/0!</v>
      </c>
      <c r="I22" s="312"/>
    </row>
    <row r="23" spans="2:9">
      <c r="B23" s="44"/>
      <c r="C23" s="10"/>
      <c r="D23" s="189"/>
      <c r="E23" s="573"/>
      <c r="F23" s="215"/>
      <c r="G23" s="315"/>
      <c r="H23" s="296"/>
      <c r="I23" s="312"/>
    </row>
    <row r="24" spans="2:9">
      <c r="B24" s="49" t="s">
        <v>305</v>
      </c>
      <c r="C24" s="8"/>
      <c r="D24" s="187"/>
      <c r="E24" s="572"/>
      <c r="F24" s="58"/>
      <c r="G24" s="314"/>
      <c r="H24" s="297"/>
      <c r="I24" s="312"/>
    </row>
    <row r="25" spans="2:9">
      <c r="B25" s="49"/>
      <c r="C25" s="17" t="str">
        <f>technical_specs!C26</f>
        <v>Condensing Combi Boiler (hot water)</v>
      </c>
      <c r="D25" s="182">
        <f>Dashboard!E46</f>
        <v>0</v>
      </c>
      <c r="E25" s="571">
        <f>Eff_hot_water_combi_boiler</f>
        <v>0</v>
      </c>
      <c r="F25" s="195">
        <v>1</v>
      </c>
      <c r="G25" s="313" t="e">
        <f t="shared" ref="G25:G36" si="3">D25/E25*F25</f>
        <v>#DIV/0!</v>
      </c>
      <c r="H25" s="295" t="e">
        <f>G25/SUM($G$25:$G$36)</f>
        <v>#DIV/0!</v>
      </c>
      <c r="I25" s="312"/>
    </row>
    <row r="26" spans="2:9">
      <c r="B26" s="49"/>
      <c r="C26" s="17" t="str">
        <f>technical_specs!C27</f>
        <v>Solar thermal panel (hot water)</v>
      </c>
      <c r="D26" s="182">
        <f>Dashboard!E47</f>
        <v>0</v>
      </c>
      <c r="E26" s="571">
        <f>Eff_hot_water_solar_thermal_panel</f>
        <v>0</v>
      </c>
      <c r="F26" s="195">
        <v>1</v>
      </c>
      <c r="G26" s="313" t="e">
        <f t="shared" si="3"/>
        <v>#DIV/0!</v>
      </c>
      <c r="H26" s="295" t="e">
        <f t="shared" ref="H26:H36" si="4">G26/SUM($G$25:$G$36)</f>
        <v>#DIV/0!</v>
      </c>
      <c r="I26" s="312"/>
    </row>
    <row r="27" spans="2:9">
      <c r="B27" s="49"/>
      <c r="C27" s="17" t="str">
        <f>technical_specs!C28</f>
        <v>Electric Heat Pump (ground) (hot water)</v>
      </c>
      <c r="D27" s="182">
        <f>Dashboard!E48</f>
        <v>0</v>
      </c>
      <c r="E27" s="571" t="e">
        <f>Eff_hot_water_pump_ground</f>
        <v>#DIV/0!</v>
      </c>
      <c r="F27" s="195">
        <v>1</v>
      </c>
      <c r="G27" s="313" t="e">
        <f t="shared" si="3"/>
        <v>#DIV/0!</v>
      </c>
      <c r="H27" s="295" t="e">
        <f t="shared" si="4"/>
        <v>#DIV/0!</v>
      </c>
      <c r="I27" s="312"/>
    </row>
    <row r="28" spans="2:9">
      <c r="B28" s="49"/>
      <c r="C28" s="17" t="str">
        <f>technical_specs!C29</f>
        <v>Micro CHP (gas-fired)) (hot water)</v>
      </c>
      <c r="D28" s="182">
        <f>Dashboard!E49</f>
        <v>0</v>
      </c>
      <c r="E28" s="571">
        <f>Eff_hot_water_micro_CHP</f>
        <v>0</v>
      </c>
      <c r="F28" s="195" t="e">
        <f>'Electricity producer Shares'!F12</f>
        <v>#DIV/0!</v>
      </c>
      <c r="G28" s="313" t="e">
        <f t="shared" si="3"/>
        <v>#DIV/0!</v>
      </c>
      <c r="H28" s="295" t="e">
        <f t="shared" si="4"/>
        <v>#DIV/0!</v>
      </c>
      <c r="I28" s="312"/>
    </row>
    <row r="29" spans="2:9">
      <c r="B29" s="67"/>
      <c r="C29" s="17" t="str">
        <f>technical_specs!C30</f>
        <v>District Heating (hot water)</v>
      </c>
      <c r="D29" s="182">
        <f>Dashboard!E50</f>
        <v>0</v>
      </c>
      <c r="E29" s="571">
        <f>Eff_hot_water_district</f>
        <v>0</v>
      </c>
      <c r="F29" s="195">
        <v>1</v>
      </c>
      <c r="G29" s="313" t="e">
        <f t="shared" si="3"/>
        <v>#DIV/0!</v>
      </c>
      <c r="H29" s="295" t="e">
        <f t="shared" si="4"/>
        <v>#DIV/0!</v>
      </c>
      <c r="I29" s="312"/>
    </row>
    <row r="30" spans="2:9">
      <c r="B30" s="67"/>
      <c r="C30" s="17" t="str">
        <f>technical_specs!C31</f>
        <v>electricity-driven Heat pump (air) (hot water)</v>
      </c>
      <c r="D30" s="182">
        <f>Dashboard!E51</f>
        <v>0</v>
      </c>
      <c r="E30" s="571" t="e">
        <f>Eff_hot_water_pump_air</f>
        <v>#DIV/0!</v>
      </c>
      <c r="F30" s="195">
        <v>1</v>
      </c>
      <c r="G30" s="313" t="e">
        <f t="shared" si="3"/>
        <v>#DIV/0!</v>
      </c>
      <c r="H30" s="295" t="e">
        <f t="shared" si="4"/>
        <v>#DIV/0!</v>
      </c>
      <c r="I30" s="312"/>
    </row>
    <row r="31" spans="2:9">
      <c r="B31" s="67"/>
      <c r="C31" s="17" t="str">
        <f>technical_specs!C32</f>
        <v>woodpellets (biomass) heaters (hot water)</v>
      </c>
      <c r="D31" s="182">
        <f>Dashboard!E52</f>
        <v>0</v>
      </c>
      <c r="E31" s="571">
        <f>Eff_hot_water_woodpellets</f>
        <v>0</v>
      </c>
      <c r="F31" s="195">
        <v>1</v>
      </c>
      <c r="G31" s="313" t="e">
        <f t="shared" si="3"/>
        <v>#DIV/0!</v>
      </c>
      <c r="H31" s="295" t="e">
        <f t="shared" si="4"/>
        <v>#DIV/0!</v>
      </c>
      <c r="I31" s="312"/>
    </row>
    <row r="32" spans="2:9">
      <c r="B32" s="67"/>
      <c r="C32" s="17" t="str">
        <f>technical_specs!C33</f>
        <v>Electric Heaters (resistance) (hot water)</v>
      </c>
      <c r="D32" s="182">
        <f>Dashboard!E53</f>
        <v>0</v>
      </c>
      <c r="E32" s="571">
        <f>Eff_hot_water_electric</f>
        <v>0</v>
      </c>
      <c r="F32" s="195">
        <v>1</v>
      </c>
      <c r="G32" s="313" t="e">
        <f t="shared" si="3"/>
        <v>#DIV/0!</v>
      </c>
      <c r="H32" s="295" t="e">
        <f t="shared" si="4"/>
        <v>#DIV/0!</v>
      </c>
      <c r="I32" s="312"/>
    </row>
    <row r="33" spans="2:9">
      <c r="B33" s="67"/>
      <c r="C33" s="17" t="str">
        <f>technical_specs!C34</f>
        <v>Gas-fired Heaters (hot water)</v>
      </c>
      <c r="D33" s="182">
        <f>Dashboard!E54</f>
        <v>0</v>
      </c>
      <c r="E33" s="571">
        <f>Eff_hot_water_gas</f>
        <v>0</v>
      </c>
      <c r="F33" s="195">
        <v>1</v>
      </c>
      <c r="G33" s="313" t="e">
        <f t="shared" si="3"/>
        <v>#DIV/0!</v>
      </c>
      <c r="H33" s="295" t="e">
        <f t="shared" si="4"/>
        <v>#DIV/0!</v>
      </c>
      <c r="I33" s="312"/>
    </row>
    <row r="34" spans="2:9">
      <c r="B34" s="67"/>
      <c r="C34" s="17" t="str">
        <f>technical_specs!C35</f>
        <v>Oil-fired Heaters (hot water)</v>
      </c>
      <c r="D34" s="182">
        <f>Dashboard!E55</f>
        <v>0</v>
      </c>
      <c r="E34" s="571">
        <f>Eff_hot_water_oil</f>
        <v>0</v>
      </c>
      <c r="F34" s="195">
        <v>1</v>
      </c>
      <c r="G34" s="313" t="e">
        <f t="shared" si="3"/>
        <v>#DIV/0!</v>
      </c>
      <c r="H34" s="295" t="e">
        <f t="shared" si="4"/>
        <v>#DIV/0!</v>
      </c>
      <c r="I34" s="312"/>
    </row>
    <row r="35" spans="2:9">
      <c r="B35" s="67"/>
      <c r="C35" s="17" t="str">
        <f>technical_specs!C36</f>
        <v>Coal-fired Heaters (hot water)</v>
      </c>
      <c r="D35" s="182">
        <f>Dashboard!E56</f>
        <v>0</v>
      </c>
      <c r="E35" s="571">
        <f>Eff_hot_water_coal</f>
        <v>0</v>
      </c>
      <c r="F35" s="195">
        <v>1</v>
      </c>
      <c r="G35" s="313" t="e">
        <f t="shared" si="3"/>
        <v>#DIV/0!</v>
      </c>
      <c r="H35" s="295" t="e">
        <f t="shared" si="4"/>
        <v>#DIV/0!</v>
      </c>
      <c r="I35" s="312"/>
    </row>
    <row r="36" spans="2:9">
      <c r="B36" s="67"/>
      <c r="C36" s="17" t="str">
        <f>technical_specs!C37</f>
        <v>Fuel Cell (hot water)</v>
      </c>
      <c r="D36" s="182">
        <f>Dashboard!E57</f>
        <v>0</v>
      </c>
      <c r="E36" s="571">
        <f>Eff_hot_water_fuel_cell</f>
        <v>0</v>
      </c>
      <c r="F36" s="195" t="e">
        <f>'Electricity producer Shares'!F13</f>
        <v>#DIV/0!</v>
      </c>
      <c r="G36" s="313" t="e">
        <f t="shared" si="3"/>
        <v>#DIV/0!</v>
      </c>
      <c r="H36" s="295" t="e">
        <f t="shared" si="4"/>
        <v>#DIV/0!</v>
      </c>
      <c r="I36" s="312"/>
    </row>
    <row r="37" spans="2:9">
      <c r="B37" s="31"/>
      <c r="C37" s="10"/>
      <c r="D37" s="189"/>
      <c r="E37" s="573"/>
      <c r="F37" s="190"/>
      <c r="G37" s="315"/>
      <c r="H37" s="296"/>
      <c r="I37" s="312"/>
    </row>
    <row r="38" spans="2:9">
      <c r="B38" s="48" t="s">
        <v>89</v>
      </c>
      <c r="C38" s="8"/>
      <c r="D38" s="187"/>
      <c r="E38" s="572"/>
      <c r="F38" s="188"/>
      <c r="G38" s="314"/>
      <c r="H38" s="297"/>
      <c r="I38" s="312"/>
    </row>
    <row r="39" spans="2:9">
      <c r="B39" s="67"/>
      <c r="C39" s="17" t="str">
        <f>technical_specs!C41</f>
        <v>Electric heat pump ground</v>
      </c>
      <c r="D39" s="182">
        <f>Dashboard!E61</f>
        <v>0</v>
      </c>
      <c r="E39" s="571" t="e">
        <f>Eff_cooling_pump_ground</f>
        <v>#DIV/0!</v>
      </c>
      <c r="F39" s="183"/>
      <c r="G39" s="313" t="e">
        <f>D39/E39</f>
        <v>#DIV/0!</v>
      </c>
      <c r="H39" s="295" t="e">
        <f>G39/SUM($G$39:$G$41)</f>
        <v>#DIV/0!</v>
      </c>
      <c r="I39" s="312"/>
    </row>
    <row r="40" spans="2:9">
      <c r="B40" s="67"/>
      <c r="C40" s="17" t="str">
        <f>technical_specs!C42</f>
        <v>Electric heat pump air</v>
      </c>
      <c r="D40" s="182">
        <f>Dashboard!E62</f>
        <v>0</v>
      </c>
      <c r="E40" s="571" t="e">
        <f>Eff_cooling_pump_air</f>
        <v>#DIV/0!</v>
      </c>
      <c r="F40" s="183"/>
      <c r="G40" s="313" t="e">
        <f>D40/E40</f>
        <v>#DIV/0!</v>
      </c>
      <c r="H40" s="295" t="e">
        <f t="shared" ref="H40:H41" si="5">G40/SUM($G$39:$G$41)</f>
        <v>#DIV/0!</v>
      </c>
      <c r="I40" s="312"/>
    </row>
    <row r="41" spans="2:9">
      <c r="B41" s="67"/>
      <c r="C41" s="17" t="str">
        <f>technical_specs!C43</f>
        <v>Conventional electric airconditioning</v>
      </c>
      <c r="D41" s="182">
        <f>Dashboard!E63</f>
        <v>0</v>
      </c>
      <c r="E41" s="571" t="e">
        <f>Eff_cooling_airco</f>
        <v>#DIV/0!</v>
      </c>
      <c r="F41" s="183"/>
      <c r="G41" s="313" t="e">
        <f>D41/E41</f>
        <v>#DIV/0!</v>
      </c>
      <c r="H41" s="295" t="e">
        <f t="shared" si="5"/>
        <v>#DIV/0!</v>
      </c>
      <c r="I41" s="312"/>
    </row>
    <row r="42" spans="2:9">
      <c r="B42" s="44"/>
      <c r="C42" s="10"/>
      <c r="D42" s="189"/>
      <c r="E42" s="573"/>
      <c r="F42" s="190"/>
      <c r="G42" s="315"/>
      <c r="H42" s="296"/>
      <c r="I42" s="312"/>
    </row>
    <row r="43" spans="2:9">
      <c r="B43" s="49" t="s">
        <v>282</v>
      </c>
      <c r="C43" s="8"/>
      <c r="D43" s="187"/>
      <c r="E43" s="572"/>
      <c r="F43" s="188"/>
      <c r="G43" s="314"/>
      <c r="H43" s="297"/>
      <c r="I43" s="312"/>
    </row>
    <row r="44" spans="2:9">
      <c r="B44" s="49"/>
      <c r="C44" s="17" t="str">
        <f>technical_specs!C46</f>
        <v>Gas stoves</v>
      </c>
      <c r="D44" s="182">
        <f>Dashboard!E73</f>
        <v>0</v>
      </c>
      <c r="E44" s="571">
        <f>Eff_cooking_gas</f>
        <v>0</v>
      </c>
      <c r="F44" s="183"/>
      <c r="G44" s="313" t="e">
        <f>D44/E44</f>
        <v>#DIV/0!</v>
      </c>
      <c r="H44" s="295" t="e">
        <f>G44/SUM($G$44:$G$48)</f>
        <v>#DIV/0!</v>
      </c>
      <c r="I44" s="312"/>
    </row>
    <row r="45" spans="2:9">
      <c r="B45" s="49"/>
      <c r="C45" s="17" t="str">
        <f>technical_specs!C47</f>
        <v>Electric stoves (resistance)</v>
      </c>
      <c r="D45" s="182">
        <f>Dashboard!E74</f>
        <v>0</v>
      </c>
      <c r="E45" s="571">
        <f>Eff_cooking_electric</f>
        <v>0</v>
      </c>
      <c r="F45" s="183"/>
      <c r="G45" s="313" t="e">
        <f>D45/E45</f>
        <v>#DIV/0!</v>
      </c>
      <c r="H45" s="295" t="e">
        <f t="shared" ref="H45:H48" si="6">G45/SUM($G$44:$G$48)</f>
        <v>#DIV/0!</v>
      </c>
      <c r="I45" s="312"/>
    </row>
    <row r="46" spans="2:9">
      <c r="B46" s="49"/>
      <c r="C46" s="17" t="str">
        <f>technical_specs!C48</f>
        <v>Electric halogen stoves</v>
      </c>
      <c r="D46" s="182">
        <f>Dashboard!E75</f>
        <v>0</v>
      </c>
      <c r="E46" s="571">
        <f>Eff_cooking_halogen</f>
        <v>0</v>
      </c>
      <c r="F46" s="183"/>
      <c r="G46" s="313" t="e">
        <f>D46/E46</f>
        <v>#DIV/0!</v>
      </c>
      <c r="H46" s="295" t="e">
        <f t="shared" si="6"/>
        <v>#DIV/0!</v>
      </c>
      <c r="I46" s="312"/>
    </row>
    <row r="47" spans="2:9">
      <c r="B47" s="49"/>
      <c r="C47" s="17" t="str">
        <f>technical_specs!C49</f>
        <v>Electric induction stoves</v>
      </c>
      <c r="D47" s="182">
        <f>Dashboard!E76</f>
        <v>0</v>
      </c>
      <c r="E47" s="571">
        <f>Eff_cooking_induction</f>
        <v>0</v>
      </c>
      <c r="F47" s="183"/>
      <c r="G47" s="313" t="e">
        <f>D47/E47</f>
        <v>#DIV/0!</v>
      </c>
      <c r="H47" s="295" t="e">
        <f t="shared" si="6"/>
        <v>#DIV/0!</v>
      </c>
      <c r="I47" s="312"/>
    </row>
    <row r="48" spans="2:9">
      <c r="B48" s="67"/>
      <c r="C48" s="17" t="str">
        <f>technical_specs!C50</f>
        <v>Biomass stoves</v>
      </c>
      <c r="D48" s="182">
        <f>Dashboard!E77</f>
        <v>0</v>
      </c>
      <c r="E48" s="571">
        <f>Eff_cooking_biomass</f>
        <v>0</v>
      </c>
      <c r="F48" s="183"/>
      <c r="G48" s="313" t="e">
        <f>D48/E48</f>
        <v>#DIV/0!</v>
      </c>
      <c r="H48" s="295" t="e">
        <f t="shared" si="6"/>
        <v>#DIV/0!</v>
      </c>
      <c r="I48" s="312"/>
    </row>
    <row r="49" spans="2:9">
      <c r="B49" s="118"/>
      <c r="C49" s="10"/>
      <c r="D49" s="189"/>
      <c r="E49" s="573"/>
      <c r="F49" s="190"/>
      <c r="G49" s="315"/>
      <c r="H49" s="296"/>
      <c r="I49" s="312"/>
    </row>
    <row r="50" spans="2:9">
      <c r="B50" s="38" t="s">
        <v>76</v>
      </c>
      <c r="C50" s="8"/>
      <c r="D50" s="187"/>
      <c r="E50" s="572"/>
      <c r="F50" s="188"/>
      <c r="G50" s="314"/>
      <c r="H50" s="297"/>
      <c r="I50" s="312"/>
    </row>
    <row r="51" spans="2:9">
      <c r="B51" s="67"/>
      <c r="C51" s="17" t="str">
        <f>technical_specs!C53</f>
        <v>Incandescent lamps</v>
      </c>
      <c r="D51" s="182">
        <f>Dashboard!E67</f>
        <v>0</v>
      </c>
      <c r="E51" s="571">
        <f>Eff_lighting_incandescent</f>
        <v>0</v>
      </c>
      <c r="F51" s="183"/>
      <c r="G51" s="313" t="e">
        <f>D51/E51</f>
        <v>#DIV/0!</v>
      </c>
      <c r="H51" s="295" t="e">
        <f>G51/SUM($G$51:$G$53)</f>
        <v>#DIV/0!</v>
      </c>
      <c r="I51" s="312"/>
    </row>
    <row r="52" spans="2:9">
      <c r="B52" s="67"/>
      <c r="C52" s="17" t="str">
        <f>technical_specs!C54</f>
        <v>Low energy light bulbs / fluorescent lighting</v>
      </c>
      <c r="D52" s="182">
        <f>Dashboard!E68</f>
        <v>0</v>
      </c>
      <c r="E52" s="571">
        <f>Eff_lighting_fluorescent</f>
        <v>0</v>
      </c>
      <c r="F52" s="183"/>
      <c r="G52" s="313" t="e">
        <f>D52/E52</f>
        <v>#DIV/0!</v>
      </c>
      <c r="H52" s="295" t="e">
        <f t="shared" ref="H52:H53" si="7">G52/SUM($G$51:$G$53)</f>
        <v>#DIV/0!</v>
      </c>
      <c r="I52" s="312"/>
    </row>
    <row r="53" spans="2:9">
      <c r="B53" s="67"/>
      <c r="C53" s="17" t="str">
        <f>technical_specs!C55</f>
        <v>LED lamps</v>
      </c>
      <c r="D53" s="182">
        <f>Dashboard!E69</f>
        <v>0</v>
      </c>
      <c r="E53" s="571">
        <f>Eff_lighting_led</f>
        <v>0</v>
      </c>
      <c r="F53" s="183"/>
      <c r="G53" s="313" t="e">
        <f>D53/E53</f>
        <v>#DIV/0!</v>
      </c>
      <c r="H53" s="295" t="e">
        <f t="shared" si="7"/>
        <v>#DIV/0!</v>
      </c>
      <c r="I53" s="312"/>
    </row>
    <row r="54" spans="2:9">
      <c r="B54" s="118"/>
      <c r="C54" s="10"/>
      <c r="D54" s="189"/>
      <c r="E54" s="190"/>
      <c r="F54" s="190"/>
      <c r="G54" s="315"/>
      <c r="H54" s="296"/>
      <c r="I54" s="31"/>
    </row>
    <row r="55" spans="2:9">
      <c r="B55" s="38" t="s">
        <v>564</v>
      </c>
      <c r="C55" s="8"/>
      <c r="D55" s="8"/>
      <c r="E55" s="8"/>
      <c r="F55" s="8"/>
      <c r="G55" s="23"/>
      <c r="H55" s="32"/>
      <c r="I55" s="31"/>
    </row>
    <row r="56" spans="2:9">
      <c r="B56" s="31"/>
      <c r="C56" s="184" t="s">
        <v>555</v>
      </c>
      <c r="D56" s="184"/>
      <c r="E56" s="184"/>
      <c r="F56" s="184"/>
      <c r="G56" s="186"/>
      <c r="H56" s="309">
        <f>Dashboard!E81</f>
        <v>0</v>
      </c>
      <c r="I56" s="31"/>
    </row>
    <row r="57" spans="2:9">
      <c r="B57" s="31"/>
      <c r="C57" s="184" t="s">
        <v>556</v>
      </c>
      <c r="D57" s="184"/>
      <c r="E57" s="184"/>
      <c r="F57" s="184"/>
      <c r="G57" s="186"/>
      <c r="H57" s="309">
        <f>Dashboard!E82</f>
        <v>0</v>
      </c>
      <c r="I57" s="31"/>
    </row>
    <row r="58" spans="2:9">
      <c r="B58" s="31"/>
      <c r="C58" s="184" t="s">
        <v>557</v>
      </c>
      <c r="D58" s="184"/>
      <c r="E58" s="184"/>
      <c r="F58" s="184"/>
      <c r="G58" s="186"/>
      <c r="H58" s="309">
        <f>Dashboard!E83</f>
        <v>0</v>
      </c>
      <c r="I58" s="31"/>
    </row>
    <row r="59" spans="2:9">
      <c r="B59" s="31"/>
      <c r="C59" s="184" t="s">
        <v>558</v>
      </c>
      <c r="D59" s="184"/>
      <c r="E59" s="184"/>
      <c r="F59" s="184"/>
      <c r="G59" s="186"/>
      <c r="H59" s="309">
        <f>Dashboard!E84</f>
        <v>0</v>
      </c>
      <c r="I59" s="31"/>
    </row>
    <row r="60" spans="2:9">
      <c r="B60" s="31"/>
      <c r="C60" s="184" t="s">
        <v>559</v>
      </c>
      <c r="D60" s="184"/>
      <c r="E60" s="184"/>
      <c r="F60" s="184"/>
      <c r="G60" s="186"/>
      <c r="H60" s="309">
        <f>Dashboard!E85</f>
        <v>0</v>
      </c>
      <c r="I60" s="31"/>
    </row>
    <row r="61" spans="2:9">
      <c r="B61" s="31"/>
      <c r="C61" s="184" t="s">
        <v>560</v>
      </c>
      <c r="D61" s="184"/>
      <c r="E61" s="184"/>
      <c r="F61" s="184"/>
      <c r="G61" s="186"/>
      <c r="H61" s="309">
        <f>Dashboard!E86</f>
        <v>0</v>
      </c>
      <c r="I61" s="31"/>
    </row>
    <row r="62" spans="2:9">
      <c r="B62" s="31"/>
      <c r="C62" s="184" t="s">
        <v>561</v>
      </c>
      <c r="D62" s="184"/>
      <c r="E62" s="184"/>
      <c r="F62" s="184"/>
      <c r="G62" s="186"/>
      <c r="H62" s="309">
        <f>Dashboard!E87</f>
        <v>0</v>
      </c>
      <c r="I62" s="31"/>
    </row>
    <row r="63" spans="2:9">
      <c r="B63" s="31"/>
      <c r="C63" s="184" t="s">
        <v>562</v>
      </c>
      <c r="D63" s="184"/>
      <c r="E63" s="184"/>
      <c r="F63" s="184"/>
      <c r="G63" s="186"/>
      <c r="H63" s="309">
        <f>Dashboard!E88</f>
        <v>0</v>
      </c>
      <c r="I63" s="31"/>
    </row>
    <row r="64" spans="2:9" ht="16" thickBot="1">
      <c r="B64" s="47"/>
      <c r="C64" s="77"/>
      <c r="D64" s="77"/>
      <c r="E64" s="77"/>
      <c r="F64" s="77"/>
      <c r="G64" s="77"/>
      <c r="H64" s="78"/>
      <c r="I64" s="31"/>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59999389629810485"/>
  </sheetPr>
  <dimension ref="A2:G21"/>
  <sheetViews>
    <sheetView workbookViewId="0">
      <selection activeCell="G12" sqref="G12"/>
    </sheetView>
  </sheetViews>
  <sheetFormatPr baseColWidth="10" defaultRowHeight="15" x14ac:dyDescent="0"/>
  <cols>
    <col min="1" max="1" width="10.83203125" style="1"/>
    <col min="2" max="2" width="38.5" style="1" customWidth="1"/>
    <col min="3" max="7" width="18.33203125" style="1" customWidth="1"/>
    <col min="8" max="16384" width="10.83203125" style="1"/>
  </cols>
  <sheetData>
    <row r="2" spans="1:7" ht="20">
      <c r="B2" s="2" t="s">
        <v>525</v>
      </c>
    </row>
    <row r="4" spans="1:7">
      <c r="B4" s="3" t="s">
        <v>79</v>
      </c>
      <c r="C4" s="5"/>
    </row>
    <row r="5" spans="1:7" ht="46" customHeight="1">
      <c r="B5" s="648" t="s">
        <v>588</v>
      </c>
      <c r="C5" s="649"/>
    </row>
    <row r="6" spans="1:7" ht="16" thickBot="1">
      <c r="A6" s="164"/>
      <c r="B6" s="164"/>
      <c r="C6" s="164"/>
      <c r="D6" s="164"/>
      <c r="E6" s="164"/>
    </row>
    <row r="7" spans="1:7">
      <c r="A7" s="164"/>
      <c r="B7" s="165" t="s">
        <v>642</v>
      </c>
      <c r="C7" s="166"/>
      <c r="D7" s="167"/>
      <c r="E7" s="166"/>
      <c r="F7" s="212"/>
      <c r="G7" s="213"/>
    </row>
    <row r="8" spans="1:7">
      <c r="A8" s="164"/>
      <c r="B8" s="79"/>
      <c r="C8" s="59"/>
      <c r="D8" s="160"/>
      <c r="E8" s="59"/>
      <c r="F8" s="66"/>
      <c r="G8" s="114"/>
    </row>
    <row r="9" spans="1:7" ht="60">
      <c r="A9" s="164"/>
      <c r="B9" s="64" t="str">
        <f>technical_specs!C8</f>
        <v>Technology</v>
      </c>
      <c r="C9" s="68" t="str">
        <f>technical_specs!J8</f>
        <v>Heating efficiency</v>
      </c>
      <c r="D9" s="68" t="str">
        <f>technical_specs!L8</f>
        <v>Electrical efficiency</v>
      </c>
      <c r="E9" s="68" t="s">
        <v>524</v>
      </c>
      <c r="F9" s="68" t="s">
        <v>525</v>
      </c>
      <c r="G9" s="214" t="s">
        <v>526</v>
      </c>
    </row>
    <row r="10" spans="1:7">
      <c r="A10" s="164"/>
      <c r="B10" s="169"/>
      <c r="C10" s="208"/>
      <c r="D10" s="208"/>
      <c r="E10" s="208"/>
      <c r="F10" s="8"/>
      <c r="G10" s="32"/>
    </row>
    <row r="11" spans="1:7">
      <c r="A11" s="164"/>
      <c r="B11" s="31" t="str">
        <f>technical_specs!C14</f>
        <v>Micro CHP (gas-fired)) (space heating)</v>
      </c>
      <c r="C11" s="211">
        <f>technical_specs!J14</f>
        <v>0</v>
      </c>
      <c r="D11" s="211">
        <f>technical_specs!L14</f>
        <v>0</v>
      </c>
      <c r="E11" s="211">
        <f>1-C11-D11</f>
        <v>1</v>
      </c>
      <c r="F11" s="298" t="e">
        <f>C11/($C11+$D11)</f>
        <v>#DIV/0!</v>
      </c>
      <c r="G11" s="295" t="e">
        <f>D11/($C11+$D11)</f>
        <v>#DIV/0!</v>
      </c>
    </row>
    <row r="12" spans="1:7">
      <c r="A12" s="164"/>
      <c r="B12" s="31" t="str">
        <f>technical_specs!C29</f>
        <v>Micro CHP (gas-fired)) (hot water)</v>
      </c>
      <c r="C12" s="211">
        <f>technical_specs!J29</f>
        <v>0</v>
      </c>
      <c r="D12" s="211">
        <f>technical_specs!L29</f>
        <v>0</v>
      </c>
      <c r="E12" s="211">
        <f t="shared" ref="E12:E13" si="0">1-C12-D12</f>
        <v>1</v>
      </c>
      <c r="F12" s="298" t="e">
        <f>C12/($C12+$D12)</f>
        <v>#DIV/0!</v>
      </c>
      <c r="G12" s="295" t="e">
        <f t="shared" ref="F12:G13" si="1">D12/($C12+$D12)</f>
        <v>#DIV/0!</v>
      </c>
    </row>
    <row r="13" spans="1:7">
      <c r="A13" s="164"/>
      <c r="B13" s="31" t="str">
        <f>technical_specs!C37</f>
        <v>Fuel Cell (hot water)</v>
      </c>
      <c r="C13" s="211">
        <f>technical_specs!J37</f>
        <v>0</v>
      </c>
      <c r="D13" s="211">
        <f>technical_specs!L37</f>
        <v>0</v>
      </c>
      <c r="E13" s="211">
        <f t="shared" si="0"/>
        <v>1</v>
      </c>
      <c r="F13" s="298" t="e">
        <f t="shared" si="1"/>
        <v>#DIV/0!</v>
      </c>
      <c r="G13" s="295" t="e">
        <f t="shared" si="1"/>
        <v>#DIV/0!</v>
      </c>
    </row>
    <row r="14" spans="1:7" ht="16" thickBot="1">
      <c r="A14" s="164"/>
      <c r="B14" s="80"/>
      <c r="C14" s="161"/>
      <c r="D14" s="161"/>
      <c r="E14" s="161"/>
      <c r="F14" s="205"/>
      <c r="G14" s="78"/>
    </row>
    <row r="15" spans="1:7">
      <c r="A15" s="164"/>
      <c r="B15" s="164"/>
      <c r="C15" s="164"/>
      <c r="D15" s="164"/>
      <c r="E15" s="164"/>
    </row>
    <row r="16" spans="1:7">
      <c r="A16" s="164"/>
      <c r="B16" s="164"/>
      <c r="C16" s="164"/>
      <c r="D16" s="164"/>
      <c r="E16" s="164"/>
    </row>
    <row r="17" spans="1:5">
      <c r="A17" s="164"/>
      <c r="B17" s="164"/>
      <c r="C17" s="164"/>
      <c r="D17" s="164"/>
      <c r="E17" s="164"/>
    </row>
    <row r="18" spans="1:5">
      <c r="A18" s="164"/>
      <c r="B18" s="164"/>
      <c r="C18" s="164"/>
      <c r="D18" s="164"/>
      <c r="E18" s="164"/>
    </row>
    <row r="19" spans="1:5">
      <c r="A19" s="164"/>
      <c r="B19" s="164"/>
      <c r="C19" s="164"/>
      <c r="D19" s="164"/>
      <c r="E19" s="164"/>
    </row>
    <row r="20" spans="1:5">
      <c r="A20" s="164"/>
      <c r="B20" s="164"/>
      <c r="C20" s="164"/>
      <c r="D20" s="164"/>
      <c r="E20" s="164"/>
    </row>
    <row r="21" spans="1:5">
      <c r="A21" s="164"/>
      <c r="B21" s="164"/>
      <c r="C21" s="164"/>
      <c r="D21" s="164"/>
      <c r="E21" s="164"/>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39997558519241921"/>
  </sheetPr>
  <dimension ref="B2:M28"/>
  <sheetViews>
    <sheetView workbookViewId="0">
      <selection activeCell="C17" sqref="C17"/>
    </sheetView>
  </sheetViews>
  <sheetFormatPr baseColWidth="10" defaultRowHeight="15" x14ac:dyDescent="0"/>
  <cols>
    <col min="1" max="1" width="10.83203125" style="112"/>
    <col min="2" max="2" width="27.83203125" style="112" bestFit="1" customWidth="1"/>
    <col min="3" max="3" width="18.5" style="112" customWidth="1"/>
    <col min="4" max="4" width="24" style="112" customWidth="1"/>
    <col min="5" max="5" width="28.33203125" style="112" customWidth="1"/>
    <col min="6" max="6" width="24.33203125" style="112" customWidth="1"/>
    <col min="7" max="7" width="19.5" style="112" customWidth="1"/>
    <col min="8" max="8" width="26.33203125" style="112" customWidth="1"/>
    <col min="9" max="9" width="23.1640625" style="112" customWidth="1"/>
    <col min="10" max="10" width="25" style="112" customWidth="1"/>
    <col min="11" max="11" width="18.5" style="112" customWidth="1"/>
    <col min="12" max="12" width="25.5" style="112" customWidth="1"/>
    <col min="13" max="16384" width="10.83203125" style="112"/>
  </cols>
  <sheetData>
    <row r="2" spans="2:13" ht="20">
      <c r="B2" s="63" t="s">
        <v>222</v>
      </c>
      <c r="C2" s="8"/>
      <c r="D2" s="8"/>
      <c r="E2" s="8"/>
      <c r="F2" s="8"/>
      <c r="G2" s="8"/>
    </row>
    <row r="3" spans="2:13">
      <c r="B3" s="1"/>
      <c r="C3" s="8"/>
      <c r="D3" s="8"/>
      <c r="E3" s="8"/>
      <c r="F3" s="8"/>
      <c r="G3" s="8"/>
    </row>
    <row r="4" spans="2:13">
      <c r="B4" s="3" t="s">
        <v>79</v>
      </c>
      <c r="C4" s="4"/>
      <c r="D4" s="4"/>
      <c r="E4" s="4"/>
      <c r="F4" s="4"/>
      <c r="G4" s="5"/>
    </row>
    <row r="5" spans="2:13" ht="45" customHeight="1">
      <c r="B5" s="648" t="s">
        <v>228</v>
      </c>
      <c r="C5" s="658"/>
      <c r="D5" s="658"/>
      <c r="E5" s="658"/>
      <c r="F5" s="658"/>
      <c r="G5" s="649"/>
    </row>
    <row r="6" spans="2:13" ht="16" thickBot="1"/>
    <row r="7" spans="2:13">
      <c r="B7" s="133" t="s">
        <v>184</v>
      </c>
      <c r="C7" s="29"/>
      <c r="D7" s="52"/>
      <c r="E7" s="52"/>
      <c r="F7" s="52"/>
      <c r="G7" s="52"/>
      <c r="H7" s="52"/>
      <c r="I7" s="52"/>
      <c r="J7" s="52"/>
      <c r="K7" s="474"/>
      <c r="L7" s="30"/>
    </row>
    <row r="8" spans="2:13">
      <c r="B8" s="134"/>
      <c r="C8" s="8"/>
      <c r="D8" s="8"/>
      <c r="E8" s="8"/>
      <c r="F8" s="8"/>
      <c r="G8" s="8"/>
      <c r="H8" s="8"/>
      <c r="I8" s="8"/>
      <c r="J8" s="8"/>
      <c r="K8" s="134"/>
      <c r="L8" s="32"/>
    </row>
    <row r="9" spans="2:13" ht="30">
      <c r="B9" s="135" t="s">
        <v>285</v>
      </c>
      <c r="C9" s="65" t="s">
        <v>206</v>
      </c>
      <c r="D9" s="65" t="s">
        <v>207</v>
      </c>
      <c r="E9" s="65" t="s">
        <v>208</v>
      </c>
      <c r="F9" s="65" t="s">
        <v>400</v>
      </c>
      <c r="G9" s="65" t="s">
        <v>105</v>
      </c>
      <c r="H9" s="65" t="s">
        <v>78</v>
      </c>
      <c r="I9" s="65" t="s">
        <v>106</v>
      </c>
      <c r="J9" s="65" t="s">
        <v>107</v>
      </c>
      <c r="K9" s="475" t="s">
        <v>576</v>
      </c>
      <c r="L9" s="113" t="s">
        <v>579</v>
      </c>
    </row>
    <row r="10" spans="2:13">
      <c r="B10" s="136"/>
      <c r="C10" s="66"/>
      <c r="D10" s="66"/>
      <c r="E10" s="66"/>
      <c r="F10" s="66"/>
      <c r="G10" s="66"/>
      <c r="H10" s="66"/>
      <c r="I10" s="66"/>
      <c r="J10" s="66"/>
      <c r="K10" s="476"/>
      <c r="L10" s="114"/>
    </row>
    <row r="11" spans="2:13" ht="30">
      <c r="B11" s="406" t="s">
        <v>211</v>
      </c>
      <c r="C11" s="363">
        <f>SUM('Corrected energy balance step 2'!C82:N82)+'Corrected energy balance step 2'!S82</f>
        <v>0</v>
      </c>
      <c r="D11" s="363">
        <f>'Corrected energy balance step 2'!T82+'Corrected energy balance step 2'!AV82</f>
        <v>0</v>
      </c>
      <c r="E11" s="363">
        <f>SUM('Corrected energy balance step 2'!U82:AQ82)</f>
        <v>0</v>
      </c>
      <c r="F11" s="363">
        <f>'Corrected energy balance step 2'!AU82+'Corrected energy balance step 2'!AZ82</f>
        <v>0</v>
      </c>
      <c r="G11" s="363">
        <f>'Corrected energy balance step 2'!BH82</f>
        <v>0</v>
      </c>
      <c r="H11" s="363">
        <f>SUM('Corrected energy balance step 2'!O82:R82,'Corrected energy balance step 2'!AR82:AT82,'Corrected energy balance step 2'!AV82:AZ82,,'Corrected energy balance step 2'!BB82:BE82,'Corrected energy balance step 2'!BF82:BG82,'Corrected energy balance step 2'!BI82:BK82)</f>
        <v>0</v>
      </c>
      <c r="I11" s="363">
        <f>'Corrected energy balance step 2'!BL82</f>
        <v>0</v>
      </c>
      <c r="J11" s="363">
        <f>'Corrected energy balance step 2'!BM82</f>
        <v>0</v>
      </c>
      <c r="K11" s="477">
        <f>SUM(C11:J11)</f>
        <v>0</v>
      </c>
      <c r="L11" s="471">
        <f>'Corrected energy balance step 2'!BN82</f>
        <v>0</v>
      </c>
      <c r="M11" s="151"/>
    </row>
    <row r="12" spans="2:13" s="371" customFormat="1" ht="27" customHeight="1">
      <c r="B12" s="152" t="s">
        <v>375</v>
      </c>
      <c r="C12" s="372" t="s">
        <v>379</v>
      </c>
      <c r="D12" s="372" t="s">
        <v>376</v>
      </c>
      <c r="E12" s="372" t="s">
        <v>380</v>
      </c>
      <c r="F12" s="372" t="s">
        <v>381</v>
      </c>
      <c r="G12" s="372" t="s">
        <v>378</v>
      </c>
      <c r="H12" s="372" t="s">
        <v>382</v>
      </c>
      <c r="I12" s="541" t="s">
        <v>377</v>
      </c>
      <c r="J12" s="372" t="s">
        <v>383</v>
      </c>
      <c r="K12" s="478"/>
      <c r="L12" s="472" t="s">
        <v>384</v>
      </c>
      <c r="M12" s="370"/>
    </row>
    <row r="13" spans="2:13" ht="16" thickBot="1">
      <c r="B13" s="137"/>
      <c r="C13" s="115"/>
      <c r="D13" s="115"/>
      <c r="E13" s="115"/>
      <c r="F13" s="115"/>
      <c r="G13" s="115"/>
      <c r="H13" s="115"/>
      <c r="I13" s="115"/>
      <c r="J13" s="115"/>
      <c r="K13" s="479"/>
      <c r="L13" s="473"/>
    </row>
    <row r="16" spans="2:13">
      <c r="K16" s="365" t="s">
        <v>577</v>
      </c>
      <c r="L16" s="366"/>
    </row>
    <row r="17" spans="2:12">
      <c r="K17" s="367" t="s">
        <v>578</v>
      </c>
      <c r="L17" s="368"/>
    </row>
    <row r="18" spans="2:12">
      <c r="K18" s="367" t="str">
        <f>"- total demand of aggregated carriers"</f>
        <v>- total demand of aggregated carriers</v>
      </c>
      <c r="L18" s="368"/>
    </row>
    <row r="19" spans="2:12">
      <c r="K19" s="367" t="str">
        <f>"- total demand in energy balance (IEA)"</f>
        <v>- total demand in energy balance (IEA)</v>
      </c>
      <c r="L19" s="368"/>
    </row>
    <row r="20" spans="2:12">
      <c r="K20" s="367" t="s">
        <v>580</v>
      </c>
      <c r="L20" s="368"/>
    </row>
    <row r="21" spans="2:12">
      <c r="K21" s="367" t="s">
        <v>583</v>
      </c>
      <c r="L21" s="368"/>
    </row>
    <row r="22" spans="2:12">
      <c r="K22" s="367"/>
      <c r="L22" s="368"/>
    </row>
    <row r="23" spans="2:12">
      <c r="K23" s="369" t="s">
        <v>581</v>
      </c>
      <c r="L23" s="393">
        <f>K11-Final_demand_residences</f>
        <v>0</v>
      </c>
    </row>
    <row r="24" spans="2:12" ht="78" customHeight="1">
      <c r="B24" s="467"/>
      <c r="C24" s="467"/>
      <c r="K24" s="659" t="s">
        <v>811</v>
      </c>
      <c r="L24" s="660"/>
    </row>
    <row r="25" spans="2:12">
      <c r="B25" s="467"/>
      <c r="C25" s="467"/>
    </row>
    <row r="26" spans="2:12">
      <c r="B26" s="467"/>
      <c r="C26" s="467"/>
      <c r="D26" s="467"/>
    </row>
    <row r="27" spans="2:12">
      <c r="I27" s="8"/>
    </row>
    <row r="28" spans="2:12">
      <c r="K28" s="468"/>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8" tint="0.59999389629810485"/>
  </sheetPr>
  <dimension ref="A2:M66"/>
  <sheetViews>
    <sheetView workbookViewId="0">
      <selection activeCell="K18" sqref="K18"/>
    </sheetView>
  </sheetViews>
  <sheetFormatPr baseColWidth="10" defaultRowHeight="15" x14ac:dyDescent="0"/>
  <cols>
    <col min="1" max="1" width="10.83203125" style="1"/>
    <col min="2" max="2" width="21.6640625" style="1" customWidth="1"/>
    <col min="3" max="3" width="41.1640625" style="1" bestFit="1" customWidth="1"/>
    <col min="4" max="8" width="23.33203125" style="1" customWidth="1"/>
    <col min="9" max="16384" width="10.83203125" style="1"/>
  </cols>
  <sheetData>
    <row r="2" spans="1:13" ht="20">
      <c r="B2" s="2" t="s">
        <v>721</v>
      </c>
    </row>
    <row r="4" spans="1:13">
      <c r="B4" s="3" t="s">
        <v>79</v>
      </c>
      <c r="C4" s="4"/>
      <c r="D4" s="5"/>
    </row>
    <row r="5" spans="1:13" ht="38" customHeight="1">
      <c r="B5" s="648" t="s">
        <v>533</v>
      </c>
      <c r="C5" s="658"/>
      <c r="D5" s="649"/>
    </row>
    <row r="6" spans="1:13" ht="16" thickBot="1">
      <c r="A6" s="164"/>
      <c r="B6" s="164"/>
      <c r="C6" s="164"/>
      <c r="D6" s="164"/>
      <c r="E6" s="164"/>
      <c r="F6" s="164"/>
      <c r="G6" s="164"/>
      <c r="H6" s="164"/>
    </row>
    <row r="7" spans="1:13">
      <c r="A7" s="164"/>
      <c r="B7" s="165" t="s">
        <v>644</v>
      </c>
      <c r="C7" s="166"/>
      <c r="D7" s="167"/>
      <c r="E7" s="167"/>
      <c r="F7" s="166"/>
      <c r="G7" s="166"/>
      <c r="H7" s="217"/>
    </row>
    <row r="8" spans="1:13">
      <c r="A8" s="164"/>
      <c r="B8" s="79"/>
      <c r="C8" s="59"/>
      <c r="D8" s="160"/>
      <c r="E8" s="160"/>
      <c r="F8" s="59"/>
      <c r="G8" s="59"/>
      <c r="H8" s="407"/>
    </row>
    <row r="9" spans="1:13" ht="60">
      <c r="A9" s="164"/>
      <c r="B9" s="168"/>
      <c r="C9" s="208" t="s">
        <v>183</v>
      </c>
      <c r="D9" s="218" t="s">
        <v>466</v>
      </c>
      <c r="E9" s="218" t="s">
        <v>645</v>
      </c>
      <c r="F9" s="218" t="s">
        <v>215</v>
      </c>
      <c r="G9" s="218" t="s">
        <v>646</v>
      </c>
      <c r="H9" s="219" t="s">
        <v>565</v>
      </c>
    </row>
    <row r="10" spans="1:13">
      <c r="A10" s="164"/>
      <c r="B10" s="170" t="s">
        <v>77</v>
      </c>
      <c r="C10" s="271"/>
      <c r="D10" s="287"/>
      <c r="E10" s="287"/>
      <c r="F10" s="287"/>
      <c r="G10" s="287"/>
      <c r="H10" s="288"/>
    </row>
    <row r="11" spans="1:13">
      <c r="A11" s="164"/>
      <c r="B11" s="170"/>
      <c r="C11" s="17" t="str">
        <f>'Technology split final demand'!C11</f>
        <v>Condensing Combi Boiler (space heating)</v>
      </c>
      <c r="D11" s="283" t="e">
        <f>'Technology split final demand'!H11</f>
        <v>#DIV/0!</v>
      </c>
      <c r="E11" s="284" t="e">
        <f t="shared" ref="E11:E22" si="0">Final_demand_space_heating*D11</f>
        <v>#DIV/0!</v>
      </c>
      <c r="F11" s="283">
        <f>technical_specs!M11</f>
        <v>0</v>
      </c>
      <c r="G11" s="542" t="e">
        <f>F11*E11</f>
        <v>#DIV/0!</v>
      </c>
      <c r="H11" s="543" t="e">
        <f t="shared" ref="H11:H22" si="1">G11/SUM($G$11:$G$22)</f>
        <v>#DIV/0!</v>
      </c>
      <c r="K11" s="164"/>
      <c r="M11" s="220"/>
    </row>
    <row r="12" spans="1:13">
      <c r="A12" s="164"/>
      <c r="B12" s="170"/>
      <c r="C12" s="17" t="str">
        <f>'Technology split final demand'!C12</f>
        <v>Solar thermal panel (space heating)</v>
      </c>
      <c r="D12" s="283" t="e">
        <f>'Technology split final demand'!H12</f>
        <v>#DIV/0!</v>
      </c>
      <c r="E12" s="284" t="e">
        <f t="shared" si="0"/>
        <v>#DIV/0!</v>
      </c>
      <c r="F12" s="283">
        <f>technical_specs!M12</f>
        <v>0</v>
      </c>
      <c r="G12" s="544" t="e">
        <f t="shared" ref="G12:G43" si="2">F12*E12</f>
        <v>#DIV/0!</v>
      </c>
      <c r="H12" s="242" t="e">
        <f t="shared" si="1"/>
        <v>#DIV/0!</v>
      </c>
      <c r="K12" s="164"/>
      <c r="M12" s="220"/>
    </row>
    <row r="13" spans="1:13">
      <c r="A13" s="164"/>
      <c r="B13" s="170"/>
      <c r="C13" s="17" t="str">
        <f>'Technology split final demand'!C13</f>
        <v>Electric Heat Pump (ground) (space heating)</v>
      </c>
      <c r="D13" s="283" t="e">
        <f>'Technology split final demand'!H13</f>
        <v>#DIV/0!</v>
      </c>
      <c r="E13" s="284" t="e">
        <f t="shared" si="0"/>
        <v>#DIV/0!</v>
      </c>
      <c r="F13" s="283" t="e">
        <f>technical_specs!M13</f>
        <v>#DIV/0!</v>
      </c>
      <c r="G13" s="544" t="e">
        <f t="shared" si="2"/>
        <v>#DIV/0!</v>
      </c>
      <c r="H13" s="242" t="e">
        <f t="shared" si="1"/>
        <v>#DIV/0!</v>
      </c>
      <c r="K13" s="164"/>
      <c r="M13" s="220"/>
    </row>
    <row r="14" spans="1:13">
      <c r="A14" s="164"/>
      <c r="B14" s="170"/>
      <c r="C14" s="17" t="str">
        <f>'Technology split final demand'!C14</f>
        <v>Micro CHP (gas-fired)) (space heating)</v>
      </c>
      <c r="D14" s="283" t="e">
        <f>'Technology split final demand'!H14</f>
        <v>#DIV/0!</v>
      </c>
      <c r="E14" s="284" t="e">
        <f t="shared" si="0"/>
        <v>#DIV/0!</v>
      </c>
      <c r="F14" s="283">
        <f>technical_specs!M14</f>
        <v>0</v>
      </c>
      <c r="G14" s="544" t="e">
        <f t="shared" si="2"/>
        <v>#DIV/0!</v>
      </c>
      <c r="H14" s="242" t="e">
        <f t="shared" si="1"/>
        <v>#DIV/0!</v>
      </c>
      <c r="K14" s="164"/>
      <c r="M14" s="220"/>
    </row>
    <row r="15" spans="1:13">
      <c r="A15" s="164"/>
      <c r="B15" s="170"/>
      <c r="C15" s="17" t="str">
        <f>'Technology split final demand'!C15</f>
        <v>District Heating (space heating)</v>
      </c>
      <c r="D15" s="283" t="e">
        <f>'Technology split final demand'!H15</f>
        <v>#DIV/0!</v>
      </c>
      <c r="E15" s="284" t="e">
        <f t="shared" si="0"/>
        <v>#DIV/0!</v>
      </c>
      <c r="F15" s="283">
        <f>technical_specs!M15</f>
        <v>0</v>
      </c>
      <c r="G15" s="544" t="e">
        <f t="shared" si="2"/>
        <v>#DIV/0!</v>
      </c>
      <c r="H15" s="242" t="e">
        <f t="shared" si="1"/>
        <v>#DIV/0!</v>
      </c>
      <c r="K15" s="164"/>
      <c r="M15" s="220"/>
    </row>
    <row r="16" spans="1:13">
      <c r="A16" s="164"/>
      <c r="B16" s="171"/>
      <c r="C16" s="17" t="str">
        <f>'Technology split final demand'!C16</f>
        <v>electricity-driven Heat pump (air) (space heating)</v>
      </c>
      <c r="D16" s="283" t="e">
        <f>'Technology split final demand'!H16</f>
        <v>#DIV/0!</v>
      </c>
      <c r="E16" s="284" t="e">
        <f t="shared" si="0"/>
        <v>#DIV/0!</v>
      </c>
      <c r="F16" s="283" t="e">
        <f>technical_specs!M16</f>
        <v>#DIV/0!</v>
      </c>
      <c r="G16" s="544" t="e">
        <f t="shared" si="2"/>
        <v>#DIV/0!</v>
      </c>
      <c r="H16" s="242" t="e">
        <f t="shared" si="1"/>
        <v>#DIV/0!</v>
      </c>
      <c r="K16" s="164"/>
      <c r="M16" s="220"/>
    </row>
    <row r="17" spans="1:13">
      <c r="A17" s="164"/>
      <c r="B17" s="171"/>
      <c r="C17" s="17" t="str">
        <f>'Technology split final demand'!C17</f>
        <v>woodpellets (biomass) heaters (space heating)</v>
      </c>
      <c r="D17" s="283" t="e">
        <f>'Technology split final demand'!H17</f>
        <v>#DIV/0!</v>
      </c>
      <c r="E17" s="284" t="e">
        <f t="shared" si="0"/>
        <v>#DIV/0!</v>
      </c>
      <c r="F17" s="283">
        <f>technical_specs!M17</f>
        <v>0</v>
      </c>
      <c r="G17" s="544" t="e">
        <f t="shared" si="2"/>
        <v>#DIV/0!</v>
      </c>
      <c r="H17" s="242" t="e">
        <f t="shared" si="1"/>
        <v>#DIV/0!</v>
      </c>
      <c r="K17" s="164"/>
      <c r="M17" s="220"/>
    </row>
    <row r="18" spans="1:13">
      <c r="A18" s="164"/>
      <c r="B18" s="171"/>
      <c r="C18" s="17" t="str">
        <f>'Technology split final demand'!C18</f>
        <v>Electric Heaters (resistance) (space heating)</v>
      </c>
      <c r="D18" s="283" t="e">
        <f>'Technology split final demand'!H18</f>
        <v>#DIV/0!</v>
      </c>
      <c r="E18" s="284" t="e">
        <f t="shared" si="0"/>
        <v>#DIV/0!</v>
      </c>
      <c r="F18" s="283">
        <f>technical_specs!M18</f>
        <v>0</v>
      </c>
      <c r="G18" s="544" t="e">
        <f t="shared" si="2"/>
        <v>#DIV/0!</v>
      </c>
      <c r="H18" s="242" t="e">
        <f t="shared" si="1"/>
        <v>#DIV/0!</v>
      </c>
      <c r="K18" s="164"/>
      <c r="M18" s="220"/>
    </row>
    <row r="19" spans="1:13">
      <c r="A19" s="164"/>
      <c r="B19" s="171"/>
      <c r="C19" s="17" t="str">
        <f>'Technology split final demand'!C19</f>
        <v>Gas-fired Heaters (space heating)</v>
      </c>
      <c r="D19" s="283" t="e">
        <f>'Technology split final demand'!H19</f>
        <v>#DIV/0!</v>
      </c>
      <c r="E19" s="284" t="e">
        <f t="shared" si="0"/>
        <v>#DIV/0!</v>
      </c>
      <c r="F19" s="283">
        <f>technical_specs!M19</f>
        <v>0</v>
      </c>
      <c r="G19" s="544" t="e">
        <f t="shared" si="2"/>
        <v>#DIV/0!</v>
      </c>
      <c r="H19" s="242" t="e">
        <f t="shared" si="1"/>
        <v>#DIV/0!</v>
      </c>
      <c r="K19" s="164"/>
      <c r="M19" s="220"/>
    </row>
    <row r="20" spans="1:13">
      <c r="A20" s="164"/>
      <c r="B20" s="171"/>
      <c r="C20" s="17" t="str">
        <f>'Technology split final demand'!C20</f>
        <v>Oil-fired Heaters (space heating)</v>
      </c>
      <c r="D20" s="283" t="e">
        <f>'Technology split final demand'!H20</f>
        <v>#DIV/0!</v>
      </c>
      <c r="E20" s="284" t="e">
        <f t="shared" si="0"/>
        <v>#DIV/0!</v>
      </c>
      <c r="F20" s="283">
        <f>technical_specs!M20</f>
        <v>0</v>
      </c>
      <c r="G20" s="544" t="e">
        <f t="shared" si="2"/>
        <v>#DIV/0!</v>
      </c>
      <c r="H20" s="242" t="e">
        <f t="shared" si="1"/>
        <v>#DIV/0!</v>
      </c>
      <c r="J20" s="220"/>
      <c r="K20" s="220"/>
      <c r="L20" s="220"/>
      <c r="M20" s="220"/>
    </row>
    <row r="21" spans="1:13">
      <c r="A21" s="164"/>
      <c r="B21" s="171"/>
      <c r="C21" s="17" t="str">
        <f>'Technology split final demand'!C21</f>
        <v>Coal-fired Heaters (space heating)</v>
      </c>
      <c r="D21" s="283" t="e">
        <f>'Technology split final demand'!H21</f>
        <v>#DIV/0!</v>
      </c>
      <c r="E21" s="284" t="e">
        <f t="shared" si="0"/>
        <v>#DIV/0!</v>
      </c>
      <c r="F21" s="283">
        <f>technical_specs!M21</f>
        <v>0</v>
      </c>
      <c r="G21" s="544" t="e">
        <f t="shared" si="2"/>
        <v>#DIV/0!</v>
      </c>
      <c r="H21" s="242" t="e">
        <f t="shared" si="1"/>
        <v>#DIV/0!</v>
      </c>
      <c r="J21" s="220"/>
      <c r="K21" s="220"/>
      <c r="L21" s="220"/>
      <c r="M21" s="220"/>
    </row>
    <row r="22" spans="1:13">
      <c r="A22" s="164"/>
      <c r="B22" s="171"/>
      <c r="C22" s="45" t="str">
        <f>'Technology split final demand'!C22</f>
        <v>electric heat pump add-on</v>
      </c>
      <c r="D22" s="285" t="e">
        <f>'Technology split final demand'!H22</f>
        <v>#DIV/0!</v>
      </c>
      <c r="E22" s="286" t="e">
        <f t="shared" si="0"/>
        <v>#DIV/0!</v>
      </c>
      <c r="F22" s="285" t="e">
        <f>technical_specs!M22</f>
        <v>#DIV/0!</v>
      </c>
      <c r="G22" s="545" t="e">
        <f t="shared" si="2"/>
        <v>#DIV/0!</v>
      </c>
      <c r="H22" s="290" t="e">
        <f t="shared" si="1"/>
        <v>#DIV/0!</v>
      </c>
      <c r="J22" s="220"/>
      <c r="K22" s="220"/>
      <c r="L22" s="220"/>
      <c r="M22" s="220"/>
    </row>
    <row r="23" spans="1:13">
      <c r="A23" s="164"/>
      <c r="B23" s="171"/>
      <c r="D23" s="281"/>
      <c r="E23" s="281"/>
      <c r="F23" s="281"/>
      <c r="G23" s="281"/>
      <c r="H23" s="282"/>
      <c r="J23" s="220"/>
      <c r="K23" s="220"/>
      <c r="L23" s="220"/>
      <c r="M23" s="220"/>
    </row>
    <row r="24" spans="1:13">
      <c r="A24" s="164"/>
      <c r="B24" s="172"/>
      <c r="C24" s="173"/>
      <c r="D24" s="245"/>
      <c r="E24" s="245"/>
      <c r="F24" s="245"/>
      <c r="G24" s="245"/>
      <c r="H24" s="240"/>
      <c r="J24" s="220"/>
      <c r="K24" s="220"/>
      <c r="L24" s="220"/>
      <c r="M24" s="220"/>
    </row>
    <row r="25" spans="1:13">
      <c r="A25" s="164"/>
      <c r="B25" s="170" t="s">
        <v>305</v>
      </c>
      <c r="C25" s="173"/>
      <c r="D25" s="245"/>
      <c r="E25" s="245"/>
      <c r="F25" s="245"/>
      <c r="G25" s="245"/>
      <c r="H25" s="240"/>
      <c r="J25" s="220"/>
      <c r="K25" s="220"/>
      <c r="L25" s="220"/>
      <c r="M25" s="220"/>
    </row>
    <row r="26" spans="1:13">
      <c r="A26" s="164"/>
      <c r="B26" s="170"/>
      <c r="C26" s="216" t="str">
        <f>'Technology split final demand'!C25</f>
        <v>Condensing Combi Boiler (hot water)</v>
      </c>
      <c r="D26" s="243" t="e">
        <f>'Technology split final demand'!H25</f>
        <v>#DIV/0!</v>
      </c>
      <c r="E26" s="244" t="e">
        <f t="shared" ref="E26:E37" si="3">Final_demand_hot_water*D26</f>
        <v>#DIV/0!</v>
      </c>
      <c r="F26" s="283">
        <f>technical_specs!M26</f>
        <v>0</v>
      </c>
      <c r="G26" s="241" t="e">
        <f t="shared" si="2"/>
        <v>#DIV/0!</v>
      </c>
      <c r="H26" s="242" t="e">
        <f>G26/SUM($G$26:$G$37)</f>
        <v>#DIV/0!</v>
      </c>
      <c r="J26" s="220"/>
      <c r="K26" s="220"/>
      <c r="L26" s="220"/>
      <c r="M26" s="220"/>
    </row>
    <row r="27" spans="1:13">
      <c r="A27" s="164"/>
      <c r="B27" s="170"/>
      <c r="C27" s="216" t="str">
        <f>'Technology split final demand'!C26</f>
        <v>Solar thermal panel (hot water)</v>
      </c>
      <c r="D27" s="243" t="e">
        <f>'Technology split final demand'!H26</f>
        <v>#DIV/0!</v>
      </c>
      <c r="E27" s="244" t="e">
        <f t="shared" si="3"/>
        <v>#DIV/0!</v>
      </c>
      <c r="F27" s="283">
        <f>technical_specs!M27</f>
        <v>0</v>
      </c>
      <c r="G27" s="241" t="e">
        <f t="shared" si="2"/>
        <v>#DIV/0!</v>
      </c>
      <c r="H27" s="242" t="e">
        <f t="shared" ref="H27:H37" si="4">G27/SUM($G$26:$G$37)</f>
        <v>#DIV/0!</v>
      </c>
      <c r="J27" s="220"/>
      <c r="K27" s="220"/>
      <c r="L27" s="220"/>
      <c r="M27" s="220"/>
    </row>
    <row r="28" spans="1:13">
      <c r="A28" s="164"/>
      <c r="B28" s="170"/>
      <c r="C28" s="216" t="str">
        <f>'Technology split final demand'!C27</f>
        <v>Electric Heat Pump (ground) (hot water)</v>
      </c>
      <c r="D28" s="243" t="e">
        <f>'Technology split final demand'!H27</f>
        <v>#DIV/0!</v>
      </c>
      <c r="E28" s="244" t="e">
        <f t="shared" si="3"/>
        <v>#DIV/0!</v>
      </c>
      <c r="F28" s="283" t="e">
        <f>technical_specs!M28</f>
        <v>#DIV/0!</v>
      </c>
      <c r="G28" s="241" t="e">
        <f t="shared" si="2"/>
        <v>#DIV/0!</v>
      </c>
      <c r="H28" s="242" t="e">
        <f t="shared" si="4"/>
        <v>#DIV/0!</v>
      </c>
      <c r="J28" s="220"/>
      <c r="K28" s="220"/>
      <c r="L28" s="220"/>
      <c r="M28" s="220"/>
    </row>
    <row r="29" spans="1:13">
      <c r="A29" s="164"/>
      <c r="B29" s="170"/>
      <c r="C29" s="216" t="str">
        <f>'Technology split final demand'!C28</f>
        <v>Micro CHP (gas-fired)) (hot water)</v>
      </c>
      <c r="D29" s="243" t="e">
        <f>'Technology split final demand'!H28</f>
        <v>#DIV/0!</v>
      </c>
      <c r="E29" s="244" t="e">
        <f t="shared" si="3"/>
        <v>#DIV/0!</v>
      </c>
      <c r="F29" s="283">
        <f>technical_specs!M29</f>
        <v>0</v>
      </c>
      <c r="G29" s="241" t="e">
        <f t="shared" si="2"/>
        <v>#DIV/0!</v>
      </c>
      <c r="H29" s="242" t="e">
        <f t="shared" si="4"/>
        <v>#DIV/0!</v>
      </c>
      <c r="J29" s="220"/>
      <c r="K29" s="220"/>
      <c r="L29" s="220"/>
      <c r="M29" s="220"/>
    </row>
    <row r="30" spans="1:13">
      <c r="A30" s="164"/>
      <c r="B30" s="171"/>
      <c r="C30" s="216" t="str">
        <f>'Technology split final demand'!C29</f>
        <v>District Heating (hot water)</v>
      </c>
      <c r="D30" s="243" t="e">
        <f>'Technology split final demand'!H29</f>
        <v>#DIV/0!</v>
      </c>
      <c r="E30" s="244" t="e">
        <f t="shared" si="3"/>
        <v>#DIV/0!</v>
      </c>
      <c r="F30" s="283">
        <f>technical_specs!M30</f>
        <v>0</v>
      </c>
      <c r="G30" s="241" t="e">
        <f t="shared" si="2"/>
        <v>#DIV/0!</v>
      </c>
      <c r="H30" s="242" t="e">
        <f t="shared" si="4"/>
        <v>#DIV/0!</v>
      </c>
      <c r="J30" s="220"/>
      <c r="K30" s="220"/>
      <c r="L30" s="220"/>
      <c r="M30" s="220"/>
    </row>
    <row r="31" spans="1:13">
      <c r="A31" s="164"/>
      <c r="B31" s="171"/>
      <c r="C31" s="216" t="str">
        <f>'Technology split final demand'!C30</f>
        <v>electricity-driven Heat pump (air) (hot water)</v>
      </c>
      <c r="D31" s="243" t="e">
        <f>'Technology split final demand'!H30</f>
        <v>#DIV/0!</v>
      </c>
      <c r="E31" s="244" t="e">
        <f t="shared" si="3"/>
        <v>#DIV/0!</v>
      </c>
      <c r="F31" s="283" t="e">
        <f>technical_specs!M31</f>
        <v>#DIV/0!</v>
      </c>
      <c r="G31" s="241" t="e">
        <f t="shared" si="2"/>
        <v>#DIV/0!</v>
      </c>
      <c r="H31" s="242" t="e">
        <f t="shared" si="4"/>
        <v>#DIV/0!</v>
      </c>
      <c r="J31" s="220"/>
      <c r="K31" s="220"/>
      <c r="L31" s="220"/>
      <c r="M31" s="220"/>
    </row>
    <row r="32" spans="1:13">
      <c r="A32" s="164"/>
      <c r="B32" s="171"/>
      <c r="C32" s="216" t="str">
        <f>'Technology split final demand'!C31</f>
        <v>woodpellets (biomass) heaters (hot water)</v>
      </c>
      <c r="D32" s="243" t="e">
        <f>'Technology split final demand'!H31</f>
        <v>#DIV/0!</v>
      </c>
      <c r="E32" s="244" t="e">
        <f t="shared" si="3"/>
        <v>#DIV/0!</v>
      </c>
      <c r="F32" s="283">
        <f>technical_specs!M32</f>
        <v>0</v>
      </c>
      <c r="G32" s="241" t="e">
        <f t="shared" si="2"/>
        <v>#DIV/0!</v>
      </c>
      <c r="H32" s="242" t="e">
        <f t="shared" si="4"/>
        <v>#DIV/0!</v>
      </c>
      <c r="J32" s="220"/>
      <c r="K32" s="220"/>
      <c r="L32" s="220"/>
      <c r="M32" s="220"/>
    </row>
    <row r="33" spans="1:13">
      <c r="A33" s="164"/>
      <c r="B33" s="171"/>
      <c r="C33" s="216" t="str">
        <f>'Technology split final demand'!C32</f>
        <v>Electric Heaters (resistance) (hot water)</v>
      </c>
      <c r="D33" s="243" t="e">
        <f>'Technology split final demand'!H32</f>
        <v>#DIV/0!</v>
      </c>
      <c r="E33" s="244" t="e">
        <f t="shared" si="3"/>
        <v>#DIV/0!</v>
      </c>
      <c r="F33" s="283">
        <f>technical_specs!M33</f>
        <v>0</v>
      </c>
      <c r="G33" s="241" t="e">
        <f t="shared" si="2"/>
        <v>#DIV/0!</v>
      </c>
      <c r="H33" s="242" t="e">
        <f t="shared" si="4"/>
        <v>#DIV/0!</v>
      </c>
      <c r="J33" s="220"/>
      <c r="K33" s="220"/>
      <c r="L33" s="220"/>
      <c r="M33" s="220"/>
    </row>
    <row r="34" spans="1:13">
      <c r="A34" s="164"/>
      <c r="B34" s="171"/>
      <c r="C34" s="216" t="str">
        <f>'Technology split final demand'!C33</f>
        <v>Gas-fired Heaters (hot water)</v>
      </c>
      <c r="D34" s="243" t="e">
        <f>'Technology split final demand'!H33</f>
        <v>#DIV/0!</v>
      </c>
      <c r="E34" s="244" t="e">
        <f t="shared" si="3"/>
        <v>#DIV/0!</v>
      </c>
      <c r="F34" s="283">
        <f>technical_specs!M34</f>
        <v>0</v>
      </c>
      <c r="G34" s="241" t="e">
        <f t="shared" si="2"/>
        <v>#DIV/0!</v>
      </c>
      <c r="H34" s="242" t="e">
        <f t="shared" si="4"/>
        <v>#DIV/0!</v>
      </c>
      <c r="J34" s="220"/>
      <c r="K34" s="220"/>
      <c r="L34" s="220"/>
      <c r="M34" s="220"/>
    </row>
    <row r="35" spans="1:13">
      <c r="A35" s="164"/>
      <c r="B35" s="171"/>
      <c r="C35" s="216" t="str">
        <f>'Technology split final demand'!C34</f>
        <v>Oil-fired Heaters (hot water)</v>
      </c>
      <c r="D35" s="243" t="e">
        <f>'Technology split final demand'!H34</f>
        <v>#DIV/0!</v>
      </c>
      <c r="E35" s="244" t="e">
        <f t="shared" si="3"/>
        <v>#DIV/0!</v>
      </c>
      <c r="F35" s="283">
        <f>technical_specs!M35</f>
        <v>0</v>
      </c>
      <c r="G35" s="241" t="e">
        <f t="shared" si="2"/>
        <v>#DIV/0!</v>
      </c>
      <c r="H35" s="242" t="e">
        <f t="shared" si="4"/>
        <v>#DIV/0!</v>
      </c>
      <c r="J35" s="220"/>
      <c r="K35" s="220"/>
      <c r="L35" s="220"/>
      <c r="M35" s="220"/>
    </row>
    <row r="36" spans="1:13">
      <c r="A36" s="164"/>
      <c r="B36" s="171"/>
      <c r="C36" s="216" t="str">
        <f>'Technology split final demand'!C35</f>
        <v>Coal-fired Heaters (hot water)</v>
      </c>
      <c r="D36" s="243" t="e">
        <f>'Technology split final demand'!H35</f>
        <v>#DIV/0!</v>
      </c>
      <c r="E36" s="244" t="e">
        <f t="shared" si="3"/>
        <v>#DIV/0!</v>
      </c>
      <c r="F36" s="283">
        <f>technical_specs!M36</f>
        <v>0</v>
      </c>
      <c r="G36" s="241" t="e">
        <f t="shared" si="2"/>
        <v>#DIV/0!</v>
      </c>
      <c r="H36" s="242" t="e">
        <f t="shared" si="4"/>
        <v>#DIV/0!</v>
      </c>
      <c r="J36" s="220"/>
      <c r="K36" s="220"/>
      <c r="L36" s="220"/>
      <c r="M36" s="220"/>
    </row>
    <row r="37" spans="1:13">
      <c r="A37" s="164"/>
      <c r="B37" s="171"/>
      <c r="C37" s="45" t="str">
        <f>'Technology split final demand'!C36</f>
        <v>Fuel Cell (hot water)</v>
      </c>
      <c r="D37" s="285" t="e">
        <f>'Technology split final demand'!H36</f>
        <v>#DIV/0!</v>
      </c>
      <c r="E37" s="286" t="e">
        <f t="shared" si="3"/>
        <v>#DIV/0!</v>
      </c>
      <c r="F37" s="285">
        <f>technical_specs!M37</f>
        <v>0</v>
      </c>
      <c r="G37" s="289" t="e">
        <f t="shared" si="2"/>
        <v>#DIV/0!</v>
      </c>
      <c r="H37" s="290" t="e">
        <f t="shared" si="4"/>
        <v>#DIV/0!</v>
      </c>
      <c r="J37" s="220"/>
      <c r="K37" s="220"/>
      <c r="L37" s="220"/>
      <c r="M37" s="220"/>
    </row>
    <row r="38" spans="1:13">
      <c r="A38" s="164"/>
      <c r="B38" s="535"/>
      <c r="C38" s="8"/>
      <c r="D38" s="518"/>
      <c r="E38" s="519"/>
      <c r="F38" s="519"/>
      <c r="G38" s="520"/>
      <c r="H38" s="282"/>
      <c r="J38" s="220"/>
      <c r="K38" s="220"/>
      <c r="L38" s="220"/>
      <c r="M38" s="220"/>
    </row>
    <row r="39" spans="1:13">
      <c r="A39" s="164"/>
      <c r="B39" s="536"/>
      <c r="C39" s="537"/>
      <c r="D39" s="538"/>
      <c r="E39" s="538"/>
      <c r="F39" s="538"/>
      <c r="G39" s="539"/>
      <c r="H39" s="540"/>
      <c r="J39" s="220"/>
      <c r="K39" s="220"/>
      <c r="L39" s="220"/>
      <c r="M39" s="220"/>
    </row>
    <row r="40" spans="1:13">
      <c r="A40" s="164"/>
      <c r="B40" s="174" t="s">
        <v>89</v>
      </c>
      <c r="C40" s="291"/>
      <c r="D40" s="292"/>
      <c r="E40" s="292"/>
      <c r="F40" s="292"/>
      <c r="G40" s="293"/>
      <c r="H40" s="294"/>
      <c r="J40" s="220"/>
      <c r="K40" s="220"/>
      <c r="L40" s="220"/>
      <c r="M40" s="220"/>
    </row>
    <row r="41" spans="1:13">
      <c r="A41" s="164"/>
      <c r="B41" s="171"/>
      <c r="C41" s="216" t="str">
        <f>'Technology split final demand'!C39</f>
        <v>Electric heat pump ground</v>
      </c>
      <c r="D41" s="243" t="e">
        <f>'Technology split final demand'!H39</f>
        <v>#DIV/0!</v>
      </c>
      <c r="E41" s="244" t="e">
        <f>Final_demand_cooling*D41</f>
        <v>#DIV/0!</v>
      </c>
      <c r="F41" s="283" t="e">
        <f>technical_specs!M41</f>
        <v>#DIV/0!</v>
      </c>
      <c r="G41" s="241" t="e">
        <f t="shared" si="2"/>
        <v>#DIV/0!</v>
      </c>
      <c r="H41" s="242" t="e">
        <f>G41/SUM($G$41:$G$43)</f>
        <v>#DIV/0!</v>
      </c>
      <c r="J41" s="220"/>
      <c r="K41" s="220"/>
      <c r="L41" s="220"/>
      <c r="M41" s="220"/>
    </row>
    <row r="42" spans="1:13">
      <c r="A42" s="164"/>
      <c r="B42" s="171"/>
      <c r="C42" s="216" t="str">
        <f>'Technology split final demand'!C40</f>
        <v>Electric heat pump air</v>
      </c>
      <c r="D42" s="243" t="e">
        <f>'Technology split final demand'!H40</f>
        <v>#DIV/0!</v>
      </c>
      <c r="E42" s="244" t="e">
        <f>Final_demand_cooling*D42</f>
        <v>#DIV/0!</v>
      </c>
      <c r="F42" s="283" t="e">
        <f>technical_specs!M42</f>
        <v>#DIV/0!</v>
      </c>
      <c r="G42" s="241" t="e">
        <f t="shared" si="2"/>
        <v>#DIV/0!</v>
      </c>
      <c r="H42" s="242" t="e">
        <f t="shared" ref="H42:H43" si="5">G42/SUM($G$41:$G$43)</f>
        <v>#DIV/0!</v>
      </c>
      <c r="J42" s="220"/>
      <c r="K42" s="220"/>
      <c r="L42" s="220"/>
      <c r="M42" s="220"/>
    </row>
    <row r="43" spans="1:13">
      <c r="A43" s="164"/>
      <c r="B43" s="171"/>
      <c r="C43" s="45" t="str">
        <f>'Technology split final demand'!C41</f>
        <v>Conventional electric airconditioning</v>
      </c>
      <c r="D43" s="285" t="e">
        <f>'Technology split final demand'!H41</f>
        <v>#DIV/0!</v>
      </c>
      <c r="E43" s="286" t="e">
        <f>Final_demand_cooling*D43</f>
        <v>#DIV/0!</v>
      </c>
      <c r="F43" s="285" t="e">
        <f>technical_specs!M43</f>
        <v>#DIV/0!</v>
      </c>
      <c r="G43" s="289" t="e">
        <f t="shared" si="2"/>
        <v>#DIV/0!</v>
      </c>
      <c r="H43" s="290" t="e">
        <f t="shared" si="5"/>
        <v>#DIV/0!</v>
      </c>
      <c r="J43" s="220"/>
      <c r="K43" s="220"/>
      <c r="L43" s="220"/>
      <c r="M43" s="220"/>
    </row>
    <row r="44" spans="1:13">
      <c r="A44" s="164"/>
      <c r="B44" s="171"/>
      <c r="C44" s="4"/>
      <c r="D44" s="527"/>
      <c r="E44" s="528"/>
      <c r="F44" s="527"/>
      <c r="G44" s="529"/>
      <c r="H44" s="530"/>
      <c r="J44" s="220"/>
      <c r="K44" s="220"/>
      <c r="L44" s="220"/>
      <c r="M44" s="220"/>
    </row>
    <row r="45" spans="1:13">
      <c r="A45" s="164"/>
      <c r="B45" s="172"/>
      <c r="C45" s="531"/>
      <c r="D45" s="532"/>
      <c r="E45" s="532"/>
      <c r="F45" s="532"/>
      <c r="G45" s="533"/>
      <c r="H45" s="534"/>
      <c r="J45" s="220"/>
      <c r="K45" s="220"/>
      <c r="L45" s="220"/>
      <c r="M45" s="220"/>
    </row>
    <row r="46" spans="1:13">
      <c r="A46" s="164"/>
      <c r="B46" s="170" t="s">
        <v>282</v>
      </c>
      <c r="C46" s="291"/>
      <c r="D46" s="292"/>
      <c r="E46" s="292"/>
      <c r="F46" s="292"/>
      <c r="G46" s="293"/>
      <c r="H46" s="294"/>
      <c r="J46" s="220"/>
      <c r="K46" s="220"/>
      <c r="L46" s="220"/>
      <c r="M46" s="220"/>
    </row>
    <row r="47" spans="1:13">
      <c r="A47" s="164"/>
      <c r="B47" s="170"/>
      <c r="C47" s="216" t="str">
        <f>'Technology split final demand'!C44</f>
        <v>Gas stoves</v>
      </c>
      <c r="D47" s="243" t="e">
        <f>'Technology split final demand'!H44</f>
        <v>#DIV/0!</v>
      </c>
      <c r="E47" s="244" t="e">
        <f>Final_demand_cooking*D47</f>
        <v>#DIV/0!</v>
      </c>
      <c r="F47" s="283">
        <f>technical_specs!M46</f>
        <v>0</v>
      </c>
      <c r="G47" s="241" t="e">
        <f>F47*E47</f>
        <v>#DIV/0!</v>
      </c>
      <c r="H47" s="242" t="e">
        <f>G47/SUM($G$47:$G$51)</f>
        <v>#DIV/0!</v>
      </c>
      <c r="J47" s="220"/>
      <c r="K47" s="220"/>
      <c r="L47" s="220"/>
      <c r="M47" s="220"/>
    </row>
    <row r="48" spans="1:13">
      <c r="A48" s="164"/>
      <c r="B48" s="170"/>
      <c r="C48" s="216" t="str">
        <f>'Technology split final demand'!C45</f>
        <v>Electric stoves (resistance)</v>
      </c>
      <c r="D48" s="243" t="e">
        <f>'Technology split final demand'!H45</f>
        <v>#DIV/0!</v>
      </c>
      <c r="E48" s="244" t="e">
        <f>Final_demand_cooking*D48</f>
        <v>#DIV/0!</v>
      </c>
      <c r="F48" s="283">
        <f>technical_specs!M47</f>
        <v>0</v>
      </c>
      <c r="G48" s="241" t="e">
        <f>F48*E48</f>
        <v>#DIV/0!</v>
      </c>
      <c r="H48" s="242" t="e">
        <f t="shared" ref="H48:H50" si="6">G48/SUM($G$47:$G$51)</f>
        <v>#DIV/0!</v>
      </c>
      <c r="J48" s="220"/>
      <c r="K48" s="220"/>
      <c r="L48" s="220"/>
      <c r="M48" s="220"/>
    </row>
    <row r="49" spans="1:13">
      <c r="A49" s="164"/>
      <c r="B49" s="170"/>
      <c r="C49" s="216" t="str">
        <f>'Technology split final demand'!C46</f>
        <v>Electric halogen stoves</v>
      </c>
      <c r="D49" s="243" t="e">
        <f>'Technology split final demand'!H46</f>
        <v>#DIV/0!</v>
      </c>
      <c r="E49" s="244" t="e">
        <f>Final_demand_cooking*D49</f>
        <v>#DIV/0!</v>
      </c>
      <c r="F49" s="283">
        <f>technical_specs!M48</f>
        <v>0</v>
      </c>
      <c r="G49" s="241" t="e">
        <f>F49*E49</f>
        <v>#DIV/0!</v>
      </c>
      <c r="H49" s="242" t="e">
        <f t="shared" si="6"/>
        <v>#DIV/0!</v>
      </c>
      <c r="J49" s="220"/>
      <c r="K49" s="220"/>
      <c r="L49" s="220"/>
      <c r="M49" s="220"/>
    </row>
    <row r="50" spans="1:13">
      <c r="A50" s="164"/>
      <c r="B50" s="170"/>
      <c r="C50" s="216" t="str">
        <f>'Technology split final demand'!C47</f>
        <v>Electric induction stoves</v>
      </c>
      <c r="D50" s="243" t="e">
        <f>'Technology split final demand'!H47</f>
        <v>#DIV/0!</v>
      </c>
      <c r="E50" s="244" t="e">
        <f>Final_demand_cooking*D50</f>
        <v>#DIV/0!</v>
      </c>
      <c r="F50" s="283">
        <f>technical_specs!M49</f>
        <v>0</v>
      </c>
      <c r="G50" s="241" t="e">
        <f>F50*E50</f>
        <v>#DIV/0!</v>
      </c>
      <c r="H50" s="242" t="e">
        <f t="shared" si="6"/>
        <v>#DIV/0!</v>
      </c>
      <c r="J50" s="220"/>
      <c r="K50" s="220"/>
      <c r="L50" s="220"/>
      <c r="M50" s="220"/>
    </row>
    <row r="51" spans="1:13">
      <c r="A51" s="164"/>
      <c r="B51" s="171"/>
      <c r="C51" s="45" t="str">
        <f>'Technology split final demand'!C48</f>
        <v>Biomass stoves</v>
      </c>
      <c r="D51" s="285" t="e">
        <f>'Technology split final demand'!H48</f>
        <v>#DIV/0!</v>
      </c>
      <c r="E51" s="286" t="e">
        <f>Final_demand_cooking*D51</f>
        <v>#DIV/0!</v>
      </c>
      <c r="F51" s="285">
        <f>technical_specs!M50</f>
        <v>0</v>
      </c>
      <c r="G51" s="289" t="e">
        <f>F51*E51</f>
        <v>#DIV/0!</v>
      </c>
      <c r="H51" s="290" t="e">
        <f>G51/SUM($G$47:$G$51)</f>
        <v>#DIV/0!</v>
      </c>
      <c r="J51" s="220"/>
      <c r="K51" s="220"/>
      <c r="L51" s="220"/>
      <c r="M51" s="220"/>
    </row>
    <row r="52" spans="1:13">
      <c r="A52" s="164"/>
      <c r="B52" s="171"/>
      <c r="C52" s="4"/>
      <c r="D52" s="527"/>
      <c r="E52" s="528"/>
      <c r="F52" s="527"/>
      <c r="G52" s="529"/>
      <c r="H52" s="530"/>
      <c r="J52" s="220"/>
      <c r="K52" s="220"/>
      <c r="L52" s="220"/>
      <c r="M52" s="220"/>
    </row>
    <row r="53" spans="1:13">
      <c r="A53" s="164"/>
      <c r="B53" s="175"/>
      <c r="C53" s="523"/>
      <c r="D53" s="524"/>
      <c r="E53" s="524"/>
      <c r="F53" s="524"/>
      <c r="G53" s="525"/>
      <c r="H53" s="526"/>
      <c r="J53" s="220"/>
      <c r="K53" s="220"/>
      <c r="L53" s="220"/>
      <c r="M53" s="220"/>
    </row>
    <row r="54" spans="1:13">
      <c r="A54" s="164"/>
      <c r="B54" s="176" t="s">
        <v>76</v>
      </c>
      <c r="C54" s="291"/>
      <c r="D54" s="292"/>
      <c r="E54" s="292"/>
      <c r="F54" s="292"/>
      <c r="G54" s="293"/>
      <c r="H54" s="294"/>
      <c r="J54" s="220"/>
      <c r="K54" s="220"/>
      <c r="L54" s="220"/>
      <c r="M54" s="220"/>
    </row>
    <row r="55" spans="1:13">
      <c r="A55" s="164"/>
      <c r="B55" s="171"/>
      <c r="C55" s="216" t="str">
        <f>'Technology split final demand'!C51</f>
        <v>Incandescent lamps</v>
      </c>
      <c r="D55" s="243" t="e">
        <f>'Technology split final demand'!H51</f>
        <v>#DIV/0!</v>
      </c>
      <c r="E55" s="244" t="e">
        <f>Final_demand_lighting*D55</f>
        <v>#DIV/0!</v>
      </c>
      <c r="F55" s="283">
        <f>technical_specs!M53</f>
        <v>0</v>
      </c>
      <c r="G55" s="241" t="e">
        <f>F55*E55</f>
        <v>#DIV/0!</v>
      </c>
      <c r="H55" s="242" t="e">
        <f>G55/SUM($G$55:$G$57)</f>
        <v>#DIV/0!</v>
      </c>
      <c r="J55" s="220"/>
      <c r="K55" s="220"/>
      <c r="L55" s="220"/>
      <c r="M55" s="220"/>
    </row>
    <row r="56" spans="1:13">
      <c r="A56" s="164"/>
      <c r="B56" s="171"/>
      <c r="C56" s="216" t="str">
        <f>'Technology split final demand'!C52</f>
        <v>Low energy light bulbs / fluorescent lighting</v>
      </c>
      <c r="D56" s="243" t="e">
        <f>'Technology split final demand'!H52</f>
        <v>#DIV/0!</v>
      </c>
      <c r="E56" s="244" t="e">
        <f>Final_demand_lighting*D56</f>
        <v>#DIV/0!</v>
      </c>
      <c r="F56" s="283">
        <f>technical_specs!M54</f>
        <v>0</v>
      </c>
      <c r="G56" s="241" t="e">
        <f t="shared" ref="G56:G57" si="7">F56*E56</f>
        <v>#DIV/0!</v>
      </c>
      <c r="H56" s="242" t="e">
        <f>G56/SUM($G$55:$G$57)</f>
        <v>#DIV/0!</v>
      </c>
      <c r="J56" s="220"/>
      <c r="K56" s="220"/>
      <c r="L56" s="220"/>
      <c r="M56" s="220"/>
    </row>
    <row r="57" spans="1:13">
      <c r="A57" s="164"/>
      <c r="B57" s="171"/>
      <c r="C57" s="45" t="str">
        <f>'Technology split final demand'!C53</f>
        <v>LED lamps</v>
      </c>
      <c r="D57" s="285" t="e">
        <f>'Technology split final demand'!H53</f>
        <v>#DIV/0!</v>
      </c>
      <c r="E57" s="286" t="e">
        <f>Final_demand_lighting*D57</f>
        <v>#DIV/0!</v>
      </c>
      <c r="F57" s="285">
        <f>technical_specs!M55</f>
        <v>0</v>
      </c>
      <c r="G57" s="289" t="e">
        <f t="shared" si="7"/>
        <v>#DIV/0!</v>
      </c>
      <c r="H57" s="290" t="e">
        <f>G57/SUM($G$55:$G$57)</f>
        <v>#DIV/0!</v>
      </c>
      <c r="J57" s="220"/>
      <c r="K57" s="220"/>
      <c r="L57" s="220"/>
      <c r="M57" s="220"/>
    </row>
    <row r="58" spans="1:13">
      <c r="A58" s="164"/>
      <c r="B58" s="171"/>
      <c r="C58" s="8"/>
      <c r="D58" s="518"/>
      <c r="E58" s="519"/>
      <c r="F58" s="518"/>
      <c r="G58" s="520"/>
      <c r="H58" s="282"/>
      <c r="J58" s="220"/>
      <c r="K58" s="220"/>
      <c r="L58" s="220"/>
      <c r="M58" s="220"/>
    </row>
    <row r="59" spans="1:13" ht="16" thickBot="1">
      <c r="A59" s="164"/>
      <c r="B59" s="80"/>
      <c r="C59" s="521"/>
      <c r="D59" s="521"/>
      <c r="E59" s="521"/>
      <c r="F59" s="521"/>
      <c r="G59" s="521"/>
      <c r="H59" s="522"/>
      <c r="J59" s="220"/>
      <c r="K59" s="220"/>
      <c r="L59" s="220"/>
      <c r="M59" s="220"/>
    </row>
    <row r="60" spans="1:13">
      <c r="A60" s="164"/>
      <c r="B60" s="164"/>
      <c r="C60" s="164"/>
      <c r="D60" s="164"/>
      <c r="E60" s="164"/>
      <c r="G60" s="164"/>
      <c r="H60" s="164"/>
      <c r="J60" s="220"/>
      <c r="K60" s="220"/>
      <c r="L60" s="220"/>
      <c r="M60" s="220"/>
    </row>
    <row r="61" spans="1:13">
      <c r="A61" s="164"/>
      <c r="B61" s="164"/>
      <c r="C61" s="164"/>
      <c r="D61" s="164"/>
      <c r="E61" s="164"/>
      <c r="F61" s="243"/>
      <c r="G61" s="164"/>
      <c r="H61" s="164"/>
      <c r="J61" s="220"/>
      <c r="K61" s="220"/>
      <c r="L61" s="220"/>
      <c r="M61" s="220"/>
    </row>
    <row r="62" spans="1:13">
      <c r="A62" s="164"/>
      <c r="B62" s="164"/>
      <c r="C62" s="164"/>
      <c r="D62" s="164"/>
      <c r="E62" s="164"/>
      <c r="F62" s="164"/>
      <c r="G62" s="164"/>
      <c r="H62" s="164"/>
      <c r="J62" s="220"/>
      <c r="K62" s="220"/>
      <c r="L62" s="220"/>
      <c r="M62" s="220"/>
    </row>
    <row r="63" spans="1:13">
      <c r="A63" s="164"/>
      <c r="B63" s="164"/>
      <c r="C63" s="164"/>
      <c r="D63" s="164"/>
      <c r="E63" s="164"/>
      <c r="F63" s="243"/>
      <c r="G63" s="164"/>
      <c r="H63" s="164"/>
      <c r="J63" s="220"/>
      <c r="K63" s="220"/>
      <c r="L63" s="220"/>
      <c r="M63" s="220"/>
    </row>
    <row r="64" spans="1:13">
      <c r="A64" s="164"/>
      <c r="B64" s="164"/>
      <c r="C64" s="164"/>
      <c r="D64" s="164"/>
      <c r="E64" s="164"/>
      <c r="F64" s="164"/>
      <c r="G64" s="164"/>
      <c r="H64" s="164"/>
      <c r="J64" s="220"/>
      <c r="K64" s="220"/>
      <c r="L64" s="220"/>
      <c r="M64" s="220"/>
    </row>
    <row r="65" spans="1:8">
      <c r="A65" s="164"/>
      <c r="B65" s="164"/>
      <c r="C65" s="164"/>
      <c r="D65" s="164"/>
      <c r="E65" s="164"/>
      <c r="F65" s="164"/>
      <c r="G65" s="164"/>
      <c r="H65" s="164"/>
    </row>
    <row r="66" spans="1:8">
      <c r="A66" s="164"/>
      <c r="B66" s="164"/>
      <c r="C66" s="164"/>
      <c r="D66" s="164"/>
      <c r="E66" s="164"/>
      <c r="F66" s="164"/>
      <c r="G66" s="164"/>
      <c r="H66" s="16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484</v>
      </c>
    </row>
    <row r="2" spans="1:2">
      <c r="A2" t="s">
        <v>530</v>
      </c>
      <c r="B2" t="s">
        <v>531</v>
      </c>
    </row>
    <row r="3" spans="1:2">
      <c r="A3" t="s">
        <v>234</v>
      </c>
      <c r="B3" s="191" t="e">
        <f>'Application Shares'!E9</f>
        <v>#DIV/0!</v>
      </c>
    </row>
    <row r="4" spans="1:2">
      <c r="A4" t="s">
        <v>235</v>
      </c>
      <c r="B4" s="191" t="e">
        <f>'Application Shares'!E10</f>
        <v>#DIV/0!</v>
      </c>
    </row>
  </sheetData>
  <sortState ref="A2:A16">
    <sortCondition ref="A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4"/>
  <sheetViews>
    <sheetView workbookViewId="0">
      <selection activeCell="B4" sqref="B4"/>
    </sheetView>
  </sheetViews>
  <sheetFormatPr baseColWidth="10" defaultRowHeight="15" x14ac:dyDescent="0"/>
  <cols>
    <col min="1" max="1" width="51.1640625" bestFit="1" customWidth="1"/>
    <col min="2" max="2" width="14.83203125" bestFit="1" customWidth="1"/>
  </cols>
  <sheetData>
    <row r="1" spans="1:2">
      <c r="A1" t="s">
        <v>485</v>
      </c>
    </row>
    <row r="2" spans="1:2">
      <c r="A2" t="s">
        <v>530</v>
      </c>
      <c r="B2" t="s">
        <v>531</v>
      </c>
    </row>
    <row r="3" spans="1:2">
      <c r="A3" t="s">
        <v>236</v>
      </c>
      <c r="B3" s="191" t="e">
        <f>'Application Shares'!E13</f>
        <v>#DIV/0!</v>
      </c>
    </row>
    <row r="4" spans="1:2">
      <c r="A4" t="s">
        <v>237</v>
      </c>
      <c r="B4" s="191" t="e">
        <f>'Application Shares'!E14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C27"/>
  <sheetViews>
    <sheetView workbookViewId="0">
      <selection activeCell="B7" sqref="B7"/>
    </sheetView>
  </sheetViews>
  <sheetFormatPr baseColWidth="10" defaultRowHeight="15" x14ac:dyDescent="0"/>
  <cols>
    <col min="1" max="1" width="51.1640625" bestFit="1" customWidth="1"/>
    <col min="2" max="2" width="17" customWidth="1"/>
  </cols>
  <sheetData>
    <row r="1" spans="1:2">
      <c r="A1" t="s">
        <v>486</v>
      </c>
    </row>
    <row r="2" spans="1:2">
      <c r="A2" t="s">
        <v>530</v>
      </c>
      <c r="B2" t="s">
        <v>531</v>
      </c>
    </row>
    <row r="3" spans="1:2">
      <c r="A3" t="s">
        <v>405</v>
      </c>
      <c r="B3" s="191" t="e">
        <f>'Application Shares'!E20</f>
        <v>#DIV/0!</v>
      </c>
    </row>
    <row r="4" spans="1:2">
      <c r="A4" t="s">
        <v>240</v>
      </c>
      <c r="B4" s="191" t="e">
        <f>'Application Shares'!E19</f>
        <v>#DIV/0!</v>
      </c>
    </row>
    <row r="5" spans="1:2">
      <c r="A5" t="s">
        <v>239</v>
      </c>
      <c r="B5" s="191" t="e">
        <f>'Application Shares'!E18</f>
        <v>#DIV/0!</v>
      </c>
    </row>
    <row r="6" spans="1:2">
      <c r="A6" t="s">
        <v>238</v>
      </c>
      <c r="B6" s="191" t="e">
        <f>'Application Shares'!E17</f>
        <v>#DIV/0!</v>
      </c>
    </row>
    <row r="25" spans="3:3">
      <c r="C25" s="143"/>
    </row>
    <row r="26" spans="3:3">
      <c r="C26" s="143"/>
    </row>
    <row r="27" spans="3:3">
      <c r="C27"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5"/>
  <sheetViews>
    <sheetView workbookViewId="0">
      <selection activeCell="B5" sqref="B5"/>
    </sheetView>
  </sheetViews>
  <sheetFormatPr baseColWidth="10" defaultRowHeight="15" x14ac:dyDescent="0"/>
  <cols>
    <col min="1" max="1" width="50" bestFit="1" customWidth="1"/>
    <col min="2" max="2" width="14.83203125" bestFit="1" customWidth="1"/>
  </cols>
  <sheetData>
    <row r="1" spans="1:2">
      <c r="A1" t="s">
        <v>505</v>
      </c>
    </row>
    <row r="2" spans="1:2">
      <c r="A2" t="s">
        <v>530</v>
      </c>
      <c r="B2" t="s">
        <v>531</v>
      </c>
    </row>
    <row r="3" spans="1:2">
      <c r="A3" t="s">
        <v>504</v>
      </c>
      <c r="B3" s="191" t="e">
        <f>'Application Shares'!E23</f>
        <v>#DIV/0!</v>
      </c>
    </row>
    <row r="4" spans="1:2">
      <c r="A4" t="s">
        <v>506</v>
      </c>
      <c r="B4" s="191" t="e">
        <f>'Application Shares'!E24</f>
        <v>#DIV/0!</v>
      </c>
    </row>
    <row r="5" spans="1:2">
      <c r="A5" t="s">
        <v>507</v>
      </c>
      <c r="B5" s="191" t="e">
        <f>'Application Shares'!E25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8"/>
  <sheetViews>
    <sheetView workbookViewId="0">
      <selection activeCell="B3" sqref="B3"/>
    </sheetView>
  </sheetViews>
  <sheetFormatPr baseColWidth="10" defaultRowHeight="15" x14ac:dyDescent="0"/>
  <cols>
    <col min="1" max="1" width="50" bestFit="1" customWidth="1"/>
    <col min="2" max="2" width="14.5" bestFit="1" customWidth="1"/>
  </cols>
  <sheetData>
    <row r="1" spans="1:2">
      <c r="A1" t="s">
        <v>487</v>
      </c>
    </row>
    <row r="2" spans="1:2">
      <c r="A2" t="s">
        <v>530</v>
      </c>
      <c r="B2" t="s">
        <v>531</v>
      </c>
    </row>
    <row r="3" spans="1:2">
      <c r="A3" t="s">
        <v>244</v>
      </c>
      <c r="B3" s="191" t="e">
        <f>'Application Shares'!E33</f>
        <v>#DIV/0!</v>
      </c>
    </row>
    <row r="4" spans="1:2">
      <c r="A4" t="s">
        <v>241</v>
      </c>
      <c r="B4" s="191" t="e">
        <f>'Application Shares'!E28</f>
        <v>#DIV/0!</v>
      </c>
    </row>
    <row r="5" spans="1:2">
      <c r="A5" t="s">
        <v>242</v>
      </c>
      <c r="B5" s="191" t="e">
        <f>'Application Shares'!E29</f>
        <v>#DIV/0!</v>
      </c>
    </row>
    <row r="6" spans="1:2">
      <c r="A6" t="s">
        <v>243</v>
      </c>
      <c r="B6" s="191" t="e">
        <f>'Application Shares'!E30</f>
        <v>#DIV/0!</v>
      </c>
    </row>
    <row r="7" spans="1:2">
      <c r="A7" t="s">
        <v>245</v>
      </c>
      <c r="B7" s="191" t="e">
        <f>'Application Shares'!E31</f>
        <v>#DIV/0!</v>
      </c>
    </row>
    <row r="8" spans="1:2">
      <c r="A8" t="s">
        <v>246</v>
      </c>
      <c r="B8" s="191" t="e">
        <f>'Application Shares'!E32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C9"/>
  <sheetViews>
    <sheetView workbookViewId="0">
      <selection activeCell="B4" sqref="B4"/>
    </sheetView>
  </sheetViews>
  <sheetFormatPr baseColWidth="10" defaultRowHeight="15" x14ac:dyDescent="0"/>
  <cols>
    <col min="1" max="1" width="54.33203125" bestFit="1" customWidth="1"/>
    <col min="2" max="2" width="14.5" bestFit="1" customWidth="1"/>
  </cols>
  <sheetData>
    <row r="1" spans="1:3">
      <c r="A1" t="s">
        <v>488</v>
      </c>
    </row>
    <row r="2" spans="1:3">
      <c r="A2" t="s">
        <v>530</v>
      </c>
      <c r="B2" t="s">
        <v>531</v>
      </c>
    </row>
    <row r="3" spans="1:3">
      <c r="A3" t="s">
        <v>248</v>
      </c>
      <c r="B3" s="191" t="e">
        <f>'Application Shares'!E37</f>
        <v>#DIV/0!</v>
      </c>
    </row>
    <row r="4" spans="1:3">
      <c r="A4" t="s">
        <v>247</v>
      </c>
      <c r="B4" s="191" t="e">
        <f>'Application Shares'!E36</f>
        <v>#DIV/0!</v>
      </c>
    </row>
    <row r="9" spans="1:3">
      <c r="C9" s="14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5"/>
  <sheetViews>
    <sheetView workbookViewId="0">
      <selection activeCell="B6" sqref="B6"/>
    </sheetView>
  </sheetViews>
  <sheetFormatPr baseColWidth="10" defaultRowHeight="15" x14ac:dyDescent="0"/>
  <cols>
    <col min="1" max="1" width="63.33203125" customWidth="1"/>
    <col min="2" max="2" width="14.83203125" bestFit="1" customWidth="1"/>
  </cols>
  <sheetData>
    <row r="1" spans="1:2">
      <c r="A1" t="s">
        <v>489</v>
      </c>
    </row>
    <row r="2" spans="1:2">
      <c r="A2" t="s">
        <v>530</v>
      </c>
      <c r="B2" t="s">
        <v>531</v>
      </c>
    </row>
    <row r="3" spans="1:2">
      <c r="A3" t="s">
        <v>249</v>
      </c>
      <c r="B3" s="191" t="e">
        <f>'Technology Shares'!F33</f>
        <v>#DIV/0!</v>
      </c>
    </row>
    <row r="4" spans="1:2">
      <c r="A4" t="s">
        <v>250</v>
      </c>
      <c r="B4" s="191" t="e">
        <f>'Technology Shares'!F34</f>
        <v>#DIV/0!</v>
      </c>
    </row>
    <row r="5" spans="1:2">
      <c r="A5" t="s">
        <v>251</v>
      </c>
      <c r="B5" s="191" t="e">
        <f>'Technology Shares'!F35</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5"/>
  <sheetViews>
    <sheetView workbookViewId="0">
      <selection activeCell="B6" sqref="B6"/>
    </sheetView>
  </sheetViews>
  <sheetFormatPr baseColWidth="10" defaultRowHeight="15" x14ac:dyDescent="0"/>
  <cols>
    <col min="1" max="1" width="60.6640625" bestFit="1" customWidth="1"/>
    <col min="2" max="2" width="14.83203125" bestFit="1" customWidth="1"/>
  </cols>
  <sheetData>
    <row r="1" spans="1:2">
      <c r="A1" t="s">
        <v>490</v>
      </c>
    </row>
    <row r="2" spans="1:2">
      <c r="A2" t="s">
        <v>530</v>
      </c>
      <c r="B2" t="s">
        <v>531</v>
      </c>
    </row>
    <row r="3" spans="1:2">
      <c r="A3" t="s">
        <v>252</v>
      </c>
      <c r="B3" s="191" t="e">
        <f>'Technology Shares'!F9</f>
        <v>#DIV/0!</v>
      </c>
    </row>
    <row r="4" spans="1:2">
      <c r="A4" t="s">
        <v>253</v>
      </c>
      <c r="B4" s="191" t="e">
        <f>'Technology Shares'!F10</f>
        <v>#DIV/0!</v>
      </c>
    </row>
    <row r="5" spans="1:2">
      <c r="A5" t="s">
        <v>254</v>
      </c>
      <c r="B5" s="191" t="e">
        <f>'Technology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6"/>
  <sheetViews>
    <sheetView workbookViewId="0">
      <selection activeCell="B7" sqref="B7"/>
    </sheetView>
  </sheetViews>
  <sheetFormatPr baseColWidth="10" defaultRowHeight="15" x14ac:dyDescent="0"/>
  <cols>
    <col min="1" max="1" width="97.1640625" bestFit="1" customWidth="1"/>
    <col min="2" max="2" width="14.83203125" bestFit="1" customWidth="1"/>
  </cols>
  <sheetData>
    <row r="1" spans="1:2">
      <c r="A1" t="s">
        <v>491</v>
      </c>
    </row>
    <row r="2" spans="1:2">
      <c r="A2" t="s">
        <v>530</v>
      </c>
      <c r="B2" t="s">
        <v>531</v>
      </c>
    </row>
    <row r="3" spans="1:2">
      <c r="A3" t="s">
        <v>255</v>
      </c>
      <c r="B3" s="191" t="e">
        <f>'Technology Shares'!F13</f>
        <v>#DIV/0!</v>
      </c>
    </row>
    <row r="4" spans="1:2">
      <c r="A4" t="s">
        <v>256</v>
      </c>
      <c r="B4" s="191" t="e">
        <f>'Technology Shares'!F14</f>
        <v>#DIV/0!</v>
      </c>
    </row>
    <row r="5" spans="1:2">
      <c r="A5" t="s">
        <v>257</v>
      </c>
      <c r="B5" s="191" t="e">
        <f>'Technology Shares'!F15</f>
        <v>#DIV/0!</v>
      </c>
    </row>
    <row r="6" spans="1:2">
      <c r="A6" t="s">
        <v>258</v>
      </c>
      <c r="B6" s="191" t="e">
        <f>'Technology Shares'!F16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tabColor theme="7" tint="0.39997558519241921"/>
  </sheetPr>
  <dimension ref="A1:C6"/>
  <sheetViews>
    <sheetView tabSelected="1" workbookViewId="0">
      <selection activeCell="B3" sqref="B3"/>
    </sheetView>
  </sheetViews>
  <sheetFormatPr baseColWidth="10" defaultRowHeight="15" x14ac:dyDescent="0"/>
  <cols>
    <col min="1" max="1" width="64.6640625" customWidth="1"/>
    <col min="2" max="2" width="14.83203125" bestFit="1" customWidth="1"/>
  </cols>
  <sheetData>
    <row r="1" spans="1:3">
      <c r="A1" t="s">
        <v>492</v>
      </c>
    </row>
    <row r="2" spans="1:3">
      <c r="A2" t="s">
        <v>530</v>
      </c>
      <c r="B2" t="s">
        <v>531</v>
      </c>
    </row>
    <row r="3" spans="1:3">
      <c r="A3" t="s">
        <v>259</v>
      </c>
      <c r="B3" s="191" t="e">
        <f>'Technology Shares'!F19</f>
        <v>#DIV/0!</v>
      </c>
      <c r="C3" s="143"/>
    </row>
    <row r="4" spans="1:3">
      <c r="A4" t="s">
        <v>260</v>
      </c>
      <c r="B4" s="191" t="e">
        <f>'Technology Shares'!F20</f>
        <v>#DIV/0!</v>
      </c>
      <c r="C4" s="143"/>
    </row>
    <row r="5" spans="1:3">
      <c r="A5" t="s">
        <v>261</v>
      </c>
      <c r="B5" s="191" t="e">
        <f>'Technology Shares'!F21</f>
        <v>#DIV/0!</v>
      </c>
      <c r="C5" s="143"/>
    </row>
    <row r="6" spans="1:3">
      <c r="A6" t="s">
        <v>262</v>
      </c>
      <c r="B6" s="191" t="e">
        <f>'Technology Shares'!F22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5"/>
  <sheetViews>
    <sheetView workbookViewId="0">
      <selection activeCell="B5" sqref="B5"/>
    </sheetView>
  </sheetViews>
  <sheetFormatPr baseColWidth="10" defaultRowHeight="15" x14ac:dyDescent="0"/>
  <cols>
    <col min="1" max="1" width="73.33203125" customWidth="1"/>
    <col min="2" max="2" width="14.83203125" bestFit="1" customWidth="1"/>
  </cols>
  <sheetData>
    <row r="1" spans="1:2">
      <c r="A1" s="142" t="s">
        <v>493</v>
      </c>
    </row>
    <row r="2" spans="1:2">
      <c r="A2" s="142" t="s">
        <v>530</v>
      </c>
      <c r="B2" t="s">
        <v>531</v>
      </c>
    </row>
    <row r="3" spans="1:2">
      <c r="A3" t="s">
        <v>263</v>
      </c>
      <c r="B3" s="191" t="e">
        <f>'Technology Shares'!F24</f>
        <v>#DIV/0!</v>
      </c>
    </row>
    <row r="4" spans="1:2">
      <c r="A4" t="s">
        <v>264</v>
      </c>
      <c r="B4" s="191" t="e">
        <f>'Technology Shares'!F25</f>
        <v>#DIV/0!</v>
      </c>
    </row>
    <row r="5" spans="1:2">
      <c r="A5" t="s">
        <v>265</v>
      </c>
      <c r="B5" s="191" t="e">
        <f>'Technology Shares'!F26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tabColor theme="7" tint="0.39997558519241921"/>
  </sheetPr>
  <dimension ref="A1:B5"/>
  <sheetViews>
    <sheetView workbookViewId="0">
      <selection activeCell="B5" sqref="B5"/>
    </sheetView>
  </sheetViews>
  <sheetFormatPr baseColWidth="10" defaultRowHeight="15" x14ac:dyDescent="0"/>
  <cols>
    <col min="1" max="1" width="75.5" customWidth="1"/>
    <col min="2" max="2" width="14.5" bestFit="1" customWidth="1"/>
  </cols>
  <sheetData>
    <row r="1" spans="1:2">
      <c r="A1" t="s">
        <v>494</v>
      </c>
    </row>
    <row r="2" spans="1:2">
      <c r="A2" t="s">
        <v>530</v>
      </c>
      <c r="B2" t="s">
        <v>531</v>
      </c>
    </row>
    <row r="3" spans="1:2">
      <c r="A3" t="s">
        <v>266</v>
      </c>
      <c r="B3" s="191" t="e">
        <f>'Technology Shares'!F38</f>
        <v>#DIV/0!</v>
      </c>
    </row>
    <row r="4" spans="1:2">
      <c r="A4" t="s">
        <v>267</v>
      </c>
      <c r="B4" s="191" t="e">
        <f>'Technology Shares'!F39</f>
        <v>#DIV/0!</v>
      </c>
    </row>
    <row r="5" spans="1:2">
      <c r="A5" t="s">
        <v>268</v>
      </c>
      <c r="B5" s="191" t="e">
        <f>'Technology Shares'!F40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tabColor theme="7" tint="0.39997558519241921"/>
  </sheetPr>
  <dimension ref="A1:B5"/>
  <sheetViews>
    <sheetView workbookViewId="0">
      <selection activeCell="B5" sqref="B5"/>
    </sheetView>
  </sheetViews>
  <sheetFormatPr baseColWidth="10" defaultRowHeight="15" x14ac:dyDescent="0"/>
  <cols>
    <col min="1" max="1" width="69.5" customWidth="1"/>
    <col min="2" max="2" width="14.83203125" bestFit="1" customWidth="1"/>
  </cols>
  <sheetData>
    <row r="1" spans="1:2">
      <c r="A1" s="142" t="s">
        <v>495</v>
      </c>
    </row>
    <row r="2" spans="1:2">
      <c r="A2" t="s">
        <v>530</v>
      </c>
      <c r="B2" t="s">
        <v>531</v>
      </c>
    </row>
    <row r="3" spans="1:2">
      <c r="A3" t="s">
        <v>269</v>
      </c>
      <c r="B3" s="191" t="e">
        <f>'Technology Shares'!F44</f>
        <v>#DIV/0!</v>
      </c>
    </row>
    <row r="4" spans="1:2">
      <c r="A4" t="s">
        <v>270</v>
      </c>
      <c r="B4" s="191" t="e">
        <f>'Technology Shares'!F45</f>
        <v>#DIV/0!</v>
      </c>
    </row>
    <row r="5" spans="1:2">
      <c r="A5" t="s">
        <v>271</v>
      </c>
      <c r="B5" s="191" t="e">
        <f>'Technology Shares'!F46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D10"/>
  <sheetViews>
    <sheetView workbookViewId="0">
      <selection activeCell="B10" sqref="B10"/>
    </sheetView>
  </sheetViews>
  <sheetFormatPr baseColWidth="10" defaultRowHeight="15" x14ac:dyDescent="0"/>
  <cols>
    <col min="1" max="1" width="78" customWidth="1"/>
    <col min="2" max="2" width="35.83203125" customWidth="1"/>
    <col min="3" max="3" width="70.33203125" bestFit="1" customWidth="1"/>
    <col min="4" max="4" width="17" bestFit="1" customWidth="1"/>
    <col min="5" max="5" width="14.5" bestFit="1" customWidth="1"/>
  </cols>
  <sheetData>
    <row r="1" spans="1:4">
      <c r="A1" t="s">
        <v>496</v>
      </c>
    </row>
    <row r="2" spans="1:4">
      <c r="A2" t="s">
        <v>530</v>
      </c>
      <c r="B2" t="s">
        <v>531</v>
      </c>
    </row>
    <row r="3" spans="1:4">
      <c r="A3" t="s">
        <v>274</v>
      </c>
      <c r="B3" s="191">
        <f>'Technology Shares'!F50</f>
        <v>0</v>
      </c>
      <c r="D3" s="191"/>
    </row>
    <row r="4" spans="1:4">
      <c r="A4" t="s">
        <v>275</v>
      </c>
      <c r="B4" s="191">
        <f>'Technology Shares'!F51</f>
        <v>0</v>
      </c>
      <c r="D4" s="191"/>
    </row>
    <row r="5" spans="1:4">
      <c r="A5" t="s">
        <v>279</v>
      </c>
      <c r="B5" s="191">
        <f>'Technology Shares'!F52</f>
        <v>0</v>
      </c>
      <c r="D5" s="191"/>
    </row>
    <row r="6" spans="1:4">
      <c r="A6" t="s">
        <v>272</v>
      </c>
      <c r="B6" s="191">
        <f>'Technology Shares'!F53</f>
        <v>0</v>
      </c>
      <c r="D6" s="191"/>
    </row>
    <row r="7" spans="1:4">
      <c r="A7" t="s">
        <v>277</v>
      </c>
      <c r="B7" s="191">
        <f>'Technology Shares'!F54</f>
        <v>0</v>
      </c>
      <c r="D7" s="191"/>
    </row>
    <row r="8" spans="1:4">
      <c r="A8" t="s">
        <v>273</v>
      </c>
      <c r="B8" s="191">
        <f>'Technology Shares'!F55</f>
        <v>0</v>
      </c>
      <c r="D8" s="191"/>
    </row>
    <row r="9" spans="1:4">
      <c r="A9" t="s">
        <v>278</v>
      </c>
      <c r="B9" s="191">
        <f>'Technology Shares'!F56</f>
        <v>0</v>
      </c>
      <c r="D9" s="191"/>
    </row>
    <row r="10" spans="1:4">
      <c r="A10" t="s">
        <v>276</v>
      </c>
      <c r="B10" s="191">
        <f>'Technology Shares'!F57</f>
        <v>1</v>
      </c>
      <c r="D10" s="19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0.1640625" bestFit="1" customWidth="1"/>
    <col min="2" max="2" width="14.5" bestFit="1" customWidth="1"/>
  </cols>
  <sheetData>
    <row r="1" spans="1:2">
      <c r="A1" t="s">
        <v>497</v>
      </c>
    </row>
    <row r="2" spans="1:2">
      <c r="A2" t="s">
        <v>530</v>
      </c>
      <c r="B2" t="s">
        <v>531</v>
      </c>
    </row>
    <row r="3" spans="1:2">
      <c r="A3" t="s">
        <v>302</v>
      </c>
      <c r="B3" s="191" t="e">
        <f>'Technology Shares'!F29</f>
        <v>#DIV/0!</v>
      </c>
    </row>
    <row r="4" spans="1:2">
      <c r="A4" t="s">
        <v>303</v>
      </c>
      <c r="B4" s="191" t="e">
        <f>'Technology Shares'!F30</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enableFormatConditionsCalculation="0">
    <tabColor theme="7" tint="0.39997558519241921"/>
  </sheetPr>
  <dimension ref="A1:D4"/>
  <sheetViews>
    <sheetView workbookViewId="0">
      <selection activeCell="B4" sqref="B4"/>
    </sheetView>
  </sheetViews>
  <sheetFormatPr baseColWidth="10" defaultRowHeight="15" x14ac:dyDescent="0"/>
  <cols>
    <col min="1" max="1" width="60.1640625" bestFit="1" customWidth="1"/>
    <col min="2" max="2" width="14.5" bestFit="1" customWidth="1"/>
  </cols>
  <sheetData>
    <row r="1" spans="1:4">
      <c r="A1" t="s">
        <v>498</v>
      </c>
    </row>
    <row r="2" spans="1:4">
      <c r="A2" t="s">
        <v>530</v>
      </c>
      <c r="B2" t="s">
        <v>531</v>
      </c>
    </row>
    <row r="3" spans="1:4">
      <c r="A3" t="s">
        <v>292</v>
      </c>
      <c r="B3" s="191" t="e">
        <f>'Houses Shares'!E19</f>
        <v>#DIV/0!</v>
      </c>
      <c r="C3" s="145"/>
      <c r="D3" s="144"/>
    </row>
    <row r="4" spans="1:4">
      <c r="A4" t="s">
        <v>293</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enableFormatConditionsCalculation="0">
    <tabColor theme="7" tint="0.39997558519241921"/>
  </sheetPr>
  <dimension ref="A1:D4"/>
  <sheetViews>
    <sheetView workbookViewId="0">
      <selection activeCell="B4" sqref="B3:B4"/>
    </sheetView>
  </sheetViews>
  <sheetFormatPr baseColWidth="10" defaultRowHeight="15" x14ac:dyDescent="0"/>
  <cols>
    <col min="1" max="1" width="66.1640625" bestFit="1" customWidth="1"/>
    <col min="2" max="2" width="14.5" bestFit="1" customWidth="1"/>
  </cols>
  <sheetData>
    <row r="1" spans="1:4">
      <c r="A1" t="s">
        <v>499</v>
      </c>
    </row>
    <row r="2" spans="1:4">
      <c r="A2" t="s">
        <v>530</v>
      </c>
      <c r="B2" t="s">
        <v>531</v>
      </c>
    </row>
    <row r="3" spans="1:4">
      <c r="A3" t="s">
        <v>295</v>
      </c>
      <c r="B3" s="191" t="e">
        <f>'Houses Shares'!E19</f>
        <v>#DIV/0!</v>
      </c>
      <c r="C3" s="145"/>
      <c r="D3" s="144"/>
    </row>
    <row r="4" spans="1:4">
      <c r="A4" t="s">
        <v>296</v>
      </c>
      <c r="B4" s="191" t="e">
        <f>'Houses Shares'!D19</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 bestFit="1" customWidth="1"/>
    <col min="2" max="2" width="14.83203125" bestFit="1" customWidth="1"/>
  </cols>
  <sheetData>
    <row r="1" spans="1:2">
      <c r="A1" t="s">
        <v>517</v>
      </c>
    </row>
    <row r="2" spans="1:2">
      <c r="A2" t="s">
        <v>530</v>
      </c>
      <c r="B2" t="s">
        <v>531</v>
      </c>
    </row>
    <row r="3" spans="1:2">
      <c r="A3" t="s">
        <v>291</v>
      </c>
      <c r="B3" s="191">
        <v>1</v>
      </c>
    </row>
    <row r="4" spans="1:2">
      <c r="A4" t="s">
        <v>508</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enableFormatConditionsCalculation="0">
    <tabColor theme="7" tint="0.39997558519241921"/>
  </sheetPr>
  <dimension ref="A1:B4"/>
  <sheetViews>
    <sheetView workbookViewId="0">
      <selection activeCell="B3" sqref="B3"/>
    </sheetView>
  </sheetViews>
  <sheetFormatPr baseColWidth="10" defaultRowHeight="15" x14ac:dyDescent="0"/>
  <cols>
    <col min="1" max="1" width="56" bestFit="1" customWidth="1"/>
    <col min="2" max="2" width="14.83203125" bestFit="1" customWidth="1"/>
  </cols>
  <sheetData>
    <row r="1" spans="1:2">
      <c r="A1" t="s">
        <v>518</v>
      </c>
    </row>
    <row r="2" spans="1:2">
      <c r="A2" t="s">
        <v>530</v>
      </c>
      <c r="B2" t="s">
        <v>531</v>
      </c>
    </row>
    <row r="3" spans="1:2">
      <c r="A3" t="s">
        <v>291</v>
      </c>
      <c r="B3" s="191">
        <v>1</v>
      </c>
    </row>
    <row r="4" spans="1:2">
      <c r="A4" t="s">
        <v>509</v>
      </c>
      <c r="B4" s="191">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enableFormatConditionsCalculation="0">
    <tabColor theme="7" tint="0.39997558519241921"/>
  </sheetPr>
  <dimension ref="A1:B4"/>
  <sheetViews>
    <sheetView workbookViewId="0">
      <selection activeCell="B4" sqref="B4"/>
    </sheetView>
  </sheetViews>
  <sheetFormatPr baseColWidth="10" defaultRowHeight="15" x14ac:dyDescent="0"/>
  <cols>
    <col min="1" max="1" width="56.1640625" bestFit="1" customWidth="1"/>
    <col min="2" max="2" width="14.83203125" bestFit="1" customWidth="1"/>
  </cols>
  <sheetData>
    <row r="1" spans="1:2">
      <c r="A1" t="s">
        <v>519</v>
      </c>
    </row>
    <row r="2" spans="1:2">
      <c r="A2" t="s">
        <v>530</v>
      </c>
      <c r="B2" t="s">
        <v>531</v>
      </c>
    </row>
    <row r="3" spans="1:2">
      <c r="A3" t="s">
        <v>294</v>
      </c>
      <c r="B3" s="209">
        <v>1</v>
      </c>
    </row>
    <row r="4" spans="1:2">
      <c r="A4" t="s">
        <v>510</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enableFormatConditionsCalculation="0">
    <tabColor theme="7" tint="0.39997558519241921"/>
  </sheetPr>
  <dimension ref="A1:B4"/>
  <sheetViews>
    <sheetView workbookViewId="0">
      <selection activeCell="B4" sqref="B4"/>
    </sheetView>
  </sheetViews>
  <sheetFormatPr baseColWidth="10" defaultRowHeight="15" x14ac:dyDescent="0"/>
  <cols>
    <col min="1" max="1" width="64.83203125" customWidth="1"/>
    <col min="2" max="2" width="24.33203125" customWidth="1"/>
  </cols>
  <sheetData>
    <row r="1" spans="1:2">
      <c r="A1" t="s">
        <v>513</v>
      </c>
    </row>
    <row r="2" spans="1:2">
      <c r="A2" t="s">
        <v>530</v>
      </c>
      <c r="B2" t="s">
        <v>531</v>
      </c>
    </row>
    <row r="3" spans="1:2">
      <c r="A3" t="s">
        <v>294</v>
      </c>
      <c r="B3" s="209">
        <v>1</v>
      </c>
    </row>
    <row r="4" spans="1:2">
      <c r="A4" t="s">
        <v>511</v>
      </c>
      <c r="B4" s="209">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enableFormatConditionsCalculation="0">
    <tabColor theme="7" tint="0.39997558519241921"/>
  </sheetPr>
  <dimension ref="A1:B4"/>
  <sheetViews>
    <sheetView workbookViewId="0">
      <selection activeCell="B3" sqref="B3"/>
    </sheetView>
  </sheetViews>
  <sheetFormatPr baseColWidth="10" defaultRowHeight="15" x14ac:dyDescent="0"/>
  <cols>
    <col min="1" max="1" width="55.5" customWidth="1"/>
    <col min="2" max="2" width="14.5" bestFit="1" customWidth="1"/>
  </cols>
  <sheetData>
    <row r="1" spans="1:2">
      <c r="A1" t="s">
        <v>514</v>
      </c>
    </row>
    <row r="2" spans="1:2">
      <c r="A2" t="s">
        <v>530</v>
      </c>
      <c r="B2" t="s">
        <v>531</v>
      </c>
    </row>
    <row r="3" spans="1:2">
      <c r="A3" t="s">
        <v>512</v>
      </c>
      <c r="B3" s="191" t="e">
        <f>'Electricity producer Shares'!G11</f>
        <v>#DIV/0!</v>
      </c>
    </row>
    <row r="4" spans="1:2">
      <c r="A4" t="s">
        <v>238</v>
      </c>
      <c r="B4" s="191" t="e">
        <f>'Electricity producer Shares'!F11</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enableFormatConditionsCalculation="0">
    <tabColor theme="7" tint="0.39997558519241921"/>
  </sheetPr>
  <dimension ref="A1:B4"/>
  <sheetViews>
    <sheetView workbookViewId="0">
      <selection activeCell="B4" sqref="B4"/>
    </sheetView>
  </sheetViews>
  <sheetFormatPr baseColWidth="10" defaultRowHeight="15" x14ac:dyDescent="0"/>
  <cols>
    <col min="1" max="1" width="53.5" bestFit="1" customWidth="1"/>
    <col min="2" max="2" width="14.5" bestFit="1" customWidth="1"/>
  </cols>
  <sheetData>
    <row r="1" spans="1:2">
      <c r="A1" t="s">
        <v>515</v>
      </c>
    </row>
    <row r="2" spans="1:2">
      <c r="A2" t="s">
        <v>530</v>
      </c>
      <c r="B2" t="s">
        <v>531</v>
      </c>
    </row>
    <row r="3" spans="1:2">
      <c r="A3" t="s">
        <v>512</v>
      </c>
      <c r="B3" s="191" t="e">
        <f>'Electricity producer Shares'!G12</f>
        <v>#DIV/0!</v>
      </c>
    </row>
    <row r="4" spans="1:2">
      <c r="A4" t="s">
        <v>239</v>
      </c>
      <c r="B4" s="191" t="e">
        <f>'Electricity producer Shares'!F12</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enableFormatConditionsCalculation="0">
    <tabColor theme="7" tint="0.39997558519241921"/>
  </sheetPr>
  <dimension ref="A1:B4"/>
  <sheetViews>
    <sheetView workbookViewId="0">
      <selection activeCell="B4" sqref="B4"/>
    </sheetView>
  </sheetViews>
  <sheetFormatPr baseColWidth="10" defaultRowHeight="15" x14ac:dyDescent="0"/>
  <cols>
    <col min="1" max="1" width="55.6640625" bestFit="1" customWidth="1"/>
    <col min="2" max="2" width="14.5" bestFit="1" customWidth="1"/>
  </cols>
  <sheetData>
    <row r="1" spans="1:2">
      <c r="A1" t="s">
        <v>516</v>
      </c>
    </row>
    <row r="2" spans="1:2">
      <c r="A2" t="s">
        <v>530</v>
      </c>
      <c r="B2" t="s">
        <v>531</v>
      </c>
    </row>
    <row r="3" spans="1:2">
      <c r="A3" t="s">
        <v>512</v>
      </c>
      <c r="B3" s="191" t="e">
        <f>'Electricity producer Shares'!G13</f>
        <v>#DIV/0!</v>
      </c>
    </row>
    <row r="4" spans="1:2">
      <c r="A4" t="s">
        <v>239</v>
      </c>
      <c r="B4" s="191" t="e">
        <f>'Electricity producer Shares'!F13</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enableFormatConditionsCalculation="0">
    <tabColor theme="7" tint="0.39997558519241921"/>
  </sheetPr>
  <dimension ref="A1:B4"/>
  <sheetViews>
    <sheetView workbookViewId="0">
      <selection activeCell="B4" sqref="B4"/>
    </sheetView>
  </sheetViews>
  <sheetFormatPr baseColWidth="10" defaultRowHeight="15" x14ac:dyDescent="0"/>
  <cols>
    <col min="1" max="1" width="89.83203125" bestFit="1" customWidth="1"/>
    <col min="2" max="2" width="14.5" bestFit="1" customWidth="1"/>
  </cols>
  <sheetData>
    <row r="1" spans="1:2">
      <c r="A1" t="s">
        <v>691</v>
      </c>
    </row>
    <row r="2" spans="1:2">
      <c r="A2" t="s">
        <v>530</v>
      </c>
      <c r="B2" t="s">
        <v>531</v>
      </c>
    </row>
    <row r="3" spans="1:2">
      <c r="A3" t="s">
        <v>301</v>
      </c>
      <c r="B3" s="191">
        <f>Dashboard!E93</f>
        <v>0</v>
      </c>
    </row>
    <row r="4" spans="1:2">
      <c r="A4" t="s">
        <v>690</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enableFormatConditionsCalculation="0">
    <tabColor theme="7" tint="0.39997558519241921"/>
  </sheetPr>
  <dimension ref="A1:B4"/>
  <sheetViews>
    <sheetView workbookViewId="0">
      <selection activeCell="B3" sqref="B3"/>
    </sheetView>
  </sheetViews>
  <sheetFormatPr baseColWidth="10" defaultRowHeight="15" x14ac:dyDescent="0"/>
  <cols>
    <col min="1" max="1" width="89.83203125" bestFit="1" customWidth="1"/>
    <col min="2" max="2" width="14.5" bestFit="1" customWidth="1"/>
  </cols>
  <sheetData>
    <row r="1" spans="1:2">
      <c r="A1" t="s">
        <v>696</v>
      </c>
    </row>
    <row r="2" spans="1:2">
      <c r="A2" t="s">
        <v>530</v>
      </c>
      <c r="B2" t="s">
        <v>531</v>
      </c>
    </row>
    <row r="3" spans="1:2">
      <c r="A3" t="s">
        <v>301</v>
      </c>
      <c r="B3" s="191">
        <f>Dashboard!E94</f>
        <v>0</v>
      </c>
    </row>
    <row r="4" spans="1:2">
      <c r="A4" t="s">
        <v>695</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enableFormatConditionsCalculation="0">
    <tabColor theme="7" tint="0.39997558519241921"/>
  </sheetPr>
  <dimension ref="A1:B4"/>
  <sheetViews>
    <sheetView workbookViewId="0">
      <selection activeCell="B3" sqref="B3"/>
    </sheetView>
  </sheetViews>
  <sheetFormatPr baseColWidth="10" defaultRowHeight="15" x14ac:dyDescent="0"/>
  <cols>
    <col min="1" max="1" width="85.83203125" bestFit="1" customWidth="1"/>
    <col min="2" max="2" width="14.5" bestFit="1" customWidth="1"/>
  </cols>
  <sheetData>
    <row r="1" spans="1:2">
      <c r="A1" t="s">
        <v>697</v>
      </c>
    </row>
    <row r="2" spans="1:2">
      <c r="A2" t="s">
        <v>530</v>
      </c>
      <c r="B2" t="s">
        <v>531</v>
      </c>
    </row>
    <row r="3" spans="1:2">
      <c r="A3" t="s">
        <v>258</v>
      </c>
      <c r="B3" s="191">
        <f>Dashboard!E96</f>
        <v>0</v>
      </c>
    </row>
    <row r="4" spans="1:2">
      <c r="A4" t="s">
        <v>698</v>
      </c>
      <c r="B4" s="191">
        <f>1-B3</f>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enableFormatConditionsCalculation="0">
    <tabColor theme="7" tint="0.39997558519241921"/>
  </sheetPr>
  <dimension ref="A1:B4"/>
  <sheetViews>
    <sheetView workbookViewId="0"/>
  </sheetViews>
  <sheetFormatPr baseColWidth="10" defaultRowHeight="15" x14ac:dyDescent="0"/>
  <cols>
    <col min="1" max="1" width="72.6640625" bestFit="1" customWidth="1"/>
    <col min="2" max="2" width="14.83203125" bestFit="1" customWidth="1"/>
  </cols>
  <sheetData>
    <row r="1" spans="1:2">
      <c r="A1" t="s">
        <v>871</v>
      </c>
      <c r="B1" s="466" t="s">
        <v>719</v>
      </c>
    </row>
    <row r="2" spans="1:2">
      <c r="A2" t="s">
        <v>530</v>
      </c>
      <c r="B2" t="s">
        <v>531</v>
      </c>
    </row>
    <row r="3" spans="1:2">
      <c r="A3" t="s">
        <v>872</v>
      </c>
      <c r="B3" s="647">
        <v>0</v>
      </c>
    </row>
    <row r="4" spans="1:2">
      <c r="A4" t="s">
        <v>695</v>
      </c>
      <c r="B4" s="19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enableFormatConditionsCalculation="0">
    <tabColor theme="7" tint="0.39997558519241921"/>
  </sheetPr>
  <dimension ref="A1:C4"/>
  <sheetViews>
    <sheetView workbookViewId="0"/>
  </sheetViews>
  <sheetFormatPr baseColWidth="10" defaultRowHeight="15" x14ac:dyDescent="0"/>
  <cols>
    <col min="1" max="1" width="65.5" bestFit="1" customWidth="1"/>
  </cols>
  <sheetData>
    <row r="1" spans="1:3">
      <c r="A1" s="452" t="s">
        <v>873</v>
      </c>
      <c r="B1" s="466" t="s">
        <v>719</v>
      </c>
    </row>
    <row r="2" spans="1:3">
      <c r="A2" t="s">
        <v>530</v>
      </c>
      <c r="B2" t="s">
        <v>531</v>
      </c>
    </row>
    <row r="3" spans="1:3">
      <c r="A3" t="s">
        <v>874</v>
      </c>
      <c r="B3">
        <v>0</v>
      </c>
      <c r="C3" s="143"/>
    </row>
    <row r="4" spans="1:3">
      <c r="A4" t="s">
        <v>875</v>
      </c>
      <c r="B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B6"/>
  <sheetViews>
    <sheetView workbookViewId="0"/>
  </sheetViews>
  <sheetFormatPr baseColWidth="10" defaultRowHeight="15" x14ac:dyDescent="0"/>
  <cols>
    <col min="1" max="1" width="33.83203125" customWidth="1"/>
  </cols>
  <sheetData>
    <row r="1" spans="1:2">
      <c r="A1" t="s">
        <v>854</v>
      </c>
    </row>
    <row r="2" spans="1:2">
      <c r="A2" t="s">
        <v>530</v>
      </c>
      <c r="B2" t="s">
        <v>855</v>
      </c>
    </row>
    <row r="3" spans="1:2">
      <c r="A3" t="str">
        <f>Dashboard!O100</f>
        <v>residences_percentage_old_residences</v>
      </c>
      <c r="B3" s="143">
        <f>Dashboard!E100</f>
        <v>0</v>
      </c>
    </row>
    <row r="4" spans="1:2">
      <c r="A4" t="str">
        <f>Dashboard!O101</f>
        <v>residences_percentage_new_residences</v>
      </c>
      <c r="B4" s="143">
        <f>Dashboard!E101</f>
        <v>0</v>
      </c>
    </row>
    <row r="5" spans="1:2">
      <c r="A5" t="str">
        <f>Dashboard!O103</f>
        <v>insulation_level_old_houses_min</v>
      </c>
      <c r="B5" s="645">
        <f>Dashboard!E103</f>
        <v>0</v>
      </c>
    </row>
    <row r="6" spans="1:2">
      <c r="A6" t="str">
        <f>Dashboard!O104</f>
        <v>insulation_level_new_houses_min</v>
      </c>
      <c r="B6" s="645">
        <f>Dashboard!E104</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Electricity producer Shares</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csv_solar_thermal_heater</vt:lpstr>
      <vt:lpstr>csv_cooling_old-new</vt:lpstr>
      <vt:lpstr>csv_heating_old-new</vt:lpstr>
      <vt:lpstr>csv_cooling_insulation_old</vt:lpstr>
      <vt:lpstr>csv_cooling_insulation_new</vt:lpstr>
      <vt:lpstr>csv_heating_insulation_new</vt:lpstr>
      <vt:lpstr>csv_heating_insulation_old</vt:lpstr>
      <vt:lpstr>csv_heating_micro_chp_gas</vt:lpstr>
      <vt:lpstr>csv_water_micro_chp_gas</vt:lpstr>
      <vt:lpstr>csv_water_fuell_cell_gas</vt:lpstr>
      <vt:lpstr>csv_solar_space_heating_chld</vt:lpstr>
      <vt:lpstr>csv_solar_hot_water_chld</vt:lpstr>
      <vt:lpstr>csv_add_on_space_heating_child</vt:lpstr>
      <vt:lpstr>csv_solar_heater_and_p2h_parent</vt:lpstr>
      <vt:lpstr>csv_hot_water_p2h_child</vt:lpstr>
      <vt:lpstr>csv_export_to_area_analysis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Joris Berkhout</cp:lastModifiedBy>
  <dcterms:created xsi:type="dcterms:W3CDTF">2013-06-25T11:11:29Z</dcterms:created>
  <dcterms:modified xsi:type="dcterms:W3CDTF">2015-10-05T13:32:19Z</dcterms:modified>
</cp:coreProperties>
</file>