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codeName="ThisWorkbook" autoCompressPictures="0"/>
  <bookViews>
    <workbookView xWindow="0" yWindow="-20" windowWidth="19200" windowHeight="23520" tabRatio="702" firstSheet="4" activeTab="5"/>
  </bookViews>
  <sheets>
    <sheet name="Overview" sheetId="3" r:id="rId1"/>
    <sheet name="Assumptions" sheetId="5" r:id="rId2"/>
    <sheet name="NL" sheetId="7" r:id="rId3"/>
    <sheet name="EUROSTAT_EU" sheetId="14" r:id="rId4"/>
    <sheet name="BR_total_cars" sheetId="15" r:id="rId5"/>
    <sheet name="Transport_numbers" sheetId="9" r:id="rId6"/>
    <sheet name="DE" sheetId="8" r:id="rId7"/>
    <sheet name="ES" sheetId="10" r:id="rId8"/>
    <sheet name="FR" sheetId="11" r:id="rId9"/>
    <sheet name="PL" sheetId="12" r:id="rId10"/>
    <sheet name="UK" sheetId="13" r:id="rId11"/>
    <sheet name="Shares NG" sheetId="1" r:id="rId12"/>
    <sheet name="Worldwide NGV" sheetId="2" r:id="rId13"/>
  </sheets>
  <definedNames>
    <definedName name="_xlnm.Print_Area" localSheetId="4">BR_total_cars!$A$1:$O$42</definedName>
  </definedName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9" l="1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F14" i="9"/>
  <c r="K49" i="14"/>
  <c r="J49" i="14"/>
  <c r="I49" i="14"/>
  <c r="K52" i="14"/>
  <c r="K53" i="14"/>
  <c r="J41" i="7"/>
  <c r="J29" i="7"/>
  <c r="F71" i="13"/>
  <c r="J71" i="13"/>
  <c r="F116" i="13"/>
  <c r="F70" i="13"/>
  <c r="J70" i="13"/>
  <c r="F106" i="13"/>
  <c r="J72" i="13"/>
  <c r="H71" i="13"/>
  <c r="H70" i="13"/>
  <c r="F77" i="13"/>
  <c r="F70" i="12"/>
  <c r="F71" i="12"/>
  <c r="J71" i="12"/>
  <c r="G135" i="13"/>
  <c r="I135" i="13"/>
  <c r="F135" i="13"/>
  <c r="J135" i="13"/>
  <c r="G136" i="13"/>
  <c r="I136" i="13"/>
  <c r="F136" i="13"/>
  <c r="J136" i="13"/>
  <c r="G137" i="13"/>
  <c r="I137" i="13"/>
  <c r="F137" i="13"/>
  <c r="J137" i="13"/>
  <c r="G138" i="13"/>
  <c r="I138" i="13"/>
  <c r="F138" i="13"/>
  <c r="J138" i="13"/>
  <c r="G139" i="13"/>
  <c r="I139" i="13"/>
  <c r="F139" i="13"/>
  <c r="J139" i="13"/>
  <c r="F140" i="13"/>
  <c r="J140" i="13"/>
  <c r="J142" i="13"/>
  <c r="F142" i="13"/>
  <c r="K140" i="13"/>
  <c r="G140" i="13"/>
  <c r="K139" i="13"/>
  <c r="K138" i="13"/>
  <c r="K137" i="13"/>
  <c r="K136" i="13"/>
  <c r="K135" i="13"/>
  <c r="F116" i="12"/>
  <c r="J70" i="12"/>
  <c r="F106" i="12"/>
  <c r="H71" i="12"/>
  <c r="H70" i="12"/>
  <c r="F77" i="11"/>
  <c r="F71" i="11"/>
  <c r="F70" i="11"/>
  <c r="F77" i="12"/>
  <c r="F47" i="12"/>
  <c r="F46" i="12"/>
  <c r="F70" i="8"/>
  <c r="F117" i="8"/>
  <c r="F71" i="8"/>
  <c r="J71" i="8"/>
  <c r="F116" i="8"/>
  <c r="J70" i="8"/>
  <c r="F106" i="8"/>
  <c r="H71" i="8"/>
  <c r="H70" i="8"/>
  <c r="F77" i="8"/>
  <c r="F116" i="7"/>
  <c r="F106" i="7"/>
  <c r="F83" i="13"/>
  <c r="F82" i="13"/>
  <c r="F60" i="13"/>
  <c r="F59" i="13"/>
  <c r="F58" i="13"/>
  <c r="F41" i="12"/>
  <c r="F41" i="13"/>
  <c r="F39" i="13"/>
  <c r="F38" i="13"/>
  <c r="F37" i="13"/>
  <c r="F36" i="13"/>
  <c r="F35" i="13"/>
  <c r="F34" i="13"/>
  <c r="F27" i="13"/>
  <c r="F26" i="13"/>
  <c r="F25" i="13"/>
  <c r="F24" i="13"/>
  <c r="F23" i="13"/>
  <c r="F22" i="13"/>
  <c r="I8" i="13"/>
  <c r="H35" i="13"/>
  <c r="H34" i="13"/>
  <c r="H38" i="13"/>
  <c r="I7" i="13"/>
  <c r="G25" i="13"/>
  <c r="I25" i="13"/>
  <c r="J25" i="13"/>
  <c r="F122" i="13"/>
  <c r="G37" i="13"/>
  <c r="H37" i="13"/>
  <c r="I37" i="13"/>
  <c r="J37" i="13"/>
  <c r="F123" i="13"/>
  <c r="I9" i="13"/>
  <c r="G49" i="13"/>
  <c r="I49" i="13"/>
  <c r="J49" i="13"/>
  <c r="F124" i="13"/>
  <c r="I12" i="13"/>
  <c r="G85" i="13"/>
  <c r="H85" i="13"/>
  <c r="I85" i="13"/>
  <c r="J85" i="13"/>
  <c r="F127" i="13"/>
  <c r="I122" i="13"/>
  <c r="I123" i="13"/>
  <c r="I126" i="13"/>
  <c r="I127" i="13"/>
  <c r="G23" i="13"/>
  <c r="I23" i="13"/>
  <c r="J23" i="13"/>
  <c r="F112" i="13"/>
  <c r="G35" i="13"/>
  <c r="I35" i="13"/>
  <c r="J35" i="13"/>
  <c r="F113" i="13"/>
  <c r="G47" i="13"/>
  <c r="I47" i="13"/>
  <c r="J47" i="13"/>
  <c r="F114" i="13"/>
  <c r="I10" i="13"/>
  <c r="G59" i="13"/>
  <c r="H59" i="13"/>
  <c r="I59" i="13"/>
  <c r="J59" i="13"/>
  <c r="F115" i="13"/>
  <c r="G83" i="13"/>
  <c r="H83" i="13"/>
  <c r="I83" i="13"/>
  <c r="F117" i="13"/>
  <c r="I112" i="13"/>
  <c r="I113" i="13"/>
  <c r="I116" i="13"/>
  <c r="I117" i="13"/>
  <c r="G22" i="13"/>
  <c r="I22" i="13"/>
  <c r="J22" i="13"/>
  <c r="F102" i="13"/>
  <c r="G34" i="13"/>
  <c r="I34" i="13"/>
  <c r="J34" i="13"/>
  <c r="F103" i="13"/>
  <c r="G46" i="13"/>
  <c r="I46" i="13"/>
  <c r="J46" i="13"/>
  <c r="F104" i="13"/>
  <c r="G58" i="13"/>
  <c r="H58" i="13"/>
  <c r="I58" i="13"/>
  <c r="J58" i="13"/>
  <c r="F105" i="13"/>
  <c r="G82" i="13"/>
  <c r="H82" i="13"/>
  <c r="I82" i="13"/>
  <c r="J82" i="13"/>
  <c r="F107" i="13"/>
  <c r="I102" i="13"/>
  <c r="I103" i="13"/>
  <c r="I106" i="13"/>
  <c r="I107" i="13"/>
  <c r="G89" i="13"/>
  <c r="I89" i="13"/>
  <c r="F89" i="13"/>
  <c r="J89" i="13"/>
  <c r="G86" i="13"/>
  <c r="H86" i="13"/>
  <c r="I86" i="13"/>
  <c r="J86" i="13"/>
  <c r="G84" i="13"/>
  <c r="I84" i="13"/>
  <c r="J84" i="13"/>
  <c r="J83" i="13"/>
  <c r="I11" i="13"/>
  <c r="G77" i="13"/>
  <c r="I77" i="13"/>
  <c r="J77" i="13"/>
  <c r="G72" i="13"/>
  <c r="I72" i="13"/>
  <c r="G71" i="13"/>
  <c r="I71" i="13"/>
  <c r="G70" i="13"/>
  <c r="I70" i="13"/>
  <c r="G65" i="13"/>
  <c r="I65" i="13"/>
  <c r="J65" i="13"/>
  <c r="G63" i="13"/>
  <c r="I63" i="13"/>
  <c r="J63" i="13"/>
  <c r="G62" i="13"/>
  <c r="I62" i="13"/>
  <c r="J62" i="13"/>
  <c r="G61" i="13"/>
  <c r="I61" i="13"/>
  <c r="J61" i="13"/>
  <c r="G60" i="13"/>
  <c r="I60" i="13"/>
  <c r="J60" i="13"/>
  <c r="G53" i="13"/>
  <c r="I53" i="13"/>
  <c r="J53" i="13"/>
  <c r="G51" i="13"/>
  <c r="I51" i="13"/>
  <c r="J51" i="13"/>
  <c r="G50" i="13"/>
  <c r="I50" i="13"/>
  <c r="J50" i="13"/>
  <c r="G48" i="13"/>
  <c r="I48" i="13"/>
  <c r="J48" i="13"/>
  <c r="G41" i="13"/>
  <c r="I41" i="13"/>
  <c r="J41" i="13"/>
  <c r="J39" i="13"/>
  <c r="G39" i="13"/>
  <c r="G38" i="13"/>
  <c r="I38" i="13"/>
  <c r="J38" i="13"/>
  <c r="G36" i="13"/>
  <c r="H36" i="13"/>
  <c r="I36" i="13"/>
  <c r="J36" i="13"/>
  <c r="G24" i="13"/>
  <c r="I24" i="13"/>
  <c r="J24" i="13"/>
  <c r="G26" i="13"/>
  <c r="I26" i="13"/>
  <c r="J26" i="13"/>
  <c r="J27" i="13"/>
  <c r="J29" i="13"/>
  <c r="G27" i="13"/>
  <c r="I14" i="13"/>
  <c r="F83" i="12"/>
  <c r="F82" i="12"/>
  <c r="F60" i="12"/>
  <c r="F59" i="12"/>
  <c r="F58" i="12"/>
  <c r="F39" i="12"/>
  <c r="F38" i="12"/>
  <c r="F37" i="12"/>
  <c r="F36" i="12"/>
  <c r="F35" i="12"/>
  <c r="F34" i="12"/>
  <c r="F27" i="12"/>
  <c r="F24" i="12"/>
  <c r="F23" i="12"/>
  <c r="F22" i="12"/>
  <c r="I8" i="12"/>
  <c r="H35" i="12"/>
  <c r="H34" i="12"/>
  <c r="H38" i="12"/>
  <c r="I7" i="12"/>
  <c r="G135" i="12"/>
  <c r="I135" i="12"/>
  <c r="F135" i="12"/>
  <c r="J135" i="12"/>
  <c r="G136" i="12"/>
  <c r="I136" i="12"/>
  <c r="F136" i="12"/>
  <c r="J136" i="12"/>
  <c r="G137" i="12"/>
  <c r="I137" i="12"/>
  <c r="F137" i="12"/>
  <c r="J137" i="12"/>
  <c r="G138" i="12"/>
  <c r="I138" i="12"/>
  <c r="J138" i="12"/>
  <c r="G139" i="12"/>
  <c r="I139" i="12"/>
  <c r="J139" i="12"/>
  <c r="F140" i="12"/>
  <c r="J140" i="12"/>
  <c r="J142" i="12"/>
  <c r="F142" i="12"/>
  <c r="K140" i="12"/>
  <c r="G140" i="12"/>
  <c r="K139" i="12"/>
  <c r="K138" i="12"/>
  <c r="K137" i="12"/>
  <c r="K136" i="12"/>
  <c r="K135" i="12"/>
  <c r="G25" i="12"/>
  <c r="I25" i="12"/>
  <c r="J25" i="12"/>
  <c r="F122" i="12"/>
  <c r="G37" i="12"/>
  <c r="H37" i="12"/>
  <c r="I37" i="12"/>
  <c r="J37" i="12"/>
  <c r="F123" i="12"/>
  <c r="I9" i="12"/>
  <c r="G49" i="12"/>
  <c r="I49" i="12"/>
  <c r="J49" i="12"/>
  <c r="F124" i="12"/>
  <c r="I12" i="12"/>
  <c r="G85" i="12"/>
  <c r="H85" i="12"/>
  <c r="I85" i="12"/>
  <c r="J85" i="12"/>
  <c r="F127" i="12"/>
  <c r="I122" i="12"/>
  <c r="I123" i="12"/>
  <c r="I126" i="12"/>
  <c r="I127" i="12"/>
  <c r="G23" i="12"/>
  <c r="I23" i="12"/>
  <c r="J23" i="12"/>
  <c r="F112" i="12"/>
  <c r="G35" i="12"/>
  <c r="I35" i="12"/>
  <c r="J35" i="12"/>
  <c r="F113" i="12"/>
  <c r="G47" i="12"/>
  <c r="I47" i="12"/>
  <c r="J47" i="12"/>
  <c r="F114" i="12"/>
  <c r="I10" i="12"/>
  <c r="G59" i="12"/>
  <c r="H59" i="12"/>
  <c r="I59" i="12"/>
  <c r="J59" i="12"/>
  <c r="F115" i="12"/>
  <c r="G83" i="12"/>
  <c r="H83" i="12"/>
  <c r="I83" i="12"/>
  <c r="F117" i="12"/>
  <c r="I112" i="12"/>
  <c r="I113" i="12"/>
  <c r="I116" i="12"/>
  <c r="I117" i="12"/>
  <c r="G22" i="12"/>
  <c r="I22" i="12"/>
  <c r="J22" i="12"/>
  <c r="F102" i="12"/>
  <c r="G34" i="12"/>
  <c r="I34" i="12"/>
  <c r="J34" i="12"/>
  <c r="F103" i="12"/>
  <c r="G46" i="12"/>
  <c r="I46" i="12"/>
  <c r="J46" i="12"/>
  <c r="F104" i="12"/>
  <c r="G58" i="12"/>
  <c r="H58" i="12"/>
  <c r="I58" i="12"/>
  <c r="J58" i="12"/>
  <c r="F105" i="12"/>
  <c r="G82" i="12"/>
  <c r="H82" i="12"/>
  <c r="I82" i="12"/>
  <c r="J82" i="12"/>
  <c r="F107" i="12"/>
  <c r="I102" i="12"/>
  <c r="I103" i="12"/>
  <c r="I106" i="12"/>
  <c r="I107" i="12"/>
  <c r="G89" i="12"/>
  <c r="I89" i="12"/>
  <c r="F89" i="12"/>
  <c r="J89" i="12"/>
  <c r="G86" i="12"/>
  <c r="H86" i="12"/>
  <c r="I86" i="12"/>
  <c r="J86" i="12"/>
  <c r="G84" i="12"/>
  <c r="I84" i="12"/>
  <c r="J84" i="12"/>
  <c r="J83" i="12"/>
  <c r="I11" i="12"/>
  <c r="G77" i="12"/>
  <c r="I77" i="12"/>
  <c r="J77" i="12"/>
  <c r="G72" i="12"/>
  <c r="G71" i="12"/>
  <c r="I71" i="12"/>
  <c r="G70" i="12"/>
  <c r="I70" i="12"/>
  <c r="G65" i="12"/>
  <c r="I65" i="12"/>
  <c r="J65" i="12"/>
  <c r="G63" i="12"/>
  <c r="I63" i="12"/>
  <c r="J63" i="12"/>
  <c r="G62" i="12"/>
  <c r="I62" i="12"/>
  <c r="J62" i="12"/>
  <c r="G61" i="12"/>
  <c r="I61" i="12"/>
  <c r="J61" i="12"/>
  <c r="G60" i="12"/>
  <c r="I60" i="12"/>
  <c r="J60" i="12"/>
  <c r="G53" i="12"/>
  <c r="I53" i="12"/>
  <c r="J53" i="12"/>
  <c r="G51" i="12"/>
  <c r="I51" i="12"/>
  <c r="J51" i="12"/>
  <c r="G50" i="12"/>
  <c r="I50" i="12"/>
  <c r="J50" i="12"/>
  <c r="G48" i="12"/>
  <c r="I48" i="12"/>
  <c r="J48" i="12"/>
  <c r="G41" i="12"/>
  <c r="I41" i="12"/>
  <c r="J41" i="12"/>
  <c r="J39" i="12"/>
  <c r="G39" i="12"/>
  <c r="G38" i="12"/>
  <c r="I38" i="12"/>
  <c r="J38" i="12"/>
  <c r="G36" i="12"/>
  <c r="H36" i="12"/>
  <c r="I36" i="12"/>
  <c r="J36" i="12"/>
  <c r="G24" i="12"/>
  <c r="I24" i="12"/>
  <c r="J24" i="12"/>
  <c r="G26" i="12"/>
  <c r="I26" i="12"/>
  <c r="J26" i="12"/>
  <c r="J29" i="12"/>
  <c r="J27" i="12"/>
  <c r="G27" i="12"/>
  <c r="I14" i="12"/>
  <c r="F83" i="11"/>
  <c r="F82" i="11"/>
  <c r="F60" i="11"/>
  <c r="F59" i="11"/>
  <c r="F58" i="11"/>
  <c r="F41" i="11"/>
  <c r="F39" i="11"/>
  <c r="F38" i="11"/>
  <c r="F37" i="11"/>
  <c r="F36" i="11"/>
  <c r="F35" i="11"/>
  <c r="F34" i="11"/>
  <c r="F27" i="11"/>
  <c r="F26" i="11"/>
  <c r="F25" i="11"/>
  <c r="F24" i="11"/>
  <c r="F23" i="11"/>
  <c r="F22" i="11"/>
  <c r="I8" i="11"/>
  <c r="H35" i="11"/>
  <c r="H34" i="11"/>
  <c r="H38" i="11"/>
  <c r="I7" i="11"/>
  <c r="G135" i="11"/>
  <c r="I135" i="11"/>
  <c r="F135" i="11"/>
  <c r="J135" i="11"/>
  <c r="G136" i="11"/>
  <c r="I136" i="11"/>
  <c r="F136" i="11"/>
  <c r="J136" i="11"/>
  <c r="G137" i="11"/>
  <c r="I137" i="11"/>
  <c r="F137" i="11"/>
  <c r="J137" i="11"/>
  <c r="G138" i="11"/>
  <c r="I138" i="11"/>
  <c r="F138" i="11"/>
  <c r="J138" i="11"/>
  <c r="G139" i="11"/>
  <c r="I139" i="11"/>
  <c r="J139" i="11"/>
  <c r="F140" i="11"/>
  <c r="J140" i="11"/>
  <c r="J142" i="11"/>
  <c r="F142" i="11"/>
  <c r="K140" i="11"/>
  <c r="G140" i="11"/>
  <c r="K139" i="11"/>
  <c r="K138" i="11"/>
  <c r="K137" i="11"/>
  <c r="K136" i="11"/>
  <c r="K135" i="11"/>
  <c r="G25" i="11"/>
  <c r="I25" i="11"/>
  <c r="J25" i="11"/>
  <c r="F122" i="11"/>
  <c r="G37" i="11"/>
  <c r="H37" i="11"/>
  <c r="I37" i="11"/>
  <c r="J37" i="11"/>
  <c r="F123" i="11"/>
  <c r="I9" i="11"/>
  <c r="G49" i="11"/>
  <c r="I49" i="11"/>
  <c r="J49" i="11"/>
  <c r="F124" i="11"/>
  <c r="I12" i="11"/>
  <c r="G85" i="11"/>
  <c r="H85" i="11"/>
  <c r="I85" i="11"/>
  <c r="J85" i="11"/>
  <c r="F127" i="11"/>
  <c r="I122" i="11"/>
  <c r="I123" i="11"/>
  <c r="I126" i="11"/>
  <c r="I127" i="11"/>
  <c r="G23" i="11"/>
  <c r="I23" i="11"/>
  <c r="J23" i="11"/>
  <c r="F112" i="11"/>
  <c r="G35" i="11"/>
  <c r="I35" i="11"/>
  <c r="J35" i="11"/>
  <c r="F113" i="11"/>
  <c r="G47" i="11"/>
  <c r="I47" i="11"/>
  <c r="J47" i="11"/>
  <c r="F114" i="11"/>
  <c r="I10" i="11"/>
  <c r="G59" i="11"/>
  <c r="H59" i="11"/>
  <c r="I59" i="11"/>
  <c r="J59" i="11"/>
  <c r="F115" i="11"/>
  <c r="G83" i="11"/>
  <c r="H83" i="11"/>
  <c r="I83" i="11"/>
  <c r="F117" i="11"/>
  <c r="I112" i="11"/>
  <c r="I113" i="11"/>
  <c r="I116" i="11"/>
  <c r="I117" i="11"/>
  <c r="G22" i="11"/>
  <c r="I22" i="11"/>
  <c r="J22" i="11"/>
  <c r="F102" i="11"/>
  <c r="G34" i="11"/>
  <c r="I34" i="11"/>
  <c r="J34" i="11"/>
  <c r="F103" i="11"/>
  <c r="G46" i="11"/>
  <c r="I46" i="11"/>
  <c r="J46" i="11"/>
  <c r="F104" i="11"/>
  <c r="G58" i="11"/>
  <c r="H58" i="11"/>
  <c r="I58" i="11"/>
  <c r="J58" i="11"/>
  <c r="F105" i="11"/>
  <c r="G82" i="11"/>
  <c r="H82" i="11"/>
  <c r="I82" i="11"/>
  <c r="J82" i="11"/>
  <c r="F107" i="11"/>
  <c r="I102" i="11"/>
  <c r="I103" i="11"/>
  <c r="I106" i="11"/>
  <c r="I107" i="11"/>
  <c r="G89" i="11"/>
  <c r="I89" i="11"/>
  <c r="F89" i="11"/>
  <c r="J89" i="11"/>
  <c r="G87" i="11"/>
  <c r="I87" i="11"/>
  <c r="J87" i="11"/>
  <c r="G86" i="11"/>
  <c r="H86" i="11"/>
  <c r="I86" i="11"/>
  <c r="J86" i="11"/>
  <c r="G84" i="11"/>
  <c r="I84" i="11"/>
  <c r="J84" i="11"/>
  <c r="J83" i="11"/>
  <c r="I11" i="11"/>
  <c r="G77" i="11"/>
  <c r="I77" i="11"/>
  <c r="J77" i="11"/>
  <c r="G75" i="11"/>
  <c r="I75" i="11"/>
  <c r="J75" i="11"/>
  <c r="G74" i="11"/>
  <c r="I74" i="11"/>
  <c r="J74" i="11"/>
  <c r="G73" i="11"/>
  <c r="I73" i="11"/>
  <c r="J73" i="11"/>
  <c r="G72" i="11"/>
  <c r="I72" i="11"/>
  <c r="J72" i="11"/>
  <c r="G71" i="11"/>
  <c r="I71" i="11"/>
  <c r="J71" i="11"/>
  <c r="G70" i="11"/>
  <c r="I70" i="11"/>
  <c r="J70" i="11"/>
  <c r="G65" i="11"/>
  <c r="I65" i="11"/>
  <c r="J65" i="11"/>
  <c r="G63" i="11"/>
  <c r="I63" i="11"/>
  <c r="J63" i="11"/>
  <c r="G62" i="11"/>
  <c r="I62" i="11"/>
  <c r="J62" i="11"/>
  <c r="G61" i="11"/>
  <c r="I61" i="11"/>
  <c r="J61" i="11"/>
  <c r="G60" i="11"/>
  <c r="I60" i="11"/>
  <c r="J60" i="11"/>
  <c r="G53" i="11"/>
  <c r="I53" i="11"/>
  <c r="J53" i="11"/>
  <c r="G51" i="11"/>
  <c r="I51" i="11"/>
  <c r="J51" i="11"/>
  <c r="G50" i="11"/>
  <c r="I50" i="11"/>
  <c r="J50" i="11"/>
  <c r="G48" i="11"/>
  <c r="I48" i="11"/>
  <c r="J48" i="11"/>
  <c r="G41" i="11"/>
  <c r="I41" i="11"/>
  <c r="J41" i="11"/>
  <c r="J39" i="11"/>
  <c r="G39" i="11"/>
  <c r="G38" i="11"/>
  <c r="I38" i="11"/>
  <c r="J38" i="11"/>
  <c r="G36" i="11"/>
  <c r="H36" i="11"/>
  <c r="I36" i="11"/>
  <c r="J36" i="11"/>
  <c r="G24" i="11"/>
  <c r="I24" i="11"/>
  <c r="J24" i="11"/>
  <c r="G26" i="11"/>
  <c r="I26" i="11"/>
  <c r="J26" i="11"/>
  <c r="J27" i="11"/>
  <c r="J29" i="11"/>
  <c r="G27" i="11"/>
  <c r="I14" i="11"/>
  <c r="I12" i="8"/>
  <c r="I11" i="8"/>
  <c r="I10" i="8"/>
  <c r="I9" i="8"/>
  <c r="I8" i="8"/>
  <c r="I7" i="8"/>
  <c r="I12" i="10"/>
  <c r="I11" i="10"/>
  <c r="I10" i="10"/>
  <c r="I9" i="10"/>
  <c r="I8" i="10"/>
  <c r="I7" i="10"/>
  <c r="F83" i="10"/>
  <c r="F82" i="10"/>
  <c r="F77" i="10"/>
  <c r="F60" i="10"/>
  <c r="F59" i="10"/>
  <c r="F58" i="10"/>
  <c r="F41" i="10"/>
  <c r="F39" i="10"/>
  <c r="F38" i="10"/>
  <c r="F37" i="10"/>
  <c r="F36" i="10"/>
  <c r="F35" i="10"/>
  <c r="F34" i="10"/>
  <c r="F23" i="10"/>
  <c r="F22" i="10"/>
  <c r="H35" i="10"/>
  <c r="H34" i="10"/>
  <c r="H38" i="10"/>
  <c r="G135" i="10"/>
  <c r="I135" i="10"/>
  <c r="F135" i="10"/>
  <c r="J135" i="10"/>
  <c r="G136" i="10"/>
  <c r="I136" i="10"/>
  <c r="F136" i="10"/>
  <c r="J136" i="10"/>
  <c r="G137" i="10"/>
  <c r="I137" i="10"/>
  <c r="F137" i="10"/>
  <c r="J137" i="10"/>
  <c r="G138" i="10"/>
  <c r="I138" i="10"/>
  <c r="F138" i="10"/>
  <c r="J138" i="10"/>
  <c r="G139" i="10"/>
  <c r="I139" i="10"/>
  <c r="F139" i="10"/>
  <c r="J139" i="10"/>
  <c r="F140" i="10"/>
  <c r="J140" i="10"/>
  <c r="J142" i="10"/>
  <c r="F142" i="10"/>
  <c r="K140" i="10"/>
  <c r="G140" i="10"/>
  <c r="K139" i="10"/>
  <c r="K138" i="10"/>
  <c r="K137" i="10"/>
  <c r="K136" i="10"/>
  <c r="K135" i="10"/>
  <c r="G25" i="10"/>
  <c r="I25" i="10"/>
  <c r="J25" i="10"/>
  <c r="F122" i="10"/>
  <c r="G37" i="10"/>
  <c r="H37" i="10"/>
  <c r="I37" i="10"/>
  <c r="J37" i="10"/>
  <c r="F123" i="10"/>
  <c r="G49" i="10"/>
  <c r="I49" i="10"/>
  <c r="J49" i="10"/>
  <c r="F124" i="10"/>
  <c r="G85" i="10"/>
  <c r="H85" i="10"/>
  <c r="I85" i="10"/>
  <c r="J85" i="10"/>
  <c r="F127" i="10"/>
  <c r="I122" i="10"/>
  <c r="I123" i="10"/>
  <c r="I126" i="10"/>
  <c r="I127" i="10"/>
  <c r="G23" i="10"/>
  <c r="I23" i="10"/>
  <c r="J23" i="10"/>
  <c r="F112" i="10"/>
  <c r="G35" i="10"/>
  <c r="I35" i="10"/>
  <c r="J35" i="10"/>
  <c r="F113" i="10"/>
  <c r="G47" i="10"/>
  <c r="I47" i="10"/>
  <c r="J47" i="10"/>
  <c r="F114" i="10"/>
  <c r="G59" i="10"/>
  <c r="H59" i="10"/>
  <c r="I59" i="10"/>
  <c r="J59" i="10"/>
  <c r="F115" i="10"/>
  <c r="G83" i="10"/>
  <c r="H83" i="10"/>
  <c r="I83" i="10"/>
  <c r="F117" i="10"/>
  <c r="I112" i="10"/>
  <c r="I113" i="10"/>
  <c r="I116" i="10"/>
  <c r="I117" i="10"/>
  <c r="G22" i="10"/>
  <c r="I22" i="10"/>
  <c r="J22" i="10"/>
  <c r="F102" i="10"/>
  <c r="G34" i="10"/>
  <c r="I34" i="10"/>
  <c r="J34" i="10"/>
  <c r="F103" i="10"/>
  <c r="G46" i="10"/>
  <c r="I46" i="10"/>
  <c r="J46" i="10"/>
  <c r="F104" i="10"/>
  <c r="G58" i="10"/>
  <c r="H58" i="10"/>
  <c r="I58" i="10"/>
  <c r="J58" i="10"/>
  <c r="F105" i="10"/>
  <c r="G82" i="10"/>
  <c r="H82" i="10"/>
  <c r="I82" i="10"/>
  <c r="J82" i="10"/>
  <c r="F107" i="10"/>
  <c r="I102" i="10"/>
  <c r="I103" i="10"/>
  <c r="I106" i="10"/>
  <c r="I107" i="10"/>
  <c r="G89" i="10"/>
  <c r="I89" i="10"/>
  <c r="F89" i="10"/>
  <c r="J89" i="10"/>
  <c r="G87" i="10"/>
  <c r="I87" i="10"/>
  <c r="J87" i="10"/>
  <c r="G86" i="10"/>
  <c r="H86" i="10"/>
  <c r="I86" i="10"/>
  <c r="J86" i="10"/>
  <c r="G84" i="10"/>
  <c r="I84" i="10"/>
  <c r="J84" i="10"/>
  <c r="J83" i="10"/>
  <c r="G77" i="10"/>
  <c r="I77" i="10"/>
  <c r="J77" i="10"/>
  <c r="G75" i="10"/>
  <c r="I75" i="10"/>
  <c r="J75" i="10"/>
  <c r="G74" i="10"/>
  <c r="I74" i="10"/>
  <c r="J74" i="10"/>
  <c r="G73" i="10"/>
  <c r="I73" i="10"/>
  <c r="J73" i="10"/>
  <c r="G72" i="10"/>
  <c r="I72" i="10"/>
  <c r="J72" i="10"/>
  <c r="G71" i="10"/>
  <c r="I71" i="10"/>
  <c r="J71" i="10"/>
  <c r="G70" i="10"/>
  <c r="I70" i="10"/>
  <c r="J70" i="10"/>
  <c r="G65" i="10"/>
  <c r="I65" i="10"/>
  <c r="J65" i="10"/>
  <c r="G63" i="10"/>
  <c r="I63" i="10"/>
  <c r="J63" i="10"/>
  <c r="G62" i="10"/>
  <c r="I62" i="10"/>
  <c r="J62" i="10"/>
  <c r="G61" i="10"/>
  <c r="I61" i="10"/>
  <c r="J61" i="10"/>
  <c r="G60" i="10"/>
  <c r="I60" i="10"/>
  <c r="J60" i="10"/>
  <c r="G53" i="10"/>
  <c r="I53" i="10"/>
  <c r="J53" i="10"/>
  <c r="G51" i="10"/>
  <c r="I51" i="10"/>
  <c r="J51" i="10"/>
  <c r="G50" i="10"/>
  <c r="I50" i="10"/>
  <c r="J50" i="10"/>
  <c r="G48" i="10"/>
  <c r="I48" i="10"/>
  <c r="J48" i="10"/>
  <c r="G41" i="10"/>
  <c r="I41" i="10"/>
  <c r="J41" i="10"/>
  <c r="J39" i="10"/>
  <c r="G39" i="10"/>
  <c r="G38" i="10"/>
  <c r="I38" i="10"/>
  <c r="J38" i="10"/>
  <c r="G36" i="10"/>
  <c r="H36" i="10"/>
  <c r="I36" i="10"/>
  <c r="J36" i="10"/>
  <c r="G24" i="10"/>
  <c r="I24" i="10"/>
  <c r="J24" i="10"/>
  <c r="G26" i="10"/>
  <c r="I26" i="10"/>
  <c r="J26" i="10"/>
  <c r="J27" i="10"/>
  <c r="J29" i="10"/>
  <c r="G27" i="10"/>
  <c r="I14" i="10"/>
  <c r="F35" i="8"/>
  <c r="F36" i="8"/>
  <c r="F37" i="8"/>
  <c r="F38" i="8"/>
  <c r="F39" i="8"/>
  <c r="F41" i="8"/>
  <c r="F34" i="8"/>
  <c r="F23" i="8"/>
  <c r="F136" i="8"/>
  <c r="F24" i="8"/>
  <c r="F137" i="8"/>
  <c r="F25" i="8"/>
  <c r="F138" i="8"/>
  <c r="F26" i="8"/>
  <c r="F139" i="8"/>
  <c r="F27" i="8"/>
  <c r="F140" i="8"/>
  <c r="F142" i="8"/>
  <c r="F22" i="8"/>
  <c r="F135" i="8"/>
  <c r="F83" i="8"/>
  <c r="F82" i="8"/>
  <c r="F89" i="8"/>
  <c r="F73" i="9"/>
  <c r="F74" i="9"/>
  <c r="F75" i="9"/>
  <c r="F76" i="9"/>
  <c r="F77" i="9"/>
  <c r="F72" i="9"/>
  <c r="F60" i="8"/>
  <c r="F59" i="8"/>
  <c r="F58" i="8"/>
  <c r="F61" i="9"/>
  <c r="F62" i="9"/>
  <c r="F63" i="9"/>
  <c r="F64" i="9"/>
  <c r="F65" i="9"/>
  <c r="F60" i="9"/>
  <c r="J27" i="8"/>
  <c r="G22" i="8"/>
  <c r="I22" i="8"/>
  <c r="J22" i="8"/>
  <c r="G23" i="8"/>
  <c r="I23" i="8"/>
  <c r="J23" i="8"/>
  <c r="G24" i="8"/>
  <c r="I24" i="8"/>
  <c r="J24" i="8"/>
  <c r="G25" i="8"/>
  <c r="I25" i="8"/>
  <c r="J25" i="8"/>
  <c r="G26" i="8"/>
  <c r="I26" i="8"/>
  <c r="J26" i="8"/>
  <c r="J29" i="8"/>
  <c r="F85" i="9"/>
  <c r="F86" i="9"/>
  <c r="F87" i="9"/>
  <c r="F88" i="9"/>
  <c r="F89" i="9"/>
  <c r="F84" i="9"/>
  <c r="F49" i="9"/>
  <c r="F50" i="9"/>
  <c r="F51" i="9"/>
  <c r="F52" i="9"/>
  <c r="F53" i="9"/>
  <c r="F48" i="9"/>
  <c r="F37" i="9"/>
  <c r="F38" i="9"/>
  <c r="F39" i="9"/>
  <c r="F40" i="9"/>
  <c r="F41" i="9"/>
  <c r="F36" i="9"/>
  <c r="F24" i="9"/>
  <c r="F25" i="9"/>
  <c r="F26" i="9"/>
  <c r="F27" i="9"/>
  <c r="F28" i="9"/>
  <c r="F23" i="9"/>
  <c r="H35" i="8"/>
  <c r="H34" i="8"/>
  <c r="H38" i="8"/>
  <c r="G135" i="8"/>
  <c r="I135" i="8"/>
  <c r="J135" i="8"/>
  <c r="G136" i="8"/>
  <c r="I136" i="8"/>
  <c r="J136" i="8"/>
  <c r="G137" i="8"/>
  <c r="I137" i="8"/>
  <c r="J137" i="8"/>
  <c r="G138" i="8"/>
  <c r="I138" i="8"/>
  <c r="J138" i="8"/>
  <c r="G139" i="8"/>
  <c r="I139" i="8"/>
  <c r="J139" i="8"/>
  <c r="J140" i="8"/>
  <c r="J142" i="8"/>
  <c r="K140" i="8"/>
  <c r="G140" i="8"/>
  <c r="K139" i="8"/>
  <c r="K138" i="8"/>
  <c r="K137" i="8"/>
  <c r="K136" i="8"/>
  <c r="K135" i="8"/>
  <c r="F122" i="8"/>
  <c r="G37" i="8"/>
  <c r="H37" i="8"/>
  <c r="I37" i="8"/>
  <c r="J37" i="8"/>
  <c r="F123" i="8"/>
  <c r="G49" i="8"/>
  <c r="I49" i="8"/>
  <c r="J49" i="8"/>
  <c r="F124" i="8"/>
  <c r="G85" i="8"/>
  <c r="H85" i="8"/>
  <c r="I85" i="8"/>
  <c r="J85" i="8"/>
  <c r="F127" i="8"/>
  <c r="I122" i="8"/>
  <c r="I123" i="8"/>
  <c r="I126" i="8"/>
  <c r="I127" i="8"/>
  <c r="F112" i="8"/>
  <c r="G35" i="8"/>
  <c r="I35" i="8"/>
  <c r="J35" i="8"/>
  <c r="F113" i="8"/>
  <c r="G47" i="8"/>
  <c r="I47" i="8"/>
  <c r="J47" i="8"/>
  <c r="F114" i="8"/>
  <c r="G59" i="8"/>
  <c r="H59" i="8"/>
  <c r="I59" i="8"/>
  <c r="J59" i="8"/>
  <c r="F115" i="8"/>
  <c r="G83" i="8"/>
  <c r="H83" i="8"/>
  <c r="I83" i="8"/>
  <c r="I112" i="8"/>
  <c r="I113" i="8"/>
  <c r="I116" i="8"/>
  <c r="I117" i="8"/>
  <c r="F102" i="8"/>
  <c r="G34" i="8"/>
  <c r="I34" i="8"/>
  <c r="J34" i="8"/>
  <c r="F103" i="8"/>
  <c r="G46" i="8"/>
  <c r="I46" i="8"/>
  <c r="J46" i="8"/>
  <c r="F104" i="8"/>
  <c r="G58" i="8"/>
  <c r="H58" i="8"/>
  <c r="I58" i="8"/>
  <c r="J58" i="8"/>
  <c r="F105" i="8"/>
  <c r="G82" i="8"/>
  <c r="H82" i="8"/>
  <c r="I82" i="8"/>
  <c r="J82" i="8"/>
  <c r="F107" i="8"/>
  <c r="I102" i="8"/>
  <c r="I103" i="8"/>
  <c r="I106" i="8"/>
  <c r="I107" i="8"/>
  <c r="G89" i="8"/>
  <c r="I89" i="8"/>
  <c r="J89" i="8"/>
  <c r="G87" i="8"/>
  <c r="I87" i="8"/>
  <c r="J87" i="8"/>
  <c r="G86" i="8"/>
  <c r="H86" i="8"/>
  <c r="I86" i="8"/>
  <c r="J86" i="8"/>
  <c r="G84" i="8"/>
  <c r="I84" i="8"/>
  <c r="J84" i="8"/>
  <c r="J83" i="8"/>
  <c r="G77" i="8"/>
  <c r="I77" i="8"/>
  <c r="J77" i="8"/>
  <c r="G75" i="8"/>
  <c r="I75" i="8"/>
  <c r="J75" i="8"/>
  <c r="G74" i="8"/>
  <c r="I74" i="8"/>
  <c r="J74" i="8"/>
  <c r="G73" i="8"/>
  <c r="I73" i="8"/>
  <c r="J73" i="8"/>
  <c r="G72" i="8"/>
  <c r="I72" i="8"/>
  <c r="J72" i="8"/>
  <c r="G71" i="8"/>
  <c r="I71" i="8"/>
  <c r="G70" i="8"/>
  <c r="I70" i="8"/>
  <c r="G65" i="8"/>
  <c r="I65" i="8"/>
  <c r="J65" i="8"/>
  <c r="G63" i="8"/>
  <c r="I63" i="8"/>
  <c r="J63" i="8"/>
  <c r="G62" i="8"/>
  <c r="I62" i="8"/>
  <c r="J62" i="8"/>
  <c r="G61" i="8"/>
  <c r="I61" i="8"/>
  <c r="J61" i="8"/>
  <c r="G60" i="8"/>
  <c r="I60" i="8"/>
  <c r="J60" i="8"/>
  <c r="G53" i="8"/>
  <c r="I53" i="8"/>
  <c r="J53" i="8"/>
  <c r="G51" i="8"/>
  <c r="I51" i="8"/>
  <c r="J51" i="8"/>
  <c r="G50" i="8"/>
  <c r="I50" i="8"/>
  <c r="J50" i="8"/>
  <c r="G48" i="8"/>
  <c r="I48" i="8"/>
  <c r="J48" i="8"/>
  <c r="G41" i="8"/>
  <c r="I41" i="8"/>
  <c r="J41" i="8"/>
  <c r="G39" i="8"/>
  <c r="J39" i="8"/>
  <c r="G38" i="8"/>
  <c r="I38" i="8"/>
  <c r="J38" i="8"/>
  <c r="G36" i="8"/>
  <c r="H36" i="8"/>
  <c r="I36" i="8"/>
  <c r="J36" i="8"/>
  <c r="G27" i="8"/>
  <c r="I14" i="8"/>
  <c r="I14" i="7"/>
  <c r="H35" i="7"/>
  <c r="H34" i="7"/>
  <c r="H38" i="7"/>
  <c r="H36" i="7"/>
  <c r="I7" i="7"/>
  <c r="G138" i="7"/>
  <c r="I138" i="7"/>
  <c r="J138" i="7"/>
  <c r="G137" i="7"/>
  <c r="I137" i="7"/>
  <c r="J137" i="7"/>
  <c r="G139" i="7"/>
  <c r="I139" i="7"/>
  <c r="J139" i="7"/>
  <c r="G140" i="7"/>
  <c r="I140" i="7"/>
  <c r="J140" i="7"/>
  <c r="G141" i="7"/>
  <c r="I141" i="7"/>
  <c r="J141" i="7"/>
  <c r="J142" i="7"/>
  <c r="J144" i="7"/>
  <c r="K138" i="7"/>
  <c r="K139" i="7"/>
  <c r="K140" i="7"/>
  <c r="K141" i="7"/>
  <c r="K142" i="7"/>
  <c r="K137" i="7"/>
  <c r="G142" i="7"/>
  <c r="H83" i="7"/>
  <c r="H82" i="7"/>
  <c r="H59" i="7"/>
  <c r="H58" i="7"/>
  <c r="H37" i="7"/>
  <c r="I12" i="7"/>
  <c r="G85" i="7"/>
  <c r="H85" i="7"/>
  <c r="I85" i="7"/>
  <c r="J85" i="7"/>
  <c r="F127" i="7"/>
  <c r="I9" i="7"/>
  <c r="G49" i="7"/>
  <c r="I49" i="7"/>
  <c r="J49" i="7"/>
  <c r="F124" i="7"/>
  <c r="I8" i="7"/>
  <c r="G37" i="7"/>
  <c r="I37" i="7"/>
  <c r="J37" i="7"/>
  <c r="F123" i="7"/>
  <c r="G25" i="7"/>
  <c r="I25" i="7"/>
  <c r="J25" i="7"/>
  <c r="F122" i="7"/>
  <c r="G83" i="7"/>
  <c r="I83" i="7"/>
  <c r="F117" i="7"/>
  <c r="I10" i="7"/>
  <c r="G59" i="7"/>
  <c r="I59" i="7"/>
  <c r="J59" i="7"/>
  <c r="F115" i="7"/>
  <c r="G47" i="7"/>
  <c r="I47" i="7"/>
  <c r="J47" i="7"/>
  <c r="F114" i="7"/>
  <c r="G35" i="7"/>
  <c r="I35" i="7"/>
  <c r="J35" i="7"/>
  <c r="F113" i="7"/>
  <c r="G23" i="7"/>
  <c r="I23" i="7"/>
  <c r="J23" i="7"/>
  <c r="F112" i="7"/>
  <c r="I112" i="7"/>
  <c r="I113" i="7"/>
  <c r="I116" i="7"/>
  <c r="I117" i="7"/>
  <c r="I122" i="7"/>
  <c r="I123" i="7"/>
  <c r="I126" i="7"/>
  <c r="I127" i="7"/>
  <c r="G34" i="7"/>
  <c r="I34" i="7"/>
  <c r="J34" i="7"/>
  <c r="F103" i="7"/>
  <c r="G58" i="7"/>
  <c r="I58" i="7"/>
  <c r="J58" i="7"/>
  <c r="F105" i="7"/>
  <c r="G82" i="7"/>
  <c r="I82" i="7"/>
  <c r="J82" i="7"/>
  <c r="F107" i="7"/>
  <c r="G46" i="7"/>
  <c r="I46" i="7"/>
  <c r="J46" i="7"/>
  <c r="F104" i="7"/>
  <c r="I103" i="7"/>
  <c r="G22" i="7"/>
  <c r="I22" i="7"/>
  <c r="J22" i="7"/>
  <c r="F102" i="7"/>
  <c r="I102" i="7"/>
  <c r="I106" i="7"/>
  <c r="I107" i="7"/>
  <c r="H86" i="7"/>
  <c r="G89" i="7"/>
  <c r="G84" i="7"/>
  <c r="G86" i="7"/>
  <c r="G87" i="7"/>
  <c r="I11" i="7"/>
  <c r="G71" i="7"/>
  <c r="G72" i="7"/>
  <c r="G73" i="7"/>
  <c r="G74" i="7"/>
  <c r="G75" i="7"/>
  <c r="G77" i="7"/>
  <c r="G70" i="7"/>
  <c r="G48" i="7"/>
  <c r="G50" i="7"/>
  <c r="G51" i="7"/>
  <c r="G53" i="7"/>
  <c r="G36" i="7"/>
  <c r="G38" i="7"/>
  <c r="G39" i="7"/>
  <c r="G41" i="7"/>
  <c r="G65" i="7"/>
  <c r="G61" i="7"/>
  <c r="G62" i="7"/>
  <c r="G63" i="7"/>
  <c r="G60" i="7"/>
  <c r="G24" i="7"/>
  <c r="G26" i="7"/>
  <c r="G27" i="7"/>
  <c r="I26" i="7"/>
  <c r="J26" i="7"/>
  <c r="I24" i="7"/>
  <c r="J24" i="7"/>
  <c r="E39" i="1"/>
  <c r="F39" i="1"/>
  <c r="C26" i="1"/>
  <c r="E40" i="1"/>
  <c r="F40" i="1"/>
  <c r="D26" i="1"/>
  <c r="E26" i="1"/>
  <c r="F26" i="1"/>
  <c r="E41" i="1"/>
  <c r="F41" i="1"/>
  <c r="C16" i="1"/>
  <c r="D16" i="1"/>
  <c r="E16" i="1"/>
  <c r="F16" i="1"/>
  <c r="D9" i="1"/>
  <c r="C33" i="1"/>
  <c r="C32" i="1"/>
  <c r="C31" i="1"/>
  <c r="C30" i="1"/>
  <c r="F9" i="1"/>
  <c r="C29" i="1"/>
  <c r="C27" i="1"/>
  <c r="E7" i="1"/>
  <c r="D27" i="1"/>
  <c r="E27" i="1"/>
  <c r="C28" i="1"/>
  <c r="D17" i="1"/>
  <c r="E13" i="1"/>
  <c r="D33" i="1"/>
  <c r="E12" i="1"/>
  <c r="D32" i="1"/>
  <c r="E11" i="1"/>
  <c r="D31" i="1"/>
  <c r="E10" i="1"/>
  <c r="D30" i="1"/>
  <c r="C9" i="1"/>
  <c r="E9" i="1"/>
  <c r="D29" i="1"/>
  <c r="E8" i="1"/>
  <c r="D28" i="1"/>
  <c r="E33" i="1"/>
  <c r="F33" i="1"/>
  <c r="E32" i="1"/>
  <c r="F32" i="1"/>
  <c r="E31" i="1"/>
  <c r="F31" i="1"/>
  <c r="E30" i="1"/>
  <c r="F30" i="1"/>
  <c r="E29" i="1"/>
  <c r="F29" i="1"/>
  <c r="E28" i="1"/>
  <c r="F28" i="1"/>
  <c r="F27" i="1"/>
  <c r="D23" i="1"/>
  <c r="D22" i="1"/>
  <c r="D21" i="1"/>
  <c r="D19" i="1"/>
  <c r="D20" i="1"/>
  <c r="D18" i="1"/>
  <c r="C23" i="1"/>
  <c r="C22" i="1"/>
  <c r="C21" i="1"/>
  <c r="C20" i="1"/>
  <c r="C19" i="1"/>
  <c r="C18" i="1"/>
  <c r="C17" i="1"/>
  <c r="E18" i="1"/>
  <c r="F18" i="1"/>
  <c r="E19" i="1"/>
  <c r="F19" i="1"/>
  <c r="E20" i="1"/>
  <c r="F20" i="1"/>
  <c r="E21" i="1"/>
  <c r="F21" i="1"/>
  <c r="E22" i="1"/>
  <c r="F22" i="1"/>
  <c r="E23" i="1"/>
  <c r="F23" i="1"/>
  <c r="E17" i="1"/>
  <c r="F17" i="1"/>
  <c r="I60" i="7"/>
  <c r="I62" i="7"/>
  <c r="I89" i="7"/>
  <c r="J89" i="7"/>
  <c r="I86" i="7"/>
  <c r="J86" i="7"/>
  <c r="I84" i="7"/>
  <c r="J84" i="7"/>
  <c r="I61" i="7"/>
  <c r="I77" i="7"/>
  <c r="J77" i="7"/>
  <c r="I75" i="7"/>
  <c r="J75" i="7"/>
  <c r="I74" i="7"/>
  <c r="J74" i="7"/>
  <c r="I73" i="7"/>
  <c r="J73" i="7"/>
  <c r="I72" i="7"/>
  <c r="J72" i="7"/>
  <c r="I70" i="7"/>
  <c r="J70" i="7"/>
  <c r="I65" i="7"/>
  <c r="J65" i="7"/>
  <c r="I63" i="7"/>
  <c r="J63" i="7"/>
  <c r="J62" i="7"/>
  <c r="J61" i="7"/>
  <c r="J60" i="7"/>
  <c r="I53" i="7"/>
  <c r="J53" i="7"/>
  <c r="I51" i="7"/>
  <c r="J51" i="7"/>
  <c r="I50" i="7"/>
  <c r="J50" i="7"/>
  <c r="I48" i="7"/>
  <c r="J48" i="7"/>
  <c r="I38" i="7"/>
  <c r="J38" i="7"/>
  <c r="I36" i="7"/>
  <c r="J36" i="7"/>
  <c r="J83" i="7"/>
  <c r="I71" i="7"/>
  <c r="J71" i="7"/>
</calcChain>
</file>

<file path=xl/comments1.xml><?xml version="1.0" encoding="utf-8"?>
<comments xmlns="http://schemas.openxmlformats.org/spreadsheetml/2006/main">
  <authors>
    <author>claudia.carvalho</author>
  </authors>
  <commentList>
    <comment ref="O3" authorId="0">
      <text>
        <r>
          <rPr>
            <sz val="12"/>
            <color indexed="81"/>
            <rFont val="Tahoma"/>
            <family val="2"/>
          </rPr>
          <t xml:space="preserve">Fabricação do Mês mais o acumulado mês anterior
</t>
        </r>
      </text>
    </comment>
  </commentList>
</comments>
</file>

<file path=xl/sharedStrings.xml><?xml version="1.0" encoding="utf-8"?>
<sst xmlns="http://schemas.openxmlformats.org/spreadsheetml/2006/main" count="1650" uniqueCount="371">
  <si>
    <t>Country</t>
  </si>
  <si>
    <t># LNG HDVs</t>
  </si>
  <si>
    <t># NG HDVs</t>
  </si>
  <si>
    <t># CNG HDVS</t>
  </si>
  <si>
    <t># CNG LDVs</t>
  </si>
  <si>
    <t>de</t>
  </si>
  <si>
    <t>fr</t>
  </si>
  <si>
    <t>eu-27</t>
  </si>
  <si>
    <t>nl</t>
  </si>
  <si>
    <t>pl</t>
  </si>
  <si>
    <t>es</t>
  </si>
  <si>
    <t>uk</t>
  </si>
  <si>
    <t>LDV</t>
  </si>
  <si>
    <t>HDV</t>
  </si>
  <si>
    <t>annual kms</t>
  </si>
  <si>
    <t>efficiency</t>
  </si>
  <si>
    <t>energy consumed</t>
  </si>
  <si>
    <t>NG</t>
  </si>
  <si>
    <t>CNG</t>
  </si>
  <si>
    <t>LNG</t>
  </si>
  <si>
    <t>MJ</t>
  </si>
  <si>
    <t>LNG share</t>
  </si>
  <si>
    <t>NG share</t>
  </si>
  <si>
    <t>CNG LD/HD shares</t>
  </si>
  <si>
    <t>LD</t>
  </si>
  <si>
    <t>HD</t>
  </si>
  <si>
    <t>LD share</t>
  </si>
  <si>
    <t>HD share</t>
  </si>
  <si>
    <t>br</t>
  </si>
  <si>
    <t>NGVs and fuel consumption worldwide</t>
  </si>
  <si>
    <t>Natural Gas Vehicles</t>
  </si>
  <si>
    <t>Date</t>
  </si>
  <si>
    <t>Monthly gas consumption (M Nm3)</t>
  </si>
  <si>
    <t>Biomethane</t>
  </si>
  <si>
    <t>Total 
NGVs</t>
  </si>
  <si>
    <t>LD+MD
+HD Vehicles</t>
  </si>
  <si>
    <t>LD Vehicles</t>
  </si>
  <si>
    <t>MD+HD Buses</t>
  </si>
  <si>
    <t>MD+HD Trucks</t>
  </si>
  <si>
    <t>Other</t>
  </si>
  <si>
    <t>% of total LD+MD+HD vehicles in the country</t>
  </si>
  <si>
    <t>% of total NGVs worldwide</t>
  </si>
  <si>
    <t>Month</t>
  </si>
  <si>
    <t>Year</t>
  </si>
  <si>
    <t xml:space="preserve">Reported consumption </t>
  </si>
  <si>
    <t>Theoretical consumption</t>
  </si>
  <si>
    <t>Ratio</t>
  </si>
  <si>
    <t>Share</t>
  </si>
  <si>
    <t>Algeria</t>
  </si>
  <si>
    <t>December</t>
  </si>
  <si>
    <t>Argentina</t>
  </si>
  <si>
    <t>April</t>
  </si>
  <si>
    <t>Armenia</t>
  </si>
  <si>
    <t>September</t>
  </si>
  <si>
    <t>Australia</t>
  </si>
  <si>
    <t>June</t>
  </si>
  <si>
    <t>Austria</t>
  </si>
  <si>
    <t>Bangladesh</t>
  </si>
  <si>
    <t>January</t>
  </si>
  <si>
    <t>Belarus</t>
  </si>
  <si>
    <t>Belgium</t>
  </si>
  <si>
    <t>Bolivia</t>
  </si>
  <si>
    <t>May</t>
  </si>
  <si>
    <t>Bosnia &amp; Herzegovina</t>
  </si>
  <si>
    <t>October</t>
  </si>
  <si>
    <t>Brazil</t>
  </si>
  <si>
    <t>February</t>
  </si>
  <si>
    <t>Bulgaria</t>
  </si>
  <si>
    <t>Canada</t>
  </si>
  <si>
    <t>Chile</t>
  </si>
  <si>
    <t>China</t>
  </si>
  <si>
    <t>Colombia</t>
  </si>
  <si>
    <t>Croatia</t>
  </si>
  <si>
    <t>Czech Republic</t>
  </si>
  <si>
    <t>Denmark</t>
  </si>
  <si>
    <t>Dominican Republic</t>
  </si>
  <si>
    <t>Ecuador</t>
  </si>
  <si>
    <t>Egypt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</si>
  <si>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</si>
  <si>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</si>
  <si>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</si>
  <si>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</si>
  <si>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</si>
  <si>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</si>
  <si>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</si>
  <si>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</si>
  <si>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November</t>
  </si>
  <si>
    <t>India</t>
  </si>
  <si>
    <t>Indonesia</t>
  </si>
  <si>
    <t xml:space="preserve">Iran </t>
  </si>
  <si>
    <t>Ireland</t>
  </si>
  <si>
    <t>Italy</t>
  </si>
  <si>
    <t>Japan</t>
  </si>
  <si>
    <t>March</t>
  </si>
  <si>
    <t>Kazahkstan</t>
  </si>
  <si>
    <t>July</t>
  </si>
  <si>
    <t>Korea</t>
  </si>
  <si>
    <t>Kyrgyzstan</t>
  </si>
  <si>
    <t>Latvia</t>
  </si>
  <si>
    <t>Lichtenstein</t>
  </si>
  <si>
    <t>Lithuania</t>
  </si>
  <si>
    <t>Luxembourg</t>
  </si>
  <si>
    <t>Macedonia</t>
  </si>
  <si>
    <t>Malaysia</t>
  </si>
  <si>
    <t>Mexico</t>
  </si>
  <si>
    <t>Moldova</t>
  </si>
  <si>
    <t>Mozambique</t>
  </si>
  <si>
    <t xml:space="preserve">Myanmar </t>
  </si>
  <si>
    <t>Netherlands</t>
  </si>
  <si>
    <t>New Zealand</t>
  </si>
  <si>
    <t>Nigeria</t>
  </si>
  <si>
    <t>Norway</t>
  </si>
  <si>
    <t>Pakistan</t>
  </si>
  <si>
    <t>Panama</t>
  </si>
  <si>
    <t xml:space="preserve">November </t>
  </si>
  <si>
    <t>Paraguay</t>
  </si>
  <si>
    <t>Peru</t>
  </si>
  <si>
    <t>Philippines</t>
  </si>
  <si>
    <t>Poland</t>
  </si>
  <si>
    <t>Portugal</t>
  </si>
  <si>
    <t>Russia</t>
  </si>
  <si>
    <t>Serbia</t>
  </si>
  <si>
    <t>Ocotber</t>
  </si>
  <si>
    <t>Singapore</t>
  </si>
  <si>
    <t>Slovakia</t>
  </si>
  <si>
    <t>Slovenia</t>
  </si>
  <si>
    <t>South Africa</t>
  </si>
  <si>
    <t>August</t>
  </si>
  <si>
    <t>Spain</t>
  </si>
  <si>
    <t>Sweden</t>
  </si>
  <si>
    <t>Switzerland</t>
  </si>
  <si>
    <t>Taiwan</t>
  </si>
  <si>
    <t>Tajikistan</t>
  </si>
  <si>
    <t>Tanzania</t>
  </si>
  <si>
    <t xml:space="preserve">October </t>
  </si>
  <si>
    <t>Thailand</t>
  </si>
  <si>
    <t>Trinidad &amp; Tobago</t>
  </si>
  <si>
    <t>Tunesia</t>
  </si>
  <si>
    <t>Turkey</t>
  </si>
  <si>
    <t>Ukraine</t>
  </si>
  <si>
    <t>United Arab Emirates</t>
  </si>
  <si>
    <t>United Kingdom</t>
  </si>
  <si>
    <t>USA</t>
  </si>
  <si>
    <t>Uzbekistan</t>
  </si>
  <si>
    <t>Venezuela</t>
  </si>
  <si>
    <t>Vietnam</t>
  </si>
  <si>
    <t>NGV countries</t>
  </si>
  <si>
    <t>Input shares determination</t>
  </si>
  <si>
    <t>See next sheet</t>
  </si>
  <si>
    <t>Data for calculations from respective nodes source analyses, TNO 2013 natural gas in transport</t>
  </si>
  <si>
    <t>LNG/CNG shares</t>
  </si>
  <si>
    <t>NVGA Europe (2014): Prospects and Development Status of European NGV Market</t>
  </si>
  <si>
    <t>http://www.acer.europa.eu/Media/Events/3rd-Gas-Target-Model-Stakeholders-Workshop/Documents/10.%20Maedge%20Promoting%20gas%20in%20transport.pdf</t>
  </si>
  <si>
    <t>NGVA Europe (2013): NGVs and Fuel Consumption Worldwide</t>
  </si>
  <si>
    <t>http://www.ngvaeurope.eu/worldwide-ngv-statistics</t>
  </si>
  <si>
    <t>Sources</t>
  </si>
  <si>
    <t>vehicle</t>
  </si>
  <si>
    <t>fuel</t>
  </si>
  <si>
    <t>Assumptions</t>
  </si>
  <si>
    <t>All cars drive the same annual distance, regardless of their technology</t>
  </si>
  <si>
    <t>All trucks drive the same annual distance, regardless of their technology</t>
  </si>
  <si>
    <t>The above assumptions are already used implicity in the FD -&gt; UD conversion</t>
  </si>
  <si>
    <t># of cars</t>
  </si>
  <si>
    <t>gasoline</t>
  </si>
  <si>
    <t>diesel</t>
  </si>
  <si>
    <t>thousands</t>
  </si>
  <si>
    <t>eu</t>
  </si>
  <si>
    <t># of trucks</t>
  </si>
  <si>
    <t>petroleum</t>
  </si>
  <si>
    <t>2012 unless noted</t>
  </si>
  <si>
    <t>car thousands</t>
  </si>
  <si>
    <t>cars</t>
  </si>
  <si>
    <t>trekker voor oplegger</t>
  </si>
  <si>
    <t>speciaal</t>
  </si>
  <si>
    <t>bus</t>
  </si>
  <si>
    <t>lpg</t>
  </si>
  <si>
    <t>elektriciteit</t>
  </si>
  <si>
    <t>cng</t>
  </si>
  <si>
    <t>personenauto</t>
  </si>
  <si>
    <t>bestelauto</t>
  </si>
  <si>
    <t>vrachtauto</t>
  </si>
  <si>
    <t>trekker</t>
  </si>
  <si>
    <t>aantal</t>
  </si>
  <si>
    <t>kms in nl door nl</t>
  </si>
  <si>
    <t>totaal</t>
  </si>
  <si>
    <t>mln kms in nl</t>
  </si>
  <si>
    <t>km per voertuigtype</t>
  </si>
  <si>
    <t>nu voor mln kms in nl</t>
  </si>
  <si>
    <t>personenauto's</t>
  </si>
  <si>
    <t>benzine</t>
  </si>
  <si>
    <t>onbekend</t>
  </si>
  <si>
    <t>jaarlijks km</t>
  </si>
  <si>
    <t>efficiëntie (km/MJ)</t>
  </si>
  <si>
    <t>totale energievraag (MJ)</t>
  </si>
  <si>
    <t>bestelauto's</t>
  </si>
  <si>
    <t>speciaal voertuig</t>
  </si>
  <si>
    <t>http://statline.cbs.nl/Statweb/publication/?DM=SLNL&amp;PA=71407NED&amp;D1=13-19&amp;D2=0-5&amp;D3=0&amp;D4=13&amp;VW=T</t>
  </si>
  <si>
    <t>NL 2013</t>
  </si>
  <si>
    <t>energievraag per auto (MJ)</t>
  </si>
  <si>
    <t>Fuel aggregation</t>
  </si>
  <si>
    <t>vrachtwagen</t>
  </si>
  <si>
    <t>trucks</t>
  </si>
  <si>
    <t>share cars</t>
  </si>
  <si>
    <t>share trucks</t>
  </si>
  <si>
    <t>Diesel</t>
  </si>
  <si>
    <t>set</t>
  </si>
  <si>
    <t>*</t>
  </si>
  <si>
    <t>Energy consumed (MJ)</t>
  </si>
  <si>
    <t>Technology shares</t>
  </si>
  <si>
    <t>share</t>
  </si>
  <si>
    <t>noot: deze waarden worden niet gebruikt, maar dienen enkele ter vergelijking van de initial shares zoals berekend door het ETM</t>
  </si>
  <si>
    <t>* verkregen door de efficiëntie verhouding tussen benzine en diesel motoren (zoals beschreven in truck_using_gasoline_mix) te gebruiken</t>
  </si>
  <si>
    <t>** verkregen door de efficiëntie verhouding tussen personenauto en vrachtwagen efficiëntie te gebruiken</t>
  </si>
  <si>
    <t>**</t>
  </si>
  <si>
    <t>Bron:</t>
  </si>
  <si>
    <t>Alle figuren van ECN, TNO, CE Delft (2013): Natural Gas in Transport</t>
  </si>
  <si>
    <t>Cars</t>
  </si>
  <si>
    <t>total</t>
  </si>
  <si>
    <t>electricity</t>
  </si>
  <si>
    <t>unknown</t>
  </si>
  <si>
    <t>na,ns</t>
  </si>
  <si>
    <t>na</t>
  </si>
  <si>
    <t>Vans/lorries</t>
  </si>
  <si>
    <t># of lorries</t>
  </si>
  <si>
    <t>road tractors</t>
  </si>
  <si>
    <t>alternative</t>
  </si>
  <si>
    <t>buses</t>
  </si>
  <si>
    <t>special vehicles</t>
  </si>
  <si>
    <t># of tractors</t>
  </si>
  <si>
    <t># of special vehicles</t>
  </si>
  <si>
    <t># of buses</t>
  </si>
  <si>
    <t>road</t>
  </si>
  <si>
    <t>DE 2013/2012</t>
  </si>
  <si>
    <t>UK 2011</t>
  </si>
  <si>
    <t>PL 2013/2012</t>
  </si>
  <si>
    <t>FR 2009/2007</t>
  </si>
  <si>
    <t>ES 2011</t>
  </si>
  <si>
    <t>The energy consumption of all vehicles is attributed to the country in which the vehicles are registered and in which they drive</t>
  </si>
  <si>
    <t>***</t>
  </si>
  <si>
    <t>*** gelijkgezet (aanname) aan vrachtwagen efficiëntie</t>
  </si>
  <si>
    <t>Source: EUROSTAT</t>
  </si>
  <si>
    <t>Images can be found in the 8-transport-EUROSTAT folder</t>
  </si>
  <si>
    <t>***, ****</t>
  </si>
  <si>
    <t xml:space="preserve">Bron: </t>
  </si>
  <si>
    <t>CE Delft, ECN, TNO (2014): verzamelde kennisnotities t.b.v. de visie duurzame brandstoffenmix</t>
  </si>
  <si>
    <t>Average annual driving distance of cars is equal to the one determined for the Netherlands, for every country</t>
  </si>
  <si>
    <t>Average annual driving distance of trucks is equal to the one determined for the Netherlands, for every country</t>
  </si>
  <si>
    <t>Quantitative assumptions</t>
  </si>
  <si>
    <t>Definitions</t>
  </si>
  <si>
    <t>Sheets</t>
  </si>
  <si>
    <t>NL</t>
  </si>
  <si>
    <t>A CBS-based, more detailed determination of initial transport shares for the Netherlands</t>
  </si>
  <si>
    <t>Transport_numbers</t>
  </si>
  <si>
    <t>Eurostat data on the number of vehicles, per vehicle type and fuel</t>
  </si>
  <si>
    <t>DE</t>
  </si>
  <si>
    <t>ES</t>
  </si>
  <si>
    <t>FR</t>
  </si>
  <si>
    <t>PL</t>
  </si>
  <si>
    <t>UK</t>
  </si>
  <si>
    <t>Determination of initial transport shares based on Transport_numbers for the Germany dataset</t>
  </si>
  <si>
    <t>Determination of initial transport shares based on Transport_numbers for the France dataset</t>
  </si>
  <si>
    <t>Determination of initial transport shares based on Transport_numbers for the Spain dataset</t>
  </si>
  <si>
    <t>Determination of initial transport shares based on Transport_numbers for the Poland dataset</t>
  </si>
  <si>
    <t>Determination of initial transport shares based on Transport_numbers for the United Kingdom dataset</t>
  </si>
  <si>
    <t>Shares NG</t>
  </si>
  <si>
    <t>Worldwide NGV</t>
  </si>
  <si>
    <t>More detailed determination of all natural gas related shares (CNG/LNG over car/truck) for every country</t>
  </si>
  <si>
    <t>NGVA data on the number of natural gas vehicles</t>
  </si>
  <si>
    <t>Assumptions used in the determination of initial shares</t>
  </si>
  <si>
    <t>personal cars</t>
  </si>
  <si>
    <t>lorries</t>
  </si>
  <si>
    <t>road tractor</t>
  </si>
  <si>
    <t>Note: NL values for</t>
  </si>
  <si>
    <t>annual driving distance</t>
  </si>
  <si>
    <t>Note: in Eurostat trucks</t>
  </si>
  <si>
    <t>and delivery vans have</t>
  </si>
  <si>
    <t>been put together</t>
  </si>
  <si>
    <t>* obtained by multiplying with the efficiency ratio between gasoline and diesel engines (as described in transport_truck_using_gasoline_mix)</t>
  </si>
  <si>
    <t>** obtained by multiplying with the efficiency ratio between cars and trucks for other fuels</t>
  </si>
  <si>
    <t>*** set (assumption) to truck efficiency</t>
  </si>
  <si>
    <t>truck</t>
  </si>
  <si>
    <t>**** determined from the gasoline/diesel ratio of special vehicles in the Netherlands</t>
  </si>
  <si>
    <t>personal car</t>
  </si>
  <si>
    <t>lorry</t>
  </si>
  <si>
    <t>special vehicle</t>
  </si>
  <si>
    <t>note: these values are not used, but are merely a reference for the initial shares as calculated by the ETM</t>
  </si>
  <si>
    <t>number</t>
  </si>
  <si>
    <t>annual distance</t>
  </si>
  <si>
    <t>efficiency (km/MJ)</t>
  </si>
  <si>
    <t>energy demand per car (MJ)</t>
  </si>
  <si>
    <t>total energy demand (MJ)</t>
  </si>
  <si>
    <t>Electricity</t>
  </si>
  <si>
    <t>Gasoline</t>
  </si>
  <si>
    <t>Zie source_analyses/eu/2013/8_transport/CBS voor tabellen</t>
  </si>
  <si>
    <t>Original tables can be found on source_analyses/eu/2013/8_transport/EUROSTAT</t>
  </si>
  <si>
    <t>Passenger cars, by age [road_eqs_carage]</t>
  </si>
  <si>
    <t>Last update</t>
  </si>
  <si>
    <t>Extracted on</t>
  </si>
  <si>
    <t>Source of data</t>
  </si>
  <si>
    <t>Eurostat</t>
  </si>
  <si>
    <t>UNIT</t>
  </si>
  <si>
    <t>Thousand</t>
  </si>
  <si>
    <t>AGE</t>
  </si>
  <si>
    <t>Total</t>
  </si>
  <si>
    <t>GEO/TIME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</si>
  <si>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</si>
  <si>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</si>
  <si>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</si>
  <si>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</si>
  <si>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</si>
  <si>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</si>
  <si>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</si>
  <si>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</si>
  <si>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</si>
  <si>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</si>
  <si>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:</t>
  </si>
  <si>
    <t>EU</t>
  </si>
  <si>
    <t>Germany (until 1990 former territory of the FRG)</t>
  </si>
  <si>
    <t>Cyprus</t>
  </si>
  <si>
    <t>Malta</t>
  </si>
  <si>
    <t>Romania</t>
  </si>
  <si>
    <t>Non-EU</t>
  </si>
  <si>
    <t>Liechtenstein</t>
  </si>
  <si>
    <t>Former Yugoslav Republic of Macedonia, the</t>
  </si>
  <si>
    <t>Special value:</t>
  </si>
  <si>
    <t>not available</t>
  </si>
  <si>
    <t>EU totals</t>
  </si>
  <si>
    <t>Filling up the 'not available'gaps with data from the previous year</t>
  </si>
  <si>
    <t>http://ec.europa.eu/eurostat/web/transport/data/database?p_p_id=NavTreeportletprod_WAR_NavTreeportletprod_INSTANCE_yjUOJMEUlFPI&amp;p_p_lifecycle=0&amp;p_p_state=normal&amp;p_p_mode=view&amp;p_p_col_id=column-2&amp;p_p_col_count=1</t>
  </si>
  <si>
    <t>Tabela - Frota de veículos Emplacados, por ano de fabricação, segundo as Grandes Regiões e Unidades da Federação - 2013</t>
  </si>
  <si>
    <t>Grandes Regiões,
Unidades da Federação</t>
  </si>
  <si>
    <t>Total de veículos Fabricados no Brasil</t>
  </si>
  <si>
    <t>Ano de fabricação</t>
  </si>
  <si>
    <t>Mês Fabricação</t>
  </si>
  <si>
    <t>&lt;2002</t>
  </si>
  <si>
    <t>2013</t>
  </si>
  <si>
    <t>Norte</t>
  </si>
  <si>
    <t>Acre</t>
  </si>
  <si>
    <t xml:space="preserve">Amapá </t>
  </si>
  <si>
    <t>Amazonas</t>
  </si>
  <si>
    <t>Pará</t>
  </si>
  <si>
    <t xml:space="preserve">Rondônia </t>
  </si>
  <si>
    <t>Roraima</t>
  </si>
  <si>
    <t>Tocantins</t>
  </si>
  <si>
    <t>Nordeste</t>
  </si>
  <si>
    <t>Alagoas</t>
  </si>
  <si>
    <t>Bahia</t>
  </si>
  <si>
    <t>Ceará</t>
  </si>
  <si>
    <t xml:space="preserve">Maranhão </t>
  </si>
  <si>
    <t xml:space="preserve">Paraíba </t>
  </si>
  <si>
    <t>Pernambuco</t>
  </si>
  <si>
    <t>Piauí</t>
  </si>
  <si>
    <t xml:space="preserve">Rio Grande do Norte </t>
  </si>
  <si>
    <t>Sergipe</t>
  </si>
  <si>
    <t>Sudeste</t>
  </si>
  <si>
    <t>Espírito Santo</t>
  </si>
  <si>
    <t>Minas Gerais</t>
  </si>
  <si>
    <t>Rio de Janeiro</t>
  </si>
  <si>
    <t>São Paulo</t>
  </si>
  <si>
    <t>Sul</t>
  </si>
  <si>
    <t>Paraná</t>
  </si>
  <si>
    <t xml:space="preserve">Rio Grande do Sul </t>
  </si>
  <si>
    <t>Santa Catarina</t>
  </si>
  <si>
    <t>Centro-Oeste</t>
  </si>
  <si>
    <t>Distrito Federal</t>
  </si>
  <si>
    <t>Goiás</t>
  </si>
  <si>
    <t>Mato Grosso</t>
  </si>
  <si>
    <t>Mato Grosso do Sul</t>
  </si>
  <si>
    <t>Fonte: Ministério das Cidades, Departamento Nacional de Trânsito - DENATRAN, Sistema Nacional de Registro de Veículos/RENAVAM, RENAEST - Registro Nacional de estatísticas e acidentes de trânsito</t>
  </si>
  <si>
    <t xml:space="preserve">Source: </t>
  </si>
  <si>
    <t>http://www.denatran.gov.br/frota2013.htm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</si>
</sst>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%"/>
    <numFmt numFmtId="165" formatCode="dd\.mm\.yy"/>
    <numFmt numFmtId="166" formatCode="#,##0.000"/>
    <numFmt numFmtId="167" formatCode="#,##0.0"/>
    <numFmt numFmtId="168" formatCode="#\ ###\ ###\ ###"/>
    <numFmt numFmtId="169" formatCode="_(* #,##0.00_);_(* \(#,##0.00\);_(* &quot;-&quot;??_);_(@_)"/>
    <numFmt numFmtId="170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Arial"/>
    </font>
    <font>
      <b/>
      <sz val="11"/>
      <name val="Arial"/>
    </font>
    <font>
      <b/>
      <sz val="10"/>
      <name val="@Arial Unicode MS"/>
      <family val="2"/>
    </font>
    <font>
      <sz val="10"/>
      <name val="@Arial Unicode MS"/>
      <family val="2"/>
    </font>
    <font>
      <b/>
      <sz val="10"/>
      <name val="Arial"/>
      <family val="2"/>
    </font>
    <font>
      <sz val="12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indexed="44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472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0" fontId="1" fillId="0" borderId="0"/>
  </cellStyleXfs>
  <cellXfs count="131">
    <xf numFmtId="0" fontId="0" fillId="0" borderId="0" xfId="0"/>
    <xf numFmtId="10" fontId="0" fillId="0" borderId="0" xfId="0" applyNumberFormat="1"/>
    <xf numFmtId="0" fontId="1" fillId="0" borderId="1" xfId="0" applyFont="1" applyBorder="1" applyProtection="1">
      <protection hidden="1"/>
    </xf>
    <xf numFmtId="0" fontId="2" fillId="2" borderId="0" xfId="0" applyFont="1" applyFill="1" applyBorder="1" applyProtection="1">
      <protection hidden="1"/>
    </xf>
    <xf numFmtId="0" fontId="1" fillId="0" borderId="0" xfId="0" applyFont="1" applyBorder="1" applyProtection="1"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4" fillId="3" borderId="2" xfId="0" applyFont="1" applyFill="1" applyBorder="1" applyAlignment="1" applyProtection="1">
      <alignment horizontal="center" vertical="center" wrapText="1"/>
      <protection hidden="1"/>
    </xf>
    <xf numFmtId="0" fontId="4" fillId="3" borderId="3" xfId="0" applyFont="1" applyFill="1" applyBorder="1" applyAlignment="1" applyProtection="1">
      <alignment horizontal="center" vertical="center" wrapText="1"/>
      <protection hidden="1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2" fillId="0" borderId="5" xfId="0" applyFont="1" applyBorder="1" applyProtection="1">
      <protection hidden="1"/>
    </xf>
    <xf numFmtId="3" fontId="2" fillId="0" borderId="4" xfId="0" applyNumberFormat="1" applyFont="1" applyBorder="1" applyProtection="1">
      <protection hidden="1"/>
    </xf>
    <xf numFmtId="3" fontId="2" fillId="0" borderId="6" xfId="0" applyNumberFormat="1" applyFont="1" applyBorder="1" applyProtection="1">
      <protection hidden="1"/>
    </xf>
    <xf numFmtId="10" fontId="2" fillId="0" borderId="7" xfId="0" applyNumberFormat="1" applyFont="1" applyBorder="1" applyProtection="1">
      <protection hidden="1"/>
    </xf>
    <xf numFmtId="10" fontId="2" fillId="0" borderId="4" xfId="0" applyNumberFormat="1" applyFont="1" applyBorder="1" applyProtection="1">
      <protection hidden="1"/>
    </xf>
    <xf numFmtId="10" fontId="2" fillId="0" borderId="6" xfId="0" applyNumberFormat="1" applyFont="1" applyFill="1" applyBorder="1" applyAlignment="1" applyProtection="1">
      <alignment horizontal="left"/>
      <protection hidden="1"/>
    </xf>
    <xf numFmtId="1" fontId="2" fillId="0" borderId="6" xfId="0" applyNumberFormat="1" applyFont="1" applyFill="1" applyBorder="1" applyAlignment="1" applyProtection="1">
      <alignment horizontal="left"/>
      <protection hidden="1"/>
    </xf>
    <xf numFmtId="2" fontId="2" fillId="0" borderId="6" xfId="0" applyNumberFormat="1" applyFont="1" applyFill="1" applyBorder="1" applyProtection="1">
      <protection hidden="1"/>
    </xf>
    <xf numFmtId="2" fontId="2" fillId="0" borderId="4" xfId="0" applyNumberFormat="1" applyFont="1" applyBorder="1" applyProtection="1">
      <protection hidden="1"/>
    </xf>
    <xf numFmtId="9" fontId="5" fillId="0" borderId="0" xfId="0" applyNumberFormat="1" applyFont="1" applyBorder="1" applyProtection="1">
      <protection hidden="1"/>
    </xf>
    <xf numFmtId="9" fontId="5" fillId="0" borderId="6" xfId="0" applyNumberFormat="1" applyFont="1" applyBorder="1" applyProtection="1">
      <protection hidden="1"/>
    </xf>
    <xf numFmtId="0" fontId="2" fillId="0" borderId="6" xfId="0" applyNumberFormat="1" applyFont="1" applyFill="1" applyBorder="1" applyAlignment="1" applyProtection="1">
      <alignment horizontal="left"/>
      <protection hidden="1"/>
    </xf>
    <xf numFmtId="3" fontId="2" fillId="0" borderId="5" xfId="0" applyNumberFormat="1" applyFont="1" applyBorder="1" applyProtection="1">
      <protection hidden="1"/>
    </xf>
    <xf numFmtId="10" fontId="2" fillId="0" borderId="6" xfId="0" applyNumberFormat="1" applyFont="1" applyBorder="1" applyProtection="1">
      <protection hidden="1"/>
    </xf>
    <xf numFmtId="2" fontId="2" fillId="0" borderId="6" xfId="0" applyNumberFormat="1" applyFont="1" applyBorder="1" applyProtection="1">
      <protection hidden="1"/>
    </xf>
    <xf numFmtId="2" fontId="2" fillId="0" borderId="5" xfId="0" applyNumberFormat="1" applyFont="1" applyFill="1" applyBorder="1" applyProtection="1">
      <protection hidden="1"/>
    </xf>
    <xf numFmtId="9" fontId="5" fillId="0" borderId="8" xfId="0" applyNumberFormat="1" applyFont="1" applyBorder="1" applyProtection="1">
      <protection hidden="1"/>
    </xf>
    <xf numFmtId="3" fontId="4" fillId="4" borderId="2" xfId="0" applyNumberFormat="1" applyFont="1" applyFill="1" applyBorder="1" applyProtection="1">
      <protection hidden="1"/>
    </xf>
    <xf numFmtId="3" fontId="4" fillId="4" borderId="3" xfId="0" applyNumberFormat="1" applyFont="1" applyFill="1" applyBorder="1" applyProtection="1">
      <protection hidden="1"/>
    </xf>
    <xf numFmtId="10" fontId="4" fillId="4" borderId="2" xfId="0" applyNumberFormat="1" applyFont="1" applyFill="1" applyBorder="1" applyProtection="1">
      <protection hidden="1"/>
    </xf>
    <xf numFmtId="4" fontId="4" fillId="4" borderId="2" xfId="0" applyNumberFormat="1" applyFont="1" applyFill="1" applyBorder="1" applyProtection="1">
      <protection hidden="1"/>
    </xf>
    <xf numFmtId="164" fontId="4" fillId="4" borderId="2" xfId="0" applyNumberFormat="1" applyFont="1" applyFill="1" applyBorder="1" applyProtection="1">
      <protection hidden="1"/>
    </xf>
    <xf numFmtId="0" fontId="6" fillId="0" borderId="0" xfId="0" applyFont="1"/>
    <xf numFmtId="0" fontId="7" fillId="0" borderId="0" xfId="0" applyFont="1"/>
    <xf numFmtId="0" fontId="2" fillId="5" borderId="5" xfId="0" applyFont="1" applyFill="1" applyBorder="1" applyProtection="1">
      <protection hidden="1"/>
    </xf>
    <xf numFmtId="3" fontId="2" fillId="5" borderId="6" xfId="0" applyNumberFormat="1" applyFont="1" applyFill="1" applyBorder="1" applyProtection="1">
      <protection hidden="1"/>
    </xf>
    <xf numFmtId="3" fontId="2" fillId="5" borderId="5" xfId="0" applyNumberFormat="1" applyFont="1" applyFill="1" applyBorder="1" applyProtection="1">
      <protection hidden="1"/>
    </xf>
    <xf numFmtId="0" fontId="0" fillId="6" borderId="0" xfId="0" applyFont="1" applyFill="1"/>
    <xf numFmtId="0" fontId="0" fillId="6" borderId="9" xfId="0" applyFont="1" applyFill="1" applyBorder="1"/>
    <xf numFmtId="0" fontId="0" fillId="6" borderId="10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0" fontId="6" fillId="6" borderId="12" xfId="0" applyNumberFormat="1" applyFont="1" applyFill="1" applyBorder="1" applyAlignment="1" applyProtection="1">
      <alignment vertical="center"/>
    </xf>
    <xf numFmtId="0" fontId="6" fillId="6" borderId="0" xfId="0" applyNumberFormat="1" applyFont="1" applyFill="1" applyBorder="1" applyAlignment="1" applyProtection="1">
      <alignment vertical="center"/>
    </xf>
    <xf numFmtId="0" fontId="0" fillId="6" borderId="11" xfId="0" applyFont="1" applyFill="1" applyBorder="1"/>
    <xf numFmtId="10" fontId="0" fillId="6" borderId="0" xfId="0" applyNumberFormat="1" applyFont="1" applyFill="1" applyBorder="1" applyAlignment="1" applyProtection="1">
      <alignment horizontal="left" vertical="center" indent="2"/>
    </xf>
    <xf numFmtId="1" fontId="6" fillId="6" borderId="0" xfId="0" applyNumberFormat="1" applyFont="1" applyFill="1" applyBorder="1" applyAlignment="1" applyProtection="1">
      <alignment horizontal="right" vertical="center"/>
    </xf>
    <xf numFmtId="0" fontId="0" fillId="6" borderId="0" xfId="0" applyFont="1" applyFill="1"/>
    <xf numFmtId="0" fontId="0" fillId="6" borderId="11" xfId="0" applyFont="1" applyFill="1" applyBorder="1"/>
    <xf numFmtId="0" fontId="0" fillId="6" borderId="0" xfId="0" applyNumberFormat="1" applyFont="1" applyFill="1"/>
    <xf numFmtId="0" fontId="0" fillId="6" borderId="0" xfId="0" applyFont="1" applyFill="1" applyBorder="1"/>
    <xf numFmtId="2" fontId="0" fillId="6" borderId="0" xfId="0" applyNumberFormat="1" applyFont="1" applyFill="1" applyBorder="1" applyAlignment="1" applyProtection="1">
      <alignment horizontal="right" vertical="center"/>
    </xf>
    <xf numFmtId="0" fontId="10" fillId="7" borderId="12" xfId="0" applyFont="1" applyFill="1" applyBorder="1" applyAlignment="1">
      <alignment vertical="center"/>
    </xf>
    <xf numFmtId="0" fontId="11" fillId="7" borderId="0" xfId="0" applyFont="1" applyFill="1"/>
    <xf numFmtId="2" fontId="11" fillId="7" borderId="0" xfId="0" applyNumberFormat="1" applyFont="1" applyFill="1" applyAlignment="1">
      <alignment horizontal="right" vertical="center"/>
    </xf>
    <xf numFmtId="1" fontId="10" fillId="7" borderId="0" xfId="0" applyNumberFormat="1" applyFont="1" applyFill="1" applyAlignment="1">
      <alignment horizontal="right" vertical="center"/>
    </xf>
    <xf numFmtId="10" fontId="6" fillId="6" borderId="0" xfId="0" applyNumberFormat="1" applyFont="1" applyFill="1" applyBorder="1" applyAlignment="1" applyProtection="1">
      <alignment horizontal="left" vertical="center" indent="2"/>
    </xf>
    <xf numFmtId="0" fontId="10" fillId="7" borderId="0" xfId="0" applyFont="1" applyFill="1"/>
    <xf numFmtId="0" fontId="10" fillId="7" borderId="11" xfId="0" applyFont="1" applyFill="1" applyBorder="1"/>
    <xf numFmtId="0" fontId="11" fillId="7" borderId="11" xfId="0" applyFont="1" applyFill="1" applyBorder="1"/>
    <xf numFmtId="0" fontId="0" fillId="5" borderId="0" xfId="0" applyFont="1" applyFill="1"/>
    <xf numFmtId="0" fontId="11" fillId="0" borderId="0" xfId="0" applyFont="1"/>
    <xf numFmtId="1" fontId="0" fillId="6" borderId="0" xfId="0" applyNumberFormat="1" applyFont="1" applyFill="1" applyBorder="1" applyAlignment="1" applyProtection="1">
      <alignment horizontal="right" vertical="center"/>
    </xf>
    <xf numFmtId="1" fontId="11" fillId="7" borderId="0" xfId="0" applyNumberFormat="1" applyFont="1" applyFill="1" applyAlignment="1">
      <alignment horizontal="right" vertical="center"/>
    </xf>
    <xf numFmtId="1" fontId="0" fillId="6" borderId="0" xfId="0" applyNumberFormat="1" applyFont="1" applyFill="1"/>
    <xf numFmtId="2" fontId="0" fillId="6" borderId="0" xfId="0" applyNumberFormat="1" applyFont="1" applyFill="1"/>
    <xf numFmtId="0" fontId="11" fillId="8" borderId="11" xfId="0" applyFont="1" applyFill="1" applyBorder="1"/>
    <xf numFmtId="0" fontId="0" fillId="6" borderId="0" xfId="0" applyFill="1"/>
    <xf numFmtId="0" fontId="4" fillId="3" borderId="2" xfId="0" applyFont="1" applyFill="1" applyBorder="1" applyAlignment="1" applyProtection="1">
      <alignment horizontal="center" vertical="center"/>
      <protection hidden="1"/>
    </xf>
    <xf numFmtId="0" fontId="4" fillId="3" borderId="3" xfId="0" applyFont="1" applyFill="1" applyBorder="1" applyAlignment="1" applyProtection="1">
      <alignment horizontal="center" vertical="center"/>
      <protection hidden="1"/>
    </xf>
    <xf numFmtId="0" fontId="4" fillId="3" borderId="13" xfId="0" applyFont="1" applyFill="1" applyBorder="1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4" fillId="3" borderId="3" xfId="0" applyFont="1" applyFill="1" applyBorder="1" applyAlignment="1" applyProtection="1">
      <alignment horizontal="center" vertical="center" wrapText="1"/>
      <protection hidden="1"/>
    </xf>
    <xf numFmtId="0" fontId="0" fillId="0" borderId="13" xfId="0" applyBorder="1" applyAlignment="1" applyProtection="1">
      <alignment horizontal="center" vertical="center" wrapText="1"/>
      <protection hidden="1"/>
    </xf>
    <xf numFmtId="0" fontId="0" fillId="0" borderId="14" xfId="0" applyBorder="1" applyAlignment="1" applyProtection="1">
      <alignment horizontal="center" vertical="center" wrapText="1"/>
      <protection hidden="1"/>
    </xf>
    <xf numFmtId="0" fontId="1" fillId="0" borderId="0" xfId="467" applyNumberFormat="1" applyFont="1" applyFill="1" applyBorder="1" applyAlignment="1"/>
    <xf numFmtId="0" fontId="12" fillId="0" borderId="0" xfId="467"/>
    <xf numFmtId="165" fontId="1" fillId="0" borderId="0" xfId="467" applyNumberFormat="1" applyFont="1" applyFill="1" applyBorder="1" applyAlignment="1"/>
    <xf numFmtId="0" fontId="1" fillId="9" borderId="15" xfId="467" applyNumberFormat="1" applyFont="1" applyFill="1" applyBorder="1" applyAlignment="1"/>
    <xf numFmtId="3" fontId="1" fillId="0" borderId="15" xfId="467" applyNumberFormat="1" applyFont="1" applyFill="1" applyBorder="1" applyAlignment="1"/>
    <xf numFmtId="0" fontId="1" fillId="0" borderId="15" xfId="467" applyNumberFormat="1" applyFont="1" applyFill="1" applyBorder="1" applyAlignment="1"/>
    <xf numFmtId="166" fontId="1" fillId="0" borderId="15" xfId="467" applyNumberFormat="1" applyFont="1" applyFill="1" applyBorder="1" applyAlignment="1"/>
    <xf numFmtId="0" fontId="1" fillId="0" borderId="16" xfId="467" applyNumberFormat="1" applyFont="1" applyFill="1" applyBorder="1" applyAlignment="1"/>
    <xf numFmtId="167" fontId="1" fillId="0" borderId="15" xfId="467" applyNumberFormat="1" applyFont="1" applyFill="1" applyBorder="1" applyAlignment="1"/>
    <xf numFmtId="4" fontId="1" fillId="0" borderId="15" xfId="467" applyNumberFormat="1" applyFont="1" applyFill="1" applyBorder="1" applyAlignment="1"/>
    <xf numFmtId="0" fontId="1" fillId="0" borderId="17" xfId="467" applyNumberFormat="1" applyFont="1" applyFill="1" applyBorder="1" applyAlignment="1"/>
    <xf numFmtId="167" fontId="12" fillId="0" borderId="0" xfId="467" applyNumberFormat="1"/>
    <xf numFmtId="0" fontId="13" fillId="0" borderId="0" xfId="467" applyFont="1"/>
    <xf numFmtId="0" fontId="14" fillId="0" borderId="0" xfId="468" applyFont="1" applyBorder="1" applyAlignment="1"/>
    <xf numFmtId="0" fontId="15" fillId="0" borderId="0" xfId="468" applyFont="1" applyBorder="1"/>
    <xf numFmtId="0" fontId="14" fillId="0" borderId="0" xfId="468" applyFont="1" applyBorder="1"/>
    <xf numFmtId="0" fontId="14" fillId="9" borderId="4" xfId="468" applyFont="1" applyFill="1" applyBorder="1" applyAlignment="1" applyProtection="1">
      <alignment horizontal="center" vertical="center" wrapText="1"/>
    </xf>
    <xf numFmtId="0" fontId="14" fillId="9" borderId="18" xfId="468" applyFont="1" applyFill="1" applyBorder="1" applyAlignment="1">
      <alignment horizontal="center" vertical="center"/>
    </xf>
    <xf numFmtId="0" fontId="14" fillId="9" borderId="19" xfId="468" applyFont="1" applyFill="1" applyBorder="1" applyAlignment="1">
      <alignment horizontal="center" vertical="center"/>
    </xf>
    <xf numFmtId="0" fontId="14" fillId="9" borderId="2" xfId="468" applyFont="1" applyFill="1" applyBorder="1" applyAlignment="1">
      <alignment horizontal="center" vertical="center" wrapText="1"/>
    </xf>
    <xf numFmtId="0" fontId="14" fillId="9" borderId="6" xfId="468" applyFont="1" applyFill="1" applyBorder="1" applyAlignment="1" applyProtection="1">
      <alignment horizontal="center" vertical="center" wrapText="1"/>
    </xf>
    <xf numFmtId="0" fontId="14" fillId="9" borderId="20" xfId="468" applyFont="1" applyFill="1" applyBorder="1" applyAlignment="1">
      <alignment horizontal="center" vertical="center"/>
    </xf>
    <xf numFmtId="0" fontId="14" fillId="9" borderId="12" xfId="468" applyFont="1" applyFill="1" applyBorder="1" applyAlignment="1">
      <alignment horizontal="center" vertical="center"/>
    </xf>
    <xf numFmtId="0" fontId="14" fillId="9" borderId="8" xfId="468" applyFont="1" applyFill="1" applyBorder="1" applyAlignment="1" applyProtection="1">
      <alignment horizontal="center" vertical="center" wrapText="1"/>
    </xf>
    <xf numFmtId="0" fontId="14" fillId="9" borderId="8" xfId="468" applyFont="1" applyFill="1" applyBorder="1" applyAlignment="1">
      <alignment horizontal="center" vertical="center"/>
    </xf>
    <xf numFmtId="49" fontId="14" fillId="9" borderId="2" xfId="468" applyNumberFormat="1" applyFont="1" applyFill="1" applyBorder="1" applyAlignment="1">
      <alignment horizontal="center" vertical="center" wrapText="1"/>
    </xf>
    <xf numFmtId="168" fontId="14" fillId="0" borderId="21" xfId="469" applyNumberFormat="1" applyFont="1" applyBorder="1" applyAlignment="1" applyProtection="1">
      <alignment horizontal="center" vertical="center" shrinkToFit="1"/>
    </xf>
    <xf numFmtId="3" fontId="14" fillId="0" borderId="21" xfId="468" applyNumberFormat="1" applyFont="1" applyBorder="1" applyAlignment="1">
      <alignment horizontal="right" vertical="center" shrinkToFit="1"/>
    </xf>
    <xf numFmtId="3" fontId="14" fillId="9" borderId="21" xfId="468" applyNumberFormat="1" applyFont="1" applyFill="1" applyBorder="1" applyAlignment="1">
      <alignment horizontal="right" vertical="center" shrinkToFit="1"/>
    </xf>
    <xf numFmtId="3" fontId="14" fillId="0" borderId="0" xfId="468" applyNumberFormat="1" applyFont="1" applyBorder="1" applyAlignment="1">
      <alignment shrinkToFit="1"/>
    </xf>
    <xf numFmtId="0" fontId="14" fillId="0" borderId="0" xfId="468" applyFont="1" applyBorder="1" applyAlignment="1">
      <alignment shrinkToFit="1"/>
    </xf>
    <xf numFmtId="168" fontId="14" fillId="0" borderId="0" xfId="469" applyNumberFormat="1" applyFont="1" applyBorder="1" applyAlignment="1" applyProtection="1">
      <alignment horizontal="left" shrinkToFit="1"/>
    </xf>
    <xf numFmtId="170" fontId="14" fillId="0" borderId="0" xfId="470" applyNumberFormat="1" applyFont="1" applyBorder="1" applyAlignment="1" applyProtection="1">
      <alignment horizontal="right" vertical="center" shrinkToFit="1"/>
    </xf>
    <xf numFmtId="170" fontId="14" fillId="9" borderId="0" xfId="470" applyNumberFormat="1" applyFont="1" applyFill="1" applyBorder="1" applyAlignment="1" applyProtection="1">
      <alignment horizontal="right" vertical="center" shrinkToFit="1"/>
    </xf>
    <xf numFmtId="0" fontId="15" fillId="0" borderId="0" xfId="469" quotePrefix="1" applyFont="1" applyBorder="1" applyAlignment="1">
      <alignment horizontal="left" shrinkToFit="1"/>
    </xf>
    <xf numFmtId="170" fontId="0" fillId="0" borderId="0" xfId="470" applyNumberFormat="1" applyFont="1" applyBorder="1"/>
    <xf numFmtId="170" fontId="0" fillId="0" borderId="0" xfId="470" applyNumberFormat="1" applyFont="1"/>
    <xf numFmtId="170" fontId="15" fillId="9" borderId="0" xfId="470" applyNumberFormat="1" applyFont="1" applyFill="1" applyBorder="1" applyAlignment="1">
      <alignment shrinkToFit="1"/>
    </xf>
    <xf numFmtId="0" fontId="15" fillId="0" borderId="0" xfId="468" applyFont="1" applyBorder="1" applyAlignment="1">
      <alignment shrinkToFit="1"/>
    </xf>
    <xf numFmtId="168" fontId="15" fillId="0" borderId="0" xfId="468" applyNumberFormat="1" applyFont="1" applyBorder="1" applyAlignment="1">
      <alignment shrinkToFit="1"/>
    </xf>
    <xf numFmtId="0" fontId="14" fillId="0" borderId="0" xfId="469" applyFont="1" applyBorder="1" applyAlignment="1">
      <alignment horizontal="left" shrinkToFit="1"/>
    </xf>
    <xf numFmtId="170" fontId="15" fillId="0" borderId="0" xfId="470" applyNumberFormat="1" applyFont="1" applyBorder="1" applyAlignment="1" applyProtection="1">
      <alignment horizontal="right" vertical="center" shrinkToFit="1"/>
    </xf>
    <xf numFmtId="170" fontId="0" fillId="0" borderId="0" xfId="470" applyNumberFormat="1" applyFont="1" applyFill="1"/>
    <xf numFmtId="170" fontId="0" fillId="9" borderId="0" xfId="470" applyNumberFormat="1" applyFont="1" applyFill="1"/>
    <xf numFmtId="170" fontId="15" fillId="0" borderId="0" xfId="468" applyNumberFormat="1" applyFont="1" applyBorder="1" applyAlignment="1">
      <alignment shrinkToFit="1"/>
    </xf>
    <xf numFmtId="0" fontId="15" fillId="0" borderId="22" xfId="469" quotePrefix="1" applyFont="1" applyBorder="1" applyAlignment="1">
      <alignment horizontal="left" shrinkToFit="1"/>
    </xf>
    <xf numFmtId="170" fontId="15" fillId="0" borderId="22" xfId="470" applyNumberFormat="1" applyFont="1" applyBorder="1" applyAlignment="1" applyProtection="1">
      <alignment horizontal="right" vertical="center" shrinkToFit="1"/>
    </xf>
    <xf numFmtId="170" fontId="0" fillId="0" borderId="22" xfId="470" applyNumberFormat="1" applyFont="1" applyBorder="1"/>
    <xf numFmtId="170" fontId="0" fillId="9" borderId="22" xfId="470" applyNumberFormat="1" applyFont="1" applyFill="1" applyBorder="1"/>
    <xf numFmtId="0" fontId="15" fillId="0" borderId="0" xfId="471" applyFont="1" applyBorder="1" applyAlignment="1">
      <alignment horizontal="center"/>
    </xf>
    <xf numFmtId="0" fontId="15" fillId="0" borderId="0" xfId="471" applyFont="1" applyBorder="1" applyAlignment="1">
      <alignment horizontal="center"/>
    </xf>
    <xf numFmtId="0" fontId="15" fillId="0" borderId="0" xfId="471" applyFont="1" applyBorder="1"/>
    <xf numFmtId="0" fontId="15" fillId="0" borderId="0" xfId="468" applyFont="1" applyBorder="1" applyAlignment="1" applyProtection="1">
      <alignment horizontal="left"/>
    </xf>
    <xf numFmtId="0" fontId="14" fillId="0" borderId="0" xfId="468" applyFont="1" applyFill="1" applyBorder="1"/>
    <xf numFmtId="170" fontId="16" fillId="0" borderId="0" xfId="470" applyNumberFormat="1" applyFont="1" applyBorder="1"/>
    <xf numFmtId="3" fontId="15" fillId="0" borderId="0" xfId="468" applyNumberFormat="1" applyFont="1" applyBorder="1"/>
  </cellXfs>
  <cellStyles count="472">
    <cellStyle name="Comma 2" xfId="470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Normal" xfId="0" builtinId="0"/>
    <cellStyle name="Normal 2" xfId="467"/>
    <cellStyle name="Normal 3" xfId="471"/>
    <cellStyle name="Normal_Acidentes com vítimas Reg UF Cap2001" xfId="469"/>
    <cellStyle name="Normal_Veículos com vítima Reg UF Cap2001" xfId="46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Relationship Id="rId2" Type="http://schemas.openxmlformats.org/officeDocument/2006/relationships/image" Target="../media/image8.png"/><Relationship Id="rId3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25400</xdr:colOff>
      <xdr:row>2</xdr:row>
      <xdr:rowOff>152400</xdr:rowOff>
    </xdr:from>
    <xdr:ext cx="4749800" cy="430887"/>
    <xdr:sp macro="" textlink="">
      <xdr:nvSpPr>
        <xdr:cNvPr id="2" name="TextBox 1"/>
        <xdr:cNvSpPr txBox="1"/>
      </xdr:nvSpPr>
      <xdr:spPr>
        <a:xfrm>
          <a:off x="1676400" y="546100"/>
          <a:ext cx="4749800" cy="43088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In this file the initial transport shares are determined for most datasets. Below you can find information on each</a:t>
          </a:r>
          <a:r>
            <a:rPr lang="en-US" sz="1100" baseline="0"/>
            <a:t> sheet in this file.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0</xdr:rowOff>
    </xdr:from>
    <xdr:to>
      <xdr:col>17</xdr:col>
      <xdr:colOff>622300</xdr:colOff>
      <xdr:row>39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0900" y="6299200"/>
          <a:ext cx="5778500" cy="127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42</xdr:row>
      <xdr:rowOff>25400</xdr:rowOff>
    </xdr:from>
    <xdr:to>
      <xdr:col>18</xdr:col>
      <xdr:colOff>101600</xdr:colOff>
      <xdr:row>55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63350" y="8039100"/>
          <a:ext cx="553085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79</xdr:row>
      <xdr:rowOff>0</xdr:rowOff>
    </xdr:from>
    <xdr:to>
      <xdr:col>18</xdr:col>
      <xdr:colOff>457200</xdr:colOff>
      <xdr:row>90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07800" y="15062200"/>
          <a:ext cx="58420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56</xdr:row>
      <xdr:rowOff>0</xdr:rowOff>
    </xdr:from>
    <xdr:to>
      <xdr:col>17</xdr:col>
      <xdr:colOff>609600</xdr:colOff>
      <xdr:row>67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23600" y="10680700"/>
          <a:ext cx="5753100" cy="2120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0</xdr:rowOff>
    </xdr:from>
    <xdr:to>
      <xdr:col>17</xdr:col>
      <xdr:colOff>622300</xdr:colOff>
      <xdr:row>39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6299200"/>
          <a:ext cx="5778500" cy="127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42</xdr:row>
      <xdr:rowOff>25400</xdr:rowOff>
    </xdr:from>
    <xdr:to>
      <xdr:col>18</xdr:col>
      <xdr:colOff>101600</xdr:colOff>
      <xdr:row>55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25350" y="8039100"/>
          <a:ext cx="553085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79</xdr:row>
      <xdr:rowOff>0</xdr:rowOff>
    </xdr:from>
    <xdr:to>
      <xdr:col>18</xdr:col>
      <xdr:colOff>457200</xdr:colOff>
      <xdr:row>90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69800" y="15062200"/>
          <a:ext cx="58420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56</xdr:row>
      <xdr:rowOff>0</xdr:rowOff>
    </xdr:from>
    <xdr:to>
      <xdr:col>17</xdr:col>
      <xdr:colOff>609600</xdr:colOff>
      <xdr:row>67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85600" y="10680700"/>
          <a:ext cx="5753100" cy="2120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0</xdr:rowOff>
    </xdr:from>
    <xdr:to>
      <xdr:col>17</xdr:col>
      <xdr:colOff>622300</xdr:colOff>
      <xdr:row>39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8000" y="6299200"/>
          <a:ext cx="5778500" cy="127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42</xdr:row>
      <xdr:rowOff>25400</xdr:rowOff>
    </xdr:from>
    <xdr:to>
      <xdr:col>18</xdr:col>
      <xdr:colOff>101600</xdr:colOff>
      <xdr:row>55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90450" y="8039100"/>
          <a:ext cx="553085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79</xdr:row>
      <xdr:rowOff>0</xdr:rowOff>
    </xdr:from>
    <xdr:to>
      <xdr:col>18</xdr:col>
      <xdr:colOff>457200</xdr:colOff>
      <xdr:row>90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34900" y="15062200"/>
          <a:ext cx="58420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56</xdr:row>
      <xdr:rowOff>0</xdr:rowOff>
    </xdr:from>
    <xdr:to>
      <xdr:col>17</xdr:col>
      <xdr:colOff>609600</xdr:colOff>
      <xdr:row>67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50700" y="10680700"/>
          <a:ext cx="5753100" cy="2120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0</xdr:rowOff>
    </xdr:from>
    <xdr:to>
      <xdr:col>17</xdr:col>
      <xdr:colOff>622300</xdr:colOff>
      <xdr:row>39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8000" y="6299200"/>
          <a:ext cx="5778500" cy="127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42</xdr:row>
      <xdr:rowOff>25400</xdr:rowOff>
    </xdr:from>
    <xdr:to>
      <xdr:col>18</xdr:col>
      <xdr:colOff>101600</xdr:colOff>
      <xdr:row>55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90450" y="8039100"/>
          <a:ext cx="553085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79</xdr:row>
      <xdr:rowOff>0</xdr:rowOff>
    </xdr:from>
    <xdr:to>
      <xdr:col>18</xdr:col>
      <xdr:colOff>457200</xdr:colOff>
      <xdr:row>90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34900" y="15062200"/>
          <a:ext cx="58420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56</xdr:row>
      <xdr:rowOff>0</xdr:rowOff>
    </xdr:from>
    <xdr:to>
      <xdr:col>17</xdr:col>
      <xdr:colOff>609600</xdr:colOff>
      <xdr:row>67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50700" y="10680700"/>
          <a:ext cx="5753100" cy="2120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0</xdr:rowOff>
    </xdr:from>
    <xdr:to>
      <xdr:col>17</xdr:col>
      <xdr:colOff>622300</xdr:colOff>
      <xdr:row>39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8000" y="6299200"/>
          <a:ext cx="5778500" cy="127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42</xdr:row>
      <xdr:rowOff>25400</xdr:rowOff>
    </xdr:from>
    <xdr:to>
      <xdr:col>18</xdr:col>
      <xdr:colOff>101600</xdr:colOff>
      <xdr:row>55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90450" y="8039100"/>
          <a:ext cx="553085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79</xdr:row>
      <xdr:rowOff>0</xdr:rowOff>
    </xdr:from>
    <xdr:to>
      <xdr:col>18</xdr:col>
      <xdr:colOff>457200</xdr:colOff>
      <xdr:row>90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34900" y="15062200"/>
          <a:ext cx="58420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56</xdr:row>
      <xdr:rowOff>0</xdr:rowOff>
    </xdr:from>
    <xdr:to>
      <xdr:col>17</xdr:col>
      <xdr:colOff>609600</xdr:colOff>
      <xdr:row>67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50700" y="10680700"/>
          <a:ext cx="5753100" cy="2120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0</xdr:rowOff>
    </xdr:from>
    <xdr:to>
      <xdr:col>17</xdr:col>
      <xdr:colOff>622300</xdr:colOff>
      <xdr:row>39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8000" y="6299200"/>
          <a:ext cx="5778500" cy="127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42</xdr:row>
      <xdr:rowOff>25400</xdr:rowOff>
    </xdr:from>
    <xdr:to>
      <xdr:col>18</xdr:col>
      <xdr:colOff>101600</xdr:colOff>
      <xdr:row>55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90450" y="8039100"/>
          <a:ext cx="553085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79</xdr:row>
      <xdr:rowOff>0</xdr:rowOff>
    </xdr:from>
    <xdr:to>
      <xdr:col>18</xdr:col>
      <xdr:colOff>457200</xdr:colOff>
      <xdr:row>90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34900" y="15062200"/>
          <a:ext cx="58420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56</xdr:row>
      <xdr:rowOff>0</xdr:rowOff>
    </xdr:from>
    <xdr:to>
      <xdr:col>17</xdr:col>
      <xdr:colOff>609600</xdr:colOff>
      <xdr:row>67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50700" y="10680700"/>
          <a:ext cx="5753100" cy="2120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393700</xdr:colOff>
      <xdr:row>1</xdr:row>
      <xdr:rowOff>228600</xdr:rowOff>
    </xdr:from>
    <xdr:to>
      <xdr:col>22</xdr:col>
      <xdr:colOff>647700</xdr:colOff>
      <xdr:row>38</xdr:row>
      <xdr:rowOff>50800</xdr:rowOff>
    </xdr:to>
    <xdr:pic>
      <xdr:nvPicPr>
        <xdr:cNvPr id="1025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19100"/>
          <a:ext cx="11811000" cy="693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431800</xdr:colOff>
      <xdr:row>38</xdr:row>
      <xdr:rowOff>63500</xdr:rowOff>
    </xdr:from>
    <xdr:to>
      <xdr:col>22</xdr:col>
      <xdr:colOff>736600</xdr:colOff>
      <xdr:row>82</xdr:row>
      <xdr:rowOff>139700</xdr:rowOff>
    </xdr:to>
    <xdr:pic>
      <xdr:nvPicPr>
        <xdr:cNvPr id="1026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7366000"/>
          <a:ext cx="11861800" cy="845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165100</xdr:colOff>
      <xdr:row>0</xdr:row>
      <xdr:rowOff>393700</xdr:rowOff>
    </xdr:from>
    <xdr:to>
      <xdr:col>6</xdr:col>
      <xdr:colOff>520700</xdr:colOff>
      <xdr:row>0</xdr:row>
      <xdr:rowOff>393700</xdr:rowOff>
    </xdr:to>
    <xdr:pic>
      <xdr:nvPicPr>
        <xdr:cNvPr id="2049" name="Picture 1" descr="gv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2600" y="393700"/>
          <a:ext cx="1181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0</xdr:row>
      <xdr:rowOff>406400</xdr:rowOff>
    </xdr:from>
    <xdr:to>
      <xdr:col>6</xdr:col>
      <xdr:colOff>368300</xdr:colOff>
      <xdr:row>0</xdr:row>
      <xdr:rowOff>406400</xdr:rowOff>
    </xdr:to>
    <xdr:pic>
      <xdr:nvPicPr>
        <xdr:cNvPr id="2050" name="Bildobjekt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06400"/>
          <a:ext cx="1168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25400</xdr:colOff>
      <xdr:row>0</xdr:row>
      <xdr:rowOff>25400</xdr:rowOff>
    </xdr:from>
    <xdr:to>
      <xdr:col>4</xdr:col>
      <xdr:colOff>304800</xdr:colOff>
      <xdr:row>0</xdr:row>
      <xdr:rowOff>1435100</xdr:rowOff>
    </xdr:to>
    <xdr:pic>
      <xdr:nvPicPr>
        <xdr:cNvPr id="2051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900" y="25400"/>
          <a:ext cx="27559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O1048576"/>
  <sheetViews>
    <sheetView workbookViewId="0">
      <selection activeCell="E10" sqref="E10"/>
    </sheetView>
  </sheetViews>
  <sheetFormatPr baseColWidth="10" defaultRowHeight="15" x14ac:dyDescent="0.75"/>
  <cols>
    <col min="4" max="4" width="22" customWidth="1"/>
  </cols>
  <sheetData>
    <row r="1" spans="1:15" ht="16" thickBo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>
      <c r="A2" s="46"/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5">
      <c r="A3" s="39"/>
      <c r="B3" s="40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15">
      <c r="A4" s="46"/>
      <c r="B4" s="47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</row>
    <row r="5" spans="1:15">
      <c r="A5" s="46"/>
      <c r="B5" s="47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</row>
    <row r="6" spans="1:15">
      <c r="A6" s="46"/>
      <c r="B6" s="47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</row>
    <row r="7" spans="1:15">
      <c r="A7" s="46"/>
      <c r="B7" s="47"/>
      <c r="C7" s="46" t="s">
        <v>249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</row>
    <row r="8" spans="1:15">
      <c r="A8" s="46"/>
      <c r="B8" s="47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>
      <c r="A9" s="46"/>
      <c r="B9" s="47"/>
      <c r="C9" s="46"/>
      <c r="D9" s="46" t="s">
        <v>158</v>
      </c>
      <c r="E9" s="46" t="s">
        <v>268</v>
      </c>
      <c r="F9" s="46"/>
      <c r="G9" s="46"/>
      <c r="H9" s="46"/>
      <c r="I9" s="46"/>
      <c r="J9" s="46"/>
      <c r="K9" s="46"/>
      <c r="L9" s="46"/>
      <c r="M9" s="46"/>
      <c r="N9" s="46"/>
      <c r="O9" s="46"/>
    </row>
    <row r="10" spans="1:15">
      <c r="A10" s="46"/>
      <c r="B10" s="47"/>
      <c r="D10" s="46" t="s">
        <v>250</v>
      </c>
      <c r="E10" s="46" t="s">
        <v>251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15">
      <c r="A11" s="46"/>
      <c r="B11" s="47"/>
      <c r="C11" s="46"/>
      <c r="D11" s="46" t="s">
        <v>252</v>
      </c>
      <c r="E11" s="46" t="s">
        <v>253</v>
      </c>
      <c r="F11" s="46"/>
      <c r="G11" s="46"/>
      <c r="H11" s="46"/>
      <c r="I11" s="46"/>
      <c r="J11" s="46"/>
      <c r="K11" s="46"/>
      <c r="L11" s="46"/>
      <c r="M11" s="46"/>
      <c r="N11" s="46"/>
      <c r="O11" s="46"/>
    </row>
    <row r="12" spans="1:15">
      <c r="A12" s="46"/>
      <c r="B12" s="47"/>
      <c r="C12" s="46"/>
      <c r="D12" s="46" t="s">
        <v>254</v>
      </c>
      <c r="E12" s="46" t="s">
        <v>259</v>
      </c>
      <c r="F12" s="46"/>
      <c r="G12" s="46"/>
      <c r="H12" s="46"/>
      <c r="I12" s="46"/>
      <c r="J12" s="46"/>
      <c r="K12" s="46"/>
      <c r="L12" s="46"/>
      <c r="M12" s="46"/>
      <c r="N12" s="46"/>
      <c r="O12" s="46"/>
    </row>
    <row r="13" spans="1:15">
      <c r="A13" s="46"/>
      <c r="B13" s="47"/>
      <c r="C13" s="46"/>
      <c r="D13" s="46" t="s">
        <v>255</v>
      </c>
      <c r="E13" s="46" t="s">
        <v>261</v>
      </c>
      <c r="F13" s="46"/>
      <c r="G13" s="46"/>
      <c r="H13" s="46"/>
      <c r="I13" s="46"/>
      <c r="J13" s="46"/>
      <c r="K13" s="46"/>
      <c r="L13" s="46"/>
      <c r="M13" s="46"/>
      <c r="N13" s="46"/>
      <c r="O13" s="46"/>
    </row>
    <row r="14" spans="1:15">
      <c r="A14" s="46"/>
      <c r="B14" s="47"/>
      <c r="C14" s="46"/>
      <c r="D14" s="46" t="s">
        <v>256</v>
      </c>
      <c r="E14" s="52" t="s">
        <v>260</v>
      </c>
      <c r="F14" s="46"/>
      <c r="G14" s="46"/>
      <c r="H14" s="46"/>
      <c r="I14" s="46"/>
      <c r="J14" s="46"/>
      <c r="K14" s="46"/>
      <c r="L14" s="46"/>
      <c r="M14" s="46"/>
      <c r="N14" s="46"/>
      <c r="O14" s="46"/>
    </row>
    <row r="15" spans="1:15">
      <c r="A15" s="46"/>
      <c r="B15" s="47"/>
      <c r="C15" s="46"/>
      <c r="D15" s="46" t="s">
        <v>257</v>
      </c>
      <c r="E15" s="52" t="s">
        <v>262</v>
      </c>
      <c r="F15" s="46"/>
      <c r="G15" s="46"/>
      <c r="H15" s="46"/>
      <c r="I15" s="46"/>
      <c r="J15" s="46"/>
      <c r="K15" s="46"/>
      <c r="L15" s="46"/>
      <c r="M15" s="46"/>
      <c r="N15" s="46"/>
      <c r="O15" s="46"/>
    </row>
    <row r="16" spans="1:15">
      <c r="A16" s="46"/>
      <c r="B16" s="47"/>
      <c r="C16" s="46"/>
      <c r="D16" s="46" t="s">
        <v>258</v>
      </c>
      <c r="E16" s="52" t="s">
        <v>263</v>
      </c>
      <c r="F16" s="46"/>
      <c r="G16" s="46"/>
      <c r="H16" s="46"/>
      <c r="I16" s="46"/>
      <c r="J16" s="46"/>
      <c r="K16" s="46"/>
      <c r="L16" s="46"/>
      <c r="M16" s="46"/>
      <c r="N16" s="46"/>
      <c r="O16" s="46"/>
    </row>
    <row r="17" spans="1:15">
      <c r="A17" s="46"/>
      <c r="B17" s="47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</row>
    <row r="18" spans="1:15">
      <c r="A18" s="46"/>
      <c r="B18" s="47"/>
      <c r="C18" s="46"/>
      <c r="D18" s="46" t="s">
        <v>264</v>
      </c>
      <c r="E18" s="46" t="s">
        <v>266</v>
      </c>
      <c r="F18" s="46"/>
      <c r="G18" s="46"/>
      <c r="H18" s="46"/>
      <c r="I18" s="46"/>
      <c r="J18" s="46"/>
      <c r="K18" s="46"/>
      <c r="L18" s="46"/>
      <c r="M18" s="46"/>
      <c r="N18" s="46"/>
      <c r="O18" s="46"/>
    </row>
    <row r="19" spans="1:15">
      <c r="A19" s="46"/>
      <c r="B19" s="47"/>
      <c r="C19" s="46"/>
      <c r="D19" s="46" t="s">
        <v>265</v>
      </c>
      <c r="E19" s="46" t="s">
        <v>267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</row>
    <row r="20" spans="1:15">
      <c r="A20" s="46"/>
      <c r="B20" s="4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</row>
    <row r="21" spans="1:1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</row>
    <row r="22" spans="1:1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</row>
    <row r="23" spans="1:1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</row>
    <row r="24" spans="1:15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</row>
    <row r="25" spans="1:1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5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</row>
    <row r="27" spans="1:1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</row>
    <row r="28" spans="1:15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</row>
    <row r="29" spans="1:1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</row>
    <row r="30" spans="1:15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1048576" spans="5:5">
      <c r="E1048576" s="4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opLeftCell="G92" workbookViewId="0">
      <selection activeCell="D144" sqref="D144"/>
    </sheetView>
  </sheetViews>
  <sheetFormatPr baseColWidth="10" defaultRowHeight="15" x14ac:dyDescent="0"/>
  <cols>
    <col min="2" max="2" width="13" customWidth="1"/>
    <col min="3" max="3" width="19.83203125" customWidth="1"/>
    <col min="6" max="6" width="12.1640625" customWidth="1"/>
    <col min="7" max="7" width="13.83203125" customWidth="1"/>
    <col min="8" max="8" width="16.83203125" customWidth="1"/>
    <col min="9" max="9" width="24.1640625" customWidth="1"/>
    <col min="10" max="10" width="22.6640625" customWidth="1"/>
    <col min="11" max="11" width="13.33203125" customWidth="1"/>
    <col min="12" max="13" width="12.1640625" bestFit="1" customWidth="1"/>
  </cols>
  <sheetData>
    <row r="1" spans="1:24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52"/>
      <c r="U1" s="52"/>
      <c r="V1" s="52"/>
      <c r="W1" s="52"/>
      <c r="X1" s="52"/>
    </row>
    <row r="2" spans="1:24" ht="16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>
      <c r="A4" s="39"/>
      <c r="B4" s="40"/>
      <c r="D4" s="46"/>
      <c r="E4" s="46"/>
      <c r="F4" s="46"/>
      <c r="G4" s="46"/>
      <c r="H4" s="46"/>
      <c r="I4" s="46"/>
      <c r="J4" s="46"/>
      <c r="K4" s="46"/>
      <c r="L4" s="46"/>
      <c r="M4" s="46"/>
      <c r="N4" s="52"/>
      <c r="O4" s="52"/>
      <c r="P4" s="46"/>
      <c r="Q4" s="52"/>
      <c r="R4" s="52"/>
      <c r="S4" s="46"/>
      <c r="T4" s="52"/>
      <c r="U4" s="52"/>
      <c r="V4" s="46"/>
      <c r="W4" s="46"/>
    </row>
    <row r="5" spans="1:24">
      <c r="A5" s="46"/>
      <c r="B5" s="40" t="s">
        <v>234</v>
      </c>
      <c r="C5" s="55"/>
      <c r="E5" s="46"/>
      <c r="F5" s="46"/>
      <c r="G5" s="46"/>
      <c r="H5" s="46"/>
      <c r="I5" s="46" t="s">
        <v>187</v>
      </c>
      <c r="J5" s="46"/>
      <c r="K5" s="46"/>
      <c r="L5" s="46"/>
      <c r="M5" s="46"/>
      <c r="N5" s="52"/>
      <c r="O5" s="52"/>
      <c r="P5" s="46"/>
      <c r="Q5" s="52"/>
      <c r="R5" s="52"/>
      <c r="S5" s="46"/>
      <c r="T5" s="52"/>
      <c r="U5" s="52"/>
      <c r="V5" s="46"/>
      <c r="W5" s="46"/>
    </row>
    <row r="6" spans="1:24">
      <c r="A6" s="46"/>
      <c r="B6" s="47"/>
      <c r="C6" s="46"/>
      <c r="D6" s="46"/>
      <c r="E6" s="46"/>
      <c r="F6" s="46" t="s">
        <v>182</v>
      </c>
      <c r="G6" s="46" t="s">
        <v>185</v>
      </c>
      <c r="H6" s="46" t="s">
        <v>183</v>
      </c>
      <c r="I6" s="46" t="s">
        <v>186</v>
      </c>
      <c r="J6" s="46"/>
      <c r="K6" s="46"/>
      <c r="L6" s="46" t="s">
        <v>214</v>
      </c>
      <c r="M6" s="46" t="s">
        <v>196</v>
      </c>
      <c r="N6" s="52"/>
      <c r="O6" s="52"/>
      <c r="P6" s="46"/>
      <c r="Q6" s="52"/>
      <c r="R6" s="52"/>
      <c r="S6" s="46"/>
      <c r="T6" s="52"/>
      <c r="U6" s="52"/>
      <c r="V6" s="46"/>
      <c r="W6" s="46"/>
    </row>
    <row r="7" spans="1:24">
      <c r="A7" s="46"/>
      <c r="B7" s="47"/>
      <c r="C7" s="59" t="s">
        <v>272</v>
      </c>
      <c r="D7" s="46" t="s">
        <v>178</v>
      </c>
      <c r="E7" s="46"/>
      <c r="F7" s="46">
        <v>7915613</v>
      </c>
      <c r="G7" s="46">
        <v>98482.6</v>
      </c>
      <c r="H7" s="46">
        <v>113821</v>
      </c>
      <c r="I7" s="46">
        <f>(G7*1000000)/F7</f>
        <v>12441.563275011045</v>
      </c>
      <c r="J7" s="46"/>
      <c r="K7" s="46"/>
      <c r="L7" s="46"/>
      <c r="M7" s="46"/>
      <c r="N7" s="46"/>
      <c r="O7" s="46"/>
      <c r="P7" s="46"/>
      <c r="Q7" s="52"/>
      <c r="R7" s="52"/>
      <c r="S7" s="46"/>
      <c r="T7" s="52"/>
      <c r="U7" s="52"/>
      <c r="V7" s="46"/>
      <c r="W7" s="46"/>
    </row>
    <row r="8" spans="1:24">
      <c r="A8" s="46"/>
      <c r="B8" s="47"/>
      <c r="C8" s="59" t="s">
        <v>273</v>
      </c>
      <c r="D8" s="46" t="s">
        <v>179</v>
      </c>
      <c r="E8" s="46"/>
      <c r="F8" s="46">
        <v>832121</v>
      </c>
      <c r="G8" s="46">
        <v>15656.8</v>
      </c>
      <c r="H8" s="46">
        <v>16309.2</v>
      </c>
      <c r="I8" s="46">
        <f t="shared" ref="I8:I12" si="0">(G8*1000000)/F8</f>
        <v>18815.532837171519</v>
      </c>
      <c r="J8" s="46"/>
      <c r="K8" s="46"/>
      <c r="L8" s="46"/>
      <c r="M8" s="46"/>
      <c r="N8" s="46"/>
      <c r="O8" s="46"/>
      <c r="P8" s="46"/>
      <c r="Q8" s="52"/>
      <c r="R8" s="52"/>
      <c r="S8" s="46"/>
      <c r="T8" s="52"/>
      <c r="U8" s="52"/>
      <c r="V8" s="46"/>
      <c r="W8" s="46"/>
    </row>
    <row r="9" spans="1:24">
      <c r="A9" s="39"/>
      <c r="B9" s="40"/>
      <c r="C9" s="46"/>
      <c r="D9" s="46" t="s">
        <v>180</v>
      </c>
      <c r="E9" s="46"/>
      <c r="F9" s="46">
        <v>67096</v>
      </c>
      <c r="G9" s="46">
        <v>2065.9</v>
      </c>
      <c r="H9" s="46">
        <v>2726.1</v>
      </c>
      <c r="I9" s="46">
        <f t="shared" si="0"/>
        <v>30790.211040896625</v>
      </c>
      <c r="J9" s="46"/>
      <c r="K9" s="46"/>
      <c r="L9" s="46"/>
      <c r="M9" s="46"/>
      <c r="N9" s="46"/>
      <c r="O9" s="46"/>
      <c r="P9" s="46"/>
      <c r="Q9" s="52"/>
      <c r="R9" s="52"/>
      <c r="S9" s="46"/>
      <c r="T9" s="52"/>
      <c r="U9" s="52"/>
      <c r="V9" s="46"/>
      <c r="W9" s="46"/>
    </row>
    <row r="10" spans="1:24">
      <c r="A10" s="46"/>
      <c r="B10" s="47"/>
      <c r="C10" s="46"/>
      <c r="D10" s="46" t="s">
        <v>181</v>
      </c>
      <c r="E10" s="46"/>
      <c r="F10" s="46">
        <v>70422</v>
      </c>
      <c r="G10" s="46">
        <v>3835.2</v>
      </c>
      <c r="H10" s="46">
        <v>6542.8</v>
      </c>
      <c r="I10" s="46">
        <f t="shared" si="0"/>
        <v>54460.253897929622</v>
      </c>
      <c r="J10" s="46"/>
      <c r="K10" s="46"/>
      <c r="L10" s="46"/>
      <c r="M10" s="46"/>
      <c r="N10" s="46"/>
      <c r="O10" s="46"/>
      <c r="P10" s="46"/>
      <c r="Q10" s="52"/>
      <c r="R10" s="52"/>
      <c r="S10" s="46"/>
      <c r="T10" s="52"/>
      <c r="U10" s="52"/>
      <c r="V10" s="46"/>
      <c r="W10" s="46"/>
    </row>
    <row r="11" spans="1:24">
      <c r="A11" s="46"/>
      <c r="B11" s="47"/>
      <c r="C11" s="46"/>
      <c r="D11" s="46" t="s">
        <v>173</v>
      </c>
      <c r="E11" s="46"/>
      <c r="F11" s="46">
        <v>63312</v>
      </c>
      <c r="G11" s="46">
        <v>416.6</v>
      </c>
      <c r="H11" s="46">
        <v>727.3</v>
      </c>
      <c r="I11" s="46">
        <f t="shared" si="0"/>
        <v>6580.1111953500131</v>
      </c>
      <c r="J11" s="46"/>
      <c r="K11" s="46"/>
      <c r="L11" s="46"/>
      <c r="M11" s="46"/>
      <c r="N11" s="46"/>
      <c r="O11" s="46"/>
      <c r="P11" s="46"/>
      <c r="Q11" s="52"/>
      <c r="R11" s="52"/>
      <c r="S11" s="46"/>
      <c r="T11" s="52"/>
      <c r="U11" s="52"/>
      <c r="V11" s="46"/>
      <c r="W11" s="46"/>
    </row>
    <row r="12" spans="1:24">
      <c r="A12" s="46"/>
      <c r="B12" s="47"/>
      <c r="C12" s="46"/>
      <c r="D12" s="46" t="s">
        <v>174</v>
      </c>
      <c r="E12" s="46"/>
      <c r="F12" s="46">
        <v>10464</v>
      </c>
      <c r="G12" s="46">
        <v>616.4</v>
      </c>
      <c r="H12" s="46">
        <v>700.3</v>
      </c>
      <c r="I12" s="46">
        <f t="shared" si="0"/>
        <v>58906.727828746174</v>
      </c>
      <c r="J12" s="46"/>
      <c r="K12" s="46"/>
      <c r="L12" s="46"/>
      <c r="M12" s="46"/>
      <c r="N12" s="46"/>
      <c r="O12" s="48"/>
      <c r="P12" s="46"/>
      <c r="Q12" s="52"/>
      <c r="R12" s="52"/>
      <c r="S12" s="46"/>
      <c r="T12" s="52"/>
      <c r="U12" s="52"/>
      <c r="V12" s="46"/>
      <c r="W12" s="46"/>
    </row>
    <row r="13" spans="1:24">
      <c r="A13" s="46"/>
      <c r="B13" s="4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52"/>
      <c r="U13" s="52"/>
      <c r="V13" s="46"/>
      <c r="W13" s="46"/>
    </row>
    <row r="14" spans="1:24">
      <c r="A14" s="46"/>
      <c r="B14" s="47"/>
      <c r="C14" s="46"/>
      <c r="D14" s="46" t="s">
        <v>184</v>
      </c>
      <c r="E14" s="46"/>
      <c r="F14" s="46"/>
      <c r="G14" s="46">
        <v>121073.60000000001</v>
      </c>
      <c r="H14" s="46">
        <v>140826.70000000001</v>
      </c>
      <c r="I14" s="46" t="e">
        <f>(G14*1000000)/F14</f>
        <v>#DIV/0!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4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4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>
      <c r="A17" s="46"/>
      <c r="B17" s="47"/>
      <c r="C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>
      <c r="A20" s="46"/>
      <c r="B20" s="47"/>
      <c r="C20" s="46"/>
      <c r="D20" s="39" t="s">
        <v>269</v>
      </c>
      <c r="E20" s="46"/>
      <c r="F20" s="46" t="s">
        <v>286</v>
      </c>
      <c r="G20" t="s">
        <v>287</v>
      </c>
      <c r="H20" s="46" t="s">
        <v>288</v>
      </c>
      <c r="I20" s="46" t="s">
        <v>289</v>
      </c>
      <c r="J20" s="46" t="s">
        <v>290</v>
      </c>
      <c r="K20" s="46"/>
      <c r="L20" s="46" t="s">
        <v>294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A21" s="46"/>
      <c r="B21" s="47"/>
      <c r="C21" s="46"/>
      <c r="E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>
      <c r="A22" s="46"/>
      <c r="B22" s="47"/>
      <c r="C22" s="46"/>
      <c r="D22" s="46" t="s">
        <v>163</v>
      </c>
      <c r="E22" s="46"/>
      <c r="F22" s="46">
        <f>Transport_numbers!G$27*1000</f>
        <v>10811000</v>
      </c>
      <c r="G22" s="46">
        <f>$I$7</f>
        <v>12441.563275011045</v>
      </c>
      <c r="H22" s="46">
        <v>0.476190476190476</v>
      </c>
      <c r="I22" s="46">
        <f>G22/H22</f>
        <v>26127.282877523205</v>
      </c>
      <c r="J22" s="46">
        <f>I22*F22</f>
        <v>282462055188.90338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>
      <c r="A23" s="46"/>
      <c r="B23" s="47"/>
      <c r="C23" s="46"/>
      <c r="D23" s="46" t="s">
        <v>164</v>
      </c>
      <c r="E23" s="46"/>
      <c r="F23" s="46">
        <f>Transport_numbers!H$27*1000</f>
        <v>4830000</v>
      </c>
      <c r="G23" s="46">
        <f t="shared" ref="G23:G27" si="1">$I$7</f>
        <v>12441.563275011045</v>
      </c>
      <c r="H23" s="46">
        <v>0.52631578947368396</v>
      </c>
      <c r="I23" s="46">
        <f t="shared" ref="I23:I26" si="2">G23/H23</f>
        <v>23638.970222520999</v>
      </c>
      <c r="J23" s="46">
        <f t="shared" ref="J23:J27" si="3">I23*F23</f>
        <v>114176226174.77643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>
      <c r="A24" s="46"/>
      <c r="B24" s="47"/>
      <c r="C24" s="46"/>
      <c r="D24" s="46" t="s">
        <v>175</v>
      </c>
      <c r="E24" s="46"/>
      <c r="F24" s="46">
        <f>Transport_numbers!I$27*1000</f>
        <v>2757000</v>
      </c>
      <c r="G24" s="46">
        <f t="shared" si="1"/>
        <v>12441.563275011045</v>
      </c>
      <c r="H24" s="46">
        <v>0.5</v>
      </c>
      <c r="I24" s="46">
        <f t="shared" si="2"/>
        <v>24883.126550022091</v>
      </c>
      <c r="J24" s="46">
        <f t="shared" si="3"/>
        <v>68602779898.410904</v>
      </c>
      <c r="K24" s="46"/>
      <c r="L24" s="46" t="s">
        <v>243</v>
      </c>
      <c r="M24" s="46" t="s">
        <v>244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>
      <c r="A25" s="39"/>
      <c r="B25" s="40"/>
      <c r="C25" s="46"/>
      <c r="D25" s="46" t="s">
        <v>218</v>
      </c>
      <c r="E25" s="46"/>
      <c r="F25" s="46">
        <v>0</v>
      </c>
      <c r="G25" s="46">
        <f t="shared" si="1"/>
        <v>12441.563275011045</v>
      </c>
      <c r="H25" s="46">
        <v>1.5384615384615401</v>
      </c>
      <c r="I25" s="46">
        <f t="shared" si="2"/>
        <v>8087.0161287571709</v>
      </c>
      <c r="J25" s="46">
        <f t="shared" si="3"/>
        <v>0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>
      <c r="A26" s="46"/>
      <c r="B26" s="47"/>
      <c r="C26" s="46"/>
      <c r="D26" s="46" t="s">
        <v>177</v>
      </c>
      <c r="E26" s="46"/>
      <c r="F26" s="46">
        <v>0</v>
      </c>
      <c r="G26" s="46">
        <f t="shared" si="1"/>
        <v>12441.563275011045</v>
      </c>
      <c r="H26" s="46">
        <v>0.476190476190476</v>
      </c>
      <c r="I26" s="46">
        <f t="shared" si="2"/>
        <v>26127.282877523205</v>
      </c>
      <c r="J26" s="46">
        <f t="shared" si="3"/>
        <v>0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>
      <c r="A27" s="46"/>
      <c r="B27" s="47"/>
      <c r="C27" s="46"/>
      <c r="D27" s="46" t="s">
        <v>219</v>
      </c>
      <c r="E27" s="46"/>
      <c r="F27" s="46">
        <f>Transport_numbers!L$27*1000</f>
        <v>346000</v>
      </c>
      <c r="G27" s="46">
        <f t="shared" si="1"/>
        <v>12441.563275011045</v>
      </c>
      <c r="H27" s="46"/>
      <c r="I27" s="46">
        <v>0</v>
      </c>
      <c r="J27" s="46">
        <f t="shared" si="3"/>
        <v>0</v>
      </c>
      <c r="K27" s="46"/>
      <c r="L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>
      <c r="A28" s="46"/>
      <c r="B28" s="4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>
      <c r="A29" s="46"/>
      <c r="B29" s="47"/>
      <c r="C29" s="46"/>
      <c r="D29" s="46" t="s">
        <v>217</v>
      </c>
      <c r="E29" s="46"/>
      <c r="F29" s="46"/>
      <c r="G29" s="46"/>
      <c r="H29" s="46"/>
      <c r="I29" s="46"/>
      <c r="J29" s="46">
        <f>SUM(J22:J27)</f>
        <v>465241061262.0907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>
      <c r="A30" s="39"/>
      <c r="B30" s="4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>
      <c r="A32" s="46"/>
      <c r="B32" s="47"/>
      <c r="C32" s="59" t="s">
        <v>274</v>
      </c>
      <c r="D32" s="39" t="s">
        <v>270</v>
      </c>
      <c r="E32" s="46"/>
      <c r="F32" s="46" t="s">
        <v>286</v>
      </c>
      <c r="G32" t="s">
        <v>287</v>
      </c>
      <c r="H32" s="46" t="s">
        <v>288</v>
      </c>
      <c r="I32" s="46" t="s">
        <v>289</v>
      </c>
      <c r="J32" s="46" t="s">
        <v>290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>
      <c r="A33" s="46"/>
      <c r="B33" s="47"/>
      <c r="C33" s="59" t="s">
        <v>275</v>
      </c>
      <c r="D33" s="46"/>
      <c r="E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>
      <c r="A34" s="46"/>
      <c r="B34" s="47"/>
      <c r="C34" s="59" t="s">
        <v>276</v>
      </c>
      <c r="D34" s="46" t="s">
        <v>163</v>
      </c>
      <c r="E34" s="46"/>
      <c r="F34" s="46">
        <f>Transport_numbers!G$40</f>
        <v>694705</v>
      </c>
      <c r="G34" s="46">
        <f>$I$8</f>
        <v>18815.532837171519</v>
      </c>
      <c r="H34" s="46">
        <f>(1-0.0907314815)*H35</f>
        <v>0.43298500880952379</v>
      </c>
      <c r="I34" s="46">
        <f>G34/H34</f>
        <v>43455.390958925178</v>
      </c>
      <c r="J34" s="46">
        <f>I34*F34</f>
        <v>30188677376.120117</v>
      </c>
      <c r="K34" s="46" t="s">
        <v>206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>
      <c r="A35" s="46"/>
      <c r="B35" s="47"/>
      <c r="C35" s="46"/>
      <c r="D35" s="46" t="s">
        <v>164</v>
      </c>
      <c r="E35" s="46"/>
      <c r="F35" s="63">
        <f>Transport_numbers!H$40</f>
        <v>1969895</v>
      </c>
      <c r="G35" s="46">
        <f t="shared" ref="G35:G41" si="4">$I$8</f>
        <v>18815.532837171519</v>
      </c>
      <c r="H35" s="46">
        <f>1/2.1</f>
        <v>0.47619047619047616</v>
      </c>
      <c r="I35" s="46">
        <f t="shared" ref="I35:I38" si="5">G35/H35</f>
        <v>39512.618958060193</v>
      </c>
      <c r="J35" s="46">
        <f t="shared" ref="J35:J39" si="6">I35*F35</f>
        <v>77835710522.387985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>
      <c r="A36" s="46"/>
      <c r="B36" s="47"/>
      <c r="C36" s="46"/>
      <c r="D36" s="46" t="s">
        <v>175</v>
      </c>
      <c r="E36" s="46"/>
      <c r="F36" s="46">
        <f>Transport_numbers!I$40</f>
        <v>182889</v>
      </c>
      <c r="G36" s="46">
        <f t="shared" si="4"/>
        <v>18815.532837171519</v>
      </c>
      <c r="H36" s="46">
        <f>H24*AVERAGE((H34/H22),(H35/H23),(H38/H26))</f>
        <v>0.45385355539213584</v>
      </c>
      <c r="I36" s="46">
        <f t="shared" si="5"/>
        <v>41457.277603377224</v>
      </c>
      <c r="J36" s="46">
        <f t="shared" si="6"/>
        <v>7582080043.6040573</v>
      </c>
      <c r="K36" s="46" t="s">
        <v>213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>
      <c r="A37" s="46"/>
      <c r="B37" s="47"/>
      <c r="C37" s="46"/>
      <c r="D37" s="46" t="s">
        <v>218</v>
      </c>
      <c r="E37" s="46"/>
      <c r="F37" s="46">
        <f>Transport_numbers!J$40</f>
        <v>70</v>
      </c>
      <c r="G37" s="46">
        <f t="shared" si="4"/>
        <v>18815.532837171519</v>
      </c>
      <c r="H37" s="46">
        <f>H25*AVERAGE((H34/H22),(H35/H23),(H38/H26))</f>
        <v>1.3964724781296503</v>
      </c>
      <c r="I37" s="46">
        <f t="shared" si="5"/>
        <v>13473.615221097583</v>
      </c>
      <c r="J37" s="46">
        <f t="shared" si="6"/>
        <v>943153.06547683082</v>
      </c>
      <c r="K37" s="46" t="s">
        <v>213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>
      <c r="A38" s="46"/>
      <c r="B38" s="47"/>
      <c r="C38" s="46"/>
      <c r="D38" s="46" t="s">
        <v>177</v>
      </c>
      <c r="E38" s="46"/>
      <c r="F38" s="46" t="str">
        <f>Transport_numbers!K$40</f>
        <v>na</v>
      </c>
      <c r="G38" s="46">
        <f t="shared" si="4"/>
        <v>18815.532837171519</v>
      </c>
      <c r="H38" s="46">
        <f>1/2.31</f>
        <v>0.4329004329004329</v>
      </c>
      <c r="I38" s="46">
        <f t="shared" si="5"/>
        <v>43463.880853866205</v>
      </c>
      <c r="J38" s="46" t="e">
        <f t="shared" si="6"/>
        <v>#VALUE!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A39" s="46"/>
      <c r="B39" s="47"/>
      <c r="C39" s="46"/>
      <c r="D39" s="46" t="s">
        <v>219</v>
      </c>
      <c r="E39" s="46"/>
      <c r="F39" s="46">
        <f>Transport_numbers!L$40</f>
        <v>73290</v>
      </c>
      <c r="G39" s="46">
        <f t="shared" si="4"/>
        <v>18815.532837171519</v>
      </c>
      <c r="H39" s="46">
        <v>0</v>
      </c>
      <c r="I39" s="46">
        <v>0</v>
      </c>
      <c r="J39" s="46">
        <f t="shared" si="6"/>
        <v>0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3">
      <c r="A40" s="46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>
      <c r="A41" s="46"/>
      <c r="B41" s="47"/>
      <c r="C41" s="46"/>
      <c r="D41" s="46" t="s">
        <v>217</v>
      </c>
      <c r="E41" s="46"/>
      <c r="F41" s="46">
        <f>Transport_numbers!F$40</f>
        <v>2920779</v>
      </c>
      <c r="G41" s="46">
        <f t="shared" si="4"/>
        <v>18815.532837171519</v>
      </c>
      <c r="H41" s="46"/>
      <c r="I41" s="46" t="e">
        <f>G41/H41</f>
        <v>#DIV/0!</v>
      </c>
      <c r="J41" s="46" t="e">
        <f>I41*F41</f>
        <v>#DIV/0!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>
      <c r="A43" s="46"/>
      <c r="B43" s="4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>
      <c r="A44" s="56"/>
      <c r="B44" s="57"/>
      <c r="C44" s="46"/>
      <c r="D44" s="39" t="s">
        <v>280</v>
      </c>
      <c r="E44" s="46"/>
      <c r="F44" s="46" t="s">
        <v>286</v>
      </c>
      <c r="G44" t="s">
        <v>287</v>
      </c>
      <c r="H44" s="46" t="s">
        <v>288</v>
      </c>
      <c r="I44" s="46" t="s">
        <v>289</v>
      </c>
      <c r="J44" s="46" t="s">
        <v>290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>
      <c r="A45" s="52"/>
      <c r="B45" s="58"/>
      <c r="C45" s="46"/>
      <c r="D45" s="46"/>
      <c r="E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>
      <c r="A46" s="52"/>
      <c r="B46" s="58"/>
      <c r="C46" s="46"/>
      <c r="D46" s="46" t="s">
        <v>163</v>
      </c>
      <c r="E46" s="46"/>
      <c r="F46" s="46">
        <f>$F$77*NL!F70/(NL!$F$70+NL!$F$71)</f>
        <v>7806.6705868919844</v>
      </c>
      <c r="G46" s="46">
        <f>$I$9</f>
        <v>30790.211040896625</v>
      </c>
      <c r="H46" s="46">
        <v>9.6522852639873896E-2</v>
      </c>
      <c r="I46" s="46">
        <f>G46/H46</f>
        <v>318994.00192589307</v>
      </c>
      <c r="J46" s="46">
        <f>I46*F46</f>
        <v>2490281092.2298346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>
      <c r="A47" s="52"/>
      <c r="B47" s="58"/>
      <c r="C47" s="46"/>
      <c r="D47" s="46" t="s">
        <v>164</v>
      </c>
      <c r="E47" s="46"/>
      <c r="F47" s="46">
        <f>$F$77*NL!F71/(NL!$F$70+NL!$F$71)</f>
        <v>154594.329413108</v>
      </c>
      <c r="G47" s="46">
        <f t="shared" ref="G47:G53" si="7">$I$9</f>
        <v>30790.211040896625</v>
      </c>
      <c r="H47" s="46">
        <v>0.10638297872340401</v>
      </c>
      <c r="I47" s="46">
        <f t="shared" ref="I47:I51" si="8">G47/H47</f>
        <v>289427.98378442897</v>
      </c>
      <c r="J47" s="46">
        <f t="shared" ref="J47:J51" si="9">I47*F47</f>
        <v>44743925066.541695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>
      <c r="A48" s="52"/>
      <c r="B48" s="58"/>
      <c r="C48" s="46"/>
      <c r="D48" s="46" t="s">
        <v>175</v>
      </c>
      <c r="E48" s="46"/>
      <c r="F48" s="46">
        <v>0</v>
      </c>
      <c r="G48" s="46">
        <f t="shared" si="7"/>
        <v>30790.211040896625</v>
      </c>
      <c r="H48" s="46"/>
      <c r="I48" s="46" t="e">
        <f t="shared" si="8"/>
        <v>#DIV/0!</v>
      </c>
      <c r="J48" s="46" t="e">
        <f t="shared" si="9"/>
        <v>#DIV/0!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>
      <c r="A49" s="56"/>
      <c r="B49" s="57"/>
      <c r="C49" s="46"/>
      <c r="D49" s="46" t="s">
        <v>218</v>
      </c>
      <c r="E49" s="46"/>
      <c r="F49" s="46">
        <v>0</v>
      </c>
      <c r="G49" s="46">
        <f t="shared" si="7"/>
        <v>30790.211040896625</v>
      </c>
      <c r="H49" s="46">
        <v>0.19157088122605401</v>
      </c>
      <c r="I49" s="46">
        <f t="shared" si="8"/>
        <v>160724.90163348007</v>
      </c>
      <c r="J49" s="46">
        <f t="shared" si="9"/>
        <v>0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>
      <c r="A50" s="52"/>
      <c r="B50" s="58"/>
      <c r="C50" s="46"/>
      <c r="D50" s="46" t="s">
        <v>177</v>
      </c>
      <c r="E50" s="46"/>
      <c r="F50" s="46">
        <v>0</v>
      </c>
      <c r="G50" s="46">
        <f t="shared" si="7"/>
        <v>30790.211040896625</v>
      </c>
      <c r="H50" s="46">
        <v>0.10638297872340401</v>
      </c>
      <c r="I50" s="46">
        <f t="shared" si="8"/>
        <v>289427.98378442897</v>
      </c>
      <c r="J50" s="46">
        <f t="shared" si="9"/>
        <v>0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>
      <c r="A51" s="52"/>
      <c r="B51" s="58"/>
      <c r="C51" s="46"/>
      <c r="D51" s="46" t="s">
        <v>219</v>
      </c>
      <c r="E51" s="46"/>
      <c r="F51" s="46">
        <v>0</v>
      </c>
      <c r="G51" s="46">
        <f t="shared" si="7"/>
        <v>30790.211040896625</v>
      </c>
      <c r="H51" s="46"/>
      <c r="I51" s="46" t="e">
        <f t="shared" si="8"/>
        <v>#DIV/0!</v>
      </c>
      <c r="J51" s="46" t="e">
        <f t="shared" si="9"/>
        <v>#DIV/0!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>
      <c r="A52" s="52"/>
      <c r="B52" s="5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>
      <c r="A53" s="52"/>
      <c r="B53" s="58"/>
      <c r="C53" s="46"/>
      <c r="D53" s="46" t="s">
        <v>217</v>
      </c>
      <c r="E53" s="46"/>
      <c r="F53" s="46">
        <v>0</v>
      </c>
      <c r="G53" s="46">
        <f t="shared" si="7"/>
        <v>30790.211040896625</v>
      </c>
      <c r="H53" s="46"/>
      <c r="I53" s="46" t="e">
        <f>G53/H53</f>
        <v>#DIV/0!</v>
      </c>
      <c r="J53" s="46" t="e">
        <f>I53*F53</f>
        <v>#DIV/0!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>
      <c r="A54" s="52"/>
      <c r="B54" s="58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>
      <c r="A55" s="52"/>
      <c r="B55" s="5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>
      <c r="A56" s="52"/>
      <c r="B56" s="58"/>
      <c r="C56" s="46"/>
      <c r="D56" s="39" t="s">
        <v>271</v>
      </c>
      <c r="E56" s="46"/>
      <c r="F56" s="46" t="s">
        <v>286</v>
      </c>
      <c r="G56" t="s">
        <v>287</v>
      </c>
      <c r="H56" s="46" t="s">
        <v>288</v>
      </c>
      <c r="I56" s="46" t="s">
        <v>289</v>
      </c>
      <c r="J56" s="46" t="s">
        <v>290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>
      <c r="A57" s="52"/>
      <c r="B57" s="58"/>
      <c r="C57" s="46"/>
      <c r="D57" s="46"/>
      <c r="E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>
      <c r="A58" s="52"/>
      <c r="B58" s="58"/>
      <c r="C58" s="46"/>
      <c r="D58" s="46" t="s">
        <v>163</v>
      </c>
      <c r="E58" s="46"/>
      <c r="F58" s="46">
        <f>Transport_numbers!G64</f>
        <v>1630</v>
      </c>
      <c r="G58" s="46">
        <f t="shared" ref="G58:G62" si="10">$I$10</f>
        <v>54460.253897929622</v>
      </c>
      <c r="H58" s="46">
        <f>H59*(1-0.0907314815)</f>
        <v>7.3328106330645154E-2</v>
      </c>
      <c r="I58" s="46">
        <f>G58/H58</f>
        <v>742692.76302270591</v>
      </c>
      <c r="J58" s="46">
        <f>I58*F58</f>
        <v>1210589203.7270107</v>
      </c>
      <c r="K58" s="46" t="s">
        <v>206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>
      <c r="A59" s="52"/>
      <c r="B59" s="58"/>
      <c r="C59" s="46"/>
      <c r="D59" s="46" t="s">
        <v>164</v>
      </c>
      <c r="E59" s="46"/>
      <c r="F59" s="63">
        <f>Transport_numbers!H64</f>
        <v>273099</v>
      </c>
      <c r="G59" s="46">
        <f t="shared" si="10"/>
        <v>54460.253897929622</v>
      </c>
      <c r="H59" s="46">
        <f>1/12.4</f>
        <v>8.0645161290322578E-2</v>
      </c>
      <c r="I59" s="46">
        <f t="shared" ref="I59:I63" si="11">G59/H59</f>
        <v>675307.14833432739</v>
      </c>
      <c r="J59" s="46">
        <f t="shared" ref="J59:J63" si="12">I59*F59</f>
        <v>184425706902.95648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>
      <c r="A60" s="52"/>
      <c r="B60" s="58"/>
      <c r="C60" s="46"/>
      <c r="D60" s="46" t="s">
        <v>225</v>
      </c>
      <c r="E60" s="46"/>
      <c r="F60" s="63">
        <f>Transport_numbers!I64</f>
        <v>5691</v>
      </c>
      <c r="G60" s="46">
        <f>$I$10</f>
        <v>54460.253897929622</v>
      </c>
      <c r="H60" s="46"/>
      <c r="I60" s="46" t="e">
        <f t="shared" si="11"/>
        <v>#DIV/0!</v>
      </c>
      <c r="J60" s="46" t="e">
        <f t="shared" si="12"/>
        <v>#DIV/0!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>
      <c r="A61" s="52"/>
      <c r="B61" s="58"/>
      <c r="C61" s="46"/>
      <c r="D61" s="46"/>
      <c r="E61" s="46"/>
      <c r="F61" s="46">
        <v>0</v>
      </c>
      <c r="G61" s="46">
        <f t="shared" si="10"/>
        <v>54460.253897929622</v>
      </c>
      <c r="H61" s="46"/>
      <c r="I61" s="46" t="e">
        <f t="shared" si="11"/>
        <v>#DIV/0!</v>
      </c>
      <c r="J61" s="46" t="e">
        <f t="shared" si="12"/>
        <v>#DIV/0!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>
      <c r="A62" s="52"/>
      <c r="B62" s="58"/>
      <c r="C62" s="46"/>
      <c r="D62" s="46"/>
      <c r="E62" s="46"/>
      <c r="F62" s="46">
        <v>0</v>
      </c>
      <c r="G62" s="46">
        <f t="shared" si="10"/>
        <v>54460.253897929622</v>
      </c>
      <c r="H62" s="46"/>
      <c r="I62" s="46" t="e">
        <f t="shared" si="11"/>
        <v>#DIV/0!</v>
      </c>
      <c r="J62" s="46" t="e">
        <f t="shared" si="12"/>
        <v>#DIV/0!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>
      <c r="A63" s="52"/>
      <c r="B63" s="58"/>
      <c r="C63" s="46"/>
      <c r="D63" s="46"/>
      <c r="E63" s="46"/>
      <c r="F63" s="46">
        <v>0</v>
      </c>
      <c r="G63" s="46">
        <f>$I$10</f>
        <v>54460.253897929622</v>
      </c>
      <c r="H63" s="46"/>
      <c r="I63" s="46" t="e">
        <f t="shared" si="11"/>
        <v>#DIV/0!</v>
      </c>
      <c r="J63" s="46" t="e">
        <f t="shared" si="12"/>
        <v>#DIV/0!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>
      <c r="A64" s="56"/>
      <c r="B64" s="5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>
      <c r="A65" s="52"/>
      <c r="B65" s="58"/>
      <c r="C65" s="46"/>
      <c r="D65" s="46" t="s">
        <v>217</v>
      </c>
      <c r="E65" s="46"/>
      <c r="F65" s="46"/>
      <c r="G65" s="46">
        <f t="shared" ref="G65" si="13">$I$10</f>
        <v>54460.253897929622</v>
      </c>
      <c r="H65" s="46"/>
      <c r="I65" s="46" t="e">
        <f>G65/H65</f>
        <v>#DIV/0!</v>
      </c>
      <c r="J65" s="46" t="e">
        <f>I65*F65</f>
        <v>#DIV/0!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>
      <c r="A66" s="52"/>
      <c r="B66" s="58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>
      <c r="A67" s="52"/>
      <c r="B67" s="5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>
      <c r="A68" s="52"/>
      <c r="B68" s="58"/>
      <c r="C68" s="46"/>
      <c r="D68" s="39" t="s">
        <v>227</v>
      </c>
      <c r="E68" s="46"/>
      <c r="F68" s="46" t="s">
        <v>286</v>
      </c>
      <c r="G68" t="s">
        <v>287</v>
      </c>
      <c r="H68" s="46" t="s">
        <v>288</v>
      </c>
      <c r="I68" s="46" t="s">
        <v>289</v>
      </c>
      <c r="J68" s="46" t="s">
        <v>290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>
      <c r="A69" s="56"/>
      <c r="B69" s="57"/>
      <c r="C69" s="46"/>
      <c r="D69" s="46"/>
      <c r="E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>
      <c r="A70" s="52"/>
      <c r="B70" s="58"/>
      <c r="C70" s="46"/>
      <c r="D70" s="46" t="s">
        <v>163</v>
      </c>
      <c r="E70" s="46"/>
      <c r="F70" s="46">
        <f>$F$77*NL!F70/(NL!$F$70+NL!$F$71)</f>
        <v>7806.6705868919844</v>
      </c>
      <c r="G70" s="46">
        <f>$I$11</f>
        <v>6580.1111953500131</v>
      </c>
      <c r="H70" s="46">
        <f>H46</f>
        <v>9.6522852639873896E-2</v>
      </c>
      <c r="I70" s="46">
        <f>G70/H70</f>
        <v>68171.536743742574</v>
      </c>
      <c r="J70" s="46">
        <f>I70*F70</f>
        <v>532192730.76060134</v>
      </c>
      <c r="K70" s="46" t="s">
        <v>242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>
      <c r="A71" s="52"/>
      <c r="B71" s="58"/>
      <c r="C71" s="46"/>
      <c r="D71" s="46" t="s">
        <v>164</v>
      </c>
      <c r="E71" s="46"/>
      <c r="F71" s="46">
        <f>$F$77*NL!F71/(NL!$F$70+NL!$F$71)</f>
        <v>154594.329413108</v>
      </c>
      <c r="G71" s="46">
        <f t="shared" ref="G71:G77" si="14">$I$11</f>
        <v>6580.1111953500131</v>
      </c>
      <c r="H71" s="46">
        <f>H47</f>
        <v>0.10638297872340401</v>
      </c>
      <c r="I71" s="46">
        <f t="shared" ref="I71" si="15">G71/H71</f>
        <v>61853.045236290265</v>
      </c>
      <c r="J71" s="46">
        <f t="shared" ref="J71" si="16">I71*F71</f>
        <v>9562130050.4629288</v>
      </c>
      <c r="K71" s="46" t="s">
        <v>242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>
      <c r="A72" s="52"/>
      <c r="B72" s="58"/>
      <c r="C72" s="46"/>
      <c r="D72" s="46" t="s">
        <v>225</v>
      </c>
      <c r="E72" s="46"/>
      <c r="F72" s="46">
        <v>0</v>
      </c>
      <c r="G72" s="46">
        <f t="shared" si="14"/>
        <v>6580.1111953500131</v>
      </c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>
      <c r="A73" s="52"/>
      <c r="B73" s="58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>
      <c r="A74" s="52"/>
      <c r="B74" s="58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>
      <c r="A75" s="52"/>
      <c r="B75" s="58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>
      <c r="A76" s="52"/>
      <c r="B76" s="58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>
      <c r="A77" s="56"/>
      <c r="B77" s="57"/>
      <c r="C77" s="46"/>
      <c r="D77" s="46" t="s">
        <v>217</v>
      </c>
      <c r="E77" s="46"/>
      <c r="F77" s="46">
        <f>Transport_numbers!F76</f>
        <v>162401</v>
      </c>
      <c r="G77" s="46">
        <f t="shared" si="14"/>
        <v>6580.1111953500131</v>
      </c>
      <c r="H77" s="46"/>
      <c r="I77" s="46" t="e">
        <f>G77/H77</f>
        <v>#DIV/0!</v>
      </c>
      <c r="J77" s="46" t="e">
        <f>I77*F77</f>
        <v>#DIV/0!</v>
      </c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>
      <c r="A78" s="52"/>
      <c r="B78" s="58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>
      <c r="A79" s="52"/>
      <c r="B79" s="5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>
      <c r="A80" s="52"/>
      <c r="B80" s="58"/>
      <c r="C80" s="46"/>
      <c r="D80" s="39" t="s">
        <v>174</v>
      </c>
      <c r="E80" s="46"/>
      <c r="F80" s="46" t="s">
        <v>286</v>
      </c>
      <c r="G80" t="s">
        <v>287</v>
      </c>
      <c r="H80" s="46" t="s">
        <v>288</v>
      </c>
      <c r="I80" s="46" t="s">
        <v>289</v>
      </c>
      <c r="J80" s="46" t="s">
        <v>290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>
      <c r="A81" s="52"/>
      <c r="B81" s="58"/>
      <c r="C81" s="46"/>
      <c r="D81" s="46"/>
      <c r="E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>
      <c r="A82" s="56"/>
      <c r="B82" s="57"/>
      <c r="C82" s="46"/>
      <c r="D82" s="46" t="s">
        <v>163</v>
      </c>
      <c r="E82" s="46"/>
      <c r="F82" s="64">
        <f>Transport_numbers!G$88</f>
        <v>4189</v>
      </c>
      <c r="G82" s="46">
        <f>$I$12</f>
        <v>58906.727828746174</v>
      </c>
      <c r="H82" s="46">
        <f>(1-0.0907314815)*H83</f>
        <v>7.9760396359649113E-2</v>
      </c>
      <c r="I82" s="46">
        <f>G82/H82</f>
        <v>738546.0769669289</v>
      </c>
      <c r="J82" s="46">
        <f>I82*F82</f>
        <v>3093769516.414465</v>
      </c>
      <c r="K82" s="46" t="s">
        <v>206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>
      <c r="A83" s="52"/>
      <c r="B83" s="58"/>
      <c r="C83" s="46"/>
      <c r="D83" s="46" t="s">
        <v>164</v>
      </c>
      <c r="E83" s="46"/>
      <c r="F83" s="64">
        <f>Transport_numbers!H$88</f>
        <v>93949</v>
      </c>
      <c r="G83" s="46">
        <f t="shared" ref="G83:G89" si="17">$I$12</f>
        <v>58906.727828746174</v>
      </c>
      <c r="H83" s="46">
        <f>1/11.4</f>
        <v>8.771929824561403E-2</v>
      </c>
      <c r="I83" s="46">
        <f t="shared" ref="I83:I86" si="18">G83/H83</f>
        <v>671536.69724770647</v>
      </c>
      <c r="J83" s="46">
        <f t="shared" ref="J83:J86" si="19">I83*F83</f>
        <v>63090201169.724777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>
      <c r="A84" s="52"/>
      <c r="B84" s="58"/>
      <c r="C84" s="46"/>
      <c r="D84" s="46"/>
      <c r="E84" s="46"/>
      <c r="F84" s="64">
        <v>0</v>
      </c>
      <c r="G84" s="46">
        <f t="shared" si="17"/>
        <v>58906.727828746174</v>
      </c>
      <c r="H84" s="46"/>
      <c r="I84" s="46" t="e">
        <f t="shared" si="18"/>
        <v>#DIV/0!</v>
      </c>
      <c r="J84" s="46" t="e">
        <f t="shared" si="19"/>
        <v>#DIV/0!</v>
      </c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>
      <c r="A85" s="52"/>
      <c r="B85" s="58"/>
      <c r="C85" s="46"/>
      <c r="D85" s="46"/>
      <c r="E85" s="46"/>
      <c r="F85" s="64">
        <v>0</v>
      </c>
      <c r="G85" s="46">
        <f t="shared" si="17"/>
        <v>58906.727828746174</v>
      </c>
      <c r="H85" s="46">
        <f>1/5</f>
        <v>0.2</v>
      </c>
      <c r="I85" s="46">
        <f t="shared" si="18"/>
        <v>294533.63914373086</v>
      </c>
      <c r="J85" s="46">
        <f t="shared" si="19"/>
        <v>0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>
      <c r="A86" s="52"/>
      <c r="B86" s="58"/>
      <c r="C86" s="46"/>
      <c r="D86" s="46"/>
      <c r="E86" s="46"/>
      <c r="F86" s="64">
        <v>0</v>
      </c>
      <c r="G86" s="46">
        <f t="shared" si="17"/>
        <v>58906.727828746174</v>
      </c>
      <c r="H86" s="46">
        <f>1/10.26</f>
        <v>9.7465886939571159E-2</v>
      </c>
      <c r="I86" s="46">
        <f t="shared" si="18"/>
        <v>604383.02752293565</v>
      </c>
      <c r="J86" s="46">
        <f t="shared" si="19"/>
        <v>0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>
      <c r="A87" s="52"/>
      <c r="B87" s="58"/>
      <c r="C87" s="46"/>
      <c r="D87" s="46"/>
      <c r="E87" s="46"/>
      <c r="F87" s="6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>
      <c r="A88" s="52"/>
      <c r="B88" s="58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>
      <c r="A89" s="52"/>
      <c r="B89" s="58"/>
      <c r="C89" s="46"/>
      <c r="D89" s="46" t="s">
        <v>217</v>
      </c>
      <c r="E89" s="46"/>
      <c r="F89" s="64">
        <f>SUM(F82:F87)</f>
        <v>98138</v>
      </c>
      <c r="G89" s="46">
        <f t="shared" si="17"/>
        <v>58906.727828746174</v>
      </c>
      <c r="H89" s="46"/>
      <c r="I89" s="46" t="e">
        <f>G89/H89</f>
        <v>#DIV/0!</v>
      </c>
      <c r="J89" s="46" t="e">
        <f>I89*F89</f>
        <v>#DIV/0!</v>
      </c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>
      <c r="A91" s="52"/>
      <c r="B91" s="58"/>
      <c r="C91" s="46"/>
      <c r="D91" s="46" t="s">
        <v>277</v>
      </c>
      <c r="E91" s="46"/>
      <c r="F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>
      <c r="A92" s="52"/>
      <c r="B92" s="58"/>
      <c r="C92" s="46"/>
      <c r="D92" s="46" t="s">
        <v>278</v>
      </c>
      <c r="E92" s="46"/>
      <c r="G92" s="46"/>
      <c r="H92" s="46"/>
      <c r="I92" s="46"/>
      <c r="J92" s="46"/>
      <c r="K92" s="46"/>
      <c r="L92" s="46"/>
      <c r="M92" s="46"/>
      <c r="N92" s="46" t="s">
        <v>215</v>
      </c>
      <c r="O92" s="46"/>
      <c r="P92" s="46"/>
      <c r="Q92" s="46"/>
      <c r="R92" s="46"/>
      <c r="S92" s="46"/>
      <c r="T92" s="46"/>
      <c r="U92" s="46"/>
      <c r="V92" s="46"/>
      <c r="W92" s="46"/>
    </row>
    <row r="93" spans="1:23">
      <c r="A93" s="56"/>
      <c r="B93" s="57"/>
      <c r="C93" s="46"/>
      <c r="D93" s="46" t="s">
        <v>279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>
      <c r="A94" s="52"/>
      <c r="B94" s="58"/>
      <c r="C94" s="46"/>
      <c r="D94" s="46" t="s">
        <v>281</v>
      </c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>
      <c r="A97" s="52"/>
      <c r="B97" s="58"/>
      <c r="C97" s="46"/>
      <c r="D97" s="39" t="s">
        <v>199</v>
      </c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>
      <c r="A98" s="56"/>
      <c r="B98" s="5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>
      <c r="A100" s="52"/>
      <c r="B100" s="58"/>
      <c r="C100" s="46"/>
      <c r="D100" s="39" t="s">
        <v>292</v>
      </c>
      <c r="E100" s="46"/>
      <c r="F100" s="46" t="s">
        <v>207</v>
      </c>
      <c r="G100" s="46"/>
      <c r="H100" s="46"/>
      <c r="I100" s="46" t="s">
        <v>207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>
      <c r="A102" s="52"/>
      <c r="B102" s="58"/>
      <c r="C102" s="46"/>
      <c r="D102" s="46" t="s">
        <v>282</v>
      </c>
      <c r="E102" s="46"/>
      <c r="F102" s="46">
        <f>J22</f>
        <v>282462055188.90338</v>
      </c>
      <c r="G102" s="46"/>
      <c r="H102" s="46" t="s">
        <v>171</v>
      </c>
      <c r="I102" s="46">
        <f>F102</f>
        <v>282462055188.90338</v>
      </c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>
      <c r="A103" s="52"/>
      <c r="B103" s="58"/>
      <c r="C103" s="46"/>
      <c r="D103" s="46" t="s">
        <v>283</v>
      </c>
      <c r="E103" s="46"/>
      <c r="F103" s="46">
        <f>J34</f>
        <v>30188677376.120117</v>
      </c>
      <c r="G103" s="46"/>
      <c r="H103" s="46" t="s">
        <v>201</v>
      </c>
      <c r="I103" s="46">
        <f>SUM(F103:F107)</f>
        <v>37515509919.252037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>
      <c r="A104" s="52"/>
      <c r="B104" s="58"/>
      <c r="C104" s="46"/>
      <c r="D104" s="46" t="s">
        <v>280</v>
      </c>
      <c r="E104" s="46"/>
      <c r="F104" s="46">
        <f>J46</f>
        <v>2490281092.2298346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>
      <c r="A105" s="52"/>
      <c r="B105" s="58"/>
      <c r="C105" s="46"/>
      <c r="D105" s="46" t="s">
        <v>271</v>
      </c>
      <c r="E105" s="46"/>
      <c r="F105" s="46">
        <f>J58</f>
        <v>1210589203.7270107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>
      <c r="A106" s="52"/>
      <c r="B106" s="58"/>
      <c r="C106" s="46"/>
      <c r="D106" s="46" t="s">
        <v>284</v>
      </c>
      <c r="E106" s="46"/>
      <c r="F106" s="46">
        <f>J70</f>
        <v>532192730.76060134</v>
      </c>
      <c r="G106" t="s">
        <v>205</v>
      </c>
      <c r="H106" s="46" t="s">
        <v>202</v>
      </c>
      <c r="I106" s="46">
        <f>I102/(I102+I103)</f>
        <v>0.88275581162519501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>
      <c r="A107" s="52"/>
      <c r="B107" s="58"/>
      <c r="C107" s="46"/>
      <c r="D107" s="46" t="s">
        <v>174</v>
      </c>
      <c r="E107" s="46"/>
      <c r="F107">
        <f>J82</f>
        <v>3093769516.414465</v>
      </c>
      <c r="G107" s="46"/>
      <c r="H107" s="46" t="s">
        <v>203</v>
      </c>
      <c r="I107" s="46">
        <f>1-I106</f>
        <v>0.11724418837480499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>
      <c r="A109" s="56"/>
      <c r="B109" s="57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>
      <c r="A110" s="52"/>
      <c r="B110" s="58"/>
      <c r="C110" s="46"/>
      <c r="D110" s="39" t="s">
        <v>204</v>
      </c>
      <c r="E110" s="46"/>
      <c r="F110" s="46" t="s">
        <v>207</v>
      </c>
      <c r="G110" s="46"/>
      <c r="H110" s="46"/>
      <c r="I110" s="46" t="s">
        <v>207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>
      <c r="A111" s="52"/>
      <c r="B111" s="58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>
      <c r="A112" s="52"/>
      <c r="B112" s="58"/>
      <c r="C112" s="46"/>
      <c r="D112" s="46" t="s">
        <v>282</v>
      </c>
      <c r="E112" s="46"/>
      <c r="F112" s="46">
        <f>J23</f>
        <v>114176226174.77643</v>
      </c>
      <c r="G112" s="46"/>
      <c r="H112" s="46" t="s">
        <v>171</v>
      </c>
      <c r="I112" s="46">
        <f>F112</f>
        <v>114176226174.77643</v>
      </c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>
      <c r="A113" s="52"/>
      <c r="B113" s="58"/>
      <c r="C113" s="46"/>
      <c r="D113" s="46" t="s">
        <v>283</v>
      </c>
      <c r="E113" s="46"/>
      <c r="F113" s="46">
        <f>J35</f>
        <v>77835710522.387985</v>
      </c>
      <c r="G113" s="46"/>
      <c r="H113" s="46" t="s">
        <v>201</v>
      </c>
      <c r="I113" s="46">
        <f>SUM(F113:F117)</f>
        <v>316568144079.04639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>
      <c r="A114" s="56"/>
      <c r="B114" s="57"/>
      <c r="C114" s="46"/>
      <c r="D114" s="46" t="s">
        <v>280</v>
      </c>
      <c r="E114" s="46"/>
      <c r="F114" s="46">
        <f>J47</f>
        <v>44743925066.541695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>
      <c r="A115" s="52"/>
      <c r="B115" s="58"/>
      <c r="C115" s="46"/>
      <c r="D115" s="46" t="s">
        <v>271</v>
      </c>
      <c r="E115" s="46"/>
      <c r="F115" s="46">
        <f>J59</f>
        <v>184425706902.95648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>
      <c r="A116" s="52"/>
      <c r="B116" s="58"/>
      <c r="C116" s="46"/>
      <c r="D116" s="46" t="s">
        <v>284</v>
      </c>
      <c r="E116" s="46"/>
      <c r="F116" s="46">
        <f>J71</f>
        <v>9562130050.4629288</v>
      </c>
      <c r="G116" t="s">
        <v>205</v>
      </c>
      <c r="H116" s="46" t="s">
        <v>202</v>
      </c>
      <c r="I116" s="46">
        <f>I112/(I112+I113)</f>
        <v>0.26506725115756313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>
      <c r="A117" s="52"/>
      <c r="B117" s="58"/>
      <c r="C117" s="46"/>
      <c r="D117" s="46" t="s">
        <v>174</v>
      </c>
      <c r="E117" s="46"/>
      <c r="F117">
        <f>I83</f>
        <v>671536.69724770647</v>
      </c>
      <c r="G117" s="46"/>
      <c r="H117" s="46" t="s">
        <v>203</v>
      </c>
      <c r="I117" s="46">
        <f>1-I116</f>
        <v>0.73493274884243687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>
      <c r="A118" s="52"/>
      <c r="B118" s="58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>
      <c r="A119" s="52"/>
      <c r="B119" s="58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>
      <c r="A120" s="52"/>
      <c r="B120" s="58"/>
      <c r="C120" s="46"/>
      <c r="D120" s="39" t="s">
        <v>291</v>
      </c>
      <c r="E120" s="46"/>
      <c r="F120" s="46" t="s">
        <v>207</v>
      </c>
      <c r="G120" s="46"/>
      <c r="H120" s="46"/>
      <c r="I120" s="46" t="s">
        <v>207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>
      <c r="A121" s="52"/>
      <c r="B121" s="58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>
      <c r="A122" s="52"/>
      <c r="B122" s="58"/>
      <c r="C122" s="46"/>
      <c r="D122" s="46" t="s">
        <v>282</v>
      </c>
      <c r="E122" s="46"/>
      <c r="F122" s="46">
        <f>J25</f>
        <v>0</v>
      </c>
      <c r="G122" s="46"/>
      <c r="H122" s="46" t="s">
        <v>171</v>
      </c>
      <c r="I122" s="46">
        <f>F122</f>
        <v>0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>
      <c r="A123" s="52"/>
      <c r="B123" s="58"/>
      <c r="C123" s="46"/>
      <c r="D123" s="46" t="s">
        <v>283</v>
      </c>
      <c r="E123" s="46"/>
      <c r="F123" s="46">
        <f>J37</f>
        <v>943153.06547683082</v>
      </c>
      <c r="G123" s="46"/>
      <c r="H123" s="46" t="s">
        <v>201</v>
      </c>
      <c r="I123" s="46">
        <f>SUM(F123:F127)</f>
        <v>943153.06547683082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>
      <c r="A124" s="52"/>
      <c r="B124" s="58"/>
      <c r="C124" s="46"/>
      <c r="D124" s="46" t="s">
        <v>280</v>
      </c>
      <c r="E124" s="46"/>
      <c r="F124" s="46">
        <f>J49</f>
        <v>0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>
      <c r="A125" s="52"/>
      <c r="B125" s="58"/>
      <c r="C125" s="46"/>
      <c r="D125" s="46" t="s">
        <v>271</v>
      </c>
      <c r="E125" s="46"/>
      <c r="F125" s="46">
        <v>0</v>
      </c>
      <c r="G125" s="46" t="s">
        <v>205</v>
      </c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>
      <c r="A126" s="52"/>
      <c r="B126" s="58"/>
      <c r="C126" s="46"/>
      <c r="D126" s="46" t="s">
        <v>284</v>
      </c>
      <c r="E126" s="46"/>
      <c r="F126" s="46">
        <v>0</v>
      </c>
      <c r="G126" t="s">
        <v>205</v>
      </c>
      <c r="H126" s="46" t="s">
        <v>202</v>
      </c>
      <c r="I126" s="46">
        <f>I122/(I122+I123)</f>
        <v>0</v>
      </c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>
      <c r="A127" s="52"/>
      <c r="B127" s="58"/>
      <c r="C127" s="46"/>
      <c r="D127" s="46" t="s">
        <v>174</v>
      </c>
      <c r="E127" s="46"/>
      <c r="F127">
        <f>J85</f>
        <v>0</v>
      </c>
      <c r="G127" s="46"/>
      <c r="H127" s="46" t="s">
        <v>203</v>
      </c>
      <c r="I127" s="46">
        <f>1-I126</f>
        <v>1</v>
      </c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>
      <c r="A128" s="52"/>
      <c r="B128" s="58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>
      <c r="A129" s="56"/>
      <c r="B129" s="57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>
      <c r="A130" s="52"/>
      <c r="B130" s="65"/>
      <c r="C130" s="46"/>
      <c r="D130" s="39" t="s">
        <v>208</v>
      </c>
      <c r="E130" s="46"/>
      <c r="F130" s="46" t="s">
        <v>210</v>
      </c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>
      <c r="A131" s="52"/>
      <c r="B131" s="58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>
      <c r="A132" s="52"/>
      <c r="B132" s="58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>
      <c r="A133" s="52"/>
      <c r="B133" s="58"/>
      <c r="C133" s="46"/>
      <c r="D133" s="39" t="s">
        <v>269</v>
      </c>
      <c r="E133" s="46"/>
      <c r="F133" s="46" t="s">
        <v>286</v>
      </c>
      <c r="G133" t="s">
        <v>287</v>
      </c>
      <c r="H133" s="46" t="s">
        <v>288</v>
      </c>
      <c r="I133" s="46" t="s">
        <v>289</v>
      </c>
      <c r="J133" s="46" t="s">
        <v>290</v>
      </c>
      <c r="K133" s="46" t="s">
        <v>209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>
      <c r="A134" s="56"/>
      <c r="B134" s="57"/>
      <c r="C134" s="46"/>
      <c r="E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>
      <c r="A135" s="52"/>
      <c r="B135" s="58"/>
      <c r="C135" s="46"/>
      <c r="D135" s="46" t="s">
        <v>163</v>
      </c>
      <c r="E135" s="46"/>
      <c r="F135" s="46">
        <f>F22</f>
        <v>10811000</v>
      </c>
      <c r="G135" s="46">
        <f>$I$7</f>
        <v>12441.563275011045</v>
      </c>
      <c r="H135" s="46">
        <v>0.476190476190476</v>
      </c>
      <c r="I135" s="46">
        <f>G135/H135</f>
        <v>26127.282877523205</v>
      </c>
      <c r="J135" s="46">
        <f>I135*F135</f>
        <v>282462055188.90338</v>
      </c>
      <c r="K135" s="46">
        <f t="shared" ref="K135:K140" si="20">J135/$J$142</f>
        <v>0.60713053663545857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>
      <c r="A136" s="52"/>
      <c r="B136" s="58"/>
      <c r="C136" s="46"/>
      <c r="D136" s="46" t="s">
        <v>164</v>
      </c>
      <c r="E136" s="46"/>
      <c r="F136" s="46">
        <f>F23</f>
        <v>4830000</v>
      </c>
      <c r="G136" s="46">
        <f t="shared" ref="G136:G140" si="21">$I$7</f>
        <v>12441.563275011045</v>
      </c>
      <c r="H136" s="46">
        <v>0.52631578947368396</v>
      </c>
      <c r="I136" s="46">
        <f t="shared" ref="I136:I139" si="22">G136/H136</f>
        <v>23638.970222520999</v>
      </c>
      <c r="J136" s="46">
        <f t="shared" ref="J136:J140" si="23">I136*F136</f>
        <v>114176226174.77643</v>
      </c>
      <c r="K136" s="46">
        <f t="shared" si="20"/>
        <v>0.24541304644315554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>
      <c r="A137" s="52"/>
      <c r="B137" s="58"/>
      <c r="C137" s="46"/>
      <c r="D137" s="46" t="s">
        <v>175</v>
      </c>
      <c r="E137" s="46"/>
      <c r="F137" s="46">
        <f>F24</f>
        <v>2757000</v>
      </c>
      <c r="G137" s="46">
        <f t="shared" si="21"/>
        <v>12441.563275011045</v>
      </c>
      <c r="H137" s="46">
        <v>0.5</v>
      </c>
      <c r="I137" s="46">
        <f t="shared" si="22"/>
        <v>24883.126550022091</v>
      </c>
      <c r="J137" s="46">
        <f t="shared" si="23"/>
        <v>68602779898.410904</v>
      </c>
      <c r="K137" s="46">
        <f t="shared" si="20"/>
        <v>0.14745641692138595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>
      <c r="A138" s="52"/>
      <c r="B138" s="58"/>
      <c r="C138" s="46"/>
      <c r="D138" s="46" t="s">
        <v>218</v>
      </c>
      <c r="E138" s="46"/>
      <c r="F138" s="46">
        <v>0</v>
      </c>
      <c r="G138" s="46">
        <f t="shared" si="21"/>
        <v>12441.563275011045</v>
      </c>
      <c r="H138" s="46">
        <v>1.5384615384615401</v>
      </c>
      <c r="I138" s="46">
        <f t="shared" si="22"/>
        <v>8087.0161287571709</v>
      </c>
      <c r="J138" s="46">
        <f t="shared" si="23"/>
        <v>0</v>
      </c>
      <c r="K138" s="46">
        <f t="shared" si="20"/>
        <v>0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>
      <c r="A139" s="52"/>
      <c r="B139" s="58"/>
      <c r="C139" s="46"/>
      <c r="D139" s="46" t="s">
        <v>177</v>
      </c>
      <c r="E139" s="46"/>
      <c r="F139" s="46">
        <v>0</v>
      </c>
      <c r="G139" s="46">
        <f t="shared" si="21"/>
        <v>12441.563275011045</v>
      </c>
      <c r="H139" s="46">
        <v>0.476190476190476</v>
      </c>
      <c r="I139" s="46">
        <f t="shared" si="22"/>
        <v>26127.282877523205</v>
      </c>
      <c r="J139" s="46">
        <f t="shared" si="23"/>
        <v>0</v>
      </c>
      <c r="K139" s="46">
        <f t="shared" si="20"/>
        <v>0</v>
      </c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>
      <c r="A140" s="52"/>
      <c r="B140" s="58"/>
      <c r="C140" s="46"/>
      <c r="D140" s="46" t="s">
        <v>219</v>
      </c>
      <c r="E140" s="46"/>
      <c r="F140" s="46">
        <f>F27</f>
        <v>346000</v>
      </c>
      <c r="G140" s="46">
        <f t="shared" si="21"/>
        <v>12441.563275011045</v>
      </c>
      <c r="H140" s="46">
        <v>0</v>
      </c>
      <c r="I140" s="46">
        <v>0</v>
      </c>
      <c r="J140" s="46">
        <f t="shared" si="23"/>
        <v>0</v>
      </c>
      <c r="K140" s="46">
        <f t="shared" si="20"/>
        <v>0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>
      <c r="A141" s="52"/>
      <c r="B141" s="58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>
      <c r="A142" s="52"/>
      <c r="B142" s="58"/>
      <c r="C142" s="46"/>
      <c r="D142" s="46" t="s">
        <v>217</v>
      </c>
      <c r="E142" s="46"/>
      <c r="F142" s="46">
        <f>F29</f>
        <v>0</v>
      </c>
      <c r="G142" s="46"/>
      <c r="H142" s="46"/>
      <c r="I142" s="46"/>
      <c r="J142" s="46">
        <f>SUM(J135:J140)</f>
        <v>465241061262.0907</v>
      </c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>
      <c r="A143" s="52"/>
      <c r="B143" s="58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>
      <c r="A144" s="52"/>
      <c r="B144" s="58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>
      <c r="A145" s="52"/>
      <c r="B145" s="58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>
      <c r="A146" s="52"/>
      <c r="B146" s="58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 spans="1:23">
      <c r="A147" s="52"/>
      <c r="B147" s="58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>
      <c r="A148" s="52"/>
      <c r="B148" s="58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>
      <c r="A149" s="52"/>
      <c r="B149" s="58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>
      <c r="A150" s="52"/>
      <c r="B150" s="58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 spans="1:23">
      <c r="A151" s="52"/>
      <c r="B151" s="58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>
      <c r="A152" s="52"/>
      <c r="B152" s="58"/>
      <c r="C152" s="46"/>
      <c r="D152" s="46"/>
      <c r="E152" s="46"/>
      <c r="F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>
      <c r="A153" s="52"/>
      <c r="B153" s="58"/>
      <c r="C153" s="46"/>
      <c r="D153" s="46"/>
      <c r="E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>
      <c r="A154" s="52"/>
      <c r="B154" s="58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>
      <c r="A155" s="56"/>
      <c r="B155" s="57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 spans="1:23">
      <c r="A156" s="52"/>
      <c r="B156" s="58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>
      <c r="A157" s="52"/>
      <c r="B157" s="58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>
      <c r="A158" s="52"/>
      <c r="B158" s="58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>
      <c r="A159" s="52"/>
      <c r="B159" s="58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>
      <c r="A160" s="56"/>
      <c r="B160" s="57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>
      <c r="A161" s="52"/>
      <c r="B161" s="58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>
      <c r="A162" s="52"/>
      <c r="B162" s="58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>
      <c r="A163" s="52"/>
      <c r="B163" s="58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>
      <c r="A164" s="52"/>
      <c r="B164" s="58"/>
      <c r="C164" s="46"/>
      <c r="D164" s="46"/>
      <c r="E164" s="46"/>
      <c r="F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>
      <c r="A165" s="52"/>
      <c r="B165" s="58"/>
      <c r="C165" s="46"/>
      <c r="D165" s="46"/>
      <c r="E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>
      <c r="A166" s="52"/>
      <c r="B166" s="58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>
      <c r="A167" s="52"/>
      <c r="B167" s="58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 spans="1:23">
      <c r="A168" s="52"/>
      <c r="B168" s="58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>
      <c r="A169" s="52"/>
      <c r="B169" s="58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 spans="1:23">
      <c r="A170" s="52"/>
      <c r="B170" s="58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>
      <c r="A171" s="52"/>
      <c r="B171" s="58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>
      <c r="A172" s="52"/>
      <c r="B172" s="58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>
      <c r="A173" s="52"/>
      <c r="B173" s="58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>
      <c r="A174" s="52"/>
      <c r="B174" s="58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>
      <c r="A175" s="52"/>
      <c r="B175" s="58"/>
      <c r="C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 spans="1:23">
      <c r="A176" s="52"/>
      <c r="B176" s="58"/>
      <c r="C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>
      <c r="A177" s="46"/>
      <c r="B177" s="46"/>
      <c r="C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>
      <c r="A178" s="46"/>
      <c r="B178" s="46"/>
      <c r="C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>
      <c r="A179" s="46"/>
      <c r="B179" s="46"/>
      <c r="C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 spans="1:23">
      <c r="A180" s="46"/>
      <c r="B180" s="46"/>
      <c r="C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>
      <c r="A181" s="46"/>
      <c r="B181" s="46"/>
      <c r="C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 spans="1:23">
      <c r="A182" s="46"/>
      <c r="B182" s="46"/>
      <c r="C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>
      <c r="A183" s="46"/>
      <c r="B183" s="46"/>
      <c r="C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>
      <c r="A184" s="46"/>
      <c r="B184" s="46"/>
      <c r="C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>
      <c r="A185" s="46"/>
      <c r="B185" s="46"/>
      <c r="C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>
      <c r="A186" s="46"/>
      <c r="B186" s="46"/>
      <c r="C186" s="46"/>
      <c r="O186" s="46"/>
      <c r="P186" s="46"/>
      <c r="Q186" s="46"/>
      <c r="R186" s="46"/>
      <c r="S186" s="46"/>
      <c r="T186" s="46"/>
      <c r="U186" s="46"/>
      <c r="V186" s="46"/>
      <c r="W186" s="4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opLeftCell="A81" workbookViewId="0">
      <selection activeCell="F133" sqref="F133"/>
    </sheetView>
  </sheetViews>
  <sheetFormatPr baseColWidth="10" defaultRowHeight="15" x14ac:dyDescent="0"/>
  <cols>
    <col min="2" max="2" width="13" customWidth="1"/>
    <col min="3" max="3" width="20.5" customWidth="1"/>
    <col min="6" max="6" width="12.1640625" customWidth="1"/>
    <col min="7" max="7" width="13.83203125" customWidth="1"/>
    <col min="8" max="8" width="16.83203125" customWidth="1"/>
    <col min="9" max="9" width="24" customWidth="1"/>
    <col min="10" max="10" width="21.1640625" customWidth="1"/>
    <col min="11" max="11" width="13.33203125" customWidth="1"/>
    <col min="12" max="13" width="12.1640625" bestFit="1" customWidth="1"/>
  </cols>
  <sheetData>
    <row r="1" spans="1:24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52"/>
      <c r="U1" s="52"/>
      <c r="V1" s="52"/>
      <c r="W1" s="52"/>
      <c r="X1" s="52"/>
    </row>
    <row r="2" spans="1:24" ht="16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>
      <c r="A4" s="39"/>
      <c r="B4" s="40"/>
      <c r="D4" s="46"/>
      <c r="E4" s="46"/>
      <c r="F4" s="46"/>
      <c r="G4" s="46"/>
      <c r="H4" s="46"/>
      <c r="I4" s="46"/>
      <c r="J4" s="46"/>
      <c r="K4" s="46"/>
      <c r="L4" s="46"/>
      <c r="M4" s="46"/>
      <c r="N4" s="52"/>
      <c r="O4" s="52"/>
      <c r="P4" s="46"/>
      <c r="Q4" s="52"/>
      <c r="R4" s="52"/>
      <c r="S4" s="46"/>
      <c r="T4" s="52"/>
      <c r="U4" s="52"/>
      <c r="V4" s="46"/>
      <c r="W4" s="46"/>
    </row>
    <row r="5" spans="1:24">
      <c r="A5" s="46"/>
      <c r="B5" s="40" t="s">
        <v>233</v>
      </c>
      <c r="C5" s="55"/>
      <c r="E5" s="46"/>
      <c r="F5" s="46"/>
      <c r="G5" s="46"/>
      <c r="H5" s="46"/>
      <c r="I5" s="46" t="s">
        <v>187</v>
      </c>
      <c r="J5" s="46"/>
      <c r="K5" s="46"/>
      <c r="L5" s="46"/>
      <c r="M5" s="46"/>
      <c r="N5" s="52"/>
      <c r="O5" s="52"/>
      <c r="P5" s="46"/>
      <c r="Q5" s="52"/>
      <c r="R5" s="52"/>
      <c r="S5" s="46"/>
      <c r="T5" s="52"/>
      <c r="U5" s="52"/>
      <c r="V5" s="46"/>
      <c r="W5" s="46"/>
    </row>
    <row r="6" spans="1:24">
      <c r="A6" s="46"/>
      <c r="B6" s="47"/>
      <c r="C6" s="46"/>
      <c r="D6" s="46"/>
      <c r="E6" s="46"/>
      <c r="F6" s="46" t="s">
        <v>182</v>
      </c>
      <c r="G6" s="46" t="s">
        <v>185</v>
      </c>
      <c r="H6" s="46" t="s">
        <v>183</v>
      </c>
      <c r="I6" s="46" t="s">
        <v>186</v>
      </c>
      <c r="J6" s="46"/>
      <c r="K6" s="46"/>
      <c r="L6" s="46" t="s">
        <v>214</v>
      </c>
      <c r="M6" s="46" t="s">
        <v>196</v>
      </c>
      <c r="N6" s="52"/>
      <c r="O6" s="52"/>
      <c r="P6" s="46"/>
      <c r="Q6" s="52"/>
      <c r="R6" s="52"/>
      <c r="S6" s="46"/>
      <c r="T6" s="52"/>
      <c r="U6" s="52"/>
      <c r="V6" s="46"/>
      <c r="W6" s="46"/>
    </row>
    <row r="7" spans="1:24">
      <c r="A7" s="46"/>
      <c r="B7" s="47"/>
      <c r="C7" s="59" t="s">
        <v>272</v>
      </c>
      <c r="D7" s="46" t="s">
        <v>178</v>
      </c>
      <c r="E7" s="46"/>
      <c r="F7" s="46">
        <v>7915613</v>
      </c>
      <c r="G7" s="46">
        <v>98482.6</v>
      </c>
      <c r="H7" s="46">
        <v>113821</v>
      </c>
      <c r="I7" s="46">
        <f>(G7*1000000)/F7</f>
        <v>12441.563275011045</v>
      </c>
      <c r="J7" s="46"/>
      <c r="K7" s="46"/>
      <c r="L7" s="46"/>
      <c r="M7" s="46"/>
      <c r="N7" s="46"/>
      <c r="O7" s="46"/>
      <c r="P7" s="46"/>
      <c r="Q7" s="52"/>
      <c r="R7" s="52"/>
      <c r="S7" s="46"/>
      <c r="T7" s="52"/>
      <c r="U7" s="52"/>
      <c r="V7" s="46"/>
      <c r="W7" s="46"/>
    </row>
    <row r="8" spans="1:24">
      <c r="A8" s="46"/>
      <c r="B8" s="47"/>
      <c r="C8" s="59" t="s">
        <v>273</v>
      </c>
      <c r="D8" s="46" t="s">
        <v>179</v>
      </c>
      <c r="E8" s="46"/>
      <c r="F8" s="46">
        <v>832121</v>
      </c>
      <c r="G8" s="46">
        <v>15656.8</v>
      </c>
      <c r="H8" s="46">
        <v>16309.2</v>
      </c>
      <c r="I8" s="46">
        <f t="shared" ref="I8:I12" si="0">(G8*1000000)/F8</f>
        <v>18815.532837171519</v>
      </c>
      <c r="J8" s="46"/>
      <c r="K8" s="46"/>
      <c r="L8" s="46"/>
      <c r="M8" s="46"/>
      <c r="N8" s="46"/>
      <c r="O8" s="46"/>
      <c r="P8" s="46"/>
      <c r="Q8" s="52"/>
      <c r="R8" s="52"/>
      <c r="S8" s="46"/>
      <c r="T8" s="52"/>
      <c r="U8" s="52"/>
      <c r="V8" s="46"/>
      <c r="W8" s="46"/>
    </row>
    <row r="9" spans="1:24">
      <c r="A9" s="39"/>
      <c r="B9" s="40"/>
      <c r="C9" s="46"/>
      <c r="D9" s="46" t="s">
        <v>180</v>
      </c>
      <c r="E9" s="46"/>
      <c r="F9" s="46">
        <v>67096</v>
      </c>
      <c r="G9" s="46">
        <v>2065.9</v>
      </c>
      <c r="H9" s="46">
        <v>2726.1</v>
      </c>
      <c r="I9" s="46">
        <f t="shared" si="0"/>
        <v>30790.211040896625</v>
      </c>
      <c r="J9" s="46"/>
      <c r="K9" s="46"/>
      <c r="L9" s="46"/>
      <c r="M9" s="46"/>
      <c r="N9" s="46"/>
      <c r="O9" s="46"/>
      <c r="P9" s="46"/>
      <c r="Q9" s="52"/>
      <c r="R9" s="52"/>
      <c r="S9" s="46"/>
      <c r="T9" s="52"/>
      <c r="U9" s="52"/>
      <c r="V9" s="46"/>
      <c r="W9" s="46"/>
    </row>
    <row r="10" spans="1:24">
      <c r="A10" s="46"/>
      <c r="B10" s="47"/>
      <c r="C10" s="46"/>
      <c r="D10" s="46" t="s">
        <v>181</v>
      </c>
      <c r="E10" s="46"/>
      <c r="F10" s="46">
        <v>70422</v>
      </c>
      <c r="G10" s="46">
        <v>3835.2</v>
      </c>
      <c r="H10" s="46">
        <v>6542.8</v>
      </c>
      <c r="I10" s="46">
        <f t="shared" si="0"/>
        <v>54460.253897929622</v>
      </c>
      <c r="J10" s="46"/>
      <c r="K10" s="46"/>
      <c r="L10" s="46"/>
      <c r="M10" s="46"/>
      <c r="N10" s="46"/>
      <c r="O10" s="46"/>
      <c r="P10" s="46"/>
      <c r="Q10" s="52"/>
      <c r="R10" s="52"/>
      <c r="S10" s="46"/>
      <c r="T10" s="52"/>
      <c r="U10" s="52"/>
      <c r="V10" s="46"/>
      <c r="W10" s="46"/>
    </row>
    <row r="11" spans="1:24">
      <c r="A11" s="46"/>
      <c r="B11" s="47"/>
      <c r="C11" s="46"/>
      <c r="D11" s="46" t="s">
        <v>173</v>
      </c>
      <c r="E11" s="46"/>
      <c r="F11" s="46">
        <v>63312</v>
      </c>
      <c r="G11" s="46">
        <v>416.6</v>
      </c>
      <c r="H11" s="46">
        <v>727.3</v>
      </c>
      <c r="I11" s="46">
        <f t="shared" si="0"/>
        <v>6580.1111953500131</v>
      </c>
      <c r="J11" s="46"/>
      <c r="K11" s="46"/>
      <c r="L11" s="46"/>
      <c r="M11" s="46"/>
      <c r="N11" s="46"/>
      <c r="O11" s="46"/>
      <c r="P11" s="46"/>
      <c r="Q11" s="52"/>
      <c r="R11" s="52"/>
      <c r="S11" s="46"/>
      <c r="T11" s="52"/>
      <c r="U11" s="52"/>
      <c r="V11" s="46"/>
      <c r="W11" s="46"/>
    </row>
    <row r="12" spans="1:24">
      <c r="A12" s="46"/>
      <c r="B12" s="47"/>
      <c r="C12" s="46"/>
      <c r="D12" s="46" t="s">
        <v>174</v>
      </c>
      <c r="E12" s="46"/>
      <c r="F12" s="46">
        <v>10464</v>
      </c>
      <c r="G12" s="46">
        <v>616.4</v>
      </c>
      <c r="H12" s="46">
        <v>700.3</v>
      </c>
      <c r="I12" s="46">
        <f t="shared" si="0"/>
        <v>58906.727828746174</v>
      </c>
      <c r="J12" s="46"/>
      <c r="K12" s="46"/>
      <c r="L12" s="46"/>
      <c r="M12" s="46"/>
      <c r="N12" s="46"/>
      <c r="O12" s="48"/>
      <c r="P12" s="46"/>
      <c r="Q12" s="52"/>
      <c r="R12" s="52"/>
      <c r="S12" s="46"/>
      <c r="T12" s="52"/>
      <c r="U12" s="52"/>
      <c r="V12" s="46"/>
      <c r="W12" s="46"/>
    </row>
    <row r="13" spans="1:24">
      <c r="A13" s="46"/>
      <c r="B13" s="4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52"/>
      <c r="U13" s="52"/>
      <c r="V13" s="46"/>
      <c r="W13" s="46"/>
    </row>
    <row r="14" spans="1:24">
      <c r="A14" s="46"/>
      <c r="B14" s="47"/>
      <c r="C14" s="46"/>
      <c r="D14" s="46" t="s">
        <v>184</v>
      </c>
      <c r="E14" s="46"/>
      <c r="F14" s="46"/>
      <c r="G14" s="46">
        <v>121073.60000000001</v>
      </c>
      <c r="H14" s="46">
        <v>140826.70000000001</v>
      </c>
      <c r="I14" s="46" t="e">
        <f>(G14*1000000)/F14</f>
        <v>#DIV/0!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4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4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>
      <c r="A17" s="46"/>
      <c r="B17" s="47"/>
      <c r="C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>
      <c r="A20" s="46"/>
      <c r="B20" s="47"/>
      <c r="C20" s="46"/>
      <c r="D20" s="39" t="s">
        <v>269</v>
      </c>
      <c r="E20" s="46"/>
      <c r="F20" s="46" t="s">
        <v>286</v>
      </c>
      <c r="G20" t="s">
        <v>287</v>
      </c>
      <c r="H20" s="46" t="s">
        <v>288</v>
      </c>
      <c r="I20" s="46" t="s">
        <v>289</v>
      </c>
      <c r="J20" s="46" t="s">
        <v>290</v>
      </c>
      <c r="K20" s="46"/>
      <c r="L20" s="46" t="s">
        <v>294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A21" s="46"/>
      <c r="B21" s="47"/>
      <c r="C21" s="46"/>
      <c r="E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>
      <c r="A22" s="46"/>
      <c r="B22" s="47"/>
      <c r="C22" s="46"/>
      <c r="D22" s="46" t="s">
        <v>163</v>
      </c>
      <c r="E22" s="46"/>
      <c r="F22" s="46">
        <f>Transport_numbers!G$28*1000</f>
        <v>19548000</v>
      </c>
      <c r="G22" s="46">
        <f>$I$7</f>
        <v>12441.563275011045</v>
      </c>
      <c r="H22" s="46">
        <v>0.476190476190476</v>
      </c>
      <c r="I22" s="46">
        <f>G22/H22</f>
        <v>26127.282877523205</v>
      </c>
      <c r="J22" s="46">
        <f>I22*F22</f>
        <v>510736125689.82361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>
      <c r="A23" s="46"/>
      <c r="B23" s="47"/>
      <c r="C23" s="46"/>
      <c r="D23" s="46" t="s">
        <v>164</v>
      </c>
      <c r="E23" s="46"/>
      <c r="F23" s="46">
        <f>Transport_numbers!H$28*1000</f>
        <v>8736000</v>
      </c>
      <c r="G23" s="46">
        <f t="shared" ref="G23:G27" si="1">$I$7</f>
        <v>12441.563275011045</v>
      </c>
      <c r="H23" s="46">
        <v>0.52631578947368396</v>
      </c>
      <c r="I23" s="46">
        <f t="shared" ref="I23:I26" si="2">G23/H23</f>
        <v>23638.970222520999</v>
      </c>
      <c r="J23" s="46">
        <f t="shared" ref="J23:J27" si="3">I23*F23</f>
        <v>206510043863.94345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>
      <c r="A24" s="46"/>
      <c r="B24" s="47"/>
      <c r="C24" s="46"/>
      <c r="D24" s="46" t="s">
        <v>175</v>
      </c>
      <c r="E24" s="46"/>
      <c r="F24" s="46">
        <f>Transport_numbers!I$28*1000</f>
        <v>22000</v>
      </c>
      <c r="G24" s="46">
        <f t="shared" si="1"/>
        <v>12441.563275011045</v>
      </c>
      <c r="H24" s="46">
        <v>0.5</v>
      </c>
      <c r="I24" s="46">
        <f t="shared" si="2"/>
        <v>24883.126550022091</v>
      </c>
      <c r="J24" s="46">
        <f t="shared" si="3"/>
        <v>547428784.10048604</v>
      </c>
      <c r="K24" s="46"/>
      <c r="L24" s="46" t="s">
        <v>243</v>
      </c>
      <c r="M24" s="46" t="s">
        <v>244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>
      <c r="A25" s="39"/>
      <c r="B25" s="40"/>
      <c r="C25" s="46"/>
      <c r="D25" s="46" t="s">
        <v>218</v>
      </c>
      <c r="E25" s="46"/>
      <c r="F25" s="46">
        <f>Transport_numbers!J$28*1000</f>
        <v>3000</v>
      </c>
      <c r="G25" s="46">
        <f t="shared" si="1"/>
        <v>12441.563275011045</v>
      </c>
      <c r="H25" s="46">
        <v>1.5384615384615401</v>
      </c>
      <c r="I25" s="46">
        <f t="shared" si="2"/>
        <v>8087.0161287571709</v>
      </c>
      <c r="J25" s="46">
        <f t="shared" si="3"/>
        <v>24261048.386271514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>
      <c r="A26" s="46"/>
      <c r="B26" s="47"/>
      <c r="C26" s="46"/>
      <c r="D26" s="46" t="s">
        <v>177</v>
      </c>
      <c r="E26" s="46"/>
      <c r="F26" s="46">
        <f>Transport_numbers!K$28*1000</f>
        <v>1000</v>
      </c>
      <c r="G26" s="46">
        <f t="shared" si="1"/>
        <v>12441.563275011045</v>
      </c>
      <c r="H26" s="46">
        <v>0.476190476190476</v>
      </c>
      <c r="I26" s="46">
        <f t="shared" si="2"/>
        <v>26127.282877523205</v>
      </c>
      <c r="J26" s="46">
        <f t="shared" si="3"/>
        <v>26127282.877523206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>
      <c r="A27" s="46"/>
      <c r="B27" s="47"/>
      <c r="C27" s="46"/>
      <c r="D27" s="46" t="s">
        <v>219</v>
      </c>
      <c r="E27" s="46"/>
      <c r="F27" s="46">
        <f>Transport_numbers!L$28*1000</f>
        <v>130000</v>
      </c>
      <c r="G27" s="46">
        <f t="shared" si="1"/>
        <v>12441.563275011045</v>
      </c>
      <c r="H27" s="46"/>
      <c r="I27" s="46">
        <v>0</v>
      </c>
      <c r="J27" s="46">
        <f t="shared" si="3"/>
        <v>0</v>
      </c>
      <c r="K27" s="46"/>
      <c r="L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>
      <c r="A28" s="46"/>
      <c r="B28" s="4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>
      <c r="A29" s="46"/>
      <c r="B29" s="47"/>
      <c r="C29" s="46"/>
      <c r="D29" s="46" t="s">
        <v>217</v>
      </c>
      <c r="E29" s="46"/>
      <c r="F29" s="46"/>
      <c r="G29" s="46"/>
      <c r="H29" s="46"/>
      <c r="I29" s="46"/>
      <c r="J29" s="46">
        <f>SUM(J22:J27)</f>
        <v>717843986669.13135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>
      <c r="A30" s="39"/>
      <c r="B30" s="4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>
      <c r="A32" s="46"/>
      <c r="B32" s="47"/>
      <c r="C32" s="59" t="s">
        <v>274</v>
      </c>
      <c r="D32" s="39" t="s">
        <v>270</v>
      </c>
      <c r="E32" s="46"/>
      <c r="F32" s="46" t="s">
        <v>286</v>
      </c>
      <c r="G32" t="s">
        <v>287</v>
      </c>
      <c r="H32" s="46" t="s">
        <v>288</v>
      </c>
      <c r="I32" s="46" t="s">
        <v>289</v>
      </c>
      <c r="J32" s="46" t="s">
        <v>290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>
      <c r="A33" s="46"/>
      <c r="B33" s="47"/>
      <c r="C33" s="59" t="s">
        <v>275</v>
      </c>
      <c r="D33" s="46"/>
      <c r="E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>
      <c r="A34" s="46"/>
      <c r="B34" s="47"/>
      <c r="C34" s="59" t="s">
        <v>276</v>
      </c>
      <c r="D34" s="46" t="s">
        <v>163</v>
      </c>
      <c r="E34" s="46"/>
      <c r="F34" s="46">
        <f>Transport_numbers!G$41</f>
        <v>159058</v>
      </c>
      <c r="G34" s="46">
        <f>$I$8</f>
        <v>18815.532837171519</v>
      </c>
      <c r="H34" s="46">
        <f>(1-0.0907314815)*H35</f>
        <v>0.43298500880952379</v>
      </c>
      <c r="I34" s="46">
        <f>G34/H34</f>
        <v>43455.390958925178</v>
      </c>
      <c r="J34" s="46">
        <f>I34*F34</f>
        <v>6911927575.144721</v>
      </c>
      <c r="K34" s="46" t="s">
        <v>206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>
      <c r="A35" s="46"/>
      <c r="B35" s="47"/>
      <c r="C35" s="46"/>
      <c r="D35" s="46" t="s">
        <v>164</v>
      </c>
      <c r="E35" s="46"/>
      <c r="F35" s="63">
        <f>Transport_numbers!H$41</f>
        <v>3431522</v>
      </c>
      <c r="G35" s="46">
        <f t="shared" ref="G35:G41" si="4">$I$8</f>
        <v>18815.532837171519</v>
      </c>
      <c r="H35" s="46">
        <f>1/2.1</f>
        <v>0.47619047619047616</v>
      </c>
      <c r="I35" s="46">
        <f t="shared" ref="I35:I38" si="5">G35/H35</f>
        <v>39512.618958060193</v>
      </c>
      <c r="J35" s="46">
        <f t="shared" ref="J35:J39" si="6">I35*F35</f>
        <v>135588421232.20062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>
      <c r="A36" s="46"/>
      <c r="B36" s="47"/>
      <c r="C36" s="46"/>
      <c r="D36" s="46" t="s">
        <v>175</v>
      </c>
      <c r="E36" s="46"/>
      <c r="F36" s="46">
        <f>Transport_numbers!I$41</f>
        <v>1736</v>
      </c>
      <c r="G36" s="46">
        <f t="shared" si="4"/>
        <v>18815.532837171519</v>
      </c>
      <c r="H36" s="46">
        <f>H24*AVERAGE((H34/H22),(H35/H23),(H38/H26))</f>
        <v>0.45385355539213584</v>
      </c>
      <c r="I36" s="46">
        <f t="shared" si="5"/>
        <v>41457.277603377224</v>
      </c>
      <c r="J36" s="46">
        <f t="shared" si="6"/>
        <v>71969833.91946286</v>
      </c>
      <c r="K36" s="46" t="s">
        <v>213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>
      <c r="A37" s="46"/>
      <c r="B37" s="47"/>
      <c r="C37" s="46"/>
      <c r="D37" s="46" t="s">
        <v>218</v>
      </c>
      <c r="E37" s="46"/>
      <c r="F37" s="46">
        <f>Transport_numbers!J$41</f>
        <v>4313</v>
      </c>
      <c r="G37" s="46">
        <f t="shared" si="4"/>
        <v>18815.532837171519</v>
      </c>
      <c r="H37" s="46">
        <f>H25*AVERAGE((H34/H22),(H35/H23),(H38/H26))</f>
        <v>1.3964724781296503</v>
      </c>
      <c r="I37" s="46">
        <f t="shared" si="5"/>
        <v>13473.615221097583</v>
      </c>
      <c r="J37" s="46">
        <f t="shared" si="6"/>
        <v>58111702.448593877</v>
      </c>
      <c r="K37" s="46" t="s">
        <v>213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>
      <c r="A38" s="46"/>
      <c r="B38" s="47"/>
      <c r="C38" s="46"/>
      <c r="D38" s="46" t="s">
        <v>177</v>
      </c>
      <c r="E38" s="46"/>
      <c r="F38" s="46">
        <f>Transport_numbers!K$41</f>
        <v>346</v>
      </c>
      <c r="G38" s="46">
        <f t="shared" si="4"/>
        <v>18815.532837171519</v>
      </c>
      <c r="H38" s="46">
        <f>1/2.31</f>
        <v>0.4329004329004329</v>
      </c>
      <c r="I38" s="46">
        <f t="shared" si="5"/>
        <v>43463.880853866205</v>
      </c>
      <c r="J38" s="46">
        <f t="shared" si="6"/>
        <v>15038502.775437707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A39" s="46"/>
      <c r="B39" s="47"/>
      <c r="C39" s="46"/>
      <c r="D39" s="46" t="s">
        <v>219</v>
      </c>
      <c r="E39" s="46"/>
      <c r="F39" s="46">
        <f>Transport_numbers!L$41</f>
        <v>10626</v>
      </c>
      <c r="G39" s="46">
        <f t="shared" si="4"/>
        <v>18815.532837171519</v>
      </c>
      <c r="H39" s="46">
        <v>0</v>
      </c>
      <c r="I39" s="46">
        <v>0</v>
      </c>
      <c r="J39" s="46">
        <f t="shared" si="6"/>
        <v>0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3">
      <c r="A40" s="46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>
      <c r="A41" s="46"/>
      <c r="B41" s="47"/>
      <c r="C41" s="46"/>
      <c r="D41" s="46" t="s">
        <v>217</v>
      </c>
      <c r="E41" s="46"/>
      <c r="F41" s="46">
        <f>Transport_numbers!F$41</f>
        <v>3607601</v>
      </c>
      <c r="G41" s="46">
        <f t="shared" si="4"/>
        <v>18815.532837171519</v>
      </c>
      <c r="H41" s="46"/>
      <c r="I41" s="46" t="e">
        <f>G41/H41</f>
        <v>#DIV/0!</v>
      </c>
      <c r="J41" s="46" t="e">
        <f>I41*F41</f>
        <v>#DIV/0!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>
      <c r="A43" s="46"/>
      <c r="B43" s="4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>
      <c r="A44" s="56"/>
      <c r="B44" s="57"/>
      <c r="C44" s="46"/>
      <c r="D44" s="39" t="s">
        <v>280</v>
      </c>
      <c r="E44" s="46"/>
      <c r="F44" s="46" t="s">
        <v>286</v>
      </c>
      <c r="G44" t="s">
        <v>287</v>
      </c>
      <c r="H44" s="46" t="s">
        <v>288</v>
      </c>
      <c r="I44" s="46" t="s">
        <v>289</v>
      </c>
      <c r="J44" s="46" t="s">
        <v>290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>
      <c r="A45" s="52"/>
      <c r="B45" s="58"/>
      <c r="C45" s="46"/>
      <c r="D45" s="46"/>
      <c r="E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>
      <c r="A46" s="52"/>
      <c r="B46" s="58"/>
      <c r="C46" s="46"/>
      <c r="D46" s="46" t="s">
        <v>163</v>
      </c>
      <c r="E46" s="46"/>
      <c r="F46" s="46">
        <v>0</v>
      </c>
      <c r="G46" s="46">
        <f>$I$9</f>
        <v>30790.211040896625</v>
      </c>
      <c r="H46" s="46">
        <v>9.6522852639873896E-2</v>
      </c>
      <c r="I46" s="46">
        <f>G46/H46</f>
        <v>318994.00192589307</v>
      </c>
      <c r="J46" s="46">
        <f>I46*F46</f>
        <v>0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>
      <c r="A47" s="52"/>
      <c r="B47" s="58"/>
      <c r="C47" s="46"/>
      <c r="D47" s="46" t="s">
        <v>164</v>
      </c>
      <c r="E47" s="46"/>
      <c r="F47" s="46">
        <v>0</v>
      </c>
      <c r="G47" s="46">
        <f t="shared" ref="G47:G53" si="7">$I$9</f>
        <v>30790.211040896625</v>
      </c>
      <c r="H47" s="46">
        <v>0.10638297872340401</v>
      </c>
      <c r="I47" s="46">
        <f t="shared" ref="I47:I51" si="8">G47/H47</f>
        <v>289427.98378442897</v>
      </c>
      <c r="J47" s="46">
        <f t="shared" ref="J47:J51" si="9">I47*F47</f>
        <v>0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>
      <c r="A48" s="52"/>
      <c r="B48" s="58"/>
      <c r="C48" s="46"/>
      <c r="D48" s="46" t="s">
        <v>175</v>
      </c>
      <c r="E48" s="46"/>
      <c r="F48" s="46">
        <v>0</v>
      </c>
      <c r="G48" s="46">
        <f t="shared" si="7"/>
        <v>30790.211040896625</v>
      </c>
      <c r="H48" s="46"/>
      <c r="I48" s="46" t="e">
        <f t="shared" si="8"/>
        <v>#DIV/0!</v>
      </c>
      <c r="J48" s="46" t="e">
        <f t="shared" si="9"/>
        <v>#DIV/0!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>
      <c r="A49" s="56"/>
      <c r="B49" s="57"/>
      <c r="C49" s="46"/>
      <c r="D49" s="46" t="s">
        <v>218</v>
      </c>
      <c r="E49" s="46"/>
      <c r="F49" s="46">
        <v>0</v>
      </c>
      <c r="G49" s="46">
        <f t="shared" si="7"/>
        <v>30790.211040896625</v>
      </c>
      <c r="H49" s="46">
        <v>0.19157088122605401</v>
      </c>
      <c r="I49" s="46">
        <f t="shared" si="8"/>
        <v>160724.90163348007</v>
      </c>
      <c r="J49" s="46">
        <f t="shared" si="9"/>
        <v>0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>
      <c r="A50" s="52"/>
      <c r="B50" s="58"/>
      <c r="C50" s="46"/>
      <c r="D50" s="46" t="s">
        <v>177</v>
      </c>
      <c r="E50" s="46"/>
      <c r="F50" s="46">
        <v>0</v>
      </c>
      <c r="G50" s="46">
        <f t="shared" si="7"/>
        <v>30790.211040896625</v>
      </c>
      <c r="H50" s="46">
        <v>0.10638297872340401</v>
      </c>
      <c r="I50" s="46">
        <f t="shared" si="8"/>
        <v>289427.98378442897</v>
      </c>
      <c r="J50" s="46">
        <f t="shared" si="9"/>
        <v>0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>
      <c r="A51" s="52"/>
      <c r="B51" s="58"/>
      <c r="C51" s="46"/>
      <c r="D51" s="46" t="s">
        <v>219</v>
      </c>
      <c r="E51" s="46"/>
      <c r="F51" s="46">
        <v>0</v>
      </c>
      <c r="G51" s="46">
        <f t="shared" si="7"/>
        <v>30790.211040896625</v>
      </c>
      <c r="H51" s="46"/>
      <c r="I51" s="46" t="e">
        <f t="shared" si="8"/>
        <v>#DIV/0!</v>
      </c>
      <c r="J51" s="46" t="e">
        <f t="shared" si="9"/>
        <v>#DIV/0!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>
      <c r="A52" s="52"/>
      <c r="B52" s="5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>
      <c r="A53" s="52"/>
      <c r="B53" s="58"/>
      <c r="C53" s="46"/>
      <c r="D53" s="46" t="s">
        <v>217</v>
      </c>
      <c r="E53" s="46"/>
      <c r="F53" s="46">
        <v>0</v>
      </c>
      <c r="G53" s="46">
        <f t="shared" si="7"/>
        <v>30790.211040896625</v>
      </c>
      <c r="H53" s="46"/>
      <c r="I53" s="46" t="e">
        <f>G53/H53</f>
        <v>#DIV/0!</v>
      </c>
      <c r="J53" s="46" t="e">
        <f>I53*F53</f>
        <v>#DIV/0!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>
      <c r="A54" s="52"/>
      <c r="B54" s="58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>
      <c r="A55" s="52"/>
      <c r="B55" s="5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>
      <c r="A56" s="52"/>
      <c r="B56" s="58"/>
      <c r="C56" s="46"/>
      <c r="D56" s="39" t="s">
        <v>271</v>
      </c>
      <c r="E56" s="46"/>
      <c r="F56" s="46" t="s">
        <v>286</v>
      </c>
      <c r="G56" t="s">
        <v>287</v>
      </c>
      <c r="H56" s="46" t="s">
        <v>288</v>
      </c>
      <c r="I56" s="46" t="s">
        <v>289</v>
      </c>
      <c r="J56" s="46" t="s">
        <v>290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>
      <c r="A57" s="52"/>
      <c r="B57" s="58"/>
      <c r="C57" s="46"/>
      <c r="D57" s="46"/>
      <c r="E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>
      <c r="A58" s="52"/>
      <c r="B58" s="58"/>
      <c r="C58" s="46"/>
      <c r="D58" s="46" t="s">
        <v>163</v>
      </c>
      <c r="E58" s="46"/>
      <c r="F58" s="46">
        <f>Transport_numbers!G65</f>
        <v>1189</v>
      </c>
      <c r="G58" s="46">
        <f t="shared" ref="G58:G62" si="10">$I$10</f>
        <v>54460.253897929622</v>
      </c>
      <c r="H58" s="46">
        <f>H59*(1-0.0907314815)</f>
        <v>7.3328106330645154E-2</v>
      </c>
      <c r="I58" s="46">
        <f>G58/H58</f>
        <v>742692.76302270591</v>
      </c>
      <c r="J58" s="46">
        <f>I58*F58</f>
        <v>883061695.23399734</v>
      </c>
      <c r="K58" s="46" t="s">
        <v>206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>
      <c r="A59" s="52"/>
      <c r="B59" s="58"/>
      <c r="C59" s="46"/>
      <c r="D59" s="46" t="s">
        <v>164</v>
      </c>
      <c r="E59" s="46"/>
      <c r="F59" s="63">
        <f>Transport_numbers!H65</f>
        <v>104296</v>
      </c>
      <c r="G59" s="46">
        <f t="shared" si="10"/>
        <v>54460.253897929622</v>
      </c>
      <c r="H59" s="46">
        <f>1/12.4</f>
        <v>8.0645161290322578E-2</v>
      </c>
      <c r="I59" s="46">
        <f t="shared" ref="I59:I63" si="11">G59/H59</f>
        <v>675307.14833432739</v>
      </c>
      <c r="J59" s="46">
        <f t="shared" ref="J59:J63" si="12">I59*F59</f>
        <v>70431834342.677002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>
      <c r="A60" s="52"/>
      <c r="B60" s="58"/>
      <c r="C60" s="46"/>
      <c r="D60" s="46" t="s">
        <v>225</v>
      </c>
      <c r="E60" s="46"/>
      <c r="F60" s="63">
        <f>Transport_numbers!I65</f>
        <v>680</v>
      </c>
      <c r="G60" s="46">
        <f>$I$10</f>
        <v>54460.253897929622</v>
      </c>
      <c r="H60" s="46"/>
      <c r="I60" s="46" t="e">
        <f t="shared" si="11"/>
        <v>#DIV/0!</v>
      </c>
      <c r="J60" s="46" t="e">
        <f t="shared" si="12"/>
        <v>#DIV/0!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>
      <c r="A61" s="52"/>
      <c r="B61" s="58"/>
      <c r="C61" s="46"/>
      <c r="D61" s="46"/>
      <c r="E61" s="46"/>
      <c r="F61" s="46">
        <v>0</v>
      </c>
      <c r="G61" s="46">
        <f t="shared" si="10"/>
        <v>54460.253897929622</v>
      </c>
      <c r="H61" s="46"/>
      <c r="I61" s="46" t="e">
        <f t="shared" si="11"/>
        <v>#DIV/0!</v>
      </c>
      <c r="J61" s="46" t="e">
        <f t="shared" si="12"/>
        <v>#DIV/0!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>
      <c r="A62" s="52"/>
      <c r="B62" s="58"/>
      <c r="C62" s="46"/>
      <c r="D62" s="46"/>
      <c r="E62" s="46"/>
      <c r="F62" s="46">
        <v>0</v>
      </c>
      <c r="G62" s="46">
        <f t="shared" si="10"/>
        <v>54460.253897929622</v>
      </c>
      <c r="H62" s="46"/>
      <c r="I62" s="46" t="e">
        <f t="shared" si="11"/>
        <v>#DIV/0!</v>
      </c>
      <c r="J62" s="46" t="e">
        <f t="shared" si="12"/>
        <v>#DIV/0!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>
      <c r="A63" s="52"/>
      <c r="B63" s="58"/>
      <c r="C63" s="46"/>
      <c r="D63" s="46"/>
      <c r="E63" s="46"/>
      <c r="F63" s="46">
        <v>0</v>
      </c>
      <c r="G63" s="46">
        <f>$I$10</f>
        <v>54460.253897929622</v>
      </c>
      <c r="H63" s="46"/>
      <c r="I63" s="46" t="e">
        <f t="shared" si="11"/>
        <v>#DIV/0!</v>
      </c>
      <c r="J63" s="46" t="e">
        <f t="shared" si="12"/>
        <v>#DIV/0!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>
      <c r="A64" s="56"/>
      <c r="B64" s="5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>
      <c r="A65" s="52"/>
      <c r="B65" s="58"/>
      <c r="C65" s="46"/>
      <c r="D65" s="46" t="s">
        <v>217</v>
      </c>
      <c r="E65" s="46"/>
      <c r="F65" s="46"/>
      <c r="G65" s="46">
        <f t="shared" ref="G65" si="13">$I$10</f>
        <v>54460.253897929622</v>
      </c>
      <c r="H65" s="46"/>
      <c r="I65" s="46" t="e">
        <f>G65/H65</f>
        <v>#DIV/0!</v>
      </c>
      <c r="J65" s="46" t="e">
        <f>I65*F65</f>
        <v>#DIV/0!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>
      <c r="A66" s="52"/>
      <c r="B66" s="58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>
      <c r="A67" s="52"/>
      <c r="B67" s="5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>
      <c r="A68" s="52"/>
      <c r="B68" s="58"/>
      <c r="C68" s="46"/>
      <c r="D68" s="39" t="s">
        <v>227</v>
      </c>
      <c r="E68" s="46"/>
      <c r="F68" s="46" t="s">
        <v>286</v>
      </c>
      <c r="G68" t="s">
        <v>287</v>
      </c>
      <c r="H68" s="46" t="s">
        <v>288</v>
      </c>
      <c r="I68" s="46" t="s">
        <v>289</v>
      </c>
      <c r="J68" s="46" t="s">
        <v>290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>
      <c r="A69" s="56"/>
      <c r="B69" s="57"/>
      <c r="C69" s="46"/>
      <c r="D69" s="46"/>
      <c r="E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>
      <c r="A70" s="52"/>
      <c r="B70" s="58"/>
      <c r="C70" s="46"/>
      <c r="D70" s="46" t="s">
        <v>163</v>
      </c>
      <c r="E70" s="46"/>
      <c r="F70" s="46">
        <f>$F$77*NL!F70/(NL!$F$70+NL!$F$71)</f>
        <v>278.27917332724365</v>
      </c>
      <c r="G70" s="46">
        <f>$I$11</f>
        <v>6580.1111953500131</v>
      </c>
      <c r="H70" s="46">
        <f>H46</f>
        <v>9.6522852639873896E-2</v>
      </c>
      <c r="I70" s="46">
        <f>G70/H70</f>
        <v>68171.536743742574</v>
      </c>
      <c r="J70" s="46">
        <f>I70*F70</f>
        <v>18970718.889496498</v>
      </c>
      <c r="K70" s="46" t="s">
        <v>242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>
      <c r="A71" s="52"/>
      <c r="B71" s="58"/>
      <c r="C71" s="46"/>
      <c r="D71" s="46" t="s">
        <v>164</v>
      </c>
      <c r="E71" s="46"/>
      <c r="F71" s="46">
        <f>$F$77*NL!F71/(NL!$F$70+NL!$F$71)</f>
        <v>5510.7208266727566</v>
      </c>
      <c r="G71" s="46">
        <f t="shared" ref="G71:G77" si="14">$I$11</f>
        <v>6580.1111953500131</v>
      </c>
      <c r="H71" s="46">
        <f>H47</f>
        <v>0.10638297872340401</v>
      </c>
      <c r="I71" s="46">
        <f t="shared" ref="I71:I72" si="15">G71/H71</f>
        <v>61853.045236290265</v>
      </c>
      <c r="J71" s="46">
        <f t="shared" ref="J71:J72" si="16">I71*F71</f>
        <v>340854864.57675689</v>
      </c>
      <c r="K71" s="46" t="s">
        <v>242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>
      <c r="A72" s="52"/>
      <c r="B72" s="58"/>
      <c r="C72" s="46"/>
      <c r="D72" s="46" t="s">
        <v>225</v>
      </c>
      <c r="E72" s="46"/>
      <c r="F72" s="46">
        <v>0</v>
      </c>
      <c r="G72" s="46">
        <f t="shared" si="14"/>
        <v>6580.1111953500131</v>
      </c>
      <c r="H72" s="46"/>
      <c r="I72" s="46" t="e">
        <f t="shared" si="15"/>
        <v>#DIV/0!</v>
      </c>
      <c r="J72" s="46" t="e">
        <f t="shared" si="16"/>
        <v>#DIV/0!</v>
      </c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>
      <c r="A73" s="52"/>
      <c r="B73" s="58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>
      <c r="A74" s="52"/>
      <c r="B74" s="58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>
      <c r="A75" s="52"/>
      <c r="B75" s="58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>
      <c r="A76" s="52"/>
      <c r="B76" s="58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>
      <c r="A77" s="56"/>
      <c r="B77" s="57"/>
      <c r="C77" s="46"/>
      <c r="D77" s="46" t="s">
        <v>217</v>
      </c>
      <c r="E77" s="46"/>
      <c r="F77" s="46">
        <f>Transport_numbers!F77</f>
        <v>5789</v>
      </c>
      <c r="G77" s="46">
        <f t="shared" si="14"/>
        <v>6580.1111953500131</v>
      </c>
      <c r="H77" s="46"/>
      <c r="I77" s="46" t="e">
        <f>G77/H77</f>
        <v>#DIV/0!</v>
      </c>
      <c r="J77" s="46" t="e">
        <f>I77*F77</f>
        <v>#DIV/0!</v>
      </c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>
      <c r="A78" s="52"/>
      <c r="B78" s="58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>
      <c r="A79" s="52"/>
      <c r="B79" s="5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>
      <c r="A80" s="52"/>
      <c r="B80" s="58"/>
      <c r="C80" s="46"/>
      <c r="D80" s="39" t="s">
        <v>174</v>
      </c>
      <c r="E80" s="46"/>
      <c r="F80" s="46" t="s">
        <v>286</v>
      </c>
      <c r="G80" t="s">
        <v>287</v>
      </c>
      <c r="H80" s="46" t="s">
        <v>288</v>
      </c>
      <c r="I80" s="46" t="s">
        <v>289</v>
      </c>
      <c r="J80" s="46" t="s">
        <v>290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>
      <c r="A81" s="52"/>
      <c r="B81" s="58"/>
      <c r="C81" s="46"/>
      <c r="D81" s="46"/>
      <c r="E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>
      <c r="A82" s="56"/>
      <c r="B82" s="57"/>
      <c r="C82" s="46"/>
      <c r="D82" s="46" t="s">
        <v>163</v>
      </c>
      <c r="E82" s="46"/>
      <c r="F82" s="64">
        <f>Transport_numbers!G$89</f>
        <v>5913</v>
      </c>
      <c r="G82" s="46">
        <f>$I$12</f>
        <v>58906.727828746174</v>
      </c>
      <c r="H82" s="46">
        <f>(1-0.0907314815)*H83</f>
        <v>7.9760396359649113E-2</v>
      </c>
      <c r="I82" s="46">
        <f>G82/H82</f>
        <v>738546.0769669289</v>
      </c>
      <c r="J82" s="46">
        <f>I82*F82</f>
        <v>4367022953.1054506</v>
      </c>
      <c r="K82" s="46" t="s">
        <v>206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>
      <c r="A83" s="52"/>
      <c r="B83" s="58"/>
      <c r="C83" s="46"/>
      <c r="D83" s="46" t="s">
        <v>164</v>
      </c>
      <c r="E83" s="46"/>
      <c r="F83" s="64">
        <f>Transport_numbers!H$89</f>
        <v>161786</v>
      </c>
      <c r="G83" s="46">
        <f t="shared" ref="G83:G89" si="17">$I$12</f>
        <v>58906.727828746174</v>
      </c>
      <c r="H83" s="46">
        <f>1/11.4</f>
        <v>8.771929824561403E-2</v>
      </c>
      <c r="I83" s="46">
        <f t="shared" ref="I83:I86" si="18">G83/H83</f>
        <v>671536.69724770647</v>
      </c>
      <c r="J83" s="46">
        <f t="shared" ref="J83:J86" si="19">I83*F83</f>
        <v>108645236100.91743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>
      <c r="A84" s="52"/>
      <c r="B84" s="58"/>
      <c r="C84" s="46"/>
      <c r="D84" s="46"/>
      <c r="E84" s="46"/>
      <c r="F84" s="64">
        <v>0</v>
      </c>
      <c r="G84" s="46">
        <f t="shared" si="17"/>
        <v>58906.727828746174</v>
      </c>
      <c r="H84" s="46"/>
      <c r="I84" s="46" t="e">
        <f t="shared" si="18"/>
        <v>#DIV/0!</v>
      </c>
      <c r="J84" s="46" t="e">
        <f t="shared" si="19"/>
        <v>#DIV/0!</v>
      </c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>
      <c r="A85" s="52"/>
      <c r="B85" s="58"/>
      <c r="C85" s="46"/>
      <c r="D85" s="46"/>
      <c r="E85" s="46"/>
      <c r="F85" s="64">
        <v>0</v>
      </c>
      <c r="G85" s="46">
        <f t="shared" si="17"/>
        <v>58906.727828746174</v>
      </c>
      <c r="H85" s="46">
        <f>1/5</f>
        <v>0.2</v>
      </c>
      <c r="I85" s="46">
        <f t="shared" si="18"/>
        <v>294533.63914373086</v>
      </c>
      <c r="J85" s="46">
        <f t="shared" si="19"/>
        <v>0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>
      <c r="A86" s="52"/>
      <c r="B86" s="58"/>
      <c r="C86" s="46"/>
      <c r="D86" s="46"/>
      <c r="E86" s="46"/>
      <c r="F86" s="64">
        <v>0</v>
      </c>
      <c r="G86" s="46">
        <f t="shared" si="17"/>
        <v>58906.727828746174</v>
      </c>
      <c r="H86" s="46">
        <f>1/10.26</f>
        <v>9.7465886939571159E-2</v>
      </c>
      <c r="I86" s="46">
        <f t="shared" si="18"/>
        <v>604383.02752293565</v>
      </c>
      <c r="J86" s="46">
        <f t="shared" si="19"/>
        <v>0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>
      <c r="A87" s="52"/>
      <c r="B87" s="58"/>
      <c r="C87" s="46"/>
      <c r="D87" s="46"/>
      <c r="E87" s="46"/>
      <c r="F87" s="6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>
      <c r="A88" s="52"/>
      <c r="B88" s="58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>
      <c r="A89" s="52"/>
      <c r="B89" s="58"/>
      <c r="C89" s="46"/>
      <c r="D89" s="46" t="s">
        <v>217</v>
      </c>
      <c r="E89" s="46"/>
      <c r="F89" s="64">
        <f>SUM(F82:F87)</f>
        <v>167699</v>
      </c>
      <c r="G89" s="46">
        <f t="shared" si="17"/>
        <v>58906.727828746174</v>
      </c>
      <c r="H89" s="46"/>
      <c r="I89" s="46" t="e">
        <f>G89/H89</f>
        <v>#DIV/0!</v>
      </c>
      <c r="J89" s="46" t="e">
        <f>I89*F89</f>
        <v>#DIV/0!</v>
      </c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>
      <c r="A91" s="52"/>
      <c r="B91" s="58"/>
      <c r="C91" s="46"/>
      <c r="D91" s="46" t="s">
        <v>277</v>
      </c>
      <c r="E91" s="46"/>
      <c r="F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>
      <c r="A92" s="52"/>
      <c r="B92" s="58"/>
      <c r="C92" s="46"/>
      <c r="D92" s="46" t="s">
        <v>278</v>
      </c>
      <c r="E92" s="46"/>
      <c r="G92" s="46"/>
      <c r="H92" s="46"/>
      <c r="I92" s="46"/>
      <c r="J92" s="46"/>
      <c r="K92" s="46"/>
      <c r="L92" s="46"/>
      <c r="M92" s="46"/>
      <c r="N92" s="46" t="s">
        <v>215</v>
      </c>
      <c r="O92" s="46"/>
      <c r="P92" s="46"/>
      <c r="Q92" s="46"/>
      <c r="R92" s="46"/>
      <c r="S92" s="46"/>
      <c r="T92" s="46"/>
      <c r="U92" s="46"/>
      <c r="V92" s="46"/>
      <c r="W92" s="46"/>
    </row>
    <row r="93" spans="1:23">
      <c r="A93" s="56"/>
      <c r="B93" s="57"/>
      <c r="C93" s="46"/>
      <c r="D93" s="46" t="s">
        <v>279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>
      <c r="A94" s="52"/>
      <c r="B94" s="58"/>
      <c r="C94" s="46"/>
      <c r="D94" s="46" t="s">
        <v>281</v>
      </c>
      <c r="E94" s="46"/>
      <c r="F94" s="46"/>
      <c r="G94" s="46"/>
      <c r="H94" s="46"/>
      <c r="I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>
      <c r="A97" s="52"/>
      <c r="B97" s="58"/>
      <c r="C97" s="46"/>
      <c r="D97" s="39" t="s">
        <v>199</v>
      </c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>
      <c r="A98" s="56"/>
      <c r="B98" s="5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>
      <c r="A100" s="52"/>
      <c r="B100" s="58"/>
      <c r="C100" s="46"/>
      <c r="D100" s="39" t="s">
        <v>292</v>
      </c>
      <c r="E100" s="46"/>
      <c r="F100" s="46" t="s">
        <v>207</v>
      </c>
      <c r="G100" s="46"/>
      <c r="H100" s="46"/>
      <c r="I100" s="46" t="s">
        <v>207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>
      <c r="A102" s="52"/>
      <c r="B102" s="58"/>
      <c r="C102" s="46"/>
      <c r="D102" s="46" t="s">
        <v>282</v>
      </c>
      <c r="E102" s="46"/>
      <c r="F102" s="46">
        <f>J22</f>
        <v>510736125689.82361</v>
      </c>
      <c r="G102" s="46"/>
      <c r="H102" s="46" t="s">
        <v>171</v>
      </c>
      <c r="I102" s="46">
        <f>F102</f>
        <v>510736125689.82361</v>
      </c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>
      <c r="A103" s="52"/>
      <c r="B103" s="58"/>
      <c r="C103" s="46"/>
      <c r="D103" s="46" t="s">
        <v>283</v>
      </c>
      <c r="E103" s="46"/>
      <c r="F103" s="46">
        <f>J34</f>
        <v>6911927575.144721</v>
      </c>
      <c r="G103" s="46"/>
      <c r="H103" s="46" t="s">
        <v>201</v>
      </c>
      <c r="I103" s="46">
        <f>SUM(F103:F107)</f>
        <v>12180982942.373665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>
      <c r="A104" s="52"/>
      <c r="B104" s="58"/>
      <c r="C104" s="46"/>
      <c r="D104" s="46" t="s">
        <v>280</v>
      </c>
      <c r="E104" s="46"/>
      <c r="F104" s="46">
        <f>J46</f>
        <v>0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>
      <c r="A105" s="52"/>
      <c r="B105" s="58"/>
      <c r="C105" s="46"/>
      <c r="D105" s="46" t="s">
        <v>271</v>
      </c>
      <c r="E105" s="46"/>
      <c r="F105" s="46">
        <f>J58</f>
        <v>883061695.23399734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>
      <c r="A106" s="52"/>
      <c r="B106" s="58"/>
      <c r="C106" s="46"/>
      <c r="D106" s="46" t="s">
        <v>284</v>
      </c>
      <c r="E106" s="46"/>
      <c r="F106" s="46">
        <f>J70</f>
        <v>18970718.889496498</v>
      </c>
      <c r="G106" t="s">
        <v>205</v>
      </c>
      <c r="H106" s="46" t="s">
        <v>202</v>
      </c>
      <c r="I106" s="46">
        <f>I102/(I102+I103)</f>
        <v>0.97670570967885206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>
      <c r="A107" s="52"/>
      <c r="B107" s="58"/>
      <c r="C107" s="46"/>
      <c r="D107" s="46" t="s">
        <v>174</v>
      </c>
      <c r="E107" s="46"/>
      <c r="F107">
        <f>J82</f>
        <v>4367022953.1054506</v>
      </c>
      <c r="G107" s="46"/>
      <c r="H107" s="46" t="s">
        <v>203</v>
      </c>
      <c r="I107" s="46">
        <f>1-I106</f>
        <v>2.3294290321147937E-2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>
      <c r="A109" s="56"/>
      <c r="B109" s="57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>
      <c r="A110" s="52"/>
      <c r="B110" s="58"/>
      <c r="C110" s="46"/>
      <c r="D110" s="39" t="s">
        <v>204</v>
      </c>
      <c r="E110" s="46"/>
      <c r="F110" s="46" t="s">
        <v>207</v>
      </c>
      <c r="G110" s="46"/>
      <c r="H110" s="46"/>
      <c r="I110" s="46" t="s">
        <v>207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>
      <c r="A111" s="52"/>
      <c r="B111" s="58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>
      <c r="A112" s="52"/>
      <c r="B112" s="58"/>
      <c r="C112" s="46"/>
      <c r="D112" s="46" t="s">
        <v>282</v>
      </c>
      <c r="E112" s="46"/>
      <c r="F112" s="46">
        <f>J23</f>
        <v>206510043863.94345</v>
      </c>
      <c r="G112" s="46"/>
      <c r="H112" s="46" t="s">
        <v>171</v>
      </c>
      <c r="I112" s="46">
        <f>F112</f>
        <v>206510043863.94345</v>
      </c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>
      <c r="A113" s="52"/>
      <c r="B113" s="58"/>
      <c r="C113" s="46"/>
      <c r="D113" s="46" t="s">
        <v>283</v>
      </c>
      <c r="E113" s="46"/>
      <c r="F113" s="46">
        <f>J35</f>
        <v>135588421232.20062</v>
      </c>
      <c r="G113" s="46"/>
      <c r="H113" s="46" t="s">
        <v>201</v>
      </c>
      <c r="I113" s="46">
        <f>SUM(F113:F117)</f>
        <v>206361781976.15161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>
      <c r="A114" s="56"/>
      <c r="B114" s="57"/>
      <c r="C114" s="46"/>
      <c r="D114" s="46" t="s">
        <v>280</v>
      </c>
      <c r="E114" s="46"/>
      <c r="F114" s="46">
        <f>J47</f>
        <v>0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>
      <c r="A115" s="52"/>
      <c r="B115" s="58"/>
      <c r="C115" s="46"/>
      <c r="D115" s="46" t="s">
        <v>271</v>
      </c>
      <c r="E115" s="46"/>
      <c r="F115" s="46">
        <f>J59</f>
        <v>70431834342.677002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>
      <c r="A116" s="52"/>
      <c r="B116" s="58"/>
      <c r="C116" s="46"/>
      <c r="D116" s="46" t="s">
        <v>284</v>
      </c>
      <c r="E116" s="46"/>
      <c r="F116" s="46">
        <f>J71</f>
        <v>340854864.57675689</v>
      </c>
      <c r="G116" t="s">
        <v>205</v>
      </c>
      <c r="H116" s="46" t="s">
        <v>202</v>
      </c>
      <c r="I116" s="46">
        <f>I112/(I112+I113)</f>
        <v>0.50017954953391419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>
      <c r="A117" s="52"/>
      <c r="B117" s="58"/>
      <c r="C117" s="46"/>
      <c r="D117" s="46" t="s">
        <v>174</v>
      </c>
      <c r="E117" s="46"/>
      <c r="F117">
        <f>I83</f>
        <v>671536.69724770647</v>
      </c>
      <c r="G117" s="46"/>
      <c r="H117" s="46" t="s">
        <v>203</v>
      </c>
      <c r="I117" s="46">
        <f>1-I116</f>
        <v>0.49982045046608581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>
      <c r="A118" s="52"/>
      <c r="B118" s="58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>
      <c r="A119" s="52"/>
      <c r="B119" s="58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>
      <c r="A120" s="52"/>
      <c r="B120" s="58"/>
      <c r="C120" s="46"/>
      <c r="D120" s="39" t="s">
        <v>291</v>
      </c>
      <c r="E120" s="46"/>
      <c r="F120" s="46" t="s">
        <v>207</v>
      </c>
      <c r="G120" s="46"/>
      <c r="H120" s="46"/>
      <c r="I120" s="46" t="s">
        <v>207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>
      <c r="A121" s="52"/>
      <c r="B121" s="58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>
      <c r="A122" s="52"/>
      <c r="B122" s="58"/>
      <c r="C122" s="46"/>
      <c r="D122" s="46" t="s">
        <v>282</v>
      </c>
      <c r="E122" s="46"/>
      <c r="F122" s="46">
        <f>J25</f>
        <v>24261048.386271514</v>
      </c>
      <c r="G122" s="46"/>
      <c r="H122" s="46" t="s">
        <v>171</v>
      </c>
      <c r="I122" s="46">
        <f>F122</f>
        <v>24261048.386271514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>
      <c r="A123" s="52"/>
      <c r="B123" s="58"/>
      <c r="C123" s="46"/>
      <c r="D123" s="46" t="s">
        <v>283</v>
      </c>
      <c r="E123" s="46"/>
      <c r="F123" s="46">
        <f>J37</f>
        <v>58111702.448593877</v>
      </c>
      <c r="G123" s="46"/>
      <c r="H123" s="46" t="s">
        <v>201</v>
      </c>
      <c r="I123" s="46">
        <f>SUM(F123:F127)</f>
        <v>58111702.448593877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>
      <c r="A124" s="52"/>
      <c r="B124" s="58"/>
      <c r="C124" s="46"/>
      <c r="D124" s="46" t="s">
        <v>280</v>
      </c>
      <c r="E124" s="46"/>
      <c r="F124" s="46">
        <f>J49</f>
        <v>0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>
      <c r="A125" s="52"/>
      <c r="B125" s="58"/>
      <c r="C125" s="46"/>
      <c r="D125" s="46" t="s">
        <v>271</v>
      </c>
      <c r="E125" s="46"/>
      <c r="F125" s="46">
        <v>0</v>
      </c>
      <c r="G125" s="46" t="s">
        <v>205</v>
      </c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>
      <c r="A126" s="52"/>
      <c r="B126" s="58"/>
      <c r="C126" s="46"/>
      <c r="D126" s="46" t="s">
        <v>284</v>
      </c>
      <c r="E126" s="46"/>
      <c r="F126" s="46">
        <v>0</v>
      </c>
      <c r="G126" t="s">
        <v>205</v>
      </c>
      <c r="H126" s="46" t="s">
        <v>202</v>
      </c>
      <c r="I126" s="46">
        <f>I122/(I122+I123)</f>
        <v>0.29452759729862871</v>
      </c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>
      <c r="A127" s="52"/>
      <c r="B127" s="58"/>
      <c r="C127" s="46"/>
      <c r="D127" s="46" t="s">
        <v>174</v>
      </c>
      <c r="E127" s="46"/>
      <c r="F127">
        <f>J85</f>
        <v>0</v>
      </c>
      <c r="G127" s="46"/>
      <c r="H127" s="46" t="s">
        <v>203</v>
      </c>
      <c r="I127" s="46">
        <f>1-I126</f>
        <v>0.70547240270137124</v>
      </c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>
      <c r="A128" s="52"/>
      <c r="B128" s="58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>
      <c r="A129" s="56"/>
      <c r="B129" s="57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>
      <c r="A130" s="52"/>
      <c r="B130" s="65"/>
      <c r="C130" s="46"/>
      <c r="D130" s="39" t="s">
        <v>208</v>
      </c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>
      <c r="A131" s="52"/>
      <c r="B131" s="58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>
      <c r="A132" s="52"/>
      <c r="B132" s="58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>
      <c r="A133" s="52"/>
      <c r="B133" s="58"/>
      <c r="C133" s="46"/>
      <c r="D133" s="39" t="s">
        <v>269</v>
      </c>
      <c r="E133" s="46"/>
      <c r="F133" s="46" t="s">
        <v>286</v>
      </c>
      <c r="G133" t="s">
        <v>287</v>
      </c>
      <c r="H133" s="46" t="s">
        <v>288</v>
      </c>
      <c r="I133" s="46" t="s">
        <v>289</v>
      </c>
      <c r="J133" s="46" t="s">
        <v>290</v>
      </c>
      <c r="K133" s="46" t="s">
        <v>209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>
      <c r="A134" s="56"/>
      <c r="B134" s="57"/>
      <c r="C134" s="46"/>
      <c r="E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>
      <c r="A135" s="52"/>
      <c r="B135" s="58"/>
      <c r="C135" s="46"/>
      <c r="D135" s="46" t="s">
        <v>163</v>
      </c>
      <c r="E135" s="46"/>
      <c r="F135" s="46">
        <f t="shared" ref="F135:F140" si="20">F22</f>
        <v>19548000</v>
      </c>
      <c r="G135" s="46">
        <f>$I$7</f>
        <v>12441.563275011045</v>
      </c>
      <c r="H135" s="46">
        <v>0.476190476190476</v>
      </c>
      <c r="I135" s="46">
        <f>G135/H135</f>
        <v>26127.282877523205</v>
      </c>
      <c r="J135" s="46">
        <f>I135*F135</f>
        <v>510736125689.82361</v>
      </c>
      <c r="K135" s="46">
        <f t="shared" ref="K135:K140" si="21">J135/$J$142</f>
        <v>0.71148624934463944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>
      <c r="A136" s="52"/>
      <c r="B136" s="58"/>
      <c r="C136" s="46"/>
      <c r="D136" s="46" t="s">
        <v>164</v>
      </c>
      <c r="E136" s="46"/>
      <c r="F136" s="46">
        <f t="shared" si="20"/>
        <v>8736000</v>
      </c>
      <c r="G136" s="46">
        <f t="shared" ref="G136:G140" si="22">$I$7</f>
        <v>12441.563275011045</v>
      </c>
      <c r="H136" s="46">
        <v>0.52631578947368396</v>
      </c>
      <c r="I136" s="46">
        <f t="shared" ref="I136:I139" si="23">G136/H136</f>
        <v>23638.970222520999</v>
      </c>
      <c r="J136" s="46">
        <f t="shared" ref="J136:J140" si="24">I136*F136</f>
        <v>206510043863.94345</v>
      </c>
      <c r="K136" s="46">
        <f t="shared" si="21"/>
        <v>0.28768095533149329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>
      <c r="A137" s="52"/>
      <c r="B137" s="58"/>
      <c r="C137" s="46"/>
      <c r="D137" s="46" t="s">
        <v>175</v>
      </c>
      <c r="E137" s="46"/>
      <c r="F137" s="46">
        <f t="shared" si="20"/>
        <v>22000</v>
      </c>
      <c r="G137" s="46">
        <f t="shared" si="22"/>
        <v>12441.563275011045</v>
      </c>
      <c r="H137" s="46">
        <v>0.5</v>
      </c>
      <c r="I137" s="46">
        <f t="shared" si="23"/>
        <v>24883.126550022091</v>
      </c>
      <c r="J137" s="46">
        <f t="shared" si="24"/>
        <v>547428784.10048604</v>
      </c>
      <c r="K137" s="46">
        <f t="shared" si="21"/>
        <v>7.62601337152117E-4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>
      <c r="A138" s="52"/>
      <c r="B138" s="58"/>
      <c r="C138" s="46"/>
      <c r="D138" s="46" t="s">
        <v>218</v>
      </c>
      <c r="E138" s="46"/>
      <c r="F138" s="46">
        <f t="shared" si="20"/>
        <v>3000</v>
      </c>
      <c r="G138" s="46">
        <f t="shared" si="22"/>
        <v>12441.563275011045</v>
      </c>
      <c r="H138" s="46">
        <v>1.5384615384615401</v>
      </c>
      <c r="I138" s="46">
        <f t="shared" si="23"/>
        <v>8087.0161287571709</v>
      </c>
      <c r="J138" s="46">
        <f t="shared" si="24"/>
        <v>24261048.386271514</v>
      </c>
      <c r="K138" s="46">
        <f t="shared" si="21"/>
        <v>3.3797104714696056E-5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>
      <c r="A139" s="52"/>
      <c r="B139" s="58"/>
      <c r="C139" s="46"/>
      <c r="D139" s="46" t="s">
        <v>177</v>
      </c>
      <c r="E139" s="46"/>
      <c r="F139" s="46">
        <f t="shared" si="20"/>
        <v>1000</v>
      </c>
      <c r="G139" s="46">
        <f t="shared" si="22"/>
        <v>12441.563275011045</v>
      </c>
      <c r="H139" s="46">
        <v>0.476190476190476</v>
      </c>
      <c r="I139" s="46">
        <f t="shared" si="23"/>
        <v>26127.282877523205</v>
      </c>
      <c r="J139" s="46">
        <f t="shared" si="24"/>
        <v>26127282.877523206</v>
      </c>
      <c r="K139" s="46">
        <f t="shared" si="21"/>
        <v>3.6396882000441963E-5</v>
      </c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>
      <c r="A140" s="52"/>
      <c r="B140" s="58"/>
      <c r="C140" s="46"/>
      <c r="D140" s="46" t="s">
        <v>219</v>
      </c>
      <c r="E140" s="46"/>
      <c r="F140" s="46">
        <f t="shared" si="20"/>
        <v>130000</v>
      </c>
      <c r="G140" s="46">
        <f t="shared" si="22"/>
        <v>12441.563275011045</v>
      </c>
      <c r="H140" s="46">
        <v>0</v>
      </c>
      <c r="I140" s="46">
        <v>0</v>
      </c>
      <c r="J140" s="46">
        <f t="shared" si="24"/>
        <v>0</v>
      </c>
      <c r="K140" s="46">
        <f t="shared" si="21"/>
        <v>0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>
      <c r="A141" s="52"/>
      <c r="B141" s="58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>
      <c r="A142" s="52"/>
      <c r="B142" s="58"/>
      <c r="C142" s="46"/>
      <c r="D142" s="46" t="s">
        <v>217</v>
      </c>
      <c r="E142" s="46"/>
      <c r="F142" s="46">
        <f>F29</f>
        <v>0</v>
      </c>
      <c r="G142" s="46"/>
      <c r="H142" s="46"/>
      <c r="I142" s="46"/>
      <c r="J142" s="46">
        <f>SUM(J135:J140)</f>
        <v>717843986669.13135</v>
      </c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>
      <c r="A143" s="52"/>
      <c r="B143" s="58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>
      <c r="A144" s="52"/>
      <c r="B144" s="58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>
      <c r="A145" s="52"/>
      <c r="B145" s="58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>
      <c r="A146" s="52"/>
      <c r="B146" s="58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 spans="1:23">
      <c r="A147" s="52"/>
      <c r="B147" s="58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>
      <c r="A148" s="52"/>
      <c r="B148" s="58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>
      <c r="A149" s="52"/>
      <c r="B149" s="58"/>
      <c r="C149" s="46"/>
      <c r="D149" s="46"/>
      <c r="E149" s="46"/>
      <c r="F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>
      <c r="A150" s="52"/>
      <c r="B150" s="58"/>
      <c r="C150" s="46"/>
      <c r="D150" s="46"/>
      <c r="E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 spans="1:23">
      <c r="A151" s="52"/>
      <c r="B151" s="58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>
      <c r="A152" s="52"/>
      <c r="B152" s="58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>
      <c r="A153" s="52"/>
      <c r="B153" s="58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>
      <c r="A154" s="52"/>
      <c r="B154" s="58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>
      <c r="A155" s="56"/>
      <c r="B155" s="57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 spans="1:23">
      <c r="A156" s="52"/>
      <c r="B156" s="58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>
      <c r="A157" s="52"/>
      <c r="B157" s="58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>
      <c r="A158" s="52"/>
      <c r="B158" s="58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>
      <c r="A159" s="52"/>
      <c r="B159" s="58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>
      <c r="A160" s="56"/>
      <c r="B160" s="57"/>
      <c r="C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>
      <c r="A161" s="52"/>
      <c r="B161" s="58"/>
      <c r="C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>
      <c r="A162" s="52"/>
      <c r="B162" s="58"/>
      <c r="C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>
      <c r="A163" s="52"/>
      <c r="B163" s="58"/>
      <c r="C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>
      <c r="A164" s="52"/>
      <c r="B164" s="58"/>
      <c r="C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>
      <c r="A165" s="52"/>
      <c r="B165" s="58"/>
      <c r="C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>
      <c r="A166" s="52"/>
      <c r="B166" s="58"/>
      <c r="C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>
      <c r="A167" s="52"/>
      <c r="B167" s="58"/>
      <c r="C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 spans="1:23">
      <c r="A168" s="52"/>
      <c r="B168" s="58"/>
      <c r="C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>
      <c r="A169" s="52"/>
      <c r="B169" s="58"/>
      <c r="C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 spans="1:23">
      <c r="A170" s="52"/>
      <c r="B170" s="58"/>
      <c r="C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>
      <c r="A171" s="52"/>
      <c r="B171" s="58"/>
      <c r="C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>
      <c r="A172" s="52"/>
      <c r="B172" s="58"/>
      <c r="C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>
      <c r="A173" s="52"/>
      <c r="B173" s="58"/>
      <c r="C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>
      <c r="A174" s="52"/>
      <c r="B174" s="58"/>
      <c r="C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>
      <c r="A175" s="52"/>
      <c r="B175" s="58"/>
      <c r="C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 spans="1:23">
      <c r="A176" s="52"/>
      <c r="B176" s="58"/>
      <c r="C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>
      <c r="A177" s="46"/>
      <c r="B177" s="46"/>
      <c r="C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>
      <c r="A178" s="46"/>
      <c r="B178" s="46"/>
      <c r="C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>
      <c r="A179" s="46"/>
      <c r="B179" s="46"/>
      <c r="C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 spans="1:23">
      <c r="A180" s="46"/>
      <c r="B180" s="46"/>
      <c r="C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>
      <c r="A181" s="46"/>
      <c r="B181" s="46"/>
      <c r="C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 spans="1:23">
      <c r="A182" s="46"/>
      <c r="B182" s="46"/>
      <c r="C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>
      <c r="A183" s="46"/>
      <c r="B183" s="46"/>
      <c r="C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>
      <c r="A184" s="46"/>
      <c r="B184" s="46"/>
      <c r="C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>
      <c r="A185" s="46"/>
      <c r="B185" s="46"/>
      <c r="C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>
      <c r="A186" s="46"/>
      <c r="B186" s="46"/>
      <c r="C186" s="46"/>
      <c r="O186" s="46"/>
      <c r="P186" s="46"/>
      <c r="Q186" s="46"/>
      <c r="R186" s="46"/>
      <c r="S186" s="46"/>
      <c r="T186" s="46"/>
      <c r="U186" s="46"/>
      <c r="V186" s="46"/>
      <c r="W186" s="4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2:H51"/>
  <sheetViews>
    <sheetView workbookViewId="0">
      <selection activeCell="B39" sqref="B39"/>
    </sheetView>
  </sheetViews>
  <sheetFormatPr baseColWidth="10" defaultRowHeight="15" x14ac:dyDescent="0"/>
  <cols>
    <col min="1" max="1" width="20.33203125" customWidth="1"/>
    <col min="3" max="4" width="12.1640625" bestFit="1" customWidth="1"/>
  </cols>
  <sheetData>
    <row r="2" spans="1:8" ht="20">
      <c r="B2" s="32" t="s">
        <v>147</v>
      </c>
    </row>
    <row r="5" spans="1:8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1:8">
      <c r="B6" t="s">
        <v>28</v>
      </c>
      <c r="C6">
        <v>0</v>
      </c>
      <c r="D6">
        <v>0</v>
      </c>
      <c r="E6">
        <v>0</v>
      </c>
      <c r="F6">
        <v>1743992</v>
      </c>
      <c r="H6" t="s">
        <v>148</v>
      </c>
    </row>
    <row r="7" spans="1:8">
      <c r="B7" t="s">
        <v>5</v>
      </c>
      <c r="C7">
        <v>0</v>
      </c>
      <c r="D7">
        <v>1650</v>
      </c>
      <c r="E7">
        <f>D7-C7</f>
        <v>1650</v>
      </c>
      <c r="F7">
        <v>95000</v>
      </c>
    </row>
    <row r="8" spans="1:8">
      <c r="B8" t="s">
        <v>10</v>
      </c>
      <c r="C8">
        <v>318</v>
      </c>
      <c r="D8">
        <v>2800</v>
      </c>
      <c r="E8">
        <f t="shared" ref="E8:E13" si="0">D8-C8</f>
        <v>2482</v>
      </c>
      <c r="F8">
        <v>900</v>
      </c>
    </row>
    <row r="9" spans="1:8">
      <c r="B9" t="s">
        <v>7</v>
      </c>
      <c r="C9">
        <f>SUM(C7:C8)+SUM(C10:C13)+7+1+1+69+33</f>
        <v>1358</v>
      </c>
      <c r="D9">
        <f>SUM(D7:D8)+SUM(D10:D13)+3500+215+270+2500+85</f>
        <v>16620</v>
      </c>
      <c r="E9">
        <f t="shared" si="0"/>
        <v>15262</v>
      </c>
      <c r="F9">
        <f>SUM(F7:F8)+SUM(F10:F13)+843300+7500+61000+42000+1150</f>
        <v>1069550</v>
      </c>
    </row>
    <row r="10" spans="1:8">
      <c r="B10" t="s">
        <v>6</v>
      </c>
      <c r="C10">
        <v>0</v>
      </c>
      <c r="D10">
        <v>3500</v>
      </c>
      <c r="E10">
        <f t="shared" si="0"/>
        <v>3500</v>
      </c>
      <c r="F10">
        <v>10000</v>
      </c>
    </row>
    <row r="11" spans="1:8">
      <c r="B11" t="s">
        <v>8</v>
      </c>
      <c r="C11">
        <v>291</v>
      </c>
      <c r="D11">
        <v>1100</v>
      </c>
      <c r="E11">
        <f t="shared" si="0"/>
        <v>809</v>
      </c>
      <c r="F11">
        <v>5650</v>
      </c>
    </row>
    <row r="12" spans="1:8">
      <c r="B12" t="s">
        <v>9</v>
      </c>
      <c r="C12">
        <v>0</v>
      </c>
      <c r="D12">
        <v>350</v>
      </c>
      <c r="E12">
        <f t="shared" si="0"/>
        <v>350</v>
      </c>
      <c r="F12">
        <v>3000</v>
      </c>
    </row>
    <row r="13" spans="1:8">
      <c r="B13" t="s">
        <v>11</v>
      </c>
      <c r="C13">
        <v>638</v>
      </c>
      <c r="D13">
        <v>650</v>
      </c>
      <c r="E13">
        <f t="shared" si="0"/>
        <v>12</v>
      </c>
      <c r="F13">
        <v>50</v>
      </c>
    </row>
    <row r="15" spans="1:8">
      <c r="A15" s="31" t="s">
        <v>150</v>
      </c>
      <c r="B15" t="s">
        <v>0</v>
      </c>
      <c r="C15" t="s">
        <v>19</v>
      </c>
      <c r="D15" t="s">
        <v>17</v>
      </c>
      <c r="E15" t="s">
        <v>21</v>
      </c>
      <c r="F15" t="s">
        <v>22</v>
      </c>
    </row>
    <row r="16" spans="1:8">
      <c r="B16" t="s">
        <v>28</v>
      </c>
      <c r="C16">
        <f>C6*F41</f>
        <v>0</v>
      </c>
      <c r="D16">
        <f>E6*F40+F6*F39</f>
        <v>56112942600</v>
      </c>
      <c r="E16" s="1">
        <f>C16/(C16+D16)+C16</f>
        <v>0</v>
      </c>
      <c r="F16" s="1">
        <f>1-E16</f>
        <v>1</v>
      </c>
    </row>
    <row r="17" spans="1:6">
      <c r="B17" t="s">
        <v>5</v>
      </c>
      <c r="C17">
        <f>C7*F41</f>
        <v>0</v>
      </c>
      <c r="D17">
        <f>E7*F40+F7*F39</f>
        <v>3987225000</v>
      </c>
      <c r="E17" s="1">
        <f>C17/(C17+D17)</f>
        <v>0</v>
      </c>
      <c r="F17" s="1">
        <f>1-E17</f>
        <v>1</v>
      </c>
    </row>
    <row r="18" spans="1:6">
      <c r="B18" t="s">
        <v>10</v>
      </c>
      <c r="C18">
        <f>C8*F41</f>
        <v>161416800.00000003</v>
      </c>
      <c r="D18">
        <f>E8*F40+F8*F39</f>
        <v>1428805500</v>
      </c>
      <c r="E18" s="1">
        <f t="shared" ref="E18:E23" si="1">C18/(C18+D18)</f>
        <v>0.10150580833887189</v>
      </c>
      <c r="F18" s="1">
        <f t="shared" ref="F18:F23" si="2">1-E18</f>
        <v>0.89849419166112809</v>
      </c>
    </row>
    <row r="19" spans="1:6">
      <c r="B19" t="s">
        <v>7</v>
      </c>
      <c r="C19">
        <f>C9*F41</f>
        <v>689320800.00000012</v>
      </c>
      <c r="D19">
        <f>E9*F40+F9*F39</f>
        <v>43020539250</v>
      </c>
      <c r="E19" s="1">
        <f t="shared" si="1"/>
        <v>1.5770373073981055E-2</v>
      </c>
      <c r="F19" s="1">
        <f t="shared" si="2"/>
        <v>0.9842296269260189</v>
      </c>
    </row>
    <row r="20" spans="1:6">
      <c r="B20" t="s">
        <v>6</v>
      </c>
      <c r="C20">
        <f>C10*F41</f>
        <v>0</v>
      </c>
      <c r="D20">
        <f>E10*F40+F10*F39</f>
        <v>2295750000</v>
      </c>
      <c r="E20" s="1">
        <f t="shared" si="1"/>
        <v>0</v>
      </c>
      <c r="F20" s="1">
        <f t="shared" si="2"/>
        <v>1</v>
      </c>
    </row>
    <row r="21" spans="1:6">
      <c r="B21" t="s">
        <v>8</v>
      </c>
      <c r="C21">
        <f>C11*F41</f>
        <v>147711600.00000003</v>
      </c>
      <c r="D21">
        <f>E11*F40+F11*F39</f>
        <v>638064750</v>
      </c>
      <c r="E21" s="1">
        <f t="shared" si="1"/>
        <v>0.18798173297020204</v>
      </c>
      <c r="F21" s="1">
        <f t="shared" si="2"/>
        <v>0.81201826702979796</v>
      </c>
    </row>
    <row r="22" spans="1:6">
      <c r="B22" t="s">
        <v>9</v>
      </c>
      <c r="C22">
        <f>C12*F41</f>
        <v>0</v>
      </c>
      <c r="D22">
        <f>E12*F40+F12*F39</f>
        <v>293925000</v>
      </c>
      <c r="E22" s="1">
        <f t="shared" si="1"/>
        <v>0</v>
      </c>
      <c r="F22" s="1">
        <f t="shared" si="2"/>
        <v>1</v>
      </c>
    </row>
    <row r="23" spans="1:6">
      <c r="B23" t="s">
        <v>11</v>
      </c>
      <c r="C23">
        <f>C13*F41</f>
        <v>323848800.00000006</v>
      </c>
      <c r="D23">
        <f>E13*F40+F13*F39</f>
        <v>8376750</v>
      </c>
      <c r="E23" s="1">
        <f t="shared" si="1"/>
        <v>0.97478595490322761</v>
      </c>
      <c r="F23" s="1">
        <f t="shared" si="2"/>
        <v>2.5214045096772386E-2</v>
      </c>
    </row>
    <row r="24" spans="1:6">
      <c r="E24" s="1"/>
      <c r="F24" s="1"/>
    </row>
    <row r="25" spans="1:6">
      <c r="A25" s="31" t="s">
        <v>23</v>
      </c>
      <c r="B25" t="s">
        <v>0</v>
      </c>
      <c r="C25" t="s">
        <v>24</v>
      </c>
      <c r="D25" t="s">
        <v>25</v>
      </c>
      <c r="E25" t="s">
        <v>26</v>
      </c>
      <c r="F25" t="s">
        <v>27</v>
      </c>
    </row>
    <row r="26" spans="1:6">
      <c r="B26" t="s">
        <v>28</v>
      </c>
      <c r="C26">
        <f>F6*F39</f>
        <v>56112942600</v>
      </c>
      <c r="D26">
        <f>E6*F40</f>
        <v>0</v>
      </c>
      <c r="E26" s="1">
        <f>C26/(C26+D26)</f>
        <v>1</v>
      </c>
      <c r="F26" s="1">
        <f>1-E26</f>
        <v>0</v>
      </c>
    </row>
    <row r="27" spans="1:6">
      <c r="B27" t="s">
        <v>5</v>
      </c>
      <c r="C27">
        <f>F7*F39</f>
        <v>3056625000</v>
      </c>
      <c r="D27">
        <f>E7*F40</f>
        <v>930600000</v>
      </c>
      <c r="E27" s="1">
        <f>C27/(C27+D27)</f>
        <v>0.7666045934202359</v>
      </c>
      <c r="F27" s="1">
        <f>1-E27</f>
        <v>0.2333954065797641</v>
      </c>
    </row>
    <row r="28" spans="1:6">
      <c r="B28" t="s">
        <v>10</v>
      </c>
      <c r="C28">
        <f>F8*F39</f>
        <v>28957500</v>
      </c>
      <c r="D28">
        <f>E8*F40</f>
        <v>1399848000</v>
      </c>
      <c r="E28" s="1">
        <f t="shared" ref="E28:E33" si="3">C28/(C28+D28)</f>
        <v>2.0266929263640151E-2</v>
      </c>
      <c r="F28" s="1">
        <f t="shared" ref="F28:F33" si="4">1-E28</f>
        <v>0.97973307073635985</v>
      </c>
    </row>
    <row r="29" spans="1:6">
      <c r="B29" t="s">
        <v>7</v>
      </c>
      <c r="C29">
        <f>F9*F39</f>
        <v>34412771250</v>
      </c>
      <c r="D29">
        <f>E9*F40</f>
        <v>8607768000</v>
      </c>
      <c r="E29" s="1">
        <f t="shared" si="3"/>
        <v>0.79991492087119753</v>
      </c>
      <c r="F29" s="1">
        <f t="shared" si="4"/>
        <v>0.20008507912880247</v>
      </c>
    </row>
    <row r="30" spans="1:6">
      <c r="B30" t="s">
        <v>6</v>
      </c>
      <c r="C30">
        <f>F10*F39</f>
        <v>321750000</v>
      </c>
      <c r="D30">
        <f>E10*F40</f>
        <v>1974000000</v>
      </c>
      <c r="E30" s="1">
        <f t="shared" si="3"/>
        <v>0.14015027768703039</v>
      </c>
      <c r="F30" s="1">
        <f t="shared" si="4"/>
        <v>0.85984972231296963</v>
      </c>
    </row>
    <row r="31" spans="1:6">
      <c r="B31" t="s">
        <v>8</v>
      </c>
      <c r="C31">
        <f>F11*F39</f>
        <v>181788750</v>
      </c>
      <c r="D31">
        <f>E11*F40</f>
        <v>456276000</v>
      </c>
      <c r="E31" s="1">
        <f t="shared" si="3"/>
        <v>0.28490642995087884</v>
      </c>
      <c r="F31" s="1">
        <f t="shared" si="4"/>
        <v>0.71509357004912122</v>
      </c>
    </row>
    <row r="32" spans="1:6">
      <c r="B32" t="s">
        <v>9</v>
      </c>
      <c r="C32">
        <f>F12*F39</f>
        <v>96525000</v>
      </c>
      <c r="D32">
        <f>E12*F40</f>
        <v>197400000</v>
      </c>
      <c r="E32" s="1">
        <f t="shared" si="3"/>
        <v>0.32840010206685377</v>
      </c>
      <c r="F32" s="1">
        <f t="shared" si="4"/>
        <v>0.67159989793314623</v>
      </c>
    </row>
    <row r="33" spans="2:7">
      <c r="B33" t="s">
        <v>11</v>
      </c>
      <c r="C33">
        <f>F13*F39</f>
        <v>1608750</v>
      </c>
      <c r="D33">
        <f>E13*F40</f>
        <v>6768000</v>
      </c>
      <c r="E33" s="1">
        <f t="shared" si="3"/>
        <v>0.19204942250872953</v>
      </c>
      <c r="F33" s="1">
        <f t="shared" si="4"/>
        <v>0.80795057749127053</v>
      </c>
    </row>
    <row r="36" spans="2:7">
      <c r="B36" t="s">
        <v>149</v>
      </c>
    </row>
    <row r="38" spans="2:7">
      <c r="B38" t="s">
        <v>157</v>
      </c>
      <c r="C38" t="s">
        <v>156</v>
      </c>
      <c r="D38" t="s">
        <v>14</v>
      </c>
      <c r="E38" t="s">
        <v>15</v>
      </c>
      <c r="F38" t="s">
        <v>16</v>
      </c>
    </row>
    <row r="39" spans="2:7">
      <c r="B39" t="s">
        <v>18</v>
      </c>
      <c r="C39" t="s">
        <v>12</v>
      </c>
      <c r="D39">
        <v>15000</v>
      </c>
      <c r="E39">
        <f>1/2.145</f>
        <v>0.46620046620046618</v>
      </c>
      <c r="F39">
        <f>D39/E39</f>
        <v>32175</v>
      </c>
      <c r="G39" t="s">
        <v>20</v>
      </c>
    </row>
    <row r="40" spans="2:7">
      <c r="B40" t="s">
        <v>18</v>
      </c>
      <c r="C40" t="s">
        <v>13</v>
      </c>
      <c r="D40">
        <v>60000</v>
      </c>
      <c r="E40">
        <f>1/9.4</f>
        <v>0.10638297872340426</v>
      </c>
      <c r="F40">
        <f>D40/E40</f>
        <v>564000</v>
      </c>
      <c r="G40" t="s">
        <v>20</v>
      </c>
    </row>
    <row r="41" spans="2:7">
      <c r="B41" t="s">
        <v>19</v>
      </c>
      <c r="C41" t="s">
        <v>13</v>
      </c>
      <c r="D41">
        <v>60000</v>
      </c>
      <c r="E41">
        <f>1/8.46</f>
        <v>0.11820330969267138</v>
      </c>
      <c r="F41">
        <f>D41/E41</f>
        <v>507600.00000000006</v>
      </c>
      <c r="G41" t="s">
        <v>20</v>
      </c>
    </row>
    <row r="45" spans="2:7">
      <c r="B45" s="31" t="s">
        <v>155</v>
      </c>
    </row>
    <row r="47" spans="2:7">
      <c r="B47" t="s">
        <v>151</v>
      </c>
    </row>
    <row r="48" spans="2:7">
      <c r="B48" t="s">
        <v>152</v>
      </c>
    </row>
    <row r="50" spans="2:2">
      <c r="B50" t="s">
        <v>153</v>
      </c>
    </row>
    <row r="51" spans="2:2">
      <c r="B51" t="s">
        <v>154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Q87"/>
  <sheetViews>
    <sheetView workbookViewId="0">
      <selection activeCell="F1" sqref="F1"/>
    </sheetView>
  </sheetViews>
  <sheetFormatPr baseColWidth="10" defaultRowHeight="15" x14ac:dyDescent="0"/>
  <sheetData>
    <row r="1" spans="1:17" ht="116" customHeight="1">
      <c r="A1" s="2"/>
      <c r="B1" s="3"/>
      <c r="C1" s="3"/>
      <c r="D1" s="3"/>
      <c r="E1" s="3"/>
      <c r="F1" s="3"/>
      <c r="G1" s="3"/>
      <c r="H1" s="3"/>
      <c r="I1" s="3"/>
      <c r="J1" s="4"/>
      <c r="K1" s="3"/>
      <c r="L1" s="5" t="s">
        <v>29</v>
      </c>
      <c r="M1" s="3"/>
      <c r="N1" s="3"/>
      <c r="O1" s="3"/>
      <c r="P1" s="5"/>
      <c r="Q1" s="3"/>
    </row>
    <row r="2" spans="1:17">
      <c r="A2" s="67" t="s">
        <v>0</v>
      </c>
      <c r="B2" s="68" t="s">
        <v>30</v>
      </c>
      <c r="C2" s="69"/>
      <c r="D2" s="69"/>
      <c r="E2" s="69"/>
      <c r="F2" s="69"/>
      <c r="G2" s="69"/>
      <c r="H2" s="70"/>
      <c r="I2" s="71"/>
      <c r="J2" s="68" t="s">
        <v>31</v>
      </c>
      <c r="K2" s="71"/>
      <c r="L2" s="72" t="s">
        <v>32</v>
      </c>
      <c r="M2" s="73"/>
      <c r="N2" s="74"/>
      <c r="O2" s="6" t="s">
        <v>33</v>
      </c>
      <c r="P2" s="68" t="s">
        <v>31</v>
      </c>
      <c r="Q2" s="71"/>
    </row>
    <row r="3" spans="1:17" ht="44">
      <c r="A3" s="67"/>
      <c r="B3" s="6" t="s">
        <v>34</v>
      </c>
      <c r="C3" s="6" t="s">
        <v>35</v>
      </c>
      <c r="D3" s="6" t="s">
        <v>36</v>
      </c>
      <c r="E3" s="6" t="s">
        <v>37</v>
      </c>
      <c r="F3" s="6" t="s">
        <v>38</v>
      </c>
      <c r="G3" s="7" t="s">
        <v>39</v>
      </c>
      <c r="H3" s="6" t="s">
        <v>40</v>
      </c>
      <c r="I3" s="6" t="s">
        <v>41</v>
      </c>
      <c r="J3" s="6" t="s">
        <v>42</v>
      </c>
      <c r="K3" s="6" t="s">
        <v>43</v>
      </c>
      <c r="L3" s="6" t="s">
        <v>44</v>
      </c>
      <c r="M3" s="6" t="s">
        <v>45</v>
      </c>
      <c r="N3" s="6" t="s">
        <v>46</v>
      </c>
      <c r="O3" s="8" t="s">
        <v>47</v>
      </c>
      <c r="P3" s="6" t="s">
        <v>42</v>
      </c>
      <c r="Q3" s="6" t="s">
        <v>43</v>
      </c>
    </row>
    <row r="4" spans="1:17">
      <c r="A4" s="9" t="s">
        <v>48</v>
      </c>
      <c r="B4" s="10">
        <v>125</v>
      </c>
      <c r="C4" s="11">
        <v>125</v>
      </c>
      <c r="D4" s="10">
        <v>115</v>
      </c>
      <c r="E4" s="10">
        <v>10</v>
      </c>
      <c r="F4" s="10">
        <v>0</v>
      </c>
      <c r="G4" s="10">
        <v>0</v>
      </c>
      <c r="H4" s="12">
        <v>3.1019217025331533E-5</v>
      </c>
      <c r="I4" s="13">
        <v>7.0500252306302955E-6</v>
      </c>
      <c r="J4" s="14" t="s">
        <v>49</v>
      </c>
      <c r="K4" s="15">
        <v>2011</v>
      </c>
      <c r="L4" s="16">
        <v>0</v>
      </c>
      <c r="M4" s="17">
        <v>5.0700000000000002E-2</v>
      </c>
      <c r="N4" s="18">
        <v>0</v>
      </c>
      <c r="O4" s="19">
        <v>0</v>
      </c>
      <c r="P4" s="20">
        <v>0</v>
      </c>
      <c r="Q4" s="15">
        <v>0</v>
      </c>
    </row>
    <row r="5" spans="1:17">
      <c r="A5" s="9" t="s">
        <v>50</v>
      </c>
      <c r="B5" s="11">
        <v>2244346</v>
      </c>
      <c r="C5" s="11">
        <v>2244346</v>
      </c>
      <c r="D5" s="11">
        <v>2244330</v>
      </c>
      <c r="E5" s="11">
        <v>0</v>
      </c>
      <c r="F5" s="11">
        <v>16</v>
      </c>
      <c r="G5" s="21">
        <v>0</v>
      </c>
      <c r="H5" s="22">
        <v>0.17533665463300993</v>
      </c>
      <c r="I5" s="22">
        <v>0.12658156741011345</v>
      </c>
      <c r="J5" s="14" t="s">
        <v>51</v>
      </c>
      <c r="K5" s="15">
        <v>2013</v>
      </c>
      <c r="L5" s="16">
        <v>216.97</v>
      </c>
      <c r="M5" s="23">
        <v>404.0274</v>
      </c>
      <c r="N5" s="18">
        <v>0.53701803392542191</v>
      </c>
      <c r="O5" s="19">
        <v>0</v>
      </c>
      <c r="P5" s="20" t="s">
        <v>51</v>
      </c>
      <c r="Q5" s="15">
        <v>2013</v>
      </c>
    </row>
    <row r="6" spans="1:17">
      <c r="A6" s="9" t="s">
        <v>52</v>
      </c>
      <c r="B6" s="11">
        <v>244000</v>
      </c>
      <c r="C6" s="11">
        <v>244000</v>
      </c>
      <c r="D6" s="11">
        <v>192000</v>
      </c>
      <c r="E6" s="11">
        <v>17300</v>
      </c>
      <c r="F6" s="11">
        <v>34700</v>
      </c>
      <c r="G6" s="21">
        <v>0</v>
      </c>
      <c r="H6" s="22">
        <v>0.55454545454545456</v>
      </c>
      <c r="I6" s="22">
        <v>1.3761649250190336E-2</v>
      </c>
      <c r="J6" s="14" t="s">
        <v>49</v>
      </c>
      <c r="K6" s="15">
        <v>2011</v>
      </c>
      <c r="L6" s="16">
        <v>26.524999999999999</v>
      </c>
      <c r="M6" s="23">
        <v>190.56</v>
      </c>
      <c r="N6" s="18">
        <v>0.13919500419815281</v>
      </c>
      <c r="O6" s="19">
        <v>0</v>
      </c>
      <c r="P6" s="20" t="s">
        <v>53</v>
      </c>
      <c r="Q6" s="15">
        <v>2011</v>
      </c>
    </row>
    <row r="7" spans="1:17">
      <c r="A7" s="9" t="s">
        <v>54</v>
      </c>
      <c r="B7" s="11">
        <v>3110</v>
      </c>
      <c r="C7" s="11">
        <v>2360</v>
      </c>
      <c r="D7" s="11">
        <v>25</v>
      </c>
      <c r="E7" s="11">
        <v>2060</v>
      </c>
      <c r="F7" s="11">
        <v>275</v>
      </c>
      <c r="G7" s="21">
        <v>750</v>
      </c>
      <c r="H7" s="22">
        <v>1.5041242641183571E-4</v>
      </c>
      <c r="I7" s="22">
        <v>1.7540462773808175E-4</v>
      </c>
      <c r="J7" s="14" t="s">
        <v>55</v>
      </c>
      <c r="K7" s="15">
        <v>2013</v>
      </c>
      <c r="L7" s="16">
        <v>0</v>
      </c>
      <c r="M7" s="23">
        <v>7.077</v>
      </c>
      <c r="N7" s="18">
        <v>0</v>
      </c>
      <c r="O7" s="19">
        <v>0</v>
      </c>
      <c r="P7" s="20">
        <v>0</v>
      </c>
      <c r="Q7" s="15">
        <v>0</v>
      </c>
    </row>
    <row r="8" spans="1:17">
      <c r="A8" s="9" t="s">
        <v>56</v>
      </c>
      <c r="B8" s="11">
        <v>7717</v>
      </c>
      <c r="C8" s="11">
        <v>7715</v>
      </c>
      <c r="D8" s="11">
        <v>7500</v>
      </c>
      <c r="E8" s="11">
        <v>167</v>
      </c>
      <c r="F8" s="11">
        <v>48</v>
      </c>
      <c r="G8" s="21">
        <v>2</v>
      </c>
      <c r="H8" s="22">
        <v>1.5400431172149472E-3</v>
      </c>
      <c r="I8" s="22">
        <v>4.3524035763819189E-4</v>
      </c>
      <c r="J8" s="14" t="s">
        <v>55</v>
      </c>
      <c r="K8" s="15">
        <v>2013</v>
      </c>
      <c r="L8" s="16">
        <v>13.5</v>
      </c>
      <c r="M8" s="23">
        <v>1.99518</v>
      </c>
      <c r="N8" s="18">
        <v>6.7663067993865216</v>
      </c>
      <c r="O8" s="19">
        <v>0</v>
      </c>
      <c r="P8" s="20" t="s">
        <v>55</v>
      </c>
      <c r="Q8" s="15">
        <v>2012</v>
      </c>
    </row>
    <row r="9" spans="1:17">
      <c r="A9" s="9" t="s">
        <v>57</v>
      </c>
      <c r="B9" s="11">
        <v>208304</v>
      </c>
      <c r="C9" s="11">
        <v>182304</v>
      </c>
      <c r="D9" s="11">
        <v>145304</v>
      </c>
      <c r="E9" s="11">
        <v>10000</v>
      </c>
      <c r="F9" s="11">
        <v>27000</v>
      </c>
      <c r="G9" s="21">
        <v>26000</v>
      </c>
      <c r="H9" s="22">
        <v>0.62119725220804711</v>
      </c>
      <c r="I9" s="22">
        <v>1.1748387645129704E-2</v>
      </c>
      <c r="J9" s="14" t="s">
        <v>51</v>
      </c>
      <c r="K9" s="15">
        <v>2013</v>
      </c>
      <c r="L9" s="16">
        <v>91.55</v>
      </c>
      <c r="M9" s="23">
        <v>139.49472</v>
      </c>
      <c r="N9" s="18">
        <v>0.65629724193145089</v>
      </c>
      <c r="O9" s="19">
        <v>0</v>
      </c>
      <c r="P9" s="20" t="s">
        <v>58</v>
      </c>
      <c r="Q9" s="15">
        <v>2010</v>
      </c>
    </row>
    <row r="10" spans="1:17">
      <c r="A10" s="9" t="s">
        <v>59</v>
      </c>
      <c r="B10" s="11">
        <v>4600</v>
      </c>
      <c r="C10" s="11">
        <v>4600</v>
      </c>
      <c r="D10" s="11">
        <v>4600</v>
      </c>
      <c r="E10" s="11">
        <v>0</v>
      </c>
      <c r="F10" s="11">
        <v>0</v>
      </c>
      <c r="G10" s="21">
        <v>0</v>
      </c>
      <c r="H10" s="22">
        <v>1.4040104031066477E-3</v>
      </c>
      <c r="I10" s="22">
        <v>2.5944092848719489E-4</v>
      </c>
      <c r="J10" s="14" t="s">
        <v>53</v>
      </c>
      <c r="K10" s="15">
        <v>2011</v>
      </c>
      <c r="L10" s="16">
        <v>1.03</v>
      </c>
      <c r="M10" s="23">
        <v>0.82799999999999996</v>
      </c>
      <c r="N10" s="18">
        <v>1.243961352657005</v>
      </c>
      <c r="O10" s="19">
        <v>0</v>
      </c>
      <c r="P10" s="20" t="s">
        <v>53</v>
      </c>
      <c r="Q10" s="15">
        <v>2011</v>
      </c>
    </row>
    <row r="11" spans="1:17">
      <c r="A11" s="9" t="s">
        <v>60</v>
      </c>
      <c r="B11" s="11">
        <v>499</v>
      </c>
      <c r="C11" s="11">
        <v>486</v>
      </c>
      <c r="D11" s="11">
        <v>472</v>
      </c>
      <c r="E11" s="11">
        <v>3</v>
      </c>
      <c r="F11" s="11">
        <v>11</v>
      </c>
      <c r="G11" s="21">
        <v>13</v>
      </c>
      <c r="H11" s="22">
        <v>7.8570559029527491E-5</v>
      </c>
      <c r="I11" s="22">
        <v>2.8143700720676139E-5</v>
      </c>
      <c r="J11" s="14" t="s">
        <v>55</v>
      </c>
      <c r="K11" s="15">
        <v>2013</v>
      </c>
      <c r="L11" s="16">
        <v>0</v>
      </c>
      <c r="M11" s="23">
        <v>0.12812999999999999</v>
      </c>
      <c r="N11" s="18">
        <v>0</v>
      </c>
      <c r="O11" s="19">
        <v>0</v>
      </c>
      <c r="P11" s="20">
        <v>0</v>
      </c>
      <c r="Q11" s="15">
        <v>0</v>
      </c>
    </row>
    <row r="12" spans="1:17">
      <c r="A12" s="9" t="s">
        <v>61</v>
      </c>
      <c r="B12" s="11">
        <v>254722</v>
      </c>
      <c r="C12" s="11">
        <v>254722</v>
      </c>
      <c r="D12" s="11">
        <v>254722</v>
      </c>
      <c r="E12" s="11">
        <v>0</v>
      </c>
      <c r="F12" s="11">
        <v>0</v>
      </c>
      <c r="G12" s="21">
        <v>0</v>
      </c>
      <c r="H12" s="22">
        <v>0.28119045779195689</v>
      </c>
      <c r="I12" s="22">
        <v>1.4366372214372881E-2</v>
      </c>
      <c r="J12" s="14" t="s">
        <v>49</v>
      </c>
      <c r="K12" s="15">
        <v>2012</v>
      </c>
      <c r="L12" s="16">
        <v>26.28</v>
      </c>
      <c r="M12" s="23">
        <v>45.849960000000003</v>
      </c>
      <c r="N12" s="18">
        <v>0.57317389153665566</v>
      </c>
      <c r="O12" s="19">
        <v>0</v>
      </c>
      <c r="P12" s="20" t="s">
        <v>62</v>
      </c>
      <c r="Q12" s="15">
        <v>2009</v>
      </c>
    </row>
    <row r="13" spans="1:17">
      <c r="A13" s="9" t="s">
        <v>63</v>
      </c>
      <c r="B13" s="11">
        <v>21</v>
      </c>
      <c r="C13" s="11">
        <v>21</v>
      </c>
      <c r="D13" s="11">
        <v>20</v>
      </c>
      <c r="E13" s="11">
        <v>1</v>
      </c>
      <c r="F13" s="11">
        <v>0</v>
      </c>
      <c r="G13" s="21">
        <v>0</v>
      </c>
      <c r="H13" s="22">
        <v>2.6752716993198439E-5</v>
      </c>
      <c r="I13" s="22">
        <v>1.1844042387458895E-6</v>
      </c>
      <c r="J13" s="14" t="s">
        <v>64</v>
      </c>
      <c r="K13" s="15">
        <v>2010</v>
      </c>
      <c r="L13" s="16">
        <v>0</v>
      </c>
      <c r="M13" s="23">
        <v>6.6E-3</v>
      </c>
      <c r="N13" s="18">
        <v>0</v>
      </c>
      <c r="O13" s="19">
        <v>0</v>
      </c>
      <c r="P13" s="20">
        <v>0</v>
      </c>
      <c r="Q13" s="15">
        <v>0</v>
      </c>
    </row>
    <row r="14" spans="1:17">
      <c r="A14" s="33" t="s">
        <v>65</v>
      </c>
      <c r="B14" s="34">
        <v>1743992</v>
      </c>
      <c r="C14" s="34">
        <v>1743992</v>
      </c>
      <c r="D14" s="34">
        <v>1743992</v>
      </c>
      <c r="E14" s="34">
        <v>0</v>
      </c>
      <c r="F14" s="34">
        <v>0</v>
      </c>
      <c r="G14" s="35">
        <v>0</v>
      </c>
      <c r="H14" s="22">
        <v>4.965779952923393E-2</v>
      </c>
      <c r="I14" s="22">
        <v>9.8361500816139119E-2</v>
      </c>
      <c r="J14" s="14" t="s">
        <v>66</v>
      </c>
      <c r="K14" s="15">
        <v>2013</v>
      </c>
      <c r="L14" s="16">
        <v>141.6</v>
      </c>
      <c r="M14" s="23">
        <v>313.91856000000001</v>
      </c>
      <c r="N14" s="18">
        <v>0.45107240553091216</v>
      </c>
      <c r="O14" s="19">
        <v>0</v>
      </c>
      <c r="P14" s="20" t="s">
        <v>62</v>
      </c>
      <c r="Q14" s="15">
        <v>2012</v>
      </c>
    </row>
    <row r="15" spans="1:17">
      <c r="A15" s="9" t="s">
        <v>67</v>
      </c>
      <c r="B15" s="11">
        <v>61270</v>
      </c>
      <c r="C15" s="11">
        <v>61270</v>
      </c>
      <c r="D15" s="11">
        <v>61000</v>
      </c>
      <c r="E15" s="11">
        <v>240</v>
      </c>
      <c r="F15" s="11">
        <v>30</v>
      </c>
      <c r="G15" s="21">
        <v>0</v>
      </c>
      <c r="H15" s="22">
        <v>1.8325656517317702E-2</v>
      </c>
      <c r="I15" s="22">
        <v>3.4556403670457456E-3</v>
      </c>
      <c r="J15" s="14" t="s">
        <v>55</v>
      </c>
      <c r="K15" s="15">
        <v>2013</v>
      </c>
      <c r="L15" s="16">
        <v>15</v>
      </c>
      <c r="M15" s="23">
        <v>11.79</v>
      </c>
      <c r="N15" s="18">
        <v>1.272264631043257</v>
      </c>
      <c r="O15" s="19">
        <v>0</v>
      </c>
      <c r="P15" s="20" t="s">
        <v>55</v>
      </c>
      <c r="Q15" s="15">
        <v>2012</v>
      </c>
    </row>
    <row r="16" spans="1:17">
      <c r="A16" s="9" t="s">
        <v>68</v>
      </c>
      <c r="B16" s="11">
        <v>14205</v>
      </c>
      <c r="C16" s="11">
        <v>12005</v>
      </c>
      <c r="D16" s="11">
        <v>11800</v>
      </c>
      <c r="E16" s="11">
        <v>199</v>
      </c>
      <c r="F16" s="11">
        <v>6</v>
      </c>
      <c r="G16" s="21">
        <v>2200</v>
      </c>
      <c r="H16" s="22">
        <v>5.8584869663183114E-4</v>
      </c>
      <c r="I16" s="22">
        <v>8.0116486720882682E-4</v>
      </c>
      <c r="J16" s="14" t="s">
        <v>49</v>
      </c>
      <c r="K16" s="15">
        <v>2010</v>
      </c>
      <c r="L16" s="16">
        <v>0</v>
      </c>
      <c r="M16" s="23">
        <v>2.9369999999999998</v>
      </c>
      <c r="N16" s="18">
        <v>0</v>
      </c>
      <c r="O16" s="19">
        <v>0</v>
      </c>
      <c r="P16" s="20">
        <v>0</v>
      </c>
      <c r="Q16" s="15">
        <v>0</v>
      </c>
    </row>
    <row r="17" spans="1:17">
      <c r="A17" s="9" t="s">
        <v>69</v>
      </c>
      <c r="B17" s="11">
        <v>8164</v>
      </c>
      <c r="C17" s="11">
        <v>8164</v>
      </c>
      <c r="D17" s="11">
        <v>8055</v>
      </c>
      <c r="E17" s="11">
        <v>109</v>
      </c>
      <c r="F17" s="11">
        <v>0</v>
      </c>
      <c r="G17" s="21">
        <v>0</v>
      </c>
      <c r="H17" s="22">
        <v>3.4889142357017126E-3</v>
      </c>
      <c r="I17" s="22">
        <v>4.6045124786292584E-4</v>
      </c>
      <c r="J17" s="14" t="s">
        <v>49</v>
      </c>
      <c r="K17" s="15">
        <v>2011</v>
      </c>
      <c r="L17" s="16">
        <v>3.2</v>
      </c>
      <c r="M17" s="23">
        <v>1.7768999999999999</v>
      </c>
      <c r="N17" s="18">
        <v>1.8008891890370873</v>
      </c>
      <c r="O17" s="19">
        <v>0</v>
      </c>
      <c r="P17" s="20" t="s">
        <v>49</v>
      </c>
      <c r="Q17" s="15">
        <v>2007</v>
      </c>
    </row>
    <row r="18" spans="1:17">
      <c r="A18" s="9" t="s">
        <v>70</v>
      </c>
      <c r="B18" s="11">
        <v>1577000</v>
      </c>
      <c r="C18" s="11">
        <v>1527000</v>
      </c>
      <c r="D18" s="11">
        <v>1089070</v>
      </c>
      <c r="E18" s="11">
        <v>376025</v>
      </c>
      <c r="F18" s="11">
        <v>61905</v>
      </c>
      <c r="G18" s="21">
        <v>50000</v>
      </c>
      <c r="H18" s="22">
        <v>1.5270000000000001E-2</v>
      </c>
      <c r="I18" s="22">
        <v>8.8943118309631808E-2</v>
      </c>
      <c r="J18" s="14" t="s">
        <v>62</v>
      </c>
      <c r="K18" s="15">
        <v>2013</v>
      </c>
      <c r="L18" s="16">
        <v>0</v>
      </c>
      <c r="M18" s="23">
        <v>1514.3226</v>
      </c>
      <c r="N18" s="18">
        <v>0</v>
      </c>
      <c r="O18" s="19">
        <v>0</v>
      </c>
      <c r="P18" s="20">
        <v>0</v>
      </c>
      <c r="Q18" s="15">
        <v>0</v>
      </c>
    </row>
    <row r="19" spans="1:17">
      <c r="A19" s="9" t="s">
        <v>71</v>
      </c>
      <c r="B19" s="11">
        <v>450633</v>
      </c>
      <c r="C19" s="11">
        <v>450633</v>
      </c>
      <c r="D19" s="11">
        <v>427173</v>
      </c>
      <c r="E19" s="11">
        <v>13800</v>
      </c>
      <c r="F19" s="11">
        <v>9660</v>
      </c>
      <c r="G19" s="21">
        <v>0</v>
      </c>
      <c r="H19" s="22">
        <v>0.15445702357816371</v>
      </c>
      <c r="I19" s="22">
        <v>2.5415792158036975E-2</v>
      </c>
      <c r="J19" s="14" t="s">
        <v>51</v>
      </c>
      <c r="K19" s="15">
        <v>2013</v>
      </c>
      <c r="L19" s="16">
        <v>45</v>
      </c>
      <c r="M19" s="23">
        <v>147.27114</v>
      </c>
      <c r="N19" s="18">
        <v>0.30555884880092599</v>
      </c>
      <c r="O19" s="19">
        <v>0</v>
      </c>
      <c r="P19" s="20" t="s">
        <v>51</v>
      </c>
      <c r="Q19" s="15">
        <v>2013</v>
      </c>
    </row>
    <row r="20" spans="1:17">
      <c r="A20" s="9" t="s">
        <v>72</v>
      </c>
      <c r="B20" s="11">
        <v>155</v>
      </c>
      <c r="C20" s="11">
        <v>155</v>
      </c>
      <c r="D20" s="11">
        <v>66</v>
      </c>
      <c r="E20" s="11">
        <v>71</v>
      </c>
      <c r="F20" s="11">
        <v>18</v>
      </c>
      <c r="G20" s="21">
        <v>0</v>
      </c>
      <c r="H20" s="22">
        <v>9.2368733600825236E-5</v>
      </c>
      <c r="I20" s="22">
        <v>8.7420312859815657E-6</v>
      </c>
      <c r="J20" s="14" t="s">
        <v>62</v>
      </c>
      <c r="K20" s="15">
        <v>2013</v>
      </c>
      <c r="L20" s="16">
        <v>8.4610000000000005E-2</v>
      </c>
      <c r="M20" s="23">
        <v>0.27888000000000002</v>
      </c>
      <c r="N20" s="18">
        <v>0.30339213998852554</v>
      </c>
      <c r="O20" s="19">
        <v>0</v>
      </c>
      <c r="P20" s="20" t="s">
        <v>49</v>
      </c>
      <c r="Q20" s="15">
        <v>2011</v>
      </c>
    </row>
    <row r="21" spans="1:17">
      <c r="A21" s="9" t="s">
        <v>73</v>
      </c>
      <c r="B21" s="11">
        <v>5500</v>
      </c>
      <c r="C21" s="11">
        <v>5410</v>
      </c>
      <c r="D21" s="11">
        <v>4954</v>
      </c>
      <c r="E21" s="11">
        <v>401</v>
      </c>
      <c r="F21" s="11">
        <v>55</v>
      </c>
      <c r="G21" s="21">
        <v>90</v>
      </c>
      <c r="H21" s="22">
        <v>1.0536192893737138E-3</v>
      </c>
      <c r="I21" s="22">
        <v>3.1020111014773302E-4</v>
      </c>
      <c r="J21" s="14" t="s">
        <v>55</v>
      </c>
      <c r="K21" s="15">
        <v>2013</v>
      </c>
      <c r="L21" s="16">
        <v>1.3</v>
      </c>
      <c r="M21" s="23">
        <v>2.2678199999999999</v>
      </c>
      <c r="N21" s="18">
        <v>0.57323773491723329</v>
      </c>
      <c r="O21" s="19">
        <v>0</v>
      </c>
      <c r="P21" s="20" t="s">
        <v>55</v>
      </c>
      <c r="Q21" s="15">
        <v>2013</v>
      </c>
    </row>
    <row r="22" spans="1:17">
      <c r="A22" s="9" t="s">
        <v>74</v>
      </c>
      <c r="B22" s="11">
        <v>15</v>
      </c>
      <c r="C22" s="11">
        <v>15</v>
      </c>
      <c r="D22" s="11">
        <v>15</v>
      </c>
      <c r="E22" s="11">
        <v>0</v>
      </c>
      <c r="F22" s="11">
        <v>0</v>
      </c>
      <c r="G22" s="21">
        <v>0</v>
      </c>
      <c r="H22" s="22">
        <v>6.1000406669377798E-6</v>
      </c>
      <c r="I22" s="22">
        <v>8.4600302767563541E-7</v>
      </c>
      <c r="J22" s="14" t="s">
        <v>55</v>
      </c>
      <c r="K22" s="15">
        <v>2013</v>
      </c>
      <c r="L22" s="16">
        <v>0</v>
      </c>
      <c r="M22" s="23">
        <v>2.7000000000000001E-3</v>
      </c>
      <c r="N22" s="18">
        <v>0</v>
      </c>
      <c r="O22" s="19">
        <v>0</v>
      </c>
      <c r="P22" s="20">
        <v>0</v>
      </c>
      <c r="Q22" s="15">
        <v>0</v>
      </c>
    </row>
    <row r="23" spans="1:17">
      <c r="A23" s="9" t="s">
        <v>75</v>
      </c>
      <c r="B23" s="11">
        <v>10909</v>
      </c>
      <c r="C23" s="11">
        <v>10909</v>
      </c>
      <c r="D23" s="11">
        <v>10909</v>
      </c>
      <c r="E23" s="11">
        <v>0</v>
      </c>
      <c r="F23" s="11">
        <v>0</v>
      </c>
      <c r="G23" s="21">
        <v>0</v>
      </c>
      <c r="H23" s="22">
        <v>9.027998464023728E-3</v>
      </c>
      <c r="I23" s="22">
        <v>6.152698019275671E-4</v>
      </c>
      <c r="J23" s="14" t="s">
        <v>55</v>
      </c>
      <c r="K23" s="15">
        <v>2013</v>
      </c>
      <c r="L23" s="16">
        <v>9.1999999999999998E-2</v>
      </c>
      <c r="M23" s="23">
        <v>1.9636199999999999</v>
      </c>
      <c r="N23" s="18">
        <v>4.6852242287204249E-2</v>
      </c>
      <c r="O23" s="19">
        <v>0</v>
      </c>
      <c r="P23" s="20" t="s">
        <v>64</v>
      </c>
      <c r="Q23" s="15">
        <v>2010</v>
      </c>
    </row>
    <row r="24" spans="1:17">
      <c r="A24" s="9" t="s">
        <v>76</v>
      </c>
      <c r="B24" s="11">
        <v>40</v>
      </c>
      <c r="C24" s="11">
        <v>40</v>
      </c>
      <c r="D24" s="11">
        <v>40</v>
      </c>
      <c r="E24" s="11">
        <v>0</v>
      </c>
      <c r="F24" s="11">
        <v>0</v>
      </c>
      <c r="G24" s="21">
        <v>0</v>
      </c>
      <c r="H24" s="22">
        <v>4.2926146637863224E-5</v>
      </c>
      <c r="I24" s="22">
        <v>2.2560080738016947E-6</v>
      </c>
      <c r="J24" s="14" t="s">
        <v>62</v>
      </c>
      <c r="K24" s="15">
        <v>2009</v>
      </c>
      <c r="L24" s="16">
        <v>0</v>
      </c>
      <c r="M24" s="23">
        <v>7.1999999999999998E-3</v>
      </c>
      <c r="N24" s="18">
        <v>0</v>
      </c>
      <c r="O24" s="19">
        <v>0</v>
      </c>
      <c r="P24" s="20">
        <v>0</v>
      </c>
      <c r="Q24" s="15">
        <v>0</v>
      </c>
    </row>
    <row r="25" spans="1:17">
      <c r="A25" s="9" t="s">
        <v>77</v>
      </c>
      <c r="B25" s="11">
        <v>193555</v>
      </c>
      <c r="C25" s="11">
        <v>193208</v>
      </c>
      <c r="D25" s="11">
        <v>191909</v>
      </c>
      <c r="E25" s="11">
        <v>1299</v>
      </c>
      <c r="F25" s="11">
        <v>0</v>
      </c>
      <c r="G25" s="21">
        <v>347</v>
      </c>
      <c r="H25" s="22">
        <v>5.4438728113762089E-2</v>
      </c>
      <c r="I25" s="22">
        <v>1.0916541068117175E-2</v>
      </c>
      <c r="J25" s="14" t="s">
        <v>55</v>
      </c>
      <c r="K25" s="15">
        <v>2013</v>
      </c>
      <c r="L25" s="16">
        <v>37.700000000000003</v>
      </c>
      <c r="M25" s="23">
        <v>38.471850000000003</v>
      </c>
      <c r="N25" s="18">
        <v>0.97993727881554948</v>
      </c>
      <c r="O25" s="19">
        <v>0</v>
      </c>
      <c r="P25" s="20" t="s">
        <v>55</v>
      </c>
      <c r="Q25" s="15">
        <v>2013</v>
      </c>
    </row>
    <row r="26" spans="1:17">
      <c r="A26" s="9" t="s">
        <v>78</v>
      </c>
      <c r="B26" s="11">
        <v>194</v>
      </c>
      <c r="C26" s="11">
        <v>194</v>
      </c>
      <c r="D26" s="11">
        <v>170</v>
      </c>
      <c r="E26" s="11">
        <v>18</v>
      </c>
      <c r="F26" s="11">
        <v>6</v>
      </c>
      <c r="G26" s="21">
        <v>0</v>
      </c>
      <c r="H26" s="22">
        <v>2.7509965272213942E-4</v>
      </c>
      <c r="I26" s="22">
        <v>1.0941639157938218E-5</v>
      </c>
      <c r="J26" s="14" t="s">
        <v>49</v>
      </c>
      <c r="K26" s="15">
        <v>2013</v>
      </c>
      <c r="L26" s="16">
        <v>0.65</v>
      </c>
      <c r="M26" s="23">
        <v>0.1026</v>
      </c>
      <c r="N26" s="18">
        <v>6.3352826510721254</v>
      </c>
      <c r="O26" s="19">
        <v>0</v>
      </c>
      <c r="P26" s="20" t="s">
        <v>55</v>
      </c>
      <c r="Q26" s="15">
        <v>2013</v>
      </c>
    </row>
    <row r="27" spans="1:17">
      <c r="A27" s="9" t="s">
        <v>79</v>
      </c>
      <c r="B27" s="11">
        <v>1239</v>
      </c>
      <c r="C27" s="11">
        <v>1215</v>
      </c>
      <c r="D27" s="11">
        <v>1150</v>
      </c>
      <c r="E27" s="11">
        <v>50</v>
      </c>
      <c r="F27" s="11">
        <v>15</v>
      </c>
      <c r="G27" s="21">
        <v>24</v>
      </c>
      <c r="H27" s="22">
        <v>3.4180657292633127E-4</v>
      </c>
      <c r="I27" s="22">
        <v>6.9879850086007486E-5</v>
      </c>
      <c r="J27" s="14" t="s">
        <v>55</v>
      </c>
      <c r="K27" s="15">
        <v>2013</v>
      </c>
      <c r="L27" s="16">
        <v>0.315</v>
      </c>
      <c r="M27" s="23">
        <v>0.40416000000000002</v>
      </c>
      <c r="N27" s="18">
        <v>0.77939429928741089</v>
      </c>
      <c r="O27" s="19">
        <v>0.25</v>
      </c>
      <c r="P27" s="20" t="s">
        <v>55</v>
      </c>
      <c r="Q27" s="15">
        <v>2013</v>
      </c>
    </row>
    <row r="28" spans="1:17">
      <c r="A28" s="9" t="s">
        <v>80</v>
      </c>
      <c r="B28" s="11">
        <v>13538</v>
      </c>
      <c r="C28" s="11">
        <v>13538</v>
      </c>
      <c r="D28" s="11">
        <v>10000</v>
      </c>
      <c r="E28" s="11">
        <v>2493</v>
      </c>
      <c r="F28" s="11">
        <v>1045</v>
      </c>
      <c r="G28" s="21">
        <v>0</v>
      </c>
      <c r="H28" s="22">
        <v>3.6380737396538753E-4</v>
      </c>
      <c r="I28" s="22">
        <v>7.6354593257818354E-4</v>
      </c>
      <c r="J28" s="14" t="s">
        <v>55</v>
      </c>
      <c r="K28" s="15">
        <v>2013</v>
      </c>
      <c r="L28" s="16">
        <v>6</v>
      </c>
      <c r="M28" s="23">
        <v>12.414</v>
      </c>
      <c r="N28" s="18">
        <v>0.48332527791203483</v>
      </c>
      <c r="O28" s="19">
        <v>0.03</v>
      </c>
      <c r="P28" s="20" t="s">
        <v>49</v>
      </c>
      <c r="Q28" s="15">
        <v>2011</v>
      </c>
    </row>
    <row r="29" spans="1:17">
      <c r="A29" s="9" t="s">
        <v>81</v>
      </c>
      <c r="B29" s="11">
        <v>3000</v>
      </c>
      <c r="C29" s="11">
        <v>3000</v>
      </c>
      <c r="D29" s="11">
        <v>3000</v>
      </c>
      <c r="E29" s="11">
        <v>0</v>
      </c>
      <c r="F29" s="11">
        <v>0</v>
      </c>
      <c r="G29" s="21">
        <v>0</v>
      </c>
      <c r="H29" s="22">
        <v>5.62096695620892E-3</v>
      </c>
      <c r="I29" s="22">
        <v>1.6920060553512708E-4</v>
      </c>
      <c r="J29" s="14" t="s">
        <v>62</v>
      </c>
      <c r="K29" s="15">
        <v>2008</v>
      </c>
      <c r="L29" s="16">
        <v>0</v>
      </c>
      <c r="M29" s="23">
        <v>0.54</v>
      </c>
      <c r="N29" s="18">
        <v>0</v>
      </c>
      <c r="O29" s="19">
        <v>0</v>
      </c>
      <c r="P29" s="20">
        <v>0</v>
      </c>
      <c r="Q29" s="15">
        <v>0</v>
      </c>
    </row>
    <row r="30" spans="1:17">
      <c r="A30" s="9" t="s">
        <v>82</v>
      </c>
      <c r="B30" s="11">
        <v>96349</v>
      </c>
      <c r="C30" s="11">
        <v>96293</v>
      </c>
      <c r="D30" s="11">
        <v>94707</v>
      </c>
      <c r="E30" s="11">
        <v>1496</v>
      </c>
      <c r="F30" s="11">
        <v>90</v>
      </c>
      <c r="G30" s="21">
        <v>56</v>
      </c>
      <c r="H30" s="22">
        <v>2.0003343273204063E-3</v>
      </c>
      <c r="I30" s="22">
        <v>5.4341030475679869E-3</v>
      </c>
      <c r="J30" s="14" t="s">
        <v>55</v>
      </c>
      <c r="K30" s="15">
        <v>2013</v>
      </c>
      <c r="L30" s="16">
        <v>23</v>
      </c>
      <c r="M30" s="23">
        <v>21.810300000000002</v>
      </c>
      <c r="N30" s="18">
        <v>1.0545476219951124</v>
      </c>
      <c r="O30" s="19">
        <v>0.2</v>
      </c>
      <c r="P30" s="20" t="s">
        <v>55</v>
      </c>
      <c r="Q30" s="15">
        <v>2013</v>
      </c>
    </row>
    <row r="31" spans="1:17">
      <c r="A31" s="9" t="s">
        <v>83</v>
      </c>
      <c r="B31" s="11">
        <v>708</v>
      </c>
      <c r="C31" s="11">
        <v>708</v>
      </c>
      <c r="D31" s="11">
        <v>6</v>
      </c>
      <c r="E31" s="11">
        <v>600</v>
      </c>
      <c r="F31" s="11">
        <v>102</v>
      </c>
      <c r="G31" s="21">
        <v>0</v>
      </c>
      <c r="H31" s="22">
        <v>1.1506821529848175E-4</v>
      </c>
      <c r="I31" s="22">
        <v>3.9931342906289993E-5</v>
      </c>
      <c r="J31" s="14" t="s">
        <v>55</v>
      </c>
      <c r="K31" s="15">
        <v>2013</v>
      </c>
      <c r="L31" s="16">
        <v>1.33</v>
      </c>
      <c r="M31" s="23">
        <v>2.1070799999999998</v>
      </c>
      <c r="N31" s="18">
        <v>0.63120526985211767</v>
      </c>
      <c r="O31" s="19">
        <v>0</v>
      </c>
      <c r="P31" s="20" t="s">
        <v>55</v>
      </c>
      <c r="Q31" s="15">
        <v>2013</v>
      </c>
    </row>
    <row r="32" spans="1:17">
      <c r="A32" s="9" t="s">
        <v>84</v>
      </c>
      <c r="B32" s="11">
        <v>4062</v>
      </c>
      <c r="C32" s="11">
        <v>4060</v>
      </c>
      <c r="D32" s="11">
        <v>4000</v>
      </c>
      <c r="E32" s="11">
        <v>50</v>
      </c>
      <c r="F32" s="11">
        <v>10</v>
      </c>
      <c r="G32" s="21">
        <v>2</v>
      </c>
      <c r="H32" s="22">
        <v>1.1931441817763977E-3</v>
      </c>
      <c r="I32" s="22">
        <v>2.2909761989456208E-4</v>
      </c>
      <c r="J32" s="14" t="s">
        <v>55</v>
      </c>
      <c r="K32" s="15">
        <v>2013</v>
      </c>
      <c r="L32" s="16">
        <v>0.22</v>
      </c>
      <c r="M32" s="23">
        <v>0.90017999999999998</v>
      </c>
      <c r="N32" s="18">
        <v>0.24439556533137818</v>
      </c>
      <c r="O32" s="19">
        <v>1.4999999999999999E-2</v>
      </c>
      <c r="P32" s="20" t="s">
        <v>55</v>
      </c>
      <c r="Q32" s="15">
        <v>2013</v>
      </c>
    </row>
    <row r="33" spans="1:17">
      <c r="A33" s="9" t="s">
        <v>85</v>
      </c>
      <c r="B33" s="11">
        <v>918</v>
      </c>
      <c r="C33" s="11">
        <v>918</v>
      </c>
      <c r="D33" s="11">
        <v>900</v>
      </c>
      <c r="E33" s="11">
        <v>2</v>
      </c>
      <c r="F33" s="11">
        <v>16</v>
      </c>
      <c r="G33" s="21">
        <v>0</v>
      </c>
      <c r="H33" s="22">
        <v>4.2168121267799723E-3</v>
      </c>
      <c r="I33" s="22">
        <v>5.177538529374889E-5</v>
      </c>
      <c r="J33" s="14" t="s">
        <v>86</v>
      </c>
      <c r="K33" s="15">
        <v>2012</v>
      </c>
      <c r="L33" s="16">
        <v>0.17</v>
      </c>
      <c r="M33" s="23">
        <v>0.216</v>
      </c>
      <c r="N33" s="18">
        <v>0.78703703703703709</v>
      </c>
      <c r="O33" s="19">
        <v>1</v>
      </c>
      <c r="P33" s="20" t="s">
        <v>86</v>
      </c>
      <c r="Q33" s="15">
        <v>2012</v>
      </c>
    </row>
    <row r="34" spans="1:17">
      <c r="A34" s="9" t="s">
        <v>87</v>
      </c>
      <c r="B34" s="11">
        <v>1500000</v>
      </c>
      <c r="C34" s="11">
        <v>1493095</v>
      </c>
      <c r="D34" s="11">
        <v>1469004</v>
      </c>
      <c r="E34" s="11">
        <v>23376</v>
      </c>
      <c r="F34" s="11">
        <v>715</v>
      </c>
      <c r="G34" s="21">
        <v>6905</v>
      </c>
      <c r="H34" s="22">
        <v>3.529775413711584E-2</v>
      </c>
      <c r="I34" s="22">
        <v>8.4600302767563543E-2</v>
      </c>
      <c r="J34" s="14" t="s">
        <v>66</v>
      </c>
      <c r="K34" s="15">
        <v>2012</v>
      </c>
      <c r="L34" s="16">
        <v>163.21190000000001</v>
      </c>
      <c r="M34" s="23">
        <v>337.31517000000002</v>
      </c>
      <c r="N34" s="18">
        <v>0.48385579575327137</v>
      </c>
      <c r="O34" s="19">
        <v>0</v>
      </c>
      <c r="P34" s="20" t="s">
        <v>66</v>
      </c>
      <c r="Q34" s="15">
        <v>2012</v>
      </c>
    </row>
    <row r="35" spans="1:17">
      <c r="A35" s="9" t="s">
        <v>88</v>
      </c>
      <c r="B35" s="11">
        <v>5690</v>
      </c>
      <c r="C35" s="11">
        <v>5440</v>
      </c>
      <c r="D35" s="11">
        <v>4850</v>
      </c>
      <c r="E35" s="11">
        <v>570</v>
      </c>
      <c r="F35" s="11">
        <v>20</v>
      </c>
      <c r="G35" s="21">
        <v>250</v>
      </c>
      <c r="H35" s="22">
        <v>2.8991723289349761E-4</v>
      </c>
      <c r="I35" s="22">
        <v>3.2091714849829102E-4</v>
      </c>
      <c r="J35" s="14" t="s">
        <v>49</v>
      </c>
      <c r="K35" s="15">
        <v>2012</v>
      </c>
      <c r="L35" s="16">
        <v>0</v>
      </c>
      <c r="M35" s="23">
        <v>2.6655000000000002</v>
      </c>
      <c r="N35" s="18">
        <v>0</v>
      </c>
      <c r="O35" s="19">
        <v>0</v>
      </c>
      <c r="P35" s="20">
        <v>0</v>
      </c>
      <c r="Q35" s="15">
        <v>0</v>
      </c>
    </row>
    <row r="36" spans="1:17">
      <c r="A36" s="9" t="s">
        <v>89</v>
      </c>
      <c r="B36" s="11">
        <v>3300000</v>
      </c>
      <c r="C36" s="11">
        <v>3300000</v>
      </c>
      <c r="D36" s="11">
        <v>3293948</v>
      </c>
      <c r="E36" s="11">
        <v>6036</v>
      </c>
      <c r="F36" s="11">
        <v>16</v>
      </c>
      <c r="G36" s="21">
        <v>0</v>
      </c>
      <c r="H36" s="22">
        <v>0.27088660940999337</v>
      </c>
      <c r="I36" s="22">
        <v>0.18612066608863981</v>
      </c>
      <c r="J36" s="14" t="s">
        <v>51</v>
      </c>
      <c r="K36" s="15">
        <v>2013</v>
      </c>
      <c r="L36" s="16">
        <v>480</v>
      </c>
      <c r="M36" s="23">
        <v>611.06664000000001</v>
      </c>
      <c r="N36" s="18">
        <v>0.78551170785562763</v>
      </c>
      <c r="O36" s="19">
        <v>0</v>
      </c>
      <c r="P36" s="20" t="s">
        <v>51</v>
      </c>
      <c r="Q36" s="15">
        <v>2013</v>
      </c>
    </row>
    <row r="37" spans="1:17">
      <c r="A37" s="9" t="s">
        <v>90</v>
      </c>
      <c r="B37" s="11">
        <v>3</v>
      </c>
      <c r="C37" s="11">
        <v>3</v>
      </c>
      <c r="D37" s="11">
        <v>3</v>
      </c>
      <c r="E37" s="11">
        <v>0</v>
      </c>
      <c r="F37" s="11">
        <v>0</v>
      </c>
      <c r="G37" s="21">
        <v>0</v>
      </c>
      <c r="H37" s="22">
        <v>1.3586611933755303E-6</v>
      </c>
      <c r="I37" s="22">
        <v>1.692006055351271E-7</v>
      </c>
      <c r="J37" s="14" t="s">
        <v>55</v>
      </c>
      <c r="K37" s="15">
        <v>2013</v>
      </c>
      <c r="L37" s="16">
        <v>0</v>
      </c>
      <c r="M37" s="23">
        <v>5.4000000000000001E-4</v>
      </c>
      <c r="N37" s="18">
        <v>0</v>
      </c>
      <c r="O37" s="19">
        <v>0</v>
      </c>
      <c r="P37" s="20">
        <v>0</v>
      </c>
      <c r="Q37" s="15">
        <v>0</v>
      </c>
    </row>
    <row r="38" spans="1:17">
      <c r="A38" s="9" t="s">
        <v>91</v>
      </c>
      <c r="B38" s="11">
        <v>846523</v>
      </c>
      <c r="C38" s="11">
        <v>846523</v>
      </c>
      <c r="D38" s="11">
        <v>843023</v>
      </c>
      <c r="E38" s="11">
        <v>2300</v>
      </c>
      <c r="F38" s="11">
        <v>1200</v>
      </c>
      <c r="G38" s="21">
        <v>0</v>
      </c>
      <c r="H38" s="22">
        <v>2.0700172059850312E-2</v>
      </c>
      <c r="I38" s="22">
        <v>4.7744068066470795E-2</v>
      </c>
      <c r="J38" s="14" t="s">
        <v>55</v>
      </c>
      <c r="K38" s="15">
        <v>2013</v>
      </c>
      <c r="L38" s="16">
        <v>75</v>
      </c>
      <c r="M38" s="23">
        <v>162.24413999999999</v>
      </c>
      <c r="N38" s="18">
        <v>0.46226631051204686</v>
      </c>
      <c r="O38" s="19">
        <v>0</v>
      </c>
      <c r="P38" s="20" t="s">
        <v>55</v>
      </c>
      <c r="Q38" s="15">
        <v>2013</v>
      </c>
    </row>
    <row r="39" spans="1:17">
      <c r="A39" s="9" t="s">
        <v>92</v>
      </c>
      <c r="B39" s="11">
        <v>42590</v>
      </c>
      <c r="C39" s="11">
        <v>40640</v>
      </c>
      <c r="D39" s="11">
        <v>16564</v>
      </c>
      <c r="E39" s="11">
        <v>1560</v>
      </c>
      <c r="F39" s="11">
        <v>22516</v>
      </c>
      <c r="G39" s="21">
        <v>1950</v>
      </c>
      <c r="H39" s="22">
        <v>5.3864642289204879E-4</v>
      </c>
      <c r="I39" s="22">
        <v>2.4020845965803542E-3</v>
      </c>
      <c r="J39" s="14" t="s">
        <v>93</v>
      </c>
      <c r="K39" s="15">
        <v>2013</v>
      </c>
      <c r="L39" s="16">
        <v>0</v>
      </c>
      <c r="M39" s="23">
        <v>75.385019999999997</v>
      </c>
      <c r="N39" s="18">
        <v>0</v>
      </c>
      <c r="O39" s="19">
        <v>0</v>
      </c>
      <c r="P39" s="20">
        <v>0</v>
      </c>
      <c r="Q39" s="15">
        <v>0</v>
      </c>
    </row>
    <row r="40" spans="1:17">
      <c r="A40" s="9" t="s">
        <v>94</v>
      </c>
      <c r="B40" s="11">
        <v>3200</v>
      </c>
      <c r="C40" s="11">
        <v>3200</v>
      </c>
      <c r="D40" s="11">
        <v>3000</v>
      </c>
      <c r="E40" s="11">
        <v>200</v>
      </c>
      <c r="F40" s="11">
        <v>0</v>
      </c>
      <c r="G40" s="21">
        <v>0</v>
      </c>
      <c r="H40" s="22">
        <v>1.3482227685333232E-3</v>
      </c>
      <c r="I40" s="22">
        <v>1.8048064590413555E-4</v>
      </c>
      <c r="J40" s="14" t="s">
        <v>95</v>
      </c>
      <c r="K40" s="15">
        <v>2012</v>
      </c>
      <c r="L40" s="16">
        <v>0</v>
      </c>
      <c r="M40" s="23">
        <v>1.1399999999999999</v>
      </c>
      <c r="N40" s="18">
        <v>0</v>
      </c>
      <c r="O40" s="19">
        <v>0</v>
      </c>
      <c r="P40" s="20">
        <v>0</v>
      </c>
      <c r="Q40" s="15">
        <v>0</v>
      </c>
    </row>
    <row r="41" spans="1:17">
      <c r="A41" s="9" t="s">
        <v>96</v>
      </c>
      <c r="B41" s="11">
        <v>35872</v>
      </c>
      <c r="C41" s="11">
        <v>35862</v>
      </c>
      <c r="D41" s="11">
        <v>3049</v>
      </c>
      <c r="E41" s="11">
        <v>31833</v>
      </c>
      <c r="F41" s="11">
        <v>980</v>
      </c>
      <c r="G41" s="21">
        <v>10</v>
      </c>
      <c r="H41" s="22">
        <v>2.1815238036840268E-3</v>
      </c>
      <c r="I41" s="22">
        <v>2.0231880405853597E-3</v>
      </c>
      <c r="J41" s="14" t="s">
        <v>58</v>
      </c>
      <c r="K41" s="15">
        <v>2013</v>
      </c>
      <c r="L41" s="16">
        <v>93</v>
      </c>
      <c r="M41" s="23">
        <v>98.988720000000001</v>
      </c>
      <c r="N41" s="18">
        <v>0.93950098556684036</v>
      </c>
      <c r="O41" s="19">
        <v>0</v>
      </c>
      <c r="P41" s="20" t="s">
        <v>58</v>
      </c>
      <c r="Q41" s="15">
        <v>2012</v>
      </c>
    </row>
    <row r="42" spans="1:17">
      <c r="A42" s="9" t="s">
        <v>97</v>
      </c>
      <c r="B42" s="11">
        <v>6000</v>
      </c>
      <c r="C42" s="11">
        <v>6000</v>
      </c>
      <c r="D42" s="11">
        <v>6000</v>
      </c>
      <c r="E42" s="11">
        <v>0</v>
      </c>
      <c r="F42" s="11">
        <v>0</v>
      </c>
      <c r="G42" s="21">
        <v>0</v>
      </c>
      <c r="H42" s="22">
        <v>1.8459777682744108E-2</v>
      </c>
      <c r="I42" s="22">
        <v>3.3840121107025416E-4</v>
      </c>
      <c r="J42" s="14" t="s">
        <v>51</v>
      </c>
      <c r="K42" s="15">
        <v>2007</v>
      </c>
      <c r="L42" s="16">
        <v>0.6</v>
      </c>
      <c r="M42" s="23">
        <v>1.08</v>
      </c>
      <c r="N42" s="18">
        <v>0.55555555555555547</v>
      </c>
      <c r="O42" s="19">
        <v>0</v>
      </c>
      <c r="P42" s="20" t="s">
        <v>49</v>
      </c>
      <c r="Q42" s="15">
        <v>2007</v>
      </c>
    </row>
    <row r="43" spans="1:17">
      <c r="A43" s="9" t="s">
        <v>98</v>
      </c>
      <c r="B43" s="11">
        <v>18</v>
      </c>
      <c r="C43" s="11">
        <v>18</v>
      </c>
      <c r="D43" s="11">
        <v>18</v>
      </c>
      <c r="E43" s="11">
        <v>0</v>
      </c>
      <c r="F43" s="11">
        <v>0</v>
      </c>
      <c r="G43" s="21">
        <v>0</v>
      </c>
      <c r="H43" s="22">
        <v>1.6956497164496862E-5</v>
      </c>
      <c r="I43" s="22">
        <v>1.0152036332107625E-6</v>
      </c>
      <c r="J43" s="14" t="s">
        <v>49</v>
      </c>
      <c r="K43" s="15">
        <v>2011</v>
      </c>
      <c r="L43" s="16">
        <v>2.5699999999999998E-3</v>
      </c>
      <c r="M43" s="23">
        <v>3.2399999999999998E-3</v>
      </c>
      <c r="N43" s="18">
        <v>0.79320987654320985</v>
      </c>
      <c r="O43" s="19">
        <v>0</v>
      </c>
      <c r="P43" s="20" t="s">
        <v>55</v>
      </c>
      <c r="Q43" s="15">
        <v>2011</v>
      </c>
    </row>
    <row r="44" spans="1:17">
      <c r="A44" s="9" t="s">
        <v>99</v>
      </c>
      <c r="B44" s="11">
        <v>143</v>
      </c>
      <c r="C44" s="11">
        <v>143</v>
      </c>
      <c r="D44" s="11">
        <v>64</v>
      </c>
      <c r="E44" s="11">
        <v>61</v>
      </c>
      <c r="F44" s="11">
        <v>18</v>
      </c>
      <c r="G44" s="21">
        <v>0</v>
      </c>
      <c r="H44" s="22">
        <v>5.0247724797076497E-3</v>
      </c>
      <c r="I44" s="22">
        <v>8.0652288638410576E-6</v>
      </c>
      <c r="J44" s="14" t="s">
        <v>49</v>
      </c>
      <c r="K44" s="15">
        <v>2011</v>
      </c>
      <c r="L44" s="16">
        <v>0.1</v>
      </c>
      <c r="M44" s="23">
        <v>0.24851999999999999</v>
      </c>
      <c r="N44" s="18">
        <v>0.40238210204410113</v>
      </c>
      <c r="O44" s="19">
        <v>0</v>
      </c>
      <c r="P44" s="20" t="s">
        <v>51</v>
      </c>
      <c r="Q44" s="15">
        <v>2007</v>
      </c>
    </row>
    <row r="45" spans="1:17">
      <c r="A45" s="9" t="s">
        <v>100</v>
      </c>
      <c r="B45" s="11">
        <v>200</v>
      </c>
      <c r="C45" s="11">
        <v>200</v>
      </c>
      <c r="D45" s="11">
        <v>75</v>
      </c>
      <c r="E45" s="11">
        <v>125</v>
      </c>
      <c r="F45" s="11">
        <v>0</v>
      </c>
      <c r="G45" s="21">
        <v>0</v>
      </c>
      <c r="H45" s="22">
        <v>1.0586441203699537E-4</v>
      </c>
      <c r="I45" s="22">
        <v>1.1280040369008472E-5</v>
      </c>
      <c r="J45" s="14" t="s">
        <v>49</v>
      </c>
      <c r="K45" s="15">
        <v>2012</v>
      </c>
      <c r="L45" s="16">
        <v>0.2</v>
      </c>
      <c r="M45" s="23">
        <v>0.38850000000000001</v>
      </c>
      <c r="N45" s="18">
        <v>0.51480051480051481</v>
      </c>
      <c r="O45" s="19">
        <v>0</v>
      </c>
      <c r="P45" s="20" t="s">
        <v>49</v>
      </c>
      <c r="Q45" s="15">
        <v>2012</v>
      </c>
    </row>
    <row r="46" spans="1:17">
      <c r="A46" s="9" t="s">
        <v>101</v>
      </c>
      <c r="B46" s="11">
        <v>261</v>
      </c>
      <c r="C46" s="11">
        <v>261</v>
      </c>
      <c r="D46" s="11">
        <v>221</v>
      </c>
      <c r="E46" s="11">
        <v>39</v>
      </c>
      <c r="F46" s="11">
        <v>1</v>
      </c>
      <c r="G46" s="21">
        <v>0</v>
      </c>
      <c r="H46" s="22">
        <v>6.6929426637911806E-4</v>
      </c>
      <c r="I46" s="22">
        <v>1.4720452681556056E-5</v>
      </c>
      <c r="J46" s="14" t="s">
        <v>55</v>
      </c>
      <c r="K46" s="15">
        <v>2013</v>
      </c>
      <c r="L46" s="16">
        <v>5.5449999999999999E-2</v>
      </c>
      <c r="M46" s="23">
        <v>0.15978000000000001</v>
      </c>
      <c r="N46" s="18">
        <v>0.34703967955939413</v>
      </c>
      <c r="O46" s="19">
        <v>0</v>
      </c>
      <c r="P46" s="20" t="s">
        <v>95</v>
      </c>
      <c r="Q46" s="15">
        <v>2007</v>
      </c>
    </row>
    <row r="47" spans="1:17">
      <c r="A47" s="9" t="s">
        <v>102</v>
      </c>
      <c r="B47" s="11">
        <v>54</v>
      </c>
      <c r="C47" s="11">
        <v>54</v>
      </c>
      <c r="D47" s="11">
        <v>7</v>
      </c>
      <c r="E47" s="11">
        <v>47</v>
      </c>
      <c r="F47" s="11">
        <v>0</v>
      </c>
      <c r="G47" s="21">
        <v>0</v>
      </c>
      <c r="H47" s="22">
        <v>1.6599857364188575E-4</v>
      </c>
      <c r="I47" s="22">
        <v>3.0456108996322876E-6</v>
      </c>
      <c r="J47" s="14" t="s">
        <v>58</v>
      </c>
      <c r="K47" s="15">
        <v>2011</v>
      </c>
      <c r="L47" s="16">
        <v>0.02</v>
      </c>
      <c r="M47" s="23">
        <v>0.14226</v>
      </c>
      <c r="N47" s="18">
        <v>0.14058765640376775</v>
      </c>
      <c r="O47" s="19">
        <v>0</v>
      </c>
      <c r="P47" s="20" t="s">
        <v>51</v>
      </c>
      <c r="Q47" s="15">
        <v>2007</v>
      </c>
    </row>
    <row r="48" spans="1:17">
      <c r="A48" s="9" t="s">
        <v>103</v>
      </c>
      <c r="B48" s="11">
        <v>53783</v>
      </c>
      <c r="C48" s="11">
        <v>53723</v>
      </c>
      <c r="D48" s="11">
        <v>53129</v>
      </c>
      <c r="E48" s="11">
        <v>594</v>
      </c>
      <c r="F48" s="11">
        <v>0</v>
      </c>
      <c r="G48" s="21">
        <v>60</v>
      </c>
      <c r="H48" s="22">
        <v>5.5735578290731337E-3</v>
      </c>
      <c r="I48" s="22">
        <v>3.0333720558319132E-3</v>
      </c>
      <c r="J48" s="14" t="s">
        <v>95</v>
      </c>
      <c r="K48" s="15">
        <v>2012</v>
      </c>
      <c r="L48" s="16">
        <v>14.8</v>
      </c>
      <c r="M48" s="23">
        <v>11.350619999999999</v>
      </c>
      <c r="N48" s="18">
        <v>1.3038935318070732</v>
      </c>
      <c r="O48" s="19">
        <v>0</v>
      </c>
      <c r="P48" s="20" t="s">
        <v>95</v>
      </c>
      <c r="Q48" s="15">
        <v>2012</v>
      </c>
    </row>
    <row r="49" spans="1:17">
      <c r="A49" s="9" t="s">
        <v>104</v>
      </c>
      <c r="B49" s="11">
        <v>2608</v>
      </c>
      <c r="C49" s="11">
        <v>2600</v>
      </c>
      <c r="D49" s="11">
        <v>2569</v>
      </c>
      <c r="E49" s="11">
        <v>31</v>
      </c>
      <c r="F49" s="11">
        <v>0</v>
      </c>
      <c r="G49" s="21">
        <v>8</v>
      </c>
      <c r="H49" s="22">
        <v>8.5793426850808399E-5</v>
      </c>
      <c r="I49" s="22">
        <v>1.4709172641187048E-4</v>
      </c>
      <c r="J49" s="14" t="s">
        <v>62</v>
      </c>
      <c r="K49" s="15">
        <v>2012</v>
      </c>
      <c r="L49" s="16">
        <v>1.37</v>
      </c>
      <c r="M49" s="23">
        <v>0.55613999999999997</v>
      </c>
      <c r="N49" s="18">
        <v>2.4634084942640344</v>
      </c>
      <c r="O49" s="19">
        <v>0</v>
      </c>
      <c r="P49" s="20" t="s">
        <v>62</v>
      </c>
      <c r="Q49" s="15">
        <v>2012</v>
      </c>
    </row>
    <row r="50" spans="1:17">
      <c r="A50" s="9" t="s">
        <v>105</v>
      </c>
      <c r="B50" s="11">
        <v>2200</v>
      </c>
      <c r="C50" s="11">
        <v>2200</v>
      </c>
      <c r="D50" s="11">
        <v>2200</v>
      </c>
      <c r="E50" s="11">
        <v>0</v>
      </c>
      <c r="F50" s="11">
        <v>0</v>
      </c>
      <c r="G50" s="21">
        <v>0</v>
      </c>
      <c r="H50" s="22">
        <v>4.1647735877631377E-3</v>
      </c>
      <c r="I50" s="22">
        <v>1.240804440590932E-4</v>
      </c>
      <c r="J50" s="14" t="s">
        <v>53</v>
      </c>
      <c r="K50" s="15">
        <v>2011</v>
      </c>
      <c r="L50" s="16">
        <v>0.38</v>
      </c>
      <c r="M50" s="23">
        <v>0.39600000000000002</v>
      </c>
      <c r="N50" s="18">
        <v>0.95959595959595956</v>
      </c>
      <c r="O50" s="19">
        <v>0</v>
      </c>
      <c r="P50" s="20" t="s">
        <v>55</v>
      </c>
      <c r="Q50" s="15">
        <v>2011</v>
      </c>
    </row>
    <row r="51" spans="1:17">
      <c r="A51" s="9" t="s">
        <v>106</v>
      </c>
      <c r="B51" s="11">
        <v>661</v>
      </c>
      <c r="C51" s="11">
        <v>650</v>
      </c>
      <c r="D51" s="11">
        <v>500</v>
      </c>
      <c r="E51" s="11">
        <v>150</v>
      </c>
      <c r="F51" s="11">
        <v>0</v>
      </c>
      <c r="G51" s="21">
        <v>11</v>
      </c>
      <c r="H51" s="22">
        <v>2.0894274968658588E-3</v>
      </c>
      <c r="I51" s="22">
        <v>3.7280533419573E-5</v>
      </c>
      <c r="J51" s="14" t="s">
        <v>95</v>
      </c>
      <c r="K51" s="15">
        <v>2012</v>
      </c>
      <c r="L51" s="16">
        <v>0.24</v>
      </c>
      <c r="M51" s="23">
        <v>0.54098999999999997</v>
      </c>
      <c r="N51" s="18">
        <v>0.44363112072311872</v>
      </c>
      <c r="O51" s="19">
        <v>0</v>
      </c>
      <c r="P51" s="20" t="s">
        <v>95</v>
      </c>
      <c r="Q51" s="15">
        <v>2012</v>
      </c>
    </row>
    <row r="52" spans="1:17">
      <c r="A52" s="9" t="s">
        <v>107</v>
      </c>
      <c r="B52" s="11">
        <v>30005</v>
      </c>
      <c r="C52" s="11">
        <v>30005</v>
      </c>
      <c r="D52" s="11">
        <v>26526</v>
      </c>
      <c r="E52" s="11">
        <v>3475</v>
      </c>
      <c r="F52" s="11">
        <v>4</v>
      </c>
      <c r="G52" s="21">
        <v>0</v>
      </c>
      <c r="H52" s="22">
        <v>8.0249158861507686E-2</v>
      </c>
      <c r="I52" s="22">
        <v>1.692288056360496E-3</v>
      </c>
      <c r="J52" s="14" t="s">
        <v>62</v>
      </c>
      <c r="K52" s="15">
        <v>2012</v>
      </c>
      <c r="L52" s="16">
        <v>0</v>
      </c>
      <c r="M52" s="23">
        <v>15.211679999999999</v>
      </c>
      <c r="N52" s="18">
        <v>0</v>
      </c>
      <c r="O52" s="19">
        <v>0</v>
      </c>
      <c r="P52" s="20">
        <v>0</v>
      </c>
      <c r="Q52" s="15">
        <v>0</v>
      </c>
    </row>
    <row r="53" spans="1:17">
      <c r="A53" s="9" t="s">
        <v>108</v>
      </c>
      <c r="B53" s="11">
        <v>6680</v>
      </c>
      <c r="C53" s="11">
        <v>6677</v>
      </c>
      <c r="D53" s="11">
        <v>5650</v>
      </c>
      <c r="E53" s="11">
        <v>686</v>
      </c>
      <c r="F53" s="11">
        <v>341</v>
      </c>
      <c r="G53" s="21">
        <v>3</v>
      </c>
      <c r="H53" s="22">
        <v>7.452817426176143E-4</v>
      </c>
      <c r="I53" s="22">
        <v>3.7675334832488301E-4</v>
      </c>
      <c r="J53" s="14" t="s">
        <v>55</v>
      </c>
      <c r="K53" s="15">
        <v>2013</v>
      </c>
      <c r="L53" s="16">
        <v>0</v>
      </c>
      <c r="M53" s="23">
        <v>4.0982700000000003</v>
      </c>
      <c r="N53" s="18">
        <v>0</v>
      </c>
      <c r="O53" s="19">
        <v>0.5</v>
      </c>
      <c r="P53" s="20" t="s">
        <v>55</v>
      </c>
      <c r="Q53" s="15">
        <v>2013</v>
      </c>
    </row>
    <row r="54" spans="1:17">
      <c r="A54" s="9" t="s">
        <v>109</v>
      </c>
      <c r="B54" s="11">
        <v>201</v>
      </c>
      <c r="C54" s="11">
        <v>164</v>
      </c>
      <c r="D54" s="11">
        <v>19</v>
      </c>
      <c r="E54" s="11">
        <v>61</v>
      </c>
      <c r="F54" s="11">
        <v>84</v>
      </c>
      <c r="G54" s="21">
        <v>37</v>
      </c>
      <c r="H54" s="22">
        <v>5.2908209418435544E-5</v>
      </c>
      <c r="I54" s="22">
        <v>1.1336440570853514E-5</v>
      </c>
      <c r="J54" s="14" t="s">
        <v>49</v>
      </c>
      <c r="K54" s="15">
        <v>2010</v>
      </c>
      <c r="L54" s="16">
        <v>0</v>
      </c>
      <c r="M54" s="23">
        <v>0.44174999999999998</v>
      </c>
      <c r="N54" s="18">
        <v>0</v>
      </c>
      <c r="O54" s="19">
        <v>0</v>
      </c>
      <c r="P54" s="20">
        <v>0</v>
      </c>
      <c r="Q54" s="15">
        <v>0</v>
      </c>
    </row>
    <row r="55" spans="1:17">
      <c r="A55" s="9" t="s">
        <v>110</v>
      </c>
      <c r="B55" s="11">
        <v>2210</v>
      </c>
      <c r="C55" s="11">
        <v>2210</v>
      </c>
      <c r="D55" s="11">
        <v>1923</v>
      </c>
      <c r="E55" s="11">
        <v>0</v>
      </c>
      <c r="F55" s="11">
        <v>287</v>
      </c>
      <c r="G55" s="21">
        <v>0</v>
      </c>
      <c r="H55" s="22">
        <v>3.8864078600400775E-4</v>
      </c>
      <c r="I55" s="22">
        <v>1.2464444607754362E-4</v>
      </c>
      <c r="J55" s="14" t="s">
        <v>55</v>
      </c>
      <c r="K55" s="15">
        <v>2013</v>
      </c>
      <c r="L55" s="16">
        <v>0</v>
      </c>
      <c r="M55" s="23">
        <v>1.2071400000000001</v>
      </c>
      <c r="N55" s="18">
        <v>0</v>
      </c>
      <c r="O55" s="19">
        <v>0</v>
      </c>
      <c r="P55" s="20">
        <v>0</v>
      </c>
      <c r="Q55" s="15">
        <v>0</v>
      </c>
    </row>
    <row r="56" spans="1:17">
      <c r="A56" s="9" t="s">
        <v>111</v>
      </c>
      <c r="B56" s="11">
        <v>877</v>
      </c>
      <c r="C56" s="11">
        <v>876</v>
      </c>
      <c r="D56" s="11">
        <v>353</v>
      </c>
      <c r="E56" s="11">
        <v>514</v>
      </c>
      <c r="F56" s="11">
        <v>9</v>
      </c>
      <c r="G56" s="21">
        <v>1</v>
      </c>
      <c r="H56" s="22">
        <v>2.8890419890592378E-4</v>
      </c>
      <c r="I56" s="22">
        <v>4.9462977018102152E-5</v>
      </c>
      <c r="J56" s="14" t="s">
        <v>55</v>
      </c>
      <c r="K56" s="15">
        <v>2012</v>
      </c>
      <c r="L56" s="16">
        <v>1.6040000000000001</v>
      </c>
      <c r="M56" s="23">
        <v>1.63263</v>
      </c>
      <c r="N56" s="18">
        <v>0.98246387730226692</v>
      </c>
      <c r="O56" s="19">
        <v>0.1</v>
      </c>
      <c r="P56" s="20" t="s">
        <v>55</v>
      </c>
      <c r="Q56" s="15">
        <v>2012</v>
      </c>
    </row>
    <row r="57" spans="1:17">
      <c r="A57" s="9" t="s">
        <v>112</v>
      </c>
      <c r="B57" s="11">
        <v>2790000</v>
      </c>
      <c r="C57" s="11">
        <v>2610000</v>
      </c>
      <c r="D57" s="11">
        <v>2609500</v>
      </c>
      <c r="E57" s="11">
        <v>500</v>
      </c>
      <c r="F57" s="11">
        <v>0</v>
      </c>
      <c r="G57" s="21">
        <v>180000</v>
      </c>
      <c r="H57" s="22">
        <v>0.79670329670329665</v>
      </c>
      <c r="I57" s="22">
        <v>0.15735656314766819</v>
      </c>
      <c r="J57" s="14" t="s">
        <v>93</v>
      </c>
      <c r="K57" s="15">
        <v>2012</v>
      </c>
      <c r="L57" s="16">
        <v>245.75</v>
      </c>
      <c r="M57" s="23">
        <v>487.41</v>
      </c>
      <c r="N57" s="18">
        <v>0.5041956463757411</v>
      </c>
      <c r="O57" s="19">
        <v>0</v>
      </c>
      <c r="P57" s="20" t="s">
        <v>93</v>
      </c>
      <c r="Q57" s="15">
        <v>2013</v>
      </c>
    </row>
    <row r="58" spans="1:17">
      <c r="A58" s="9" t="s">
        <v>113</v>
      </c>
      <c r="B58" s="11">
        <v>15</v>
      </c>
      <c r="C58" s="11">
        <v>15</v>
      </c>
      <c r="D58" s="11">
        <v>15</v>
      </c>
      <c r="E58" s="11">
        <v>0</v>
      </c>
      <c r="F58" s="11">
        <v>0</v>
      </c>
      <c r="G58" s="21">
        <v>0</v>
      </c>
      <c r="H58" s="22">
        <v>2.3391156271636819E-5</v>
      </c>
      <c r="I58" s="22">
        <v>8.4600302767563541E-7</v>
      </c>
      <c r="J58" s="14" t="s">
        <v>114</v>
      </c>
      <c r="K58" s="15">
        <v>2008</v>
      </c>
      <c r="L58" s="16">
        <v>0</v>
      </c>
      <c r="M58" s="23">
        <v>2.7000000000000001E-3</v>
      </c>
      <c r="N58" s="18">
        <v>0</v>
      </c>
      <c r="O58" s="19">
        <v>0</v>
      </c>
      <c r="P58" s="20">
        <v>0</v>
      </c>
      <c r="Q58" s="15">
        <v>0</v>
      </c>
    </row>
    <row r="59" spans="1:17">
      <c r="A59" s="9" t="s">
        <v>115</v>
      </c>
      <c r="B59" s="11">
        <v>2</v>
      </c>
      <c r="C59" s="11">
        <v>2</v>
      </c>
      <c r="D59" s="11">
        <v>2</v>
      </c>
      <c r="E59" s="11">
        <v>0</v>
      </c>
      <c r="F59" s="11">
        <v>0</v>
      </c>
      <c r="G59" s="21">
        <v>0</v>
      </c>
      <c r="H59" s="22">
        <v>3.7134963310656248E-6</v>
      </c>
      <c r="I59" s="22">
        <v>1.1280040369008473E-7</v>
      </c>
      <c r="J59" s="14" t="s">
        <v>51</v>
      </c>
      <c r="K59" s="15">
        <v>2011</v>
      </c>
      <c r="L59" s="16">
        <v>0</v>
      </c>
      <c r="M59" s="23">
        <v>3.6000000000000002E-4</v>
      </c>
      <c r="N59" s="18">
        <v>0</v>
      </c>
      <c r="O59" s="19">
        <v>0</v>
      </c>
      <c r="P59" s="20">
        <v>0</v>
      </c>
      <c r="Q59" s="15">
        <v>0</v>
      </c>
    </row>
    <row r="60" spans="1:17">
      <c r="A60" s="9" t="s">
        <v>116</v>
      </c>
      <c r="B60" s="11">
        <v>157973</v>
      </c>
      <c r="C60" s="11">
        <v>157973</v>
      </c>
      <c r="D60" s="11">
        <v>157962</v>
      </c>
      <c r="E60" s="11">
        <v>11</v>
      </c>
      <c r="F60" s="11">
        <v>0</v>
      </c>
      <c r="G60" s="21">
        <v>0</v>
      </c>
      <c r="H60" s="22">
        <v>0.10494480819719178</v>
      </c>
      <c r="I60" s="22">
        <v>8.9097090860668776E-3</v>
      </c>
      <c r="J60" s="14" t="s">
        <v>51</v>
      </c>
      <c r="K60" s="15">
        <v>2013</v>
      </c>
      <c r="L60" s="16">
        <v>18.559999999999999</v>
      </c>
      <c r="M60" s="23">
        <v>28.466159999999999</v>
      </c>
      <c r="N60" s="18">
        <v>0.65200223704215809</v>
      </c>
      <c r="O60" s="19">
        <v>0</v>
      </c>
      <c r="P60" s="20" t="s">
        <v>62</v>
      </c>
      <c r="Q60" s="15">
        <v>2012</v>
      </c>
    </row>
    <row r="61" spans="1:17">
      <c r="A61" s="9" t="s">
        <v>117</v>
      </c>
      <c r="B61" s="11">
        <v>71</v>
      </c>
      <c r="C61" s="11">
        <v>71</v>
      </c>
      <c r="D61" s="11">
        <v>11</v>
      </c>
      <c r="E61" s="11">
        <v>60</v>
      </c>
      <c r="F61" s="11">
        <v>0</v>
      </c>
      <c r="G61" s="21">
        <v>0</v>
      </c>
      <c r="H61" s="22">
        <v>2.2209709709709709E-5</v>
      </c>
      <c r="I61" s="22">
        <v>4.0044143309980075E-6</v>
      </c>
      <c r="J61" s="14" t="s">
        <v>64</v>
      </c>
      <c r="K61" s="15">
        <v>2011</v>
      </c>
      <c r="L61" s="16">
        <v>0</v>
      </c>
      <c r="M61" s="23">
        <v>0.18198</v>
      </c>
      <c r="N61" s="18">
        <v>0</v>
      </c>
      <c r="O61" s="19">
        <v>0</v>
      </c>
      <c r="P61" s="20">
        <v>0</v>
      </c>
      <c r="Q61" s="15">
        <v>0</v>
      </c>
    </row>
    <row r="62" spans="1:17">
      <c r="A62" s="9" t="s">
        <v>118</v>
      </c>
      <c r="B62" s="11">
        <v>3392</v>
      </c>
      <c r="C62" s="11">
        <v>3350</v>
      </c>
      <c r="D62" s="11">
        <v>3000</v>
      </c>
      <c r="E62" s="11">
        <v>320</v>
      </c>
      <c r="F62" s="11">
        <v>30</v>
      </c>
      <c r="G62" s="21">
        <v>42</v>
      </c>
      <c r="H62" s="22">
        <v>1.7544871270137126E-4</v>
      </c>
      <c r="I62" s="22">
        <v>1.9130948465838371E-4</v>
      </c>
      <c r="J62" s="14" t="s">
        <v>55</v>
      </c>
      <c r="K62" s="15">
        <v>2013</v>
      </c>
      <c r="L62" s="16">
        <v>1.167</v>
      </c>
      <c r="M62" s="23">
        <v>1.59378</v>
      </c>
      <c r="N62" s="18">
        <v>0.73222151112449652</v>
      </c>
      <c r="O62" s="19">
        <v>0</v>
      </c>
      <c r="P62" s="20" t="s">
        <v>55</v>
      </c>
      <c r="Q62" s="15">
        <v>2013</v>
      </c>
    </row>
    <row r="63" spans="1:17">
      <c r="A63" s="9" t="s">
        <v>119</v>
      </c>
      <c r="B63" s="11">
        <v>586</v>
      </c>
      <c r="C63" s="11">
        <v>486</v>
      </c>
      <c r="D63" s="11">
        <v>46</v>
      </c>
      <c r="E63" s="11">
        <v>354</v>
      </c>
      <c r="F63" s="11">
        <v>86</v>
      </c>
      <c r="G63" s="21">
        <v>100</v>
      </c>
      <c r="H63" s="22">
        <v>8.4413103136832604E-5</v>
      </c>
      <c r="I63" s="22">
        <v>3.3050518281194827E-5</v>
      </c>
      <c r="J63" s="14" t="s">
        <v>49</v>
      </c>
      <c r="K63" s="15">
        <v>2011</v>
      </c>
      <c r="L63" s="16">
        <v>1.1599999999999999</v>
      </c>
      <c r="M63" s="23">
        <v>1.33728</v>
      </c>
      <c r="N63" s="18">
        <v>0.86743240009571665</v>
      </c>
      <c r="O63" s="19">
        <v>0</v>
      </c>
      <c r="P63" s="20" t="s">
        <v>49</v>
      </c>
      <c r="Q63" s="15">
        <v>2010</v>
      </c>
    </row>
    <row r="64" spans="1:17">
      <c r="A64" s="9" t="s">
        <v>120</v>
      </c>
      <c r="B64" s="11">
        <v>90050</v>
      </c>
      <c r="C64" s="11">
        <v>90000</v>
      </c>
      <c r="D64" s="11">
        <v>65000</v>
      </c>
      <c r="E64" s="11">
        <v>10000</v>
      </c>
      <c r="F64" s="11">
        <v>15000</v>
      </c>
      <c r="G64" s="21">
        <v>50</v>
      </c>
      <c r="H64" s="22">
        <v>2.5384127423581297E-3</v>
      </c>
      <c r="I64" s="22">
        <v>5.0788381761460652E-3</v>
      </c>
      <c r="J64" s="14" t="s">
        <v>55</v>
      </c>
      <c r="K64" s="15">
        <v>2013</v>
      </c>
      <c r="L64" s="16">
        <v>30.4</v>
      </c>
      <c r="M64" s="23">
        <v>86.704499999999996</v>
      </c>
      <c r="N64" s="18">
        <v>0.35061617332433725</v>
      </c>
      <c r="O64" s="19">
        <v>0</v>
      </c>
      <c r="P64" s="20" t="s">
        <v>49</v>
      </c>
      <c r="Q64" s="15">
        <v>2011</v>
      </c>
    </row>
    <row r="65" spans="1:17">
      <c r="A65" s="9" t="s">
        <v>121</v>
      </c>
      <c r="B65" s="11">
        <v>838</v>
      </c>
      <c r="C65" s="11">
        <v>838</v>
      </c>
      <c r="D65" s="11">
        <v>788</v>
      </c>
      <c r="E65" s="11">
        <v>50</v>
      </c>
      <c r="F65" s="11">
        <v>0</v>
      </c>
      <c r="G65" s="21">
        <v>0</v>
      </c>
      <c r="H65" s="22">
        <v>4.510364419145259E-4</v>
      </c>
      <c r="I65" s="22">
        <v>4.72633691461455E-5</v>
      </c>
      <c r="J65" s="14" t="s">
        <v>122</v>
      </c>
      <c r="K65" s="15">
        <v>2012</v>
      </c>
      <c r="L65" s="16">
        <v>0.31</v>
      </c>
      <c r="M65" s="23">
        <v>0.29183999999999999</v>
      </c>
      <c r="N65" s="18">
        <v>1.0622258771929824</v>
      </c>
      <c r="O65" s="19">
        <v>0</v>
      </c>
      <c r="P65" s="20" t="s">
        <v>64</v>
      </c>
      <c r="Q65" s="15">
        <v>2012</v>
      </c>
    </row>
    <row r="66" spans="1:17">
      <c r="A66" s="9" t="s">
        <v>123</v>
      </c>
      <c r="B66" s="11">
        <v>5522</v>
      </c>
      <c r="C66" s="11">
        <v>5522</v>
      </c>
      <c r="D66" s="11">
        <v>5508</v>
      </c>
      <c r="E66" s="11">
        <v>14</v>
      </c>
      <c r="F66" s="11">
        <v>0</v>
      </c>
      <c r="G66" s="21">
        <v>0</v>
      </c>
      <c r="H66" s="22">
        <v>5.7810911626358513E-3</v>
      </c>
      <c r="I66" s="22">
        <v>3.1144191458832394E-4</v>
      </c>
      <c r="J66" s="14" t="s">
        <v>49</v>
      </c>
      <c r="K66" s="15">
        <v>2011</v>
      </c>
      <c r="L66" s="16">
        <v>1.0334399999999999</v>
      </c>
      <c r="M66" s="23">
        <v>1.0334399999999999</v>
      </c>
      <c r="N66" s="18">
        <v>1</v>
      </c>
      <c r="O66" s="19">
        <v>0</v>
      </c>
      <c r="P66" s="20" t="s">
        <v>49</v>
      </c>
      <c r="Q66" s="15">
        <v>2011</v>
      </c>
    </row>
    <row r="67" spans="1:17">
      <c r="A67" s="9" t="s">
        <v>124</v>
      </c>
      <c r="B67" s="11">
        <v>1284</v>
      </c>
      <c r="C67" s="11">
        <v>1284</v>
      </c>
      <c r="D67" s="11">
        <v>900</v>
      </c>
      <c r="E67" s="11">
        <v>334</v>
      </c>
      <c r="F67" s="11">
        <v>50</v>
      </c>
      <c r="G67" s="21">
        <v>0</v>
      </c>
      <c r="H67" s="22">
        <v>6.2959786642816475E-4</v>
      </c>
      <c r="I67" s="22">
        <v>7.2417859169034387E-5</v>
      </c>
      <c r="J67" s="14" t="s">
        <v>55</v>
      </c>
      <c r="K67" s="15">
        <v>2013</v>
      </c>
      <c r="L67" s="16">
        <v>1</v>
      </c>
      <c r="M67" s="23">
        <v>1.3140000000000001</v>
      </c>
      <c r="N67" s="18">
        <v>0.76103500761035003</v>
      </c>
      <c r="O67" s="19">
        <v>0</v>
      </c>
      <c r="P67" s="20" t="s">
        <v>55</v>
      </c>
      <c r="Q67" s="15">
        <v>2013</v>
      </c>
    </row>
    <row r="68" spans="1:17">
      <c r="A68" s="9" t="s">
        <v>125</v>
      </c>
      <c r="B68" s="11">
        <v>48</v>
      </c>
      <c r="C68" s="11">
        <v>48</v>
      </c>
      <c r="D68" s="11">
        <v>23</v>
      </c>
      <c r="E68" s="11">
        <v>20</v>
      </c>
      <c r="F68" s="11">
        <v>5</v>
      </c>
      <c r="G68" s="21">
        <v>0</v>
      </c>
      <c r="H68" s="22">
        <v>4.1099479577839843E-5</v>
      </c>
      <c r="I68" s="22">
        <v>2.7072096885620336E-6</v>
      </c>
      <c r="J68" s="14" t="s">
        <v>55</v>
      </c>
      <c r="K68" s="15">
        <v>2013</v>
      </c>
      <c r="L68" s="16">
        <v>7.4999999999999997E-2</v>
      </c>
      <c r="M68" s="23">
        <v>7.9140000000000002E-2</v>
      </c>
      <c r="N68" s="18">
        <v>0.94768764215314627</v>
      </c>
      <c r="O68" s="19">
        <v>0</v>
      </c>
      <c r="P68" s="20" t="s">
        <v>55</v>
      </c>
      <c r="Q68" s="15">
        <v>2012</v>
      </c>
    </row>
    <row r="69" spans="1:17">
      <c r="A69" s="9" t="s">
        <v>126</v>
      </c>
      <c r="B69" s="11">
        <v>24</v>
      </c>
      <c r="C69" s="11">
        <v>23</v>
      </c>
      <c r="D69" s="11">
        <v>21</v>
      </c>
      <c r="E69" s="11">
        <v>2</v>
      </c>
      <c r="F69" s="11">
        <v>0</v>
      </c>
      <c r="G69" s="21">
        <v>1</v>
      </c>
      <c r="H69" s="22">
        <v>2.8664936800045862E-6</v>
      </c>
      <c r="I69" s="22">
        <v>1.3536048442810168E-6</v>
      </c>
      <c r="J69" s="14" t="s">
        <v>127</v>
      </c>
      <c r="K69" s="15">
        <v>2010</v>
      </c>
      <c r="L69" s="16">
        <v>0</v>
      </c>
      <c r="M69" s="23">
        <v>9.8700000000000003E-3</v>
      </c>
      <c r="N69" s="18">
        <v>0</v>
      </c>
      <c r="O69" s="19">
        <v>0</v>
      </c>
      <c r="P69" s="20">
        <v>0</v>
      </c>
      <c r="Q69" s="15">
        <v>0</v>
      </c>
    </row>
    <row r="70" spans="1:17">
      <c r="A70" s="9" t="s">
        <v>128</v>
      </c>
      <c r="B70" s="11">
        <v>3781</v>
      </c>
      <c r="C70" s="11">
        <v>3644</v>
      </c>
      <c r="D70" s="11">
        <v>859</v>
      </c>
      <c r="E70" s="11">
        <v>1547</v>
      </c>
      <c r="F70" s="11">
        <v>1238</v>
      </c>
      <c r="G70" s="21">
        <v>137</v>
      </c>
      <c r="H70" s="22">
        <v>1.2730874176096008E-4</v>
      </c>
      <c r="I70" s="22">
        <v>2.1324916317610519E-4</v>
      </c>
      <c r="J70" s="14" t="s">
        <v>55</v>
      </c>
      <c r="K70" s="15">
        <v>2013</v>
      </c>
      <c r="L70" s="16">
        <v>7.8385999999999996</v>
      </c>
      <c r="M70" s="23">
        <v>8.5219500000000004</v>
      </c>
      <c r="N70" s="18">
        <v>0.91981295360803561</v>
      </c>
      <c r="O70" s="19">
        <v>0</v>
      </c>
      <c r="P70" s="20" t="s">
        <v>55</v>
      </c>
      <c r="Q70" s="15">
        <v>2013</v>
      </c>
    </row>
    <row r="71" spans="1:17">
      <c r="A71" s="9" t="s">
        <v>129</v>
      </c>
      <c r="B71" s="11">
        <v>44321</v>
      </c>
      <c r="C71" s="11">
        <v>44319</v>
      </c>
      <c r="D71" s="11">
        <v>41820</v>
      </c>
      <c r="E71" s="11">
        <v>1851</v>
      </c>
      <c r="F71" s="11">
        <v>648</v>
      </c>
      <c r="G71" s="21">
        <v>2</v>
      </c>
      <c r="H71" s="22">
        <v>9.2279957723498691E-3</v>
      </c>
      <c r="I71" s="22">
        <v>2.4997133459741224E-3</v>
      </c>
      <c r="J71" s="14" t="s">
        <v>55</v>
      </c>
      <c r="K71" s="15">
        <v>2013</v>
      </c>
      <c r="L71" s="16">
        <v>11.7</v>
      </c>
      <c r="M71" s="23">
        <v>15.02478</v>
      </c>
      <c r="N71" s="18">
        <v>0.77871356519030555</v>
      </c>
      <c r="O71" s="19">
        <v>0.6</v>
      </c>
      <c r="P71" s="20" t="s">
        <v>55</v>
      </c>
      <c r="Q71" s="15">
        <v>2013</v>
      </c>
    </row>
    <row r="72" spans="1:17">
      <c r="A72" s="9" t="s">
        <v>130</v>
      </c>
      <c r="B72" s="11">
        <v>11058</v>
      </c>
      <c r="C72" s="11">
        <v>10998</v>
      </c>
      <c r="D72" s="11">
        <v>8126</v>
      </c>
      <c r="E72" s="11">
        <v>2572</v>
      </c>
      <c r="F72" s="11">
        <v>300</v>
      </c>
      <c r="G72" s="21">
        <v>60</v>
      </c>
      <c r="H72" s="22">
        <v>2.3525490975370962E-3</v>
      </c>
      <c r="I72" s="22">
        <v>6.2367343200247843E-4</v>
      </c>
      <c r="J72" s="14" t="s">
        <v>55</v>
      </c>
      <c r="K72" s="15">
        <v>2013</v>
      </c>
      <c r="L72" s="16">
        <v>1.61</v>
      </c>
      <c r="M72" s="23">
        <v>10.08408</v>
      </c>
      <c r="N72" s="18">
        <v>0.15965759890837836</v>
      </c>
      <c r="O72" s="19">
        <v>0.23300000000000001</v>
      </c>
      <c r="P72" s="20" t="s">
        <v>49</v>
      </c>
      <c r="Q72" s="15">
        <v>2011</v>
      </c>
    </row>
    <row r="73" spans="1:17">
      <c r="A73" s="9" t="s">
        <v>131</v>
      </c>
      <c r="B73" s="11">
        <v>4</v>
      </c>
      <c r="C73" s="11">
        <v>4</v>
      </c>
      <c r="D73" s="11">
        <v>0</v>
      </c>
      <c r="E73" s="11">
        <v>4</v>
      </c>
      <c r="F73" s="11">
        <v>0</v>
      </c>
      <c r="G73" s="21">
        <v>0</v>
      </c>
      <c r="H73" s="22">
        <v>6.0477774417901423E-7</v>
      </c>
      <c r="I73" s="22">
        <v>2.2560080738016945E-7</v>
      </c>
      <c r="J73" s="14" t="s">
        <v>62</v>
      </c>
      <c r="K73" s="15">
        <v>2005</v>
      </c>
      <c r="L73" s="16">
        <v>0</v>
      </c>
      <c r="M73" s="23">
        <v>1.2E-2</v>
      </c>
      <c r="N73" s="18">
        <v>0</v>
      </c>
      <c r="O73" s="19">
        <v>0</v>
      </c>
      <c r="P73" s="20">
        <v>0</v>
      </c>
      <c r="Q73" s="15">
        <v>0</v>
      </c>
    </row>
    <row r="74" spans="1:17">
      <c r="A74" s="9" t="s">
        <v>132</v>
      </c>
      <c r="B74" s="11">
        <v>10600</v>
      </c>
      <c r="C74" s="11">
        <v>10600</v>
      </c>
      <c r="D74" s="11">
        <v>10600</v>
      </c>
      <c r="E74" s="11">
        <v>0</v>
      </c>
      <c r="F74" s="11">
        <v>0</v>
      </c>
      <c r="G74" s="21">
        <v>0</v>
      </c>
      <c r="H74" s="22">
        <v>4.9647084170542415E-2</v>
      </c>
      <c r="I74" s="22">
        <v>5.9784213955744905E-4</v>
      </c>
      <c r="J74" s="14" t="s">
        <v>49</v>
      </c>
      <c r="K74" s="15">
        <v>2007</v>
      </c>
      <c r="L74" s="16">
        <v>4.13</v>
      </c>
      <c r="M74" s="23">
        <v>1.9079999999999999</v>
      </c>
      <c r="N74" s="18">
        <v>2.1645702306079664</v>
      </c>
      <c r="O74" s="19">
        <v>0</v>
      </c>
      <c r="P74" s="20" t="s">
        <v>49</v>
      </c>
      <c r="Q74" s="15">
        <v>2007</v>
      </c>
    </row>
    <row r="75" spans="1:17">
      <c r="A75" s="9" t="s">
        <v>133</v>
      </c>
      <c r="B75" s="11">
        <v>52</v>
      </c>
      <c r="C75" s="11">
        <v>52</v>
      </c>
      <c r="D75" s="11">
        <v>52</v>
      </c>
      <c r="E75" s="11">
        <v>0</v>
      </c>
      <c r="F75" s="11">
        <v>0</v>
      </c>
      <c r="G75" s="21">
        <v>0</v>
      </c>
      <c r="H75" s="22">
        <v>1.5412366764535196E-5</v>
      </c>
      <c r="I75" s="22">
        <v>2.9328104959422028E-6</v>
      </c>
      <c r="J75" s="14" t="s">
        <v>127</v>
      </c>
      <c r="K75" s="15">
        <v>2012</v>
      </c>
      <c r="L75" s="16">
        <v>0</v>
      </c>
      <c r="M75" s="23">
        <v>9.3600000000000003E-3</v>
      </c>
      <c r="N75" s="18">
        <v>0</v>
      </c>
      <c r="O75" s="19">
        <v>0</v>
      </c>
      <c r="P75" s="20" t="s">
        <v>134</v>
      </c>
      <c r="Q75" s="15">
        <v>2010</v>
      </c>
    </row>
    <row r="76" spans="1:17">
      <c r="A76" s="9" t="s">
        <v>135</v>
      </c>
      <c r="B76" s="11">
        <v>413047</v>
      </c>
      <c r="C76" s="11">
        <v>411285</v>
      </c>
      <c r="D76" s="11">
        <v>345881</v>
      </c>
      <c r="E76" s="11">
        <v>16261</v>
      </c>
      <c r="F76" s="11">
        <v>49143</v>
      </c>
      <c r="G76" s="21">
        <v>1762</v>
      </c>
      <c r="H76" s="22">
        <v>3.2734286511780279E-2</v>
      </c>
      <c r="I76" s="22">
        <v>2.3295934171489212E-2</v>
      </c>
      <c r="J76" s="14" t="s">
        <v>55</v>
      </c>
      <c r="K76" s="15">
        <v>2013</v>
      </c>
      <c r="L76" s="16">
        <v>285.17</v>
      </c>
      <c r="M76" s="23">
        <v>258.62916000000001</v>
      </c>
      <c r="N76" s="18">
        <v>1.1026212202831267</v>
      </c>
      <c r="O76" s="19">
        <v>0</v>
      </c>
      <c r="P76" s="20" t="s">
        <v>55</v>
      </c>
      <c r="Q76" s="15">
        <v>2013</v>
      </c>
    </row>
    <row r="77" spans="1:17">
      <c r="A77" s="9" t="s">
        <v>136</v>
      </c>
      <c r="B77" s="11">
        <v>3500</v>
      </c>
      <c r="C77" s="11">
        <v>3500</v>
      </c>
      <c r="D77" s="11">
        <v>3500</v>
      </c>
      <c r="E77" s="11">
        <v>0</v>
      </c>
      <c r="F77" s="11">
        <v>0</v>
      </c>
      <c r="G77" s="21">
        <v>0</v>
      </c>
      <c r="H77" s="22">
        <v>7.4082540650148377E-3</v>
      </c>
      <c r="I77" s="22">
        <v>1.9740070645764827E-4</v>
      </c>
      <c r="J77" s="14" t="s">
        <v>93</v>
      </c>
      <c r="K77" s="15">
        <v>2012</v>
      </c>
      <c r="L77" s="16">
        <v>0.8</v>
      </c>
      <c r="M77" s="23">
        <v>0.63</v>
      </c>
      <c r="N77" s="18">
        <v>1.26984126984127</v>
      </c>
      <c r="O77" s="19">
        <v>0</v>
      </c>
      <c r="P77" s="20" t="s">
        <v>127</v>
      </c>
      <c r="Q77" s="15">
        <v>2004</v>
      </c>
    </row>
    <row r="78" spans="1:17">
      <c r="A78" s="9" t="s">
        <v>137</v>
      </c>
      <c r="B78" s="11">
        <v>34</v>
      </c>
      <c r="C78" s="11">
        <v>34</v>
      </c>
      <c r="D78" s="11">
        <v>32</v>
      </c>
      <c r="E78" s="11">
        <v>2</v>
      </c>
      <c r="F78" s="11">
        <v>0</v>
      </c>
      <c r="G78" s="21">
        <v>0</v>
      </c>
      <c r="H78" s="22">
        <v>2.8152313954605221E-5</v>
      </c>
      <c r="I78" s="22">
        <v>1.9176068627314402E-6</v>
      </c>
      <c r="J78" s="14" t="s">
        <v>49</v>
      </c>
      <c r="K78" s="15">
        <v>2007</v>
      </c>
      <c r="L78" s="16">
        <v>0</v>
      </c>
      <c r="M78" s="23">
        <v>1.176E-2</v>
      </c>
      <c r="N78" s="18">
        <v>0</v>
      </c>
      <c r="O78" s="19">
        <v>0</v>
      </c>
      <c r="P78" s="20">
        <v>0</v>
      </c>
      <c r="Q78" s="15">
        <v>0</v>
      </c>
    </row>
    <row r="79" spans="1:17">
      <c r="A79" s="9" t="s">
        <v>138</v>
      </c>
      <c r="B79" s="11">
        <v>3850</v>
      </c>
      <c r="C79" s="11">
        <v>3850</v>
      </c>
      <c r="D79" s="11">
        <v>1850</v>
      </c>
      <c r="E79" s="11">
        <v>2000</v>
      </c>
      <c r="F79" s="11">
        <v>0</v>
      </c>
      <c r="G79" s="21">
        <v>0</v>
      </c>
      <c r="H79" s="22">
        <v>3.778089729140406E-4</v>
      </c>
      <c r="I79" s="22">
        <v>2.1714077710341311E-4</v>
      </c>
      <c r="J79" s="14" t="s">
        <v>49</v>
      </c>
      <c r="K79" s="15">
        <v>2011</v>
      </c>
      <c r="L79" s="16">
        <v>4.2</v>
      </c>
      <c r="M79" s="23">
        <v>6.3330000000000002</v>
      </c>
      <c r="N79" s="18">
        <v>0.66319279962103272</v>
      </c>
      <c r="O79" s="19">
        <v>0</v>
      </c>
      <c r="P79" s="20" t="s">
        <v>49</v>
      </c>
      <c r="Q79" s="15">
        <v>2011</v>
      </c>
    </row>
    <row r="80" spans="1:17">
      <c r="A80" s="9" t="s">
        <v>139</v>
      </c>
      <c r="B80" s="11">
        <v>388000</v>
      </c>
      <c r="C80" s="11">
        <v>387981</v>
      </c>
      <c r="D80" s="11">
        <v>19400</v>
      </c>
      <c r="E80" s="11">
        <v>232788</v>
      </c>
      <c r="F80" s="11">
        <v>135793</v>
      </c>
      <c r="G80" s="21">
        <v>19</v>
      </c>
      <c r="H80" s="22">
        <v>5.1333139281036236E-2</v>
      </c>
      <c r="I80" s="22">
        <v>2.1883278315876435E-2</v>
      </c>
      <c r="J80" s="14" t="s">
        <v>62</v>
      </c>
      <c r="K80" s="15">
        <v>2012</v>
      </c>
      <c r="L80" s="16">
        <v>83</v>
      </c>
      <c r="M80" s="23">
        <v>1109.2367099999999</v>
      </c>
      <c r="N80" s="18">
        <v>7.4826228929981961E-2</v>
      </c>
      <c r="O80" s="19">
        <v>0</v>
      </c>
      <c r="P80" s="20" t="s">
        <v>86</v>
      </c>
      <c r="Q80" s="15">
        <v>2009</v>
      </c>
    </row>
    <row r="81" spans="1:17">
      <c r="A81" s="9" t="s">
        <v>140</v>
      </c>
      <c r="B81" s="11">
        <v>2801</v>
      </c>
      <c r="C81" s="11">
        <v>2801</v>
      </c>
      <c r="D81" s="11">
        <v>2800</v>
      </c>
      <c r="E81" s="11">
        <v>1</v>
      </c>
      <c r="F81" s="11">
        <v>0</v>
      </c>
      <c r="G81" s="21">
        <v>0</v>
      </c>
      <c r="H81" s="22">
        <v>1.1340618158835864E-3</v>
      </c>
      <c r="I81" s="22">
        <v>1.5797696536796365E-4</v>
      </c>
      <c r="J81" s="14" t="s">
        <v>51</v>
      </c>
      <c r="K81" s="15">
        <v>2013</v>
      </c>
      <c r="L81" s="16">
        <v>0</v>
      </c>
      <c r="M81" s="23">
        <v>0.50700000000000001</v>
      </c>
      <c r="N81" s="18">
        <v>0</v>
      </c>
      <c r="O81" s="19">
        <v>0</v>
      </c>
      <c r="P81" s="20">
        <v>0</v>
      </c>
      <c r="Q81" s="15">
        <v>0</v>
      </c>
    </row>
    <row r="82" spans="1:17">
      <c r="A82" s="9" t="s">
        <v>141</v>
      </c>
      <c r="B82" s="11">
        <v>559</v>
      </c>
      <c r="C82" s="11">
        <v>519</v>
      </c>
      <c r="D82" s="11">
        <v>20</v>
      </c>
      <c r="E82" s="11">
        <v>3</v>
      </c>
      <c r="F82" s="11">
        <v>496</v>
      </c>
      <c r="G82" s="21">
        <v>40</v>
      </c>
      <c r="H82" s="22">
        <v>1.5062246693423292E-5</v>
      </c>
      <c r="I82" s="22">
        <v>3.152771283137868E-5</v>
      </c>
      <c r="J82" s="14" t="s">
        <v>49</v>
      </c>
      <c r="K82" s="15">
        <v>2011</v>
      </c>
      <c r="L82" s="16">
        <v>3</v>
      </c>
      <c r="M82" s="23">
        <v>1.5042</v>
      </c>
      <c r="N82" s="18">
        <v>1.9944156362185881</v>
      </c>
      <c r="O82" s="19">
        <v>0</v>
      </c>
      <c r="P82" s="20" t="s">
        <v>127</v>
      </c>
      <c r="Q82" s="15">
        <v>2010</v>
      </c>
    </row>
    <row r="83" spans="1:17">
      <c r="A83" s="9" t="s">
        <v>142</v>
      </c>
      <c r="B83" s="11">
        <v>250000</v>
      </c>
      <c r="C83" s="11">
        <v>250000</v>
      </c>
      <c r="D83" s="11">
        <v>231400</v>
      </c>
      <c r="E83" s="11">
        <v>14600</v>
      </c>
      <c r="F83" s="11">
        <v>4000</v>
      </c>
      <c r="G83" s="21">
        <v>0</v>
      </c>
      <c r="H83" s="22">
        <v>1.0073953375277676E-3</v>
      </c>
      <c r="I83" s="22">
        <v>1.4100050461260592E-2</v>
      </c>
      <c r="J83" s="14" t="s">
        <v>93</v>
      </c>
      <c r="K83" s="15">
        <v>2013</v>
      </c>
      <c r="L83" s="16">
        <v>77.52</v>
      </c>
      <c r="M83" s="23">
        <v>97.451999999999998</v>
      </c>
      <c r="N83" s="18">
        <v>0.7954685383573451</v>
      </c>
      <c r="O83" s="19">
        <v>0</v>
      </c>
      <c r="P83" s="20" t="s">
        <v>127</v>
      </c>
      <c r="Q83" s="15">
        <v>2012</v>
      </c>
    </row>
    <row r="84" spans="1:17">
      <c r="A84" s="9" t="s">
        <v>143</v>
      </c>
      <c r="B84" s="11">
        <v>450000</v>
      </c>
      <c r="C84" s="11">
        <v>450000</v>
      </c>
      <c r="D84" s="11">
        <v>450000</v>
      </c>
      <c r="E84" s="11">
        <v>0</v>
      </c>
      <c r="F84" s="11">
        <v>0</v>
      </c>
      <c r="G84" s="21">
        <v>0</v>
      </c>
      <c r="H84" s="22">
        <v>0.26470588235294118</v>
      </c>
      <c r="I84" s="22">
        <v>2.5380090830269063E-2</v>
      </c>
      <c r="J84" s="14" t="s">
        <v>86</v>
      </c>
      <c r="K84" s="15">
        <v>2011</v>
      </c>
      <c r="L84" s="16">
        <v>8.82</v>
      </c>
      <c r="M84" s="23">
        <v>81</v>
      </c>
      <c r="N84" s="18">
        <v>0.1088888888888889</v>
      </c>
      <c r="O84" s="19">
        <v>0</v>
      </c>
      <c r="P84" s="20" t="s">
        <v>53</v>
      </c>
      <c r="Q84" s="15">
        <v>2009</v>
      </c>
    </row>
    <row r="85" spans="1:17">
      <c r="A85" s="9" t="s">
        <v>144</v>
      </c>
      <c r="B85" s="11">
        <v>105890</v>
      </c>
      <c r="C85" s="11">
        <v>105890</v>
      </c>
      <c r="D85" s="11">
        <v>105890</v>
      </c>
      <c r="E85" s="11">
        <v>0</v>
      </c>
      <c r="F85" s="11">
        <v>0</v>
      </c>
      <c r="G85" s="21">
        <v>0</v>
      </c>
      <c r="H85" s="22">
        <v>2.1177999999999999E-2</v>
      </c>
      <c r="I85" s="22">
        <v>5.9722173733715361E-3</v>
      </c>
      <c r="J85" s="14" t="s">
        <v>49</v>
      </c>
      <c r="K85" s="15">
        <v>2011</v>
      </c>
      <c r="L85" s="24">
        <v>8.1520539999999997</v>
      </c>
      <c r="M85" s="23">
        <v>19.060199999999998</v>
      </c>
      <c r="N85" s="18">
        <v>0.42770033892613929</v>
      </c>
      <c r="O85" s="19">
        <v>0</v>
      </c>
      <c r="P85" s="20" t="s">
        <v>86</v>
      </c>
      <c r="Q85" s="15">
        <v>2008</v>
      </c>
    </row>
    <row r="86" spans="1:17">
      <c r="A86" s="9" t="s">
        <v>145</v>
      </c>
      <c r="B86" s="11">
        <v>462</v>
      </c>
      <c r="C86" s="11">
        <v>462</v>
      </c>
      <c r="D86" s="11">
        <v>400</v>
      </c>
      <c r="E86" s="11">
        <v>50</v>
      </c>
      <c r="F86" s="11">
        <v>12</v>
      </c>
      <c r="G86" s="21">
        <v>0</v>
      </c>
      <c r="H86" s="22">
        <v>3.9676303199095173E-4</v>
      </c>
      <c r="I86" s="22">
        <v>2.6056893252409573E-5</v>
      </c>
      <c r="J86" s="14" t="s">
        <v>95</v>
      </c>
      <c r="K86" s="15">
        <v>2012</v>
      </c>
      <c r="L86" s="16">
        <v>0</v>
      </c>
      <c r="M86" s="23">
        <v>0.25800000000000001</v>
      </c>
      <c r="N86" s="18">
        <v>0</v>
      </c>
      <c r="O86" s="25">
        <v>0</v>
      </c>
      <c r="P86" s="20">
        <v>0</v>
      </c>
      <c r="Q86" s="15">
        <v>0</v>
      </c>
    </row>
    <row r="87" spans="1:17">
      <c r="A87" s="26" t="s">
        <v>146</v>
      </c>
      <c r="B87" s="26">
        <v>17730433</v>
      </c>
      <c r="C87" s="26">
        <v>17459501</v>
      </c>
      <c r="D87" s="26">
        <v>16310105</v>
      </c>
      <c r="E87" s="26">
        <v>781396</v>
      </c>
      <c r="F87" s="26">
        <v>368000</v>
      </c>
      <c r="G87" s="27">
        <v>270932</v>
      </c>
      <c r="H87" s="28">
        <v>1.6442825170186928E-2</v>
      </c>
      <c r="I87" s="28">
        <v>1</v>
      </c>
      <c r="J87" s="26"/>
      <c r="K87" s="26"/>
      <c r="L87" s="29"/>
      <c r="M87" s="29">
        <v>6408.3907800000006</v>
      </c>
      <c r="N87" s="30"/>
      <c r="O87" s="30"/>
      <c r="P87" s="26"/>
      <c r="Q87" s="26"/>
    </row>
  </sheetData>
  <mergeCells count="5">
    <mergeCell ref="A2:A3"/>
    <mergeCell ref="B2:I2"/>
    <mergeCell ref="J2:K2"/>
    <mergeCell ref="L2:N2"/>
    <mergeCell ref="P2:Q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T31"/>
  <sheetViews>
    <sheetView workbookViewId="0">
      <selection activeCell="F53" sqref="F53"/>
    </sheetView>
  </sheetViews>
  <sheetFormatPr baseColWidth="10" defaultRowHeight="15" x14ac:dyDescent="0"/>
  <cols>
    <col min="6" max="6" width="63.6640625" customWidth="1"/>
  </cols>
  <sheetData>
    <row r="1" spans="1:20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20" ht="16" thickBo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20">
      <c r="A3" s="3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20">
      <c r="A4" s="39"/>
      <c r="B4" s="40"/>
      <c r="C4" s="36" t="s">
        <v>248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</row>
    <row r="5" spans="1:20">
      <c r="A5" s="36"/>
      <c r="B5" s="43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</row>
    <row r="6" spans="1:20">
      <c r="A6" s="36"/>
      <c r="B6" s="43"/>
      <c r="D6" s="46" t="s">
        <v>237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</row>
    <row r="7" spans="1:20">
      <c r="A7" s="36"/>
      <c r="B7" s="43"/>
      <c r="C7" s="46"/>
      <c r="D7" s="46"/>
      <c r="E7" s="46"/>
      <c r="F7" s="46"/>
      <c r="G7" s="46"/>
      <c r="H7" s="4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</row>
    <row r="8" spans="1:20">
      <c r="A8" s="36"/>
      <c r="B8" s="43"/>
      <c r="C8" s="46" t="s">
        <v>158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</row>
    <row r="9" spans="1:20">
      <c r="A9" s="36"/>
      <c r="B9" s="43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</row>
    <row r="10" spans="1:20">
      <c r="A10" s="36"/>
      <c r="B10" s="43"/>
      <c r="C10" s="46"/>
      <c r="D10" s="46" t="s">
        <v>159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</row>
    <row r="11" spans="1:20">
      <c r="A11" s="36"/>
      <c r="B11" s="43"/>
      <c r="D11" s="46" t="s">
        <v>160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</row>
    <row r="12" spans="1:20">
      <c r="A12" s="36"/>
      <c r="B12" s="43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</row>
    <row r="13" spans="1:20">
      <c r="A13" s="36"/>
      <c r="B13" s="43"/>
      <c r="C13" s="36"/>
      <c r="E13" s="46" t="s">
        <v>161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</row>
    <row r="14" spans="1:20">
      <c r="A14" s="36"/>
      <c r="B14" s="43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</row>
    <row r="15" spans="1:20">
      <c r="A15" s="46"/>
      <c r="B15" s="47"/>
      <c r="C15" s="46" t="s">
        <v>247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</row>
    <row r="16" spans="1:20">
      <c r="A16" s="46"/>
      <c r="B16" s="47"/>
      <c r="C16" s="36"/>
      <c r="D16" s="36"/>
      <c r="E16" s="36"/>
      <c r="F16" s="36"/>
      <c r="G16" s="4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</row>
    <row r="17" spans="1:20">
      <c r="A17" s="46"/>
      <c r="B17" s="47"/>
      <c r="C17" s="46"/>
      <c r="D17" s="46" t="s">
        <v>245</v>
      </c>
      <c r="E17" s="36"/>
      <c r="F17" s="36"/>
      <c r="G17" s="4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</row>
    <row r="18" spans="1:20">
      <c r="A18" s="46"/>
      <c r="B18" s="47"/>
      <c r="D18" s="46" t="s">
        <v>246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1:20">
      <c r="A19" s="46"/>
      <c r="B19" s="47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</row>
    <row r="20" spans="1:20">
      <c r="A20" s="46"/>
      <c r="B20" s="47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1" spans="1:20">
      <c r="A21" s="46"/>
      <c r="B21" s="47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</row>
    <row r="22" spans="1:20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</row>
    <row r="23" spans="1:20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</row>
    <row r="24" spans="1:20">
      <c r="A24" s="36"/>
      <c r="B24" s="36"/>
      <c r="C24" s="46"/>
      <c r="D24" s="46"/>
      <c r="E24" s="46"/>
      <c r="F24" s="46"/>
      <c r="G24" s="46"/>
      <c r="H24" s="4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</row>
    <row r="25" spans="1:20">
      <c r="A25" s="36"/>
      <c r="B25" s="36"/>
      <c r="C25" s="46"/>
      <c r="D25" s="46"/>
      <c r="E25" s="46"/>
      <c r="F25" s="46"/>
      <c r="G25" s="46"/>
      <c r="H25" s="4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</row>
    <row r="26" spans="1:20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1:20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1:20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1:20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1:2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1:20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opLeftCell="B1" workbookViewId="0">
      <selection activeCell="F7" sqref="F7"/>
    </sheetView>
  </sheetViews>
  <sheetFormatPr baseColWidth="10" defaultRowHeight="15" x14ac:dyDescent="0"/>
  <cols>
    <col min="6" max="6" width="12.1640625" customWidth="1"/>
    <col min="7" max="7" width="13.83203125" customWidth="1"/>
    <col min="8" max="8" width="16.83203125" customWidth="1"/>
    <col min="9" max="9" width="23" customWidth="1"/>
    <col min="10" max="10" width="21.1640625" customWidth="1"/>
    <col min="11" max="11" width="13.33203125" customWidth="1"/>
    <col min="12" max="13" width="12.1640625" bestFit="1" customWidth="1"/>
  </cols>
  <sheetData>
    <row r="1" spans="1:24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52"/>
      <c r="U1" s="52"/>
      <c r="V1" s="52"/>
      <c r="W1" s="52"/>
      <c r="X1" s="52"/>
    </row>
    <row r="2" spans="1:24" ht="16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>
      <c r="A4" s="39"/>
      <c r="B4" s="40"/>
      <c r="D4" s="46"/>
      <c r="E4" s="46"/>
      <c r="F4" s="46"/>
      <c r="G4" s="46"/>
      <c r="H4" s="46"/>
      <c r="I4" s="46"/>
      <c r="J4" s="46"/>
      <c r="K4" s="46"/>
      <c r="L4" s="46"/>
      <c r="M4" s="46"/>
      <c r="N4" s="52"/>
      <c r="O4" s="52"/>
      <c r="P4" s="46"/>
      <c r="Q4" s="52"/>
      <c r="R4" s="52"/>
      <c r="S4" s="46"/>
      <c r="T4" s="52"/>
      <c r="U4" s="52"/>
      <c r="V4" s="46"/>
      <c r="W4" s="46"/>
    </row>
    <row r="5" spans="1:24">
      <c r="A5" s="46"/>
      <c r="B5" s="47"/>
      <c r="C5" s="55" t="s">
        <v>197</v>
      </c>
      <c r="E5" s="46"/>
      <c r="F5" s="46"/>
      <c r="G5" s="46"/>
      <c r="H5" s="46"/>
      <c r="I5" s="46" t="s">
        <v>187</v>
      </c>
      <c r="J5" s="46"/>
      <c r="K5" s="46"/>
      <c r="L5" s="46"/>
      <c r="M5" s="46"/>
      <c r="N5" s="52"/>
      <c r="O5" s="52"/>
      <c r="P5" s="46"/>
      <c r="Q5" s="52"/>
      <c r="R5" s="52"/>
      <c r="S5" s="46"/>
      <c r="T5" s="52"/>
      <c r="U5" s="52"/>
      <c r="V5" s="46"/>
      <c r="W5" s="46"/>
    </row>
    <row r="6" spans="1:24">
      <c r="A6" s="46"/>
      <c r="B6" s="47"/>
      <c r="C6" s="46"/>
      <c r="D6" s="46"/>
      <c r="E6" s="46"/>
      <c r="F6" s="46" t="s">
        <v>182</v>
      </c>
      <c r="G6" s="46" t="s">
        <v>185</v>
      </c>
      <c r="H6" s="46" t="s">
        <v>183</v>
      </c>
      <c r="I6" s="46" t="s">
        <v>186</v>
      </c>
      <c r="J6" s="46"/>
      <c r="K6" s="46"/>
      <c r="L6" s="46" t="s">
        <v>214</v>
      </c>
      <c r="M6" s="46" t="s">
        <v>196</v>
      </c>
      <c r="N6" s="52"/>
      <c r="O6" s="52"/>
      <c r="P6" s="46"/>
      <c r="Q6" s="52"/>
      <c r="R6" s="52"/>
      <c r="S6" s="46"/>
      <c r="T6" s="52"/>
      <c r="U6" s="52"/>
      <c r="V6" s="46"/>
      <c r="W6" s="46"/>
    </row>
    <row r="7" spans="1:24">
      <c r="A7" s="46"/>
      <c r="B7" s="47"/>
      <c r="C7" s="46"/>
      <c r="D7" s="46" t="s">
        <v>178</v>
      </c>
      <c r="E7" s="46"/>
      <c r="F7" s="46">
        <v>7915613</v>
      </c>
      <c r="G7" s="46">
        <v>98482.6</v>
      </c>
      <c r="H7" s="46">
        <v>113821</v>
      </c>
      <c r="I7" s="46">
        <f>(G7*1000000)/F7</f>
        <v>12441.563275011045</v>
      </c>
      <c r="J7" s="46"/>
      <c r="K7" s="46"/>
      <c r="L7" s="46"/>
      <c r="M7" s="46"/>
      <c r="N7" s="46"/>
      <c r="O7" s="46"/>
      <c r="P7" s="46"/>
      <c r="Q7" s="52"/>
      <c r="R7" s="52"/>
      <c r="S7" s="46"/>
      <c r="T7" s="52"/>
      <c r="U7" s="52"/>
      <c r="V7" s="46"/>
      <c r="W7" s="46"/>
    </row>
    <row r="8" spans="1:24">
      <c r="A8" s="46"/>
      <c r="B8" s="47"/>
      <c r="C8" s="46"/>
      <c r="D8" s="46" t="s">
        <v>179</v>
      </c>
      <c r="E8" s="46"/>
      <c r="F8" s="46">
        <v>832121</v>
      </c>
      <c r="G8" s="46">
        <v>15656.8</v>
      </c>
      <c r="H8" s="46">
        <v>16309.2</v>
      </c>
      <c r="I8" s="46">
        <f t="shared" ref="I8:I12" si="0">(G8*1000000)/F8</f>
        <v>18815.532837171519</v>
      </c>
      <c r="J8" s="46"/>
      <c r="K8" s="46"/>
      <c r="L8" s="46"/>
      <c r="M8" s="46" t="s">
        <v>293</v>
      </c>
      <c r="N8" s="46"/>
      <c r="O8" s="46"/>
      <c r="P8" s="46"/>
      <c r="Q8" s="52"/>
      <c r="R8" s="52"/>
      <c r="S8" s="46"/>
      <c r="T8" s="52"/>
      <c r="U8" s="52"/>
      <c r="V8" s="46"/>
      <c r="W8" s="46"/>
    </row>
    <row r="9" spans="1:24">
      <c r="A9" s="39"/>
      <c r="B9" s="40"/>
      <c r="C9" s="46"/>
      <c r="D9" s="46" t="s">
        <v>180</v>
      </c>
      <c r="E9" s="46"/>
      <c r="F9" s="46">
        <v>67096</v>
      </c>
      <c r="G9" s="46">
        <v>2065.9</v>
      </c>
      <c r="H9" s="46">
        <v>2726.1</v>
      </c>
      <c r="I9" s="46">
        <f t="shared" si="0"/>
        <v>30790.211040896625</v>
      </c>
      <c r="J9" s="46"/>
      <c r="K9" s="46"/>
      <c r="L9" s="46"/>
      <c r="M9" s="46"/>
      <c r="N9" s="46"/>
      <c r="O9" s="46"/>
      <c r="P9" s="46"/>
      <c r="Q9" s="52"/>
      <c r="R9" s="52"/>
      <c r="S9" s="46"/>
      <c r="T9" s="52"/>
      <c r="U9" s="52"/>
      <c r="V9" s="46"/>
      <c r="W9" s="46"/>
    </row>
    <row r="10" spans="1:24">
      <c r="A10" s="46"/>
      <c r="B10" s="47"/>
      <c r="C10" s="46"/>
      <c r="D10" s="46" t="s">
        <v>181</v>
      </c>
      <c r="E10" s="46"/>
      <c r="F10" s="46">
        <v>70422</v>
      </c>
      <c r="G10" s="46">
        <v>3835.2</v>
      </c>
      <c r="H10" s="46">
        <v>6542.8</v>
      </c>
      <c r="I10" s="46">
        <f t="shared" si="0"/>
        <v>54460.253897929622</v>
      </c>
      <c r="J10" s="46"/>
      <c r="K10" s="46"/>
      <c r="L10" s="46"/>
      <c r="M10" s="46"/>
      <c r="N10" s="46"/>
      <c r="O10" s="46"/>
      <c r="P10" s="46"/>
      <c r="Q10" s="52"/>
      <c r="R10" s="52"/>
      <c r="S10" s="46"/>
      <c r="T10" s="52"/>
      <c r="U10" s="52"/>
      <c r="V10" s="46"/>
      <c r="W10" s="46"/>
    </row>
    <row r="11" spans="1:24">
      <c r="A11" s="46"/>
      <c r="B11" s="47"/>
      <c r="C11" s="46"/>
      <c r="D11" s="46" t="s">
        <v>173</v>
      </c>
      <c r="E11" s="46"/>
      <c r="F11" s="46">
        <v>63312</v>
      </c>
      <c r="G11" s="46">
        <v>416.6</v>
      </c>
      <c r="H11" s="46">
        <v>727.3</v>
      </c>
      <c r="I11" s="46">
        <f t="shared" si="0"/>
        <v>6580.1111953500131</v>
      </c>
      <c r="J11" s="46"/>
      <c r="K11" s="46"/>
      <c r="L11" s="46"/>
      <c r="M11" s="46"/>
      <c r="N11" s="46"/>
      <c r="O11" s="46"/>
      <c r="P11" s="46"/>
      <c r="Q11" s="52"/>
      <c r="R11" s="52"/>
      <c r="S11" s="46"/>
      <c r="T11" s="52"/>
      <c r="U11" s="52"/>
      <c r="V11" s="46"/>
      <c r="W11" s="46"/>
    </row>
    <row r="12" spans="1:24">
      <c r="A12" s="46"/>
      <c r="B12" s="47"/>
      <c r="C12" s="46"/>
      <c r="D12" s="46" t="s">
        <v>174</v>
      </c>
      <c r="E12" s="46"/>
      <c r="F12" s="46">
        <v>10464</v>
      </c>
      <c r="G12" s="46">
        <v>616.4</v>
      </c>
      <c r="H12" s="46">
        <v>700.3</v>
      </c>
      <c r="I12" s="46">
        <f t="shared" si="0"/>
        <v>58906.727828746174</v>
      </c>
      <c r="J12" s="46"/>
      <c r="K12" s="46"/>
      <c r="L12" s="46"/>
      <c r="M12" s="46"/>
      <c r="N12" s="46"/>
      <c r="O12" s="48"/>
      <c r="P12" s="46"/>
      <c r="Q12" s="52"/>
      <c r="R12" s="52"/>
      <c r="S12" s="46"/>
      <c r="T12" s="52"/>
      <c r="U12" s="52"/>
      <c r="V12" s="46"/>
      <c r="W12" s="46"/>
    </row>
    <row r="13" spans="1:24">
      <c r="A13" s="46"/>
      <c r="B13" s="4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52"/>
      <c r="U13" s="52"/>
      <c r="V13" s="46"/>
      <c r="W13" s="46"/>
    </row>
    <row r="14" spans="1:24">
      <c r="A14" s="46"/>
      <c r="B14" s="47"/>
      <c r="C14" s="46"/>
      <c r="D14" s="46" t="s">
        <v>184</v>
      </c>
      <c r="E14" s="46"/>
      <c r="F14" s="46"/>
      <c r="G14" s="46">
        <v>121073.60000000001</v>
      </c>
      <c r="H14" s="46">
        <v>140826.70000000001</v>
      </c>
      <c r="I14" s="46" t="e">
        <f>(G14*1000000)/F14</f>
        <v>#DIV/0!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4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4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>
      <c r="A17" s="46"/>
      <c r="B17" s="47"/>
      <c r="C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>
      <c r="A20" s="46"/>
      <c r="B20" s="47"/>
      <c r="C20" s="46"/>
      <c r="D20" s="39" t="s">
        <v>188</v>
      </c>
      <c r="E20" s="46"/>
      <c r="F20" s="46" t="s">
        <v>182</v>
      </c>
      <c r="G20" t="s">
        <v>191</v>
      </c>
      <c r="H20" s="46" t="s">
        <v>192</v>
      </c>
      <c r="I20" s="46" t="s">
        <v>198</v>
      </c>
      <c r="J20" s="46" t="s">
        <v>193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A21" s="46"/>
      <c r="B21" s="47"/>
      <c r="C21" s="46"/>
      <c r="E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>
      <c r="A22" s="46"/>
      <c r="B22" s="47"/>
      <c r="C22" s="46"/>
      <c r="D22" s="46" t="s">
        <v>189</v>
      </c>
      <c r="E22" s="46"/>
      <c r="F22" s="46">
        <v>6276990</v>
      </c>
      <c r="G22" s="46">
        <f>$I$7</f>
        <v>12441.563275011045</v>
      </c>
      <c r="H22" s="46">
        <v>0.476190476190476</v>
      </c>
      <c r="I22" s="46">
        <f>G22/H22</f>
        <v>26127.282877523205</v>
      </c>
      <c r="J22" s="46">
        <f>I22*F22</f>
        <v>164000693349.38437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>
      <c r="A23" s="46"/>
      <c r="B23" s="47"/>
      <c r="C23" s="46"/>
      <c r="D23" s="46" t="s">
        <v>164</v>
      </c>
      <c r="E23" s="46"/>
      <c r="F23" s="46">
        <v>1339935</v>
      </c>
      <c r="G23" s="46">
        <f t="shared" ref="G23:G27" si="1">$I$7</f>
        <v>12441.563275011045</v>
      </c>
      <c r="H23" s="46">
        <v>0.52631578947368396</v>
      </c>
      <c r="I23" s="46">
        <f t="shared" ref="I23:I26" si="2">G23/H23</f>
        <v>23638.970222520999</v>
      </c>
      <c r="J23" s="46">
        <f t="shared" ref="J23:J26" si="3">I23*F23</f>
        <v>31674683565.113674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>
      <c r="A24" s="46"/>
      <c r="B24" s="47"/>
      <c r="C24" s="46"/>
      <c r="D24" s="46" t="s">
        <v>175</v>
      </c>
      <c r="E24" s="46"/>
      <c r="F24" s="46">
        <v>202322</v>
      </c>
      <c r="G24" s="46">
        <f t="shared" si="1"/>
        <v>12441.563275011045</v>
      </c>
      <c r="H24" s="46">
        <v>0.5</v>
      </c>
      <c r="I24" s="46">
        <f t="shared" si="2"/>
        <v>24883.126550022091</v>
      </c>
      <c r="J24" s="46">
        <f t="shared" si="3"/>
        <v>5034403929.853569</v>
      </c>
      <c r="K24" s="46"/>
      <c r="L24" s="46" t="s">
        <v>243</v>
      </c>
      <c r="M24" s="46" t="s">
        <v>244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>
      <c r="A25" s="39"/>
      <c r="B25" s="40"/>
      <c r="C25" s="46"/>
      <c r="D25" s="46" t="s">
        <v>176</v>
      </c>
      <c r="E25" s="46"/>
      <c r="F25" s="46">
        <v>90703</v>
      </c>
      <c r="G25" s="46">
        <f t="shared" si="1"/>
        <v>12441.563275011045</v>
      </c>
      <c r="H25" s="46">
        <v>1.5384615384615401</v>
      </c>
      <c r="I25" s="46">
        <f t="shared" si="2"/>
        <v>8087.0161287571709</v>
      </c>
      <c r="J25" s="46">
        <f t="shared" si="3"/>
        <v>733516623.92666173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>
      <c r="A26" s="46"/>
      <c r="B26" s="47"/>
      <c r="C26" s="46"/>
      <c r="D26" s="46" t="s">
        <v>177</v>
      </c>
      <c r="E26" s="46"/>
      <c r="F26" s="46">
        <v>3125</v>
      </c>
      <c r="G26" s="46">
        <f t="shared" si="1"/>
        <v>12441.563275011045</v>
      </c>
      <c r="H26" s="46">
        <v>0.476190476190476</v>
      </c>
      <c r="I26" s="46">
        <f t="shared" si="2"/>
        <v>26127.282877523205</v>
      </c>
      <c r="J26" s="46">
        <f t="shared" si="3"/>
        <v>81647758.992260009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>
      <c r="A27" s="46"/>
      <c r="B27" s="47"/>
      <c r="C27" s="46"/>
      <c r="D27" s="46" t="s">
        <v>190</v>
      </c>
      <c r="E27" s="46"/>
      <c r="F27" s="46">
        <v>2538</v>
      </c>
      <c r="G27" s="46">
        <f t="shared" si="1"/>
        <v>12441.563275011045</v>
      </c>
      <c r="H27" s="46"/>
      <c r="I27" s="46"/>
      <c r="J27" s="46"/>
      <c r="K27" s="46"/>
      <c r="L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>
      <c r="A28" s="46"/>
      <c r="B28" s="4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>
      <c r="A29" s="46"/>
      <c r="B29" s="47"/>
      <c r="C29" s="46"/>
      <c r="D29" s="46" t="s">
        <v>184</v>
      </c>
      <c r="E29" s="46"/>
      <c r="F29" s="46">
        <v>7915613</v>
      </c>
      <c r="G29" s="46"/>
      <c r="H29" s="46"/>
      <c r="I29" s="46"/>
      <c r="J29" s="46">
        <f>SUM(J22:J26)</f>
        <v>201524945227.27054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>
      <c r="A30" s="39"/>
      <c r="B30" s="4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>
      <c r="A32" s="46"/>
      <c r="B32" s="47"/>
      <c r="C32" s="46"/>
      <c r="D32" s="39" t="s">
        <v>194</v>
      </c>
      <c r="E32" s="46"/>
      <c r="F32" s="46" t="s">
        <v>182</v>
      </c>
      <c r="G32" t="s">
        <v>191</v>
      </c>
      <c r="H32" s="46" t="s">
        <v>192</v>
      </c>
      <c r="I32" s="46" t="s">
        <v>198</v>
      </c>
      <c r="J32" s="46" t="s">
        <v>193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>
      <c r="A33" s="46"/>
      <c r="B33" s="47"/>
      <c r="C33" s="46"/>
      <c r="D33" s="46"/>
      <c r="E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>
      <c r="A34" s="46"/>
      <c r="B34" s="47"/>
      <c r="C34" s="46"/>
      <c r="D34" s="46" t="s">
        <v>189</v>
      </c>
      <c r="E34" s="46"/>
      <c r="F34" s="46">
        <v>26958</v>
      </c>
      <c r="G34" s="46">
        <f>$I$8</f>
        <v>18815.532837171519</v>
      </c>
      <c r="H34" s="46">
        <f>(1-0.0907314815)*H35</f>
        <v>0.43298500880952379</v>
      </c>
      <c r="I34" s="46">
        <f>G34/H34</f>
        <v>43455.390958925178</v>
      </c>
      <c r="J34" s="46">
        <f>I34*F34</f>
        <v>1171470429.470705</v>
      </c>
      <c r="K34" s="46" t="s">
        <v>206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>
      <c r="A35" s="46"/>
      <c r="B35" s="47"/>
      <c r="C35" s="46"/>
      <c r="D35" s="46" t="s">
        <v>164</v>
      </c>
      <c r="E35" s="46"/>
      <c r="F35" s="46">
        <v>786387</v>
      </c>
      <c r="G35" s="46">
        <f t="shared" ref="G35:G41" si="4">$I$8</f>
        <v>18815.532837171519</v>
      </c>
      <c r="H35" s="46">
        <f>1/2.1</f>
        <v>0.47619047619047616</v>
      </c>
      <c r="I35" s="46">
        <f t="shared" ref="I35:I38" si="5">G35/H35</f>
        <v>39512.618958060193</v>
      </c>
      <c r="J35" s="46">
        <f t="shared" ref="J35:J38" si="6">I35*F35</f>
        <v>31072209884.572083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>
      <c r="A36" s="46"/>
      <c r="B36" s="47"/>
      <c r="C36" s="46"/>
      <c r="D36" s="46" t="s">
        <v>175</v>
      </c>
      <c r="E36" s="46"/>
      <c r="F36" s="46">
        <v>16384</v>
      </c>
      <c r="G36" s="46">
        <f t="shared" si="4"/>
        <v>18815.532837171519</v>
      </c>
      <c r="H36" s="46">
        <f>H24*AVERAGE((H34/H22),(H35/H23),(H38/H26))</f>
        <v>0.45385355539213584</v>
      </c>
      <c r="I36" s="46">
        <f t="shared" si="5"/>
        <v>41457.277603377224</v>
      </c>
      <c r="J36" s="46">
        <f t="shared" si="6"/>
        <v>679236036.25373244</v>
      </c>
      <c r="K36" s="46" t="s">
        <v>213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>
      <c r="A37" s="46"/>
      <c r="B37" s="47"/>
      <c r="C37" s="46"/>
      <c r="D37" s="46" t="s">
        <v>176</v>
      </c>
      <c r="E37" s="46"/>
      <c r="F37" s="46">
        <v>459</v>
      </c>
      <c r="G37" s="46">
        <f t="shared" si="4"/>
        <v>18815.532837171519</v>
      </c>
      <c r="H37" s="46">
        <f>H25*AVERAGE((H34/H22),(H35/H23),(H38/H26))</f>
        <v>1.3964724781296503</v>
      </c>
      <c r="I37" s="46">
        <f t="shared" si="5"/>
        <v>13473.615221097583</v>
      </c>
      <c r="J37" s="46">
        <f t="shared" si="6"/>
        <v>6184389.3864837904</v>
      </c>
      <c r="K37" s="46" t="s">
        <v>213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>
      <c r="A38" s="46"/>
      <c r="B38" s="47"/>
      <c r="C38" s="46"/>
      <c r="D38" s="46" t="s">
        <v>177</v>
      </c>
      <c r="E38" s="46"/>
      <c r="F38" s="46">
        <v>1931</v>
      </c>
      <c r="G38" s="46">
        <f t="shared" si="4"/>
        <v>18815.532837171519</v>
      </c>
      <c r="H38" s="46">
        <f>1/2.31</f>
        <v>0.4329004329004329</v>
      </c>
      <c r="I38" s="46">
        <f t="shared" si="5"/>
        <v>43463.880853866205</v>
      </c>
      <c r="J38" s="46">
        <f t="shared" si="6"/>
        <v>83928753.928815648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A39" s="46"/>
      <c r="B39" s="47"/>
      <c r="C39" s="46"/>
      <c r="D39" s="46" t="s">
        <v>190</v>
      </c>
      <c r="E39" s="46"/>
      <c r="F39" s="46">
        <v>2</v>
      </c>
      <c r="G39" s="46">
        <f t="shared" si="4"/>
        <v>18815.532837171519</v>
      </c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3">
      <c r="A40" s="46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>
      <c r="A41" s="46"/>
      <c r="B41" s="47"/>
      <c r="C41" s="46"/>
      <c r="D41" s="46" t="s">
        <v>184</v>
      </c>
      <c r="E41" s="46"/>
      <c r="F41" s="46">
        <v>832121</v>
      </c>
      <c r="G41" s="46">
        <f t="shared" si="4"/>
        <v>18815.532837171519</v>
      </c>
      <c r="H41" s="46"/>
      <c r="I41" s="46"/>
      <c r="J41" s="46">
        <f>SUM(J34:J38)</f>
        <v>33013029493.611813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>
      <c r="A43" s="46"/>
      <c r="B43" s="4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>
      <c r="A44" s="56"/>
      <c r="B44" s="57"/>
      <c r="C44" s="46"/>
      <c r="D44" s="39" t="s">
        <v>180</v>
      </c>
      <c r="E44" s="46"/>
      <c r="F44" s="46" t="s">
        <v>182</v>
      </c>
      <c r="G44" t="s">
        <v>191</v>
      </c>
      <c r="H44" s="46" t="s">
        <v>192</v>
      </c>
      <c r="I44" s="46" t="s">
        <v>198</v>
      </c>
      <c r="J44" s="46" t="s">
        <v>193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>
      <c r="A45" s="52"/>
      <c r="B45" s="58"/>
      <c r="C45" s="46"/>
      <c r="D45" s="46"/>
      <c r="E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>
      <c r="A46" s="52"/>
      <c r="B46" s="58"/>
      <c r="C46" s="46"/>
      <c r="D46" s="46" t="s">
        <v>189</v>
      </c>
      <c r="E46" s="46"/>
      <c r="F46" s="46">
        <v>908</v>
      </c>
      <c r="G46" s="46">
        <f>$I$9</f>
        <v>30790.211040896625</v>
      </c>
      <c r="H46" s="46">
        <v>9.6522852639873896E-2</v>
      </c>
      <c r="I46" s="46">
        <f>G46/H46</f>
        <v>318994.00192589307</v>
      </c>
      <c r="J46" s="46">
        <f>I46*F46</f>
        <v>289646553.74871093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>
      <c r="A47" s="52"/>
      <c r="B47" s="58"/>
      <c r="C47" s="46"/>
      <c r="D47" s="46" t="s">
        <v>164</v>
      </c>
      <c r="E47" s="46"/>
      <c r="F47" s="46">
        <v>65754</v>
      </c>
      <c r="G47" s="46">
        <f t="shared" ref="G47:G53" si="7">$I$9</f>
        <v>30790.211040896625</v>
      </c>
      <c r="H47" s="46">
        <v>0.10638297872340401</v>
      </c>
      <c r="I47" s="46">
        <f t="shared" ref="I47:I51" si="8">G47/H47</f>
        <v>289427.98378442897</v>
      </c>
      <c r="J47" s="46">
        <f t="shared" ref="J47:J51" si="9">I47*F47</f>
        <v>19031047645.761341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>
      <c r="A48" s="52"/>
      <c r="B48" s="58"/>
      <c r="C48" s="46"/>
      <c r="D48" s="46" t="s">
        <v>175</v>
      </c>
      <c r="E48" s="46"/>
      <c r="F48" s="46">
        <v>249</v>
      </c>
      <c r="G48" s="46">
        <f t="shared" si="7"/>
        <v>30790.211040896625</v>
      </c>
      <c r="H48" s="46"/>
      <c r="I48" s="46" t="e">
        <f t="shared" si="8"/>
        <v>#DIV/0!</v>
      </c>
      <c r="J48" s="46" t="e">
        <f t="shared" si="9"/>
        <v>#DIV/0!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>
      <c r="A49" s="56"/>
      <c r="B49" s="57"/>
      <c r="C49" s="46"/>
      <c r="D49" s="46" t="s">
        <v>176</v>
      </c>
      <c r="E49" s="46"/>
      <c r="F49" s="46">
        <v>22</v>
      </c>
      <c r="G49" s="46">
        <f t="shared" si="7"/>
        <v>30790.211040896625</v>
      </c>
      <c r="H49" s="46">
        <v>0.19157088122605401</v>
      </c>
      <c r="I49" s="46">
        <f t="shared" si="8"/>
        <v>160724.90163348007</v>
      </c>
      <c r="J49" s="46">
        <f t="shared" si="9"/>
        <v>3535947.8359365617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>
      <c r="A50" s="52"/>
      <c r="B50" s="58"/>
      <c r="C50" s="46"/>
      <c r="D50" s="46" t="s">
        <v>177</v>
      </c>
      <c r="E50" s="46"/>
      <c r="F50" s="46">
        <v>154</v>
      </c>
      <c r="G50" s="46">
        <f t="shared" si="7"/>
        <v>30790.211040896625</v>
      </c>
      <c r="H50" s="46">
        <v>0.10638297872340401</v>
      </c>
      <c r="I50" s="46">
        <f t="shared" si="8"/>
        <v>289427.98378442897</v>
      </c>
      <c r="J50" s="46">
        <f t="shared" si="9"/>
        <v>44571909.502802059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>
      <c r="A51" s="52"/>
      <c r="B51" s="58"/>
      <c r="C51" s="46"/>
      <c r="D51" s="46" t="s">
        <v>190</v>
      </c>
      <c r="E51" s="46"/>
      <c r="F51" s="46">
        <v>9</v>
      </c>
      <c r="G51" s="46">
        <f t="shared" si="7"/>
        <v>30790.211040896625</v>
      </c>
      <c r="H51" s="46"/>
      <c r="I51" s="46" t="e">
        <f t="shared" si="8"/>
        <v>#DIV/0!</v>
      </c>
      <c r="J51" s="46" t="e">
        <f t="shared" si="9"/>
        <v>#DIV/0!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>
      <c r="A52" s="52"/>
      <c r="B52" s="5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>
      <c r="A53" s="52"/>
      <c r="B53" s="58"/>
      <c r="C53" s="46"/>
      <c r="D53" s="46" t="s">
        <v>184</v>
      </c>
      <c r="E53" s="46"/>
      <c r="F53" s="46">
        <v>67096</v>
      </c>
      <c r="G53" s="46">
        <f t="shared" si="7"/>
        <v>30790.211040896625</v>
      </c>
      <c r="H53" s="46"/>
      <c r="I53" s="46" t="e">
        <f>G53/H53</f>
        <v>#DIV/0!</v>
      </c>
      <c r="J53" s="46" t="e">
        <f>I53*F53</f>
        <v>#DIV/0!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>
      <c r="A54" s="52"/>
      <c r="B54" s="58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>
      <c r="A55" s="52"/>
      <c r="B55" s="5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>
      <c r="A56" s="52"/>
      <c r="B56" s="58"/>
      <c r="C56" s="46"/>
      <c r="D56" s="39" t="s">
        <v>172</v>
      </c>
      <c r="E56" s="46"/>
      <c r="F56" s="46" t="s">
        <v>182</v>
      </c>
      <c r="G56" t="s">
        <v>191</v>
      </c>
      <c r="H56" s="46" t="s">
        <v>192</v>
      </c>
      <c r="I56" s="46" t="s">
        <v>198</v>
      </c>
      <c r="J56" s="46" t="s">
        <v>193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>
      <c r="A57" s="52"/>
      <c r="B57" s="58"/>
      <c r="C57" s="46"/>
      <c r="D57" s="46"/>
      <c r="E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>
      <c r="A58" s="52"/>
      <c r="B58" s="58"/>
      <c r="C58" s="46"/>
      <c r="D58" s="46" t="s">
        <v>189</v>
      </c>
      <c r="E58" s="46"/>
      <c r="F58" s="46">
        <v>26</v>
      </c>
      <c r="G58" s="46">
        <f t="shared" ref="G58:G62" si="10">$I$10</f>
        <v>54460.253897929622</v>
      </c>
      <c r="H58" s="46">
        <f>H59*(1-0.0907314815)</f>
        <v>7.3328106330645154E-2</v>
      </c>
      <c r="I58" s="46">
        <f>G58/H58</f>
        <v>742692.76302270591</v>
      </c>
      <c r="J58" s="46">
        <f>I58*F58</f>
        <v>19310011.838590354</v>
      </c>
      <c r="K58" s="46" t="s">
        <v>206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>
      <c r="A59" s="52"/>
      <c r="B59" s="58"/>
      <c r="C59" s="46"/>
      <c r="D59" s="46" t="s">
        <v>164</v>
      </c>
      <c r="E59" s="46"/>
      <c r="F59" s="46">
        <v>70271</v>
      </c>
      <c r="G59" s="46">
        <f t="shared" si="10"/>
        <v>54460.253897929622</v>
      </c>
      <c r="H59" s="46">
        <f>1/12.4</f>
        <v>8.0645161290322578E-2</v>
      </c>
      <c r="I59" s="46">
        <f t="shared" ref="I59:I63" si="11">G59/H59</f>
        <v>675307.14833432739</v>
      </c>
      <c r="J59" s="46">
        <f t="shared" ref="J59:J63" si="12">I59*F59</f>
        <v>47454508620.601517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>
      <c r="A60" s="52"/>
      <c r="B60" s="58"/>
      <c r="C60" s="46"/>
      <c r="D60" s="46" t="s">
        <v>175</v>
      </c>
      <c r="E60" s="46"/>
      <c r="F60" s="46">
        <v>16</v>
      </c>
      <c r="G60" s="46">
        <f>$I$10</f>
        <v>54460.253897929622</v>
      </c>
      <c r="H60" s="46"/>
      <c r="I60" s="46" t="e">
        <f t="shared" si="11"/>
        <v>#DIV/0!</v>
      </c>
      <c r="J60" s="46" t="e">
        <f t="shared" si="12"/>
        <v>#DIV/0!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>
      <c r="A61" s="52"/>
      <c r="B61" s="58"/>
      <c r="C61" s="46"/>
      <c r="D61" s="46" t="s">
        <v>176</v>
      </c>
      <c r="E61" s="46"/>
      <c r="F61" s="46">
        <v>2</v>
      </c>
      <c r="G61" s="46">
        <f t="shared" si="10"/>
        <v>54460.253897929622</v>
      </c>
      <c r="H61" s="46"/>
      <c r="I61" s="46" t="e">
        <f t="shared" si="11"/>
        <v>#DIV/0!</v>
      </c>
      <c r="J61" s="46" t="e">
        <f t="shared" si="12"/>
        <v>#DIV/0!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>
      <c r="A62" s="52"/>
      <c r="B62" s="58"/>
      <c r="C62" s="46"/>
      <c r="D62" s="46" t="s">
        <v>177</v>
      </c>
      <c r="E62" s="46"/>
      <c r="F62" s="46">
        <v>58</v>
      </c>
      <c r="G62" s="46">
        <f t="shared" si="10"/>
        <v>54460.253897929622</v>
      </c>
      <c r="H62" s="46"/>
      <c r="I62" s="46" t="e">
        <f t="shared" si="11"/>
        <v>#DIV/0!</v>
      </c>
      <c r="J62" s="46" t="e">
        <f t="shared" si="12"/>
        <v>#DIV/0!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>
      <c r="A63" s="52"/>
      <c r="B63" s="58"/>
      <c r="C63" s="46"/>
      <c r="D63" s="46" t="s">
        <v>190</v>
      </c>
      <c r="E63" s="46"/>
      <c r="F63" s="46">
        <v>49</v>
      </c>
      <c r="G63" s="46">
        <f>$I$10</f>
        <v>54460.253897929622</v>
      </c>
      <c r="H63" s="46"/>
      <c r="I63" s="46" t="e">
        <f t="shared" si="11"/>
        <v>#DIV/0!</v>
      </c>
      <c r="J63" s="46" t="e">
        <f t="shared" si="12"/>
        <v>#DIV/0!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>
      <c r="A64" s="56"/>
      <c r="B64" s="5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>
      <c r="A65" s="52"/>
      <c r="B65" s="58"/>
      <c r="C65" s="46"/>
      <c r="D65" s="46" t="s">
        <v>184</v>
      </c>
      <c r="E65" s="46"/>
      <c r="F65" s="46">
        <v>70422</v>
      </c>
      <c r="G65" s="46">
        <f t="shared" ref="G65" si="13">$I$10</f>
        <v>54460.253897929622</v>
      </c>
      <c r="H65" s="46"/>
      <c r="I65" s="46" t="e">
        <f>G65/H65</f>
        <v>#DIV/0!</v>
      </c>
      <c r="J65" s="46" t="e">
        <f>I65*F65</f>
        <v>#DIV/0!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>
      <c r="A66" s="52"/>
      <c r="B66" s="58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>
      <c r="A67" s="52"/>
      <c r="B67" s="5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>
      <c r="A68" s="52"/>
      <c r="B68" s="58"/>
      <c r="C68" s="46"/>
      <c r="D68" s="39" t="s">
        <v>195</v>
      </c>
      <c r="E68" s="46"/>
      <c r="F68" s="46" t="s">
        <v>182</v>
      </c>
      <c r="G68" t="s">
        <v>191</v>
      </c>
      <c r="H68" s="46" t="s">
        <v>192</v>
      </c>
      <c r="I68" s="46" t="s">
        <v>198</v>
      </c>
      <c r="J68" s="46" t="s">
        <v>193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>
      <c r="A69" s="56"/>
      <c r="B69" s="57"/>
      <c r="C69" s="46"/>
      <c r="D69" s="46"/>
      <c r="E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>
      <c r="A70" s="52"/>
      <c r="B70" s="58"/>
      <c r="C70" s="46"/>
      <c r="D70" s="46" t="s">
        <v>189</v>
      </c>
      <c r="E70" s="46"/>
      <c r="F70" s="46">
        <v>2947</v>
      </c>
      <c r="G70" s="46">
        <f>$I$11</f>
        <v>6580.1111953500131</v>
      </c>
      <c r="H70" s="46">
        <v>9.6522852639873896E-2</v>
      </c>
      <c r="I70" s="46">
        <f>G70/H70</f>
        <v>68171.536743742574</v>
      </c>
      <c r="J70" s="46">
        <f>I70*F70</f>
        <v>200901518.78380936</v>
      </c>
      <c r="K70" s="46" t="s">
        <v>238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>
      <c r="A71" s="52"/>
      <c r="B71" s="58"/>
      <c r="C71" s="46"/>
      <c r="D71" s="46" t="s">
        <v>164</v>
      </c>
      <c r="E71" s="46"/>
      <c r="F71" s="46">
        <v>58359</v>
      </c>
      <c r="G71" s="46">
        <f t="shared" ref="G71:G77" si="14">$I$11</f>
        <v>6580.1111953500131</v>
      </c>
      <c r="H71" s="46">
        <v>0.10638297872340401</v>
      </c>
      <c r="I71" s="46">
        <f t="shared" ref="I71:I75" si="15">G71/H71</f>
        <v>61853.045236290265</v>
      </c>
      <c r="J71" s="46">
        <f t="shared" ref="J71:J75" si="16">I71*F71</f>
        <v>3609681866.9446635</v>
      </c>
      <c r="K71" s="46" t="s">
        <v>238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>
      <c r="A72" s="52"/>
      <c r="B72" s="58"/>
      <c r="C72" s="46"/>
      <c r="D72" s="46" t="s">
        <v>175</v>
      </c>
      <c r="E72" s="46"/>
      <c r="F72" s="46">
        <v>1915</v>
      </c>
      <c r="G72" s="46">
        <f t="shared" si="14"/>
        <v>6580.1111953500131</v>
      </c>
      <c r="H72" s="46"/>
      <c r="I72" s="46" t="e">
        <f t="shared" si="15"/>
        <v>#DIV/0!</v>
      </c>
      <c r="J72" s="46" t="e">
        <f t="shared" si="16"/>
        <v>#DIV/0!</v>
      </c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>
      <c r="A73" s="52"/>
      <c r="B73" s="58"/>
      <c r="C73" s="46"/>
      <c r="D73" s="46" t="s">
        <v>176</v>
      </c>
      <c r="E73" s="46"/>
      <c r="F73" s="46">
        <v>4</v>
      </c>
      <c r="G73" s="46">
        <f t="shared" si="14"/>
        <v>6580.1111953500131</v>
      </c>
      <c r="H73" s="46"/>
      <c r="I73" s="46" t="e">
        <f t="shared" si="15"/>
        <v>#DIV/0!</v>
      </c>
      <c r="J73" s="46" t="e">
        <f t="shared" si="16"/>
        <v>#DIV/0!</v>
      </c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>
      <c r="A74" s="52"/>
      <c r="B74" s="58"/>
      <c r="C74" s="46"/>
      <c r="D74" s="46" t="s">
        <v>177</v>
      </c>
      <c r="E74" s="46"/>
      <c r="F74" s="46">
        <v>86</v>
      </c>
      <c r="G74" s="46">
        <f t="shared" si="14"/>
        <v>6580.1111953500131</v>
      </c>
      <c r="H74" s="46"/>
      <c r="I74" s="46" t="e">
        <f t="shared" si="15"/>
        <v>#DIV/0!</v>
      </c>
      <c r="J74" s="46" t="e">
        <f t="shared" si="16"/>
        <v>#DIV/0!</v>
      </c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>
      <c r="A75" s="52"/>
      <c r="B75" s="58"/>
      <c r="C75" s="46"/>
      <c r="D75" s="46" t="s">
        <v>190</v>
      </c>
      <c r="E75" s="46"/>
      <c r="F75" s="46">
        <v>1</v>
      </c>
      <c r="G75" s="46">
        <f t="shared" si="14"/>
        <v>6580.1111953500131</v>
      </c>
      <c r="H75" s="46"/>
      <c r="I75" s="46" t="e">
        <f t="shared" si="15"/>
        <v>#DIV/0!</v>
      </c>
      <c r="J75" s="46" t="e">
        <f t="shared" si="16"/>
        <v>#DIV/0!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>
      <c r="A76" s="52"/>
      <c r="B76" s="58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>
      <c r="A77" s="56"/>
      <c r="B77" s="57"/>
      <c r="C77" s="46"/>
      <c r="D77" s="46" t="s">
        <v>184</v>
      </c>
      <c r="E77" s="46"/>
      <c r="F77" s="46">
        <v>63312</v>
      </c>
      <c r="G77" s="46">
        <f t="shared" si="14"/>
        <v>6580.1111953500131</v>
      </c>
      <c r="H77" s="46"/>
      <c r="I77" s="46" t="e">
        <f>G77/H77</f>
        <v>#DIV/0!</v>
      </c>
      <c r="J77" s="46" t="e">
        <f>I77*F77</f>
        <v>#DIV/0!</v>
      </c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>
      <c r="A78" s="52"/>
      <c r="B78" s="58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>
      <c r="A79" s="52"/>
      <c r="B79" s="5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>
      <c r="A80" s="52"/>
      <c r="B80" s="58"/>
      <c r="C80" s="46"/>
      <c r="D80" s="39" t="s">
        <v>174</v>
      </c>
      <c r="E80" s="46"/>
      <c r="F80" s="46" t="s">
        <v>182</v>
      </c>
      <c r="G80" t="s">
        <v>191</v>
      </c>
      <c r="H80" s="46" t="s">
        <v>192</v>
      </c>
      <c r="I80" s="46" t="s">
        <v>198</v>
      </c>
      <c r="J80" s="46" t="s">
        <v>193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>
      <c r="A81" s="52"/>
      <c r="B81" s="58"/>
      <c r="C81" s="46"/>
      <c r="D81" s="46"/>
      <c r="E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>
      <c r="A82" s="56"/>
      <c r="B82" s="57"/>
      <c r="C82" s="46"/>
      <c r="D82" s="46" t="s">
        <v>189</v>
      </c>
      <c r="E82" s="46"/>
      <c r="F82" s="46">
        <v>25</v>
      </c>
      <c r="G82" s="46">
        <f>$I$12</f>
        <v>58906.727828746174</v>
      </c>
      <c r="H82" s="46">
        <f>(1-0.0907314815)*H83</f>
        <v>7.9760396359649113E-2</v>
      </c>
      <c r="I82" s="46">
        <f>G82/H82</f>
        <v>738546.0769669289</v>
      </c>
      <c r="J82" s="46">
        <f>I82*F82</f>
        <v>18463651.924173221</v>
      </c>
      <c r="K82" s="46" t="s">
        <v>206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>
      <c r="A83" s="52"/>
      <c r="B83" s="58"/>
      <c r="C83" s="46"/>
      <c r="D83" s="46" t="s">
        <v>164</v>
      </c>
      <c r="E83" s="46"/>
      <c r="F83" s="46">
        <v>9606</v>
      </c>
      <c r="G83" s="46">
        <f t="shared" ref="G83:G89" si="17">$I$12</f>
        <v>58906.727828746174</v>
      </c>
      <c r="H83" s="46">
        <f>1/11.4</f>
        <v>8.771929824561403E-2</v>
      </c>
      <c r="I83" s="46">
        <f t="shared" ref="I83:I86" si="18">G83/H83</f>
        <v>671536.69724770647</v>
      </c>
      <c r="J83" s="46">
        <f t="shared" ref="J83:J86" si="19">I83*F83</f>
        <v>6450781513.7614679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>
      <c r="A84" s="52"/>
      <c r="B84" s="58"/>
      <c r="C84" s="46"/>
      <c r="D84" s="46" t="s">
        <v>175</v>
      </c>
      <c r="E84" s="46"/>
      <c r="F84" s="46">
        <v>75</v>
      </c>
      <c r="G84" s="46">
        <f t="shared" si="17"/>
        <v>58906.727828746174</v>
      </c>
      <c r="H84" s="46"/>
      <c r="I84" s="46" t="e">
        <f t="shared" si="18"/>
        <v>#DIV/0!</v>
      </c>
      <c r="J84" s="46" t="e">
        <f t="shared" si="19"/>
        <v>#DIV/0!</v>
      </c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>
      <c r="A85" s="52"/>
      <c r="B85" s="58"/>
      <c r="C85" s="46"/>
      <c r="D85" s="46" t="s">
        <v>176</v>
      </c>
      <c r="E85" s="46"/>
      <c r="F85" s="46">
        <v>87</v>
      </c>
      <c r="G85" s="46">
        <f t="shared" si="17"/>
        <v>58906.727828746174</v>
      </c>
      <c r="H85" s="46">
        <f>1/5</f>
        <v>0.2</v>
      </c>
      <c r="I85" s="46">
        <f t="shared" si="18"/>
        <v>294533.63914373086</v>
      </c>
      <c r="J85" s="46">
        <f t="shared" si="19"/>
        <v>25624426.605504584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>
      <c r="A86" s="52"/>
      <c r="B86" s="58"/>
      <c r="C86" s="46"/>
      <c r="D86" s="46" t="s">
        <v>177</v>
      </c>
      <c r="E86" s="46"/>
      <c r="F86" s="46">
        <v>671</v>
      </c>
      <c r="G86" s="46">
        <f t="shared" si="17"/>
        <v>58906.727828746174</v>
      </c>
      <c r="H86" s="46">
        <f>1/10.26</f>
        <v>9.7465886939571159E-2</v>
      </c>
      <c r="I86" s="46">
        <f t="shared" si="18"/>
        <v>604383.02752293565</v>
      </c>
      <c r="J86" s="46">
        <f t="shared" si="19"/>
        <v>405541011.46788985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>
      <c r="A87" s="52"/>
      <c r="B87" s="58"/>
      <c r="C87" s="46"/>
      <c r="D87" s="46" t="s">
        <v>190</v>
      </c>
      <c r="E87" s="46"/>
      <c r="F87" s="46">
        <v>0</v>
      </c>
      <c r="G87" s="46">
        <f t="shared" si="17"/>
        <v>58906.727828746174</v>
      </c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>
      <c r="A88" s="52"/>
      <c r="B88" s="58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>
      <c r="A89" s="52"/>
      <c r="B89" s="58"/>
      <c r="C89" s="46"/>
      <c r="D89" s="46" t="s">
        <v>184</v>
      </c>
      <c r="E89" s="46"/>
      <c r="F89" s="46">
        <v>10464</v>
      </c>
      <c r="G89" s="46">
        <f t="shared" si="17"/>
        <v>58906.727828746174</v>
      </c>
      <c r="H89" s="46"/>
      <c r="I89" s="46" t="e">
        <f>G89/H89</f>
        <v>#DIV/0!</v>
      </c>
      <c r="J89" s="46" t="e">
        <f>I89*F89</f>
        <v>#DIV/0!</v>
      </c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>
      <c r="A91" s="52"/>
      <c r="B91" s="58"/>
      <c r="C91" s="46"/>
      <c r="D91" s="46" t="s">
        <v>211</v>
      </c>
      <c r="E91" s="46"/>
      <c r="F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>
      <c r="A92" s="52"/>
      <c r="B92" s="58"/>
      <c r="C92" s="46"/>
      <c r="D92" s="46" t="s">
        <v>212</v>
      </c>
      <c r="E92" s="46"/>
      <c r="G92" s="46"/>
      <c r="H92" s="46"/>
      <c r="I92" s="46"/>
      <c r="J92" s="46"/>
      <c r="K92" s="46"/>
      <c r="L92" s="46"/>
      <c r="M92" s="46"/>
      <c r="N92" s="46" t="s">
        <v>215</v>
      </c>
      <c r="O92" s="46"/>
      <c r="P92" s="46"/>
      <c r="Q92" s="46"/>
      <c r="R92" s="46"/>
      <c r="S92" s="46"/>
      <c r="T92" s="46"/>
      <c r="U92" s="46"/>
      <c r="V92" s="46"/>
      <c r="W92" s="46"/>
    </row>
    <row r="93" spans="1:23">
      <c r="A93" s="56"/>
      <c r="B93" s="57"/>
      <c r="C93" s="46"/>
      <c r="D93" s="46" t="s">
        <v>239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>
      <c r="A94" s="52"/>
      <c r="B94" s="58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>
      <c r="A97" s="52"/>
      <c r="B97" s="58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>
      <c r="A98" s="56"/>
      <c r="B98" s="5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>
      <c r="A100" s="52"/>
      <c r="B100" s="58"/>
      <c r="C100" s="46"/>
      <c r="D100" s="39" t="s">
        <v>292</v>
      </c>
      <c r="E100" s="46"/>
      <c r="F100" s="46" t="s">
        <v>207</v>
      </c>
      <c r="G100" s="46"/>
      <c r="H100" s="46"/>
      <c r="I100" s="46" t="s">
        <v>207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>
      <c r="A102" s="52"/>
      <c r="B102" s="58"/>
      <c r="C102" s="46"/>
      <c r="D102" s="46" t="s">
        <v>178</v>
      </c>
      <c r="E102" s="46"/>
      <c r="F102" s="46">
        <f>J22</f>
        <v>164000693349.38437</v>
      </c>
      <c r="G102" s="46"/>
      <c r="H102" s="46" t="s">
        <v>171</v>
      </c>
      <c r="I102" s="46">
        <f>F102</f>
        <v>164000693349.38437</v>
      </c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>
      <c r="A103" s="52"/>
      <c r="B103" s="58"/>
      <c r="C103" s="46"/>
      <c r="D103" s="46" t="s">
        <v>179</v>
      </c>
      <c r="E103" s="46"/>
      <c r="F103" s="46">
        <f>J34</f>
        <v>1171470429.470705</v>
      </c>
      <c r="G103" s="46"/>
      <c r="H103" s="46" t="s">
        <v>201</v>
      </c>
      <c r="I103" s="46">
        <f>SUM(F103:F107)</f>
        <v>1699792165.7659888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>
      <c r="A104" s="52"/>
      <c r="B104" s="58"/>
      <c r="C104" s="46"/>
      <c r="D104" s="46" t="s">
        <v>200</v>
      </c>
      <c r="E104" s="46"/>
      <c r="F104" s="46">
        <f>J46</f>
        <v>289646553.74871093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>
      <c r="A105" s="52"/>
      <c r="B105" s="58"/>
      <c r="C105" s="46"/>
      <c r="D105" s="46" t="s">
        <v>181</v>
      </c>
      <c r="E105" s="46"/>
      <c r="F105" s="46">
        <f>J58</f>
        <v>19310011.838590354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>
      <c r="A106" s="52"/>
      <c r="B106" s="58"/>
      <c r="C106" s="46"/>
      <c r="D106" s="46" t="s">
        <v>195</v>
      </c>
      <c r="E106" s="46"/>
      <c r="F106" s="46">
        <f>J70</f>
        <v>200901518.78380936</v>
      </c>
      <c r="G106" s="66"/>
      <c r="H106" s="46" t="s">
        <v>202</v>
      </c>
      <c r="I106" s="46">
        <f>I102/(I102+I103)</f>
        <v>0.98974177920793982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>
      <c r="A107" s="52"/>
      <c r="B107" s="58"/>
      <c r="C107" s="46"/>
      <c r="D107" s="46" t="s">
        <v>174</v>
      </c>
      <c r="E107" s="46"/>
      <c r="F107">
        <f>J82</f>
        <v>18463651.924173221</v>
      </c>
      <c r="G107" s="46"/>
      <c r="H107" s="46" t="s">
        <v>203</v>
      </c>
      <c r="I107" s="46">
        <f>1-I106</f>
        <v>1.025822079206018E-2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>
      <c r="A109" s="56"/>
      <c r="B109" s="57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>
      <c r="A110" s="52"/>
      <c r="B110" s="58"/>
      <c r="C110" s="46"/>
      <c r="D110" s="39" t="s">
        <v>204</v>
      </c>
      <c r="E110" s="46"/>
      <c r="F110" s="46" t="s">
        <v>207</v>
      </c>
      <c r="G110" s="46"/>
      <c r="H110" s="46"/>
      <c r="I110" s="46" t="s">
        <v>207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>
      <c r="A111" s="52"/>
      <c r="B111" s="58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>
      <c r="A112" s="52"/>
      <c r="B112" s="58"/>
      <c r="C112" s="46"/>
      <c r="D112" s="46" t="s">
        <v>178</v>
      </c>
      <c r="E112" s="46"/>
      <c r="F112" s="46">
        <f>J23</f>
        <v>31674683565.113674</v>
      </c>
      <c r="G112" s="46"/>
      <c r="H112" s="46" t="s">
        <v>171</v>
      </c>
      <c r="I112" s="46">
        <f>F112</f>
        <v>31674683565.113674</v>
      </c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>
      <c r="A113" s="52"/>
      <c r="B113" s="58"/>
      <c r="C113" s="46"/>
      <c r="D113" s="46" t="s">
        <v>179</v>
      </c>
      <c r="E113" s="46"/>
      <c r="F113" s="46">
        <f>J35</f>
        <v>31072209884.572083</v>
      </c>
      <c r="G113" s="46"/>
      <c r="H113" s="46" t="s">
        <v>201</v>
      </c>
      <c r="I113" s="46">
        <f>SUM(F113:F117)</f>
        <v>101168119554.57684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>
      <c r="A114" s="56"/>
      <c r="B114" s="57"/>
      <c r="C114" s="46"/>
      <c r="D114" s="46" t="s">
        <v>200</v>
      </c>
      <c r="E114" s="46"/>
      <c r="F114" s="46">
        <f>J47</f>
        <v>19031047645.761341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>
      <c r="A115" s="52"/>
      <c r="B115" s="58"/>
      <c r="C115" s="46"/>
      <c r="D115" s="46" t="s">
        <v>181</v>
      </c>
      <c r="E115" s="46"/>
      <c r="F115" s="46">
        <f>J59</f>
        <v>47454508620.601517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>
      <c r="A116" s="52"/>
      <c r="B116" s="58"/>
      <c r="C116" s="46"/>
      <c r="D116" s="46" t="s">
        <v>195</v>
      </c>
      <c r="E116" s="46"/>
      <c r="F116" s="46">
        <f>J71</f>
        <v>3609681866.9446635</v>
      </c>
      <c r="G116" s="66"/>
      <c r="H116" s="46" t="s">
        <v>202</v>
      </c>
      <c r="I116" s="46">
        <f>I112/(I112+I113)</f>
        <v>0.23843733210428408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>
      <c r="A117" s="52"/>
      <c r="B117" s="58"/>
      <c r="C117" s="46"/>
      <c r="D117" s="46" t="s">
        <v>174</v>
      </c>
      <c r="E117" s="46"/>
      <c r="F117">
        <f>I83</f>
        <v>671536.69724770647</v>
      </c>
      <c r="G117" s="46"/>
      <c r="H117" s="46" t="s">
        <v>203</v>
      </c>
      <c r="I117" s="46">
        <f>1-I116</f>
        <v>0.76156266789571592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>
      <c r="A118" s="52"/>
      <c r="B118" s="58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>
      <c r="A119" s="52"/>
      <c r="B119" s="58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>
      <c r="A120" s="52"/>
      <c r="B120" s="58"/>
      <c r="C120" s="46"/>
      <c r="D120" s="39" t="s">
        <v>291</v>
      </c>
      <c r="E120" s="46"/>
      <c r="F120" s="46" t="s">
        <v>207</v>
      </c>
      <c r="G120" s="46"/>
      <c r="H120" s="46"/>
      <c r="I120" s="46" t="s">
        <v>207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>
      <c r="A121" s="52"/>
      <c r="B121" s="58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>
      <c r="A122" s="52"/>
      <c r="B122" s="58"/>
      <c r="C122" s="46"/>
      <c r="D122" s="46" t="s">
        <v>178</v>
      </c>
      <c r="E122" s="46"/>
      <c r="F122" s="46">
        <f>J25</f>
        <v>733516623.92666173</v>
      </c>
      <c r="G122" s="46"/>
      <c r="H122" s="46" t="s">
        <v>171</v>
      </c>
      <c r="I122" s="46">
        <f>F122</f>
        <v>733516623.92666173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>
      <c r="A123" s="52"/>
      <c r="B123" s="58"/>
      <c r="C123" s="46"/>
      <c r="D123" s="46" t="s">
        <v>179</v>
      </c>
      <c r="E123" s="46"/>
      <c r="F123" s="46">
        <f>J37</f>
        <v>6184389.3864837904</v>
      </c>
      <c r="G123" s="46"/>
      <c r="H123" s="46" t="s">
        <v>201</v>
      </c>
      <c r="I123" s="46">
        <f>SUM(F123:F127)</f>
        <v>35344763.827924937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>
      <c r="A124" s="52"/>
      <c r="B124" s="58"/>
      <c r="C124" s="46"/>
      <c r="D124" s="46" t="s">
        <v>200</v>
      </c>
      <c r="E124" s="46"/>
      <c r="F124" s="46">
        <f>J49</f>
        <v>3535947.8359365617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>
      <c r="A125" s="52"/>
      <c r="B125" s="58"/>
      <c r="C125" s="46"/>
      <c r="D125" s="46" t="s">
        <v>181</v>
      </c>
      <c r="E125" s="46"/>
      <c r="F125" s="46">
        <v>0</v>
      </c>
      <c r="G125" s="46" t="s">
        <v>205</v>
      </c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>
      <c r="A126" s="52"/>
      <c r="B126" s="58"/>
      <c r="C126" s="46"/>
      <c r="D126" s="46" t="s">
        <v>195</v>
      </c>
      <c r="E126" s="46"/>
      <c r="F126" s="46">
        <v>0</v>
      </c>
      <c r="G126" s="66" t="s">
        <v>205</v>
      </c>
      <c r="H126" s="46" t="s">
        <v>202</v>
      </c>
      <c r="I126" s="46">
        <f>I122/(I122+I123)</f>
        <v>0.95402973228874555</v>
      </c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>
      <c r="A127" s="52"/>
      <c r="B127" s="58"/>
      <c r="C127" s="46"/>
      <c r="D127" s="46" t="s">
        <v>174</v>
      </c>
      <c r="E127" s="46"/>
      <c r="F127">
        <f>J85</f>
        <v>25624426.605504584</v>
      </c>
      <c r="G127" s="46"/>
      <c r="H127" s="46" t="s">
        <v>203</v>
      </c>
      <c r="I127" s="46">
        <f>1-I126</f>
        <v>4.5970267711254453E-2</v>
      </c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>
      <c r="A128" s="52"/>
      <c r="B128" s="58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>
      <c r="A129" s="56"/>
      <c r="B129" s="57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>
      <c r="A130" s="52"/>
      <c r="B130" s="58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>
      <c r="A131" s="52"/>
      <c r="B131" s="58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>
      <c r="A132" s="52"/>
      <c r="B132" s="58"/>
      <c r="C132" s="46"/>
      <c r="D132" s="39" t="s">
        <v>208</v>
      </c>
      <c r="E132" s="46"/>
      <c r="F132" s="46" t="s">
        <v>210</v>
      </c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>
      <c r="A133" s="52"/>
      <c r="B133" s="58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>
      <c r="A134" s="56"/>
      <c r="B134" s="57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>
      <c r="A135" s="52"/>
      <c r="B135" s="58"/>
      <c r="C135" s="46"/>
      <c r="D135" s="39" t="s">
        <v>188</v>
      </c>
      <c r="E135" s="46"/>
      <c r="F135" s="46" t="s">
        <v>182</v>
      </c>
      <c r="G135" t="s">
        <v>191</v>
      </c>
      <c r="H135" s="46" t="s">
        <v>192</v>
      </c>
      <c r="I135" s="46" t="s">
        <v>198</v>
      </c>
      <c r="J135" s="46" t="s">
        <v>193</v>
      </c>
      <c r="K135" s="46" t="s">
        <v>209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>
      <c r="A136" s="52"/>
      <c r="B136" s="58"/>
      <c r="C136" s="46"/>
      <c r="E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>
      <c r="A137" s="52"/>
      <c r="B137" s="58"/>
      <c r="C137" s="46"/>
      <c r="D137" s="46" t="s">
        <v>189</v>
      </c>
      <c r="E137" s="46"/>
      <c r="F137" s="46">
        <v>6276990</v>
      </c>
      <c r="G137" s="46">
        <f>$I$7</f>
        <v>12441.563275011045</v>
      </c>
      <c r="H137" s="46">
        <v>0.476190476190476</v>
      </c>
      <c r="I137" s="46">
        <f>G137/H137</f>
        <v>26127.282877523205</v>
      </c>
      <c r="J137" s="46">
        <f>I137*F137</f>
        <v>164000693349.38437</v>
      </c>
      <c r="K137" s="46">
        <f t="shared" ref="K137:K142" si="20">J137/$J$144</f>
        <v>0.81379847623544543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>
      <c r="A138" s="52"/>
      <c r="B138" s="58"/>
      <c r="C138" s="46"/>
      <c r="D138" s="46" t="s">
        <v>164</v>
      </c>
      <c r="E138" s="46"/>
      <c r="F138" s="46">
        <v>1339935</v>
      </c>
      <c r="G138" s="46">
        <f t="shared" ref="G138:G142" si="21">$I$7</f>
        <v>12441.563275011045</v>
      </c>
      <c r="H138" s="46">
        <v>0.52631578947368396</v>
      </c>
      <c r="I138" s="46">
        <f t="shared" ref="I138:I141" si="22">G138/H138</f>
        <v>23638.970222520999</v>
      </c>
      <c r="J138" s="46">
        <f t="shared" ref="J138:J142" si="23">I138*F138</f>
        <v>31674683565.113674</v>
      </c>
      <c r="K138" s="46">
        <f t="shared" si="20"/>
        <v>0.15717500148377378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>
      <c r="A139" s="52"/>
      <c r="B139" s="58"/>
      <c r="C139" s="46"/>
      <c r="D139" s="46" t="s">
        <v>175</v>
      </c>
      <c r="E139" s="46"/>
      <c r="F139" s="46">
        <v>202322</v>
      </c>
      <c r="G139" s="46">
        <f t="shared" si="21"/>
        <v>12441.563275011045</v>
      </c>
      <c r="H139" s="46">
        <v>0.5</v>
      </c>
      <c r="I139" s="46">
        <f t="shared" si="22"/>
        <v>24883.126550022091</v>
      </c>
      <c r="J139" s="46">
        <f t="shared" si="23"/>
        <v>5034403929.853569</v>
      </c>
      <c r="K139" s="46">
        <f t="shared" si="20"/>
        <v>2.4981542231290527E-2</v>
      </c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>
      <c r="A140" s="52"/>
      <c r="B140" s="58"/>
      <c r="C140" s="46"/>
      <c r="D140" s="46" t="s">
        <v>176</v>
      </c>
      <c r="E140" s="46"/>
      <c r="F140" s="46">
        <v>90703</v>
      </c>
      <c r="G140" s="46">
        <f t="shared" si="21"/>
        <v>12441.563275011045</v>
      </c>
      <c r="H140" s="46">
        <v>1.5384615384615401</v>
      </c>
      <c r="I140" s="46">
        <f t="shared" si="22"/>
        <v>8087.0161287571709</v>
      </c>
      <c r="J140" s="46">
        <f t="shared" si="23"/>
        <v>733516623.92666173</v>
      </c>
      <c r="K140" s="46">
        <f t="shared" si="20"/>
        <v>3.6398304095775118E-3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>
      <c r="A141" s="52"/>
      <c r="B141" s="58"/>
      <c r="C141" s="46"/>
      <c r="D141" s="46" t="s">
        <v>177</v>
      </c>
      <c r="E141" s="46"/>
      <c r="F141" s="46">
        <v>3125</v>
      </c>
      <c r="G141" s="46">
        <f t="shared" si="21"/>
        <v>12441.563275011045</v>
      </c>
      <c r="H141" s="46">
        <v>0.476190476190476</v>
      </c>
      <c r="I141" s="46">
        <f t="shared" si="22"/>
        <v>26127.282877523205</v>
      </c>
      <c r="J141" s="46">
        <f t="shared" si="23"/>
        <v>81647758.992260009</v>
      </c>
      <c r="K141" s="46">
        <f t="shared" si="20"/>
        <v>4.0514963991272361E-4</v>
      </c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>
      <c r="A142" s="52"/>
      <c r="B142" s="58"/>
      <c r="C142" s="46"/>
      <c r="D142" s="46" t="s">
        <v>190</v>
      </c>
      <c r="E142" s="46"/>
      <c r="F142" s="46">
        <v>2538</v>
      </c>
      <c r="G142" s="46">
        <f t="shared" si="21"/>
        <v>12441.563275011045</v>
      </c>
      <c r="H142" s="46">
        <v>0</v>
      </c>
      <c r="I142" s="46">
        <v>0</v>
      </c>
      <c r="J142" s="46">
        <f t="shared" si="23"/>
        <v>0</v>
      </c>
      <c r="K142" s="46">
        <f t="shared" si="20"/>
        <v>0</v>
      </c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>
      <c r="A143" s="52"/>
      <c r="B143" s="58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>
      <c r="A144" s="52"/>
      <c r="B144" s="58"/>
      <c r="C144" s="46"/>
      <c r="D144" s="46" t="s">
        <v>184</v>
      </c>
      <c r="E144" s="46"/>
      <c r="F144" s="46">
        <v>7915613</v>
      </c>
      <c r="G144" s="46"/>
      <c r="H144" s="46"/>
      <c r="I144" s="46"/>
      <c r="J144" s="46">
        <f>SUM(J137:J142)</f>
        <v>201524945227.27054</v>
      </c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>
      <c r="A145" s="52"/>
      <c r="B145" s="58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>
      <c r="A146" s="52"/>
      <c r="B146" s="58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 spans="1:23">
      <c r="A147" s="52"/>
      <c r="B147" s="58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>
      <c r="A148" s="52"/>
      <c r="B148" s="58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>
      <c r="A149" s="52"/>
      <c r="B149" s="58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>
      <c r="A150" s="52"/>
      <c r="B150" s="58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 spans="1:23">
      <c r="A151" s="52"/>
      <c r="B151" s="58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>
      <c r="A152" s="52"/>
      <c r="B152" s="58"/>
      <c r="C152" s="46"/>
      <c r="D152" s="46"/>
      <c r="E152" s="46"/>
      <c r="F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>
      <c r="A153" s="52"/>
      <c r="B153" s="58"/>
      <c r="C153" s="46"/>
      <c r="D153" s="46"/>
      <c r="E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>
      <c r="A154" s="52"/>
      <c r="B154" s="58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>
      <c r="A155" s="56"/>
      <c r="B155" s="57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 spans="1:23">
      <c r="A156" s="52"/>
      <c r="B156" s="58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>
      <c r="A157" s="52"/>
      <c r="B157" s="58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>
      <c r="A158" s="52"/>
      <c r="B158" s="58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>
      <c r="A159" s="52"/>
      <c r="B159" s="58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>
      <c r="A160" s="56"/>
      <c r="B160" s="57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>
      <c r="A161" s="52"/>
      <c r="B161" s="58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>
      <c r="A162" s="52"/>
      <c r="B162" s="58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>
      <c r="A163" s="52"/>
      <c r="B163" s="58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>
      <c r="A164" s="52"/>
      <c r="B164" s="58"/>
      <c r="C164" s="46"/>
      <c r="D164" s="46"/>
      <c r="E164" s="46"/>
      <c r="F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>
      <c r="A165" s="52"/>
      <c r="B165" s="58"/>
      <c r="C165" s="46"/>
      <c r="D165" s="46"/>
      <c r="E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>
      <c r="A166" s="52"/>
      <c r="B166" s="58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>
      <c r="A167" s="52"/>
      <c r="B167" s="58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 spans="1:23">
      <c r="A168" s="52"/>
      <c r="B168" s="58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>
      <c r="A169" s="52"/>
      <c r="B169" s="58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 spans="1:23">
      <c r="A170" s="52"/>
      <c r="B170" s="58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>
      <c r="A171" s="52"/>
      <c r="B171" s="58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>
      <c r="A172" s="52"/>
      <c r="B172" s="58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>
      <c r="A173" s="52"/>
      <c r="B173" s="58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>
      <c r="A174" s="52"/>
      <c r="B174" s="58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>
      <c r="A175" s="52"/>
      <c r="B175" s="58"/>
      <c r="C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 spans="1:23">
      <c r="A176" s="52"/>
      <c r="B176" s="58"/>
      <c r="C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>
      <c r="A177" s="46"/>
      <c r="B177" s="46"/>
      <c r="C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>
      <c r="A178" s="46"/>
      <c r="B178" s="46"/>
      <c r="C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>
      <c r="A179" s="46"/>
      <c r="B179" s="46"/>
      <c r="C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 spans="1:23">
      <c r="A180" s="46"/>
      <c r="B180" s="46"/>
      <c r="C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>
      <c r="A181" s="46"/>
      <c r="B181" s="46"/>
      <c r="C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 spans="1:23">
      <c r="A182" s="46"/>
      <c r="B182" s="46"/>
      <c r="C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>
      <c r="A183" s="46"/>
      <c r="B183" s="46"/>
      <c r="C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>
      <c r="A184" s="46"/>
      <c r="B184" s="46"/>
      <c r="C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>
      <c r="A185" s="46"/>
      <c r="B185" s="46"/>
      <c r="C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>
      <c r="A186" s="46"/>
      <c r="B186" s="46"/>
      <c r="C186" s="46"/>
      <c r="O186" s="46"/>
      <c r="P186" s="46"/>
      <c r="Q186" s="46"/>
      <c r="R186" s="46"/>
      <c r="S186" s="46"/>
      <c r="T186" s="46"/>
      <c r="U186" s="46"/>
      <c r="V186" s="46"/>
      <c r="W186" s="4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E4" sqref="E4"/>
    </sheetView>
  </sheetViews>
  <sheetFormatPr baseColWidth="10" defaultColWidth="10.1640625" defaultRowHeight="13" x14ac:dyDescent="0"/>
  <cols>
    <col min="1" max="1" width="36.83203125" style="76" customWidth="1"/>
    <col min="2" max="10" width="10.1640625" style="76"/>
    <col min="11" max="11" width="11.6640625" style="76" bestFit="1" customWidth="1"/>
    <col min="12" max="16384" width="10.1640625" style="76"/>
  </cols>
  <sheetData>
    <row r="1" spans="1:12">
      <c r="A1" s="75" t="s">
        <v>295</v>
      </c>
    </row>
    <row r="3" spans="1:12">
      <c r="A3" s="75" t="s">
        <v>296</v>
      </c>
      <c r="B3" s="77">
        <v>42305.691828703704</v>
      </c>
    </row>
    <row r="4" spans="1:12">
      <c r="A4" s="75" t="s">
        <v>297</v>
      </c>
      <c r="B4" s="77">
        <v>42404.400635057871</v>
      </c>
      <c r="E4" s="76" t="s">
        <v>328</v>
      </c>
    </row>
    <row r="5" spans="1:12">
      <c r="A5" s="75" t="s">
        <v>298</v>
      </c>
      <c r="B5" s="75" t="s">
        <v>299</v>
      </c>
    </row>
    <row r="7" spans="1:12">
      <c r="A7" s="75" t="s">
        <v>300</v>
      </c>
      <c r="B7" s="75" t="s">
        <v>301</v>
      </c>
    </row>
    <row r="8" spans="1:12">
      <c r="A8" s="75" t="s">
        <v>302</v>
      </c>
      <c r="B8" s="75" t="s">
        <v>303</v>
      </c>
    </row>
    <row r="10" spans="1:12">
      <c r="A10" s="78" t="s">
        <v>304</v>
      </c>
      <c r="B10" s="78" t="s">
        <v>305</v>
      </c>
      <c r="C10" s="78" t="s">
        <v>306</v>
      </c>
      <c r="D10" s="78" t="s">
        <v>307</v>
      </c>
      <c r="E10" s="78" t="s">
        <v>308</v>
      </c>
      <c r="F10" s="78" t="s">
        <v>309</v>
      </c>
      <c r="G10" s="78" t="s">
        <v>310</v>
      </c>
      <c r="H10" s="78" t="s">
        <v>311</v>
      </c>
      <c r="I10" s="78" t="s">
        <v>312</v>
      </c>
      <c r="J10" s="78" t="s">
        <v>313</v>
      </c>
      <c r="K10" s="78" t="s">
        <v>314</v>
      </c>
    </row>
    <row r="11" spans="1:12">
      <c r="A11" s="78" t="s">
        <v>60</v>
      </c>
      <c r="B11" s="79">
        <v>4821</v>
      </c>
      <c r="C11" s="79">
        <v>4874</v>
      </c>
      <c r="D11" s="79">
        <v>4919</v>
      </c>
      <c r="E11" s="79">
        <v>4976</v>
      </c>
      <c r="F11" s="79">
        <v>5049</v>
      </c>
      <c r="G11" s="79">
        <v>5131</v>
      </c>
      <c r="H11" s="79">
        <v>5193</v>
      </c>
      <c r="I11" s="79">
        <v>5276</v>
      </c>
      <c r="J11" s="79">
        <v>5407</v>
      </c>
      <c r="K11" s="80" t="s">
        <v>315</v>
      </c>
      <c r="L11" s="76" t="s">
        <v>316</v>
      </c>
    </row>
    <row r="12" spans="1:12">
      <c r="A12" s="78" t="s">
        <v>67</v>
      </c>
      <c r="B12" s="79">
        <v>2309</v>
      </c>
      <c r="C12" s="79">
        <v>2438</v>
      </c>
      <c r="D12" s="79">
        <v>2538</v>
      </c>
      <c r="E12" s="79">
        <v>1768</v>
      </c>
      <c r="F12" s="79">
        <v>2082</v>
      </c>
      <c r="G12" s="79">
        <v>2366</v>
      </c>
      <c r="H12" s="79">
        <v>2502</v>
      </c>
      <c r="I12" s="79">
        <v>2602</v>
      </c>
      <c r="J12" s="79">
        <v>2695</v>
      </c>
      <c r="K12" s="79">
        <v>2807</v>
      </c>
      <c r="L12" s="76" t="s">
        <v>316</v>
      </c>
    </row>
    <row r="13" spans="1:12">
      <c r="A13" s="78" t="s">
        <v>73</v>
      </c>
      <c r="B13" s="81">
        <v>3706.0120000000002</v>
      </c>
      <c r="C13" s="79">
        <v>3816</v>
      </c>
      <c r="D13" s="79">
        <v>3959</v>
      </c>
      <c r="E13" s="79">
        <v>4109</v>
      </c>
      <c r="F13" s="79">
        <v>4280</v>
      </c>
      <c r="G13" s="79">
        <v>4423</v>
      </c>
      <c r="H13" s="79">
        <v>4435</v>
      </c>
      <c r="I13" s="79">
        <v>4496</v>
      </c>
      <c r="J13" s="79">
        <v>4582</v>
      </c>
      <c r="K13" s="79">
        <v>4706</v>
      </c>
      <c r="L13" s="76" t="s">
        <v>316</v>
      </c>
    </row>
    <row r="14" spans="1:12">
      <c r="A14" s="78" t="s">
        <v>74</v>
      </c>
      <c r="B14" s="80" t="s">
        <v>315</v>
      </c>
      <c r="C14" s="80" t="s">
        <v>315</v>
      </c>
      <c r="D14" s="80" t="s">
        <v>315</v>
      </c>
      <c r="E14" s="79">
        <v>2479</v>
      </c>
      <c r="F14" s="79">
        <v>2554</v>
      </c>
      <c r="G14" s="79">
        <v>2580</v>
      </c>
      <c r="H14" s="80" t="s">
        <v>315</v>
      </c>
      <c r="I14" s="80" t="s">
        <v>315</v>
      </c>
      <c r="J14" s="80" t="s">
        <v>315</v>
      </c>
      <c r="K14" s="80" t="s">
        <v>315</v>
      </c>
      <c r="L14" s="82" t="s">
        <v>316</v>
      </c>
    </row>
    <row r="15" spans="1:12">
      <c r="A15" s="78" t="s">
        <v>317</v>
      </c>
      <c r="B15" s="79">
        <v>45023</v>
      </c>
      <c r="C15" s="79">
        <v>45376</v>
      </c>
      <c r="D15" s="79">
        <v>46090</v>
      </c>
      <c r="E15" s="79">
        <v>46570</v>
      </c>
      <c r="F15" s="80" t="s">
        <v>315</v>
      </c>
      <c r="G15" s="79">
        <v>41321</v>
      </c>
      <c r="H15" s="79">
        <v>41738</v>
      </c>
      <c r="I15" s="79">
        <v>42302</v>
      </c>
      <c r="J15" s="79">
        <v>42928</v>
      </c>
      <c r="K15" s="79">
        <v>43431</v>
      </c>
      <c r="L15" s="76" t="s">
        <v>316</v>
      </c>
    </row>
    <row r="16" spans="1:12">
      <c r="A16" s="78" t="s">
        <v>78</v>
      </c>
      <c r="B16" s="79">
        <v>434</v>
      </c>
      <c r="C16" s="79">
        <v>471</v>
      </c>
      <c r="D16" s="83">
        <v>493.7</v>
      </c>
      <c r="E16" s="79">
        <v>554</v>
      </c>
      <c r="F16" s="83">
        <v>523.79999999999995</v>
      </c>
      <c r="G16" s="83">
        <v>551.79999999999995</v>
      </c>
      <c r="H16" s="83">
        <v>545.6</v>
      </c>
      <c r="I16" s="84">
        <v>552.67999999999995</v>
      </c>
      <c r="J16" s="79">
        <v>574</v>
      </c>
      <c r="K16" s="83">
        <v>602.1</v>
      </c>
      <c r="L16" s="76" t="s">
        <v>316</v>
      </c>
    </row>
    <row r="17" spans="1:12">
      <c r="A17" s="78" t="s">
        <v>90</v>
      </c>
      <c r="B17" s="79">
        <v>1532</v>
      </c>
      <c r="C17" s="79">
        <v>1582</v>
      </c>
      <c r="D17" s="79">
        <v>1662</v>
      </c>
      <c r="E17" s="80" t="s">
        <v>315</v>
      </c>
      <c r="F17" s="79">
        <v>1883</v>
      </c>
      <c r="G17" s="80" t="s">
        <v>315</v>
      </c>
      <c r="H17" s="80" t="s">
        <v>315</v>
      </c>
      <c r="I17" s="80" t="s">
        <v>315</v>
      </c>
      <c r="J17" s="84">
        <v>1962.46</v>
      </c>
      <c r="K17" s="84">
        <v>1951.13</v>
      </c>
      <c r="L17" s="82" t="s">
        <v>316</v>
      </c>
    </row>
    <row r="18" spans="1:12">
      <c r="A18" s="78" t="s">
        <v>83</v>
      </c>
      <c r="B18" s="79">
        <v>3840</v>
      </c>
      <c r="C18" s="80" t="s">
        <v>315</v>
      </c>
      <c r="D18" s="80" t="s">
        <v>315</v>
      </c>
      <c r="E18" s="80" t="s">
        <v>315</v>
      </c>
      <c r="F18" s="80" t="s">
        <v>315</v>
      </c>
      <c r="G18" s="80" t="s">
        <v>315</v>
      </c>
      <c r="H18" s="80" t="s">
        <v>315</v>
      </c>
      <c r="I18" s="80" t="s">
        <v>315</v>
      </c>
      <c r="J18" s="80" t="s">
        <v>315</v>
      </c>
      <c r="K18" s="80" t="s">
        <v>315</v>
      </c>
      <c r="L18" s="82" t="s">
        <v>316</v>
      </c>
    </row>
    <row r="19" spans="1:12">
      <c r="A19" s="78" t="s">
        <v>128</v>
      </c>
      <c r="B19" s="79">
        <v>18688</v>
      </c>
      <c r="C19" s="79">
        <v>19542</v>
      </c>
      <c r="D19" s="80" t="s">
        <v>315</v>
      </c>
      <c r="E19" s="79">
        <v>21053</v>
      </c>
      <c r="F19" s="79">
        <v>21760</v>
      </c>
      <c r="G19" s="79">
        <v>22145</v>
      </c>
      <c r="H19" s="79">
        <v>21984</v>
      </c>
      <c r="I19" s="79">
        <v>22148</v>
      </c>
      <c r="J19" s="79">
        <v>22277</v>
      </c>
      <c r="K19" s="79">
        <v>22248</v>
      </c>
      <c r="L19" s="85" t="s">
        <v>316</v>
      </c>
    </row>
    <row r="20" spans="1:12">
      <c r="A20" s="78" t="s">
        <v>80</v>
      </c>
      <c r="B20" s="79">
        <v>29560</v>
      </c>
      <c r="C20" s="79">
        <v>29900</v>
      </c>
      <c r="D20" s="79">
        <v>30100</v>
      </c>
      <c r="E20" s="79">
        <v>30400</v>
      </c>
      <c r="F20" s="79">
        <v>30700</v>
      </c>
      <c r="G20" s="80" t="s">
        <v>315</v>
      </c>
      <c r="H20" s="80" t="s">
        <v>315</v>
      </c>
      <c r="I20" s="80" t="s">
        <v>315</v>
      </c>
      <c r="J20" s="80" t="s">
        <v>315</v>
      </c>
      <c r="K20" s="79">
        <v>32555</v>
      </c>
      <c r="L20" s="85" t="s">
        <v>316</v>
      </c>
    </row>
    <row r="21" spans="1:12">
      <c r="A21" s="78" t="s">
        <v>72</v>
      </c>
      <c r="B21" s="79">
        <v>1282</v>
      </c>
      <c r="C21" s="79">
        <v>1329</v>
      </c>
      <c r="D21" s="79">
        <v>1374</v>
      </c>
      <c r="E21" s="79">
        <v>1426</v>
      </c>
      <c r="F21" s="79">
        <v>1510</v>
      </c>
      <c r="G21" s="79">
        <v>1551</v>
      </c>
      <c r="H21" s="79">
        <v>1541</v>
      </c>
      <c r="I21" s="79">
        <v>1521</v>
      </c>
      <c r="J21" s="79">
        <v>1518</v>
      </c>
      <c r="K21" s="79">
        <v>1445</v>
      </c>
      <c r="L21" s="85" t="s">
        <v>316</v>
      </c>
    </row>
    <row r="22" spans="1:12">
      <c r="A22" s="78" t="s">
        <v>91</v>
      </c>
      <c r="B22" s="80" t="s">
        <v>315</v>
      </c>
      <c r="C22" s="79">
        <v>33973</v>
      </c>
      <c r="D22" s="79">
        <v>34667</v>
      </c>
      <c r="E22" s="79">
        <v>35297</v>
      </c>
      <c r="F22" s="79">
        <v>35680</v>
      </c>
      <c r="G22" s="79">
        <v>36105</v>
      </c>
      <c r="H22" s="79">
        <v>36372</v>
      </c>
      <c r="I22" s="79">
        <v>36751</v>
      </c>
      <c r="J22" s="79">
        <v>37113</v>
      </c>
      <c r="K22" s="79">
        <v>37078</v>
      </c>
      <c r="L22" s="85" t="s">
        <v>316</v>
      </c>
    </row>
    <row r="23" spans="1:12">
      <c r="A23" s="78" t="s">
        <v>318</v>
      </c>
      <c r="B23" s="79">
        <v>303</v>
      </c>
      <c r="C23" s="79">
        <v>336</v>
      </c>
      <c r="D23" s="79">
        <v>355</v>
      </c>
      <c r="E23" s="79">
        <v>373</v>
      </c>
      <c r="F23" s="79">
        <v>411</v>
      </c>
      <c r="G23" s="79">
        <v>444</v>
      </c>
      <c r="H23" s="79">
        <v>461</v>
      </c>
      <c r="I23" s="79">
        <v>463</v>
      </c>
      <c r="J23" s="79">
        <v>470</v>
      </c>
      <c r="K23" s="79">
        <v>475</v>
      </c>
      <c r="L23" s="85" t="s">
        <v>316</v>
      </c>
    </row>
    <row r="24" spans="1:12">
      <c r="A24" s="78" t="s">
        <v>98</v>
      </c>
      <c r="B24" s="83">
        <v>648.9</v>
      </c>
      <c r="C24" s="83">
        <v>686.1</v>
      </c>
      <c r="D24" s="83">
        <v>742.4</v>
      </c>
      <c r="E24" s="84">
        <v>822.01</v>
      </c>
      <c r="F24" s="84">
        <v>904.87</v>
      </c>
      <c r="G24" s="84">
        <v>932.83</v>
      </c>
      <c r="H24" s="84">
        <v>904.31</v>
      </c>
      <c r="I24" s="84">
        <v>636.66</v>
      </c>
      <c r="J24" s="84">
        <v>612.32000000000005</v>
      </c>
      <c r="K24" s="84">
        <v>618.27</v>
      </c>
      <c r="L24" s="85" t="s">
        <v>316</v>
      </c>
    </row>
    <row r="25" spans="1:12">
      <c r="A25" s="78" t="s">
        <v>100</v>
      </c>
      <c r="B25" s="83">
        <v>1256.9000000000001</v>
      </c>
      <c r="C25" s="83">
        <v>1315.9</v>
      </c>
      <c r="D25" s="83">
        <v>1455.3</v>
      </c>
      <c r="E25" s="83">
        <v>1592.2</v>
      </c>
      <c r="F25" s="83">
        <v>1587.9</v>
      </c>
      <c r="G25" s="81">
        <v>1671.0650000000001</v>
      </c>
      <c r="H25" s="83">
        <v>1695.3</v>
      </c>
      <c r="I25" s="83">
        <v>1691.9</v>
      </c>
      <c r="J25" s="83">
        <v>1713.3</v>
      </c>
      <c r="K25" s="80" t="s">
        <v>315</v>
      </c>
      <c r="L25" s="85" t="s">
        <v>316</v>
      </c>
    </row>
    <row r="26" spans="1:12">
      <c r="A26" s="78" t="s">
        <v>101</v>
      </c>
      <c r="B26" s="79">
        <v>293</v>
      </c>
      <c r="C26" s="79">
        <v>299</v>
      </c>
      <c r="D26" s="79">
        <v>307</v>
      </c>
      <c r="E26" s="79">
        <v>315</v>
      </c>
      <c r="F26" s="79">
        <v>322</v>
      </c>
      <c r="G26" s="79">
        <v>328</v>
      </c>
      <c r="H26" s="83">
        <v>331.5</v>
      </c>
      <c r="I26" s="80" t="s">
        <v>315</v>
      </c>
      <c r="J26" s="80" t="s">
        <v>315</v>
      </c>
      <c r="K26" s="80" t="s">
        <v>315</v>
      </c>
      <c r="L26" s="85" t="s">
        <v>316</v>
      </c>
    </row>
    <row r="27" spans="1:12">
      <c r="A27" s="78" t="s">
        <v>84</v>
      </c>
      <c r="B27" s="79">
        <v>2777</v>
      </c>
      <c r="C27" s="79">
        <v>2828</v>
      </c>
      <c r="D27" s="79">
        <v>2889</v>
      </c>
      <c r="E27" s="79">
        <v>3214</v>
      </c>
      <c r="F27" s="79">
        <v>3262</v>
      </c>
      <c r="G27" s="79">
        <v>3055</v>
      </c>
      <c r="H27" s="84">
        <v>3013.72</v>
      </c>
      <c r="I27" s="84">
        <v>2984.06</v>
      </c>
      <c r="J27" s="84">
        <v>2967.81</v>
      </c>
      <c r="K27" s="84">
        <v>2986.03</v>
      </c>
      <c r="L27" s="85" t="s">
        <v>316</v>
      </c>
    </row>
    <row r="28" spans="1:12">
      <c r="A28" s="78" t="s">
        <v>319</v>
      </c>
      <c r="B28" s="80" t="s">
        <v>315</v>
      </c>
      <c r="C28" s="80" t="s">
        <v>315</v>
      </c>
      <c r="D28" s="80" t="s">
        <v>315</v>
      </c>
      <c r="E28" s="80" t="s">
        <v>315</v>
      </c>
      <c r="F28" s="80" t="s">
        <v>315</v>
      </c>
      <c r="G28" s="80" t="s">
        <v>315</v>
      </c>
      <c r="H28" s="84">
        <v>234.94</v>
      </c>
      <c r="I28" s="84">
        <v>240.96</v>
      </c>
      <c r="J28" s="84">
        <v>247.17</v>
      </c>
      <c r="K28" s="84">
        <v>249.61</v>
      </c>
      <c r="L28" s="85" t="s">
        <v>316</v>
      </c>
    </row>
    <row r="29" spans="1:12">
      <c r="A29" s="78" t="s">
        <v>108</v>
      </c>
      <c r="B29" s="79">
        <v>6909</v>
      </c>
      <c r="C29" s="79">
        <v>6992</v>
      </c>
      <c r="D29" s="79">
        <v>7092</v>
      </c>
      <c r="E29" s="79">
        <v>7230</v>
      </c>
      <c r="F29" s="79">
        <v>7392</v>
      </c>
      <c r="G29" s="79">
        <v>7542</v>
      </c>
      <c r="H29" s="79">
        <v>7622</v>
      </c>
      <c r="I29" s="79">
        <v>7736</v>
      </c>
      <c r="J29" s="79">
        <v>7859</v>
      </c>
      <c r="K29" s="80" t="s">
        <v>315</v>
      </c>
      <c r="L29" s="85" t="s">
        <v>316</v>
      </c>
    </row>
    <row r="30" spans="1:12">
      <c r="A30" s="78" t="s">
        <v>56</v>
      </c>
      <c r="B30" s="79">
        <v>4054</v>
      </c>
      <c r="C30" s="79">
        <v>4109</v>
      </c>
      <c r="D30" s="79">
        <v>4157</v>
      </c>
      <c r="E30" s="79">
        <v>4205</v>
      </c>
      <c r="F30" s="79">
        <v>4246</v>
      </c>
      <c r="G30" s="79">
        <v>4285</v>
      </c>
      <c r="H30" s="79">
        <v>4360</v>
      </c>
      <c r="I30" s="79">
        <v>4441</v>
      </c>
      <c r="J30" s="79">
        <v>4513</v>
      </c>
      <c r="K30" s="79">
        <v>4584</v>
      </c>
      <c r="L30" s="85" t="s">
        <v>316</v>
      </c>
    </row>
    <row r="31" spans="1:12">
      <c r="A31" s="78" t="s">
        <v>118</v>
      </c>
      <c r="B31" s="83">
        <v>11243.8</v>
      </c>
      <c r="C31" s="79">
        <v>11975</v>
      </c>
      <c r="D31" s="79">
        <v>12339</v>
      </c>
      <c r="E31" s="79">
        <v>13384</v>
      </c>
      <c r="F31" s="79">
        <v>14589</v>
      </c>
      <c r="G31" s="79">
        <v>16080</v>
      </c>
      <c r="H31" s="79">
        <v>16495</v>
      </c>
      <c r="I31" s="79">
        <v>17240</v>
      </c>
      <c r="J31" s="79">
        <v>18125</v>
      </c>
      <c r="K31" s="79">
        <v>18744</v>
      </c>
      <c r="L31" s="85" t="s">
        <v>316</v>
      </c>
    </row>
    <row r="32" spans="1:12">
      <c r="A32" s="78" t="s">
        <v>119</v>
      </c>
      <c r="B32" s="80" t="s">
        <v>315</v>
      </c>
      <c r="C32" s="80" t="s">
        <v>315</v>
      </c>
      <c r="D32" s="80" t="s">
        <v>315</v>
      </c>
      <c r="E32" s="80" t="s">
        <v>315</v>
      </c>
      <c r="F32" s="80" t="s">
        <v>315</v>
      </c>
      <c r="G32" s="80" t="s">
        <v>315</v>
      </c>
      <c r="H32" s="80" t="s">
        <v>315</v>
      </c>
      <c r="I32" s="79">
        <v>4692</v>
      </c>
      <c r="J32" s="79">
        <v>4712</v>
      </c>
      <c r="K32" s="79">
        <v>4259</v>
      </c>
      <c r="L32" s="85" t="s">
        <v>316</v>
      </c>
    </row>
    <row r="33" spans="1:12">
      <c r="A33" s="78" t="s">
        <v>320</v>
      </c>
      <c r="B33" s="80" t="s">
        <v>315</v>
      </c>
      <c r="C33" s="83">
        <v>3225.3</v>
      </c>
      <c r="D33" s="80" t="s">
        <v>315</v>
      </c>
      <c r="E33" s="79">
        <v>3221</v>
      </c>
      <c r="F33" s="79">
        <v>3541</v>
      </c>
      <c r="G33" s="79">
        <v>4027</v>
      </c>
      <c r="H33" s="79">
        <v>4245</v>
      </c>
      <c r="I33" s="79">
        <v>4320</v>
      </c>
      <c r="J33" s="79">
        <v>4335</v>
      </c>
      <c r="K33" s="79">
        <v>4487</v>
      </c>
      <c r="L33" s="85" t="s">
        <v>316</v>
      </c>
    </row>
    <row r="34" spans="1:12">
      <c r="A34" s="78" t="s">
        <v>125</v>
      </c>
      <c r="B34" s="79">
        <v>890</v>
      </c>
      <c r="C34" s="79">
        <v>911</v>
      </c>
      <c r="D34" s="79">
        <v>960</v>
      </c>
      <c r="E34" s="79">
        <v>980</v>
      </c>
      <c r="F34" s="79">
        <v>1014</v>
      </c>
      <c r="G34" s="84">
        <v>1045.18</v>
      </c>
      <c r="H34" s="81">
        <v>1058.8579999999999</v>
      </c>
      <c r="I34" s="84">
        <v>1061.6500000000001</v>
      </c>
      <c r="J34" s="84">
        <v>1066.49</v>
      </c>
      <c r="K34" s="84">
        <v>1066.03</v>
      </c>
      <c r="L34" s="85" t="s">
        <v>316</v>
      </c>
    </row>
    <row r="35" spans="1:12">
      <c r="A35" s="78" t="s">
        <v>124</v>
      </c>
      <c r="B35" s="83">
        <v>1356.2</v>
      </c>
      <c r="C35" s="79">
        <v>1197</v>
      </c>
      <c r="D35" s="83">
        <v>1303.7</v>
      </c>
      <c r="E35" s="83">
        <v>1333.7</v>
      </c>
      <c r="F35" s="83">
        <v>1433.9</v>
      </c>
      <c r="G35" s="83">
        <v>1544.9</v>
      </c>
      <c r="H35" s="79">
        <v>1589</v>
      </c>
      <c r="I35" s="83">
        <v>1669.1</v>
      </c>
      <c r="J35" s="83">
        <v>1749.3</v>
      </c>
      <c r="K35" s="83">
        <v>1824.2</v>
      </c>
      <c r="L35" s="85" t="s">
        <v>316</v>
      </c>
    </row>
    <row r="36" spans="1:12">
      <c r="A36" s="78" t="s">
        <v>79</v>
      </c>
      <c r="B36" s="79">
        <v>2275</v>
      </c>
      <c r="C36" s="79">
        <v>2347</v>
      </c>
      <c r="D36" s="79">
        <v>2430</v>
      </c>
      <c r="E36" s="79">
        <v>2506</v>
      </c>
      <c r="F36" s="79">
        <v>2570</v>
      </c>
      <c r="G36" s="79">
        <v>2700</v>
      </c>
      <c r="H36" s="79">
        <v>2777</v>
      </c>
      <c r="I36" s="79">
        <v>2877</v>
      </c>
      <c r="J36" s="79">
        <v>2978</v>
      </c>
      <c r="K36" s="79">
        <v>3037</v>
      </c>
      <c r="L36" s="85" t="s">
        <v>316</v>
      </c>
    </row>
    <row r="37" spans="1:12">
      <c r="A37" s="78" t="s">
        <v>129</v>
      </c>
      <c r="B37" s="79">
        <v>4075</v>
      </c>
      <c r="C37" s="79">
        <v>4113</v>
      </c>
      <c r="D37" s="79">
        <v>4154</v>
      </c>
      <c r="E37" s="79">
        <v>4202</v>
      </c>
      <c r="F37" s="79">
        <v>4258</v>
      </c>
      <c r="G37" s="79">
        <v>4279</v>
      </c>
      <c r="H37" s="79">
        <v>4301</v>
      </c>
      <c r="I37" s="79">
        <v>4335</v>
      </c>
      <c r="J37" s="79">
        <v>4401</v>
      </c>
      <c r="K37" s="80" t="s">
        <v>315</v>
      </c>
      <c r="L37" s="85" t="s">
        <v>316</v>
      </c>
    </row>
    <row r="38" spans="1:12">
      <c r="A38" s="78" t="s">
        <v>141</v>
      </c>
      <c r="B38" s="79">
        <v>26953</v>
      </c>
      <c r="C38" s="83">
        <v>27765.1</v>
      </c>
      <c r="D38" s="79">
        <v>28285</v>
      </c>
      <c r="E38" s="80" t="s">
        <v>315</v>
      </c>
      <c r="F38" s="80" t="s">
        <v>315</v>
      </c>
      <c r="G38" s="79">
        <v>28390</v>
      </c>
      <c r="H38" s="79">
        <v>28247</v>
      </c>
      <c r="I38" s="79">
        <v>28421</v>
      </c>
      <c r="J38" s="79">
        <v>28467</v>
      </c>
      <c r="K38" s="80" t="s">
        <v>315</v>
      </c>
      <c r="L38" s="85" t="s">
        <v>316</v>
      </c>
    </row>
    <row r="39" spans="1:12">
      <c r="A39" s="78" t="s">
        <v>85</v>
      </c>
      <c r="B39" s="79">
        <v>167</v>
      </c>
      <c r="C39" s="79">
        <v>175</v>
      </c>
      <c r="D39" s="79">
        <v>187</v>
      </c>
      <c r="E39" s="80" t="s">
        <v>315</v>
      </c>
      <c r="F39" s="80" t="s">
        <v>315</v>
      </c>
      <c r="G39" s="80" t="s">
        <v>315</v>
      </c>
      <c r="H39" s="80" t="s">
        <v>315</v>
      </c>
      <c r="I39" s="80" t="s">
        <v>315</v>
      </c>
      <c r="J39" s="80" t="s">
        <v>315</v>
      </c>
      <c r="K39" s="80" t="s">
        <v>315</v>
      </c>
      <c r="L39" s="85" t="s">
        <v>321</v>
      </c>
    </row>
    <row r="40" spans="1:12">
      <c r="A40" s="78" t="s">
        <v>322</v>
      </c>
      <c r="B40" s="84">
        <v>23.52</v>
      </c>
      <c r="C40" s="84">
        <v>23.94</v>
      </c>
      <c r="D40" s="80" t="s">
        <v>315</v>
      </c>
      <c r="E40" s="84">
        <v>24.29</v>
      </c>
      <c r="F40" s="81">
        <v>24.367999999999999</v>
      </c>
      <c r="G40" s="84">
        <v>25.46</v>
      </c>
      <c r="H40" s="84">
        <v>25.91</v>
      </c>
      <c r="I40" s="84">
        <v>26.89</v>
      </c>
      <c r="J40" s="80" t="s">
        <v>315</v>
      </c>
      <c r="K40" s="80" t="s">
        <v>315</v>
      </c>
      <c r="L40" s="85" t="s">
        <v>321</v>
      </c>
    </row>
    <row r="41" spans="1:12">
      <c r="A41" s="78" t="s">
        <v>111</v>
      </c>
      <c r="B41" s="80" t="s">
        <v>315</v>
      </c>
      <c r="C41" s="79">
        <v>1978</v>
      </c>
      <c r="D41" s="79">
        <v>2029</v>
      </c>
      <c r="E41" s="79">
        <v>2084</v>
      </c>
      <c r="F41" s="79">
        <v>2155</v>
      </c>
      <c r="G41" s="79">
        <v>2197</v>
      </c>
      <c r="H41" s="79">
        <v>2244</v>
      </c>
      <c r="I41" s="79">
        <v>2308</v>
      </c>
      <c r="J41" s="79">
        <v>2376</v>
      </c>
      <c r="K41" s="79">
        <v>2443</v>
      </c>
      <c r="L41" s="85" t="s">
        <v>321</v>
      </c>
    </row>
    <row r="42" spans="1:12">
      <c r="A42" s="78" t="s">
        <v>130</v>
      </c>
      <c r="B42" s="79">
        <v>3754</v>
      </c>
      <c r="C42" s="79">
        <v>3811</v>
      </c>
      <c r="D42" s="79">
        <v>3864</v>
      </c>
      <c r="E42" s="79">
        <v>3900</v>
      </c>
      <c r="F42" s="79">
        <v>3956</v>
      </c>
      <c r="G42" s="79">
        <v>3990</v>
      </c>
      <c r="H42" s="79">
        <v>4010</v>
      </c>
      <c r="I42" s="79">
        <v>4076</v>
      </c>
      <c r="J42" s="79">
        <v>4163</v>
      </c>
      <c r="K42" s="79">
        <v>4255</v>
      </c>
      <c r="L42" s="85" t="s">
        <v>321</v>
      </c>
    </row>
    <row r="43" spans="1:12">
      <c r="A43" s="78" t="s">
        <v>323</v>
      </c>
      <c r="B43" s="80" t="s">
        <v>315</v>
      </c>
      <c r="C43" s="80" t="s">
        <v>315</v>
      </c>
      <c r="D43" s="83">
        <v>253.2</v>
      </c>
      <c r="E43" s="83">
        <v>242.3</v>
      </c>
      <c r="F43" s="83">
        <v>248.8</v>
      </c>
      <c r="G43" s="84">
        <v>263.11</v>
      </c>
      <c r="H43" s="83">
        <v>282.2</v>
      </c>
      <c r="I43" s="84">
        <v>310.23</v>
      </c>
      <c r="J43" s="79">
        <v>313</v>
      </c>
      <c r="K43" s="79">
        <v>302</v>
      </c>
      <c r="L43" s="85" t="s">
        <v>321</v>
      </c>
    </row>
    <row r="44" spans="1:12">
      <c r="A44" s="78" t="s">
        <v>138</v>
      </c>
      <c r="B44" s="79">
        <v>4700</v>
      </c>
      <c r="C44" s="79">
        <v>5400</v>
      </c>
      <c r="D44" s="79">
        <v>5773</v>
      </c>
      <c r="E44" s="79">
        <v>6141</v>
      </c>
      <c r="F44" s="79">
        <v>6472</v>
      </c>
      <c r="G44" s="79">
        <v>6797</v>
      </c>
      <c r="H44" s="84">
        <v>7093.96</v>
      </c>
      <c r="I44" s="81">
        <v>7544.8710000000001</v>
      </c>
      <c r="J44" s="83">
        <v>8113.1</v>
      </c>
      <c r="K44" s="84">
        <v>8648.8799999999992</v>
      </c>
      <c r="L44" s="85" t="s">
        <v>321</v>
      </c>
    </row>
    <row r="46" spans="1:12">
      <c r="A46" s="75" t="s">
        <v>324</v>
      </c>
      <c r="I46" s="76" t="s">
        <v>74</v>
      </c>
    </row>
    <row r="47" spans="1:12">
      <c r="A47" s="75" t="s">
        <v>315</v>
      </c>
      <c r="B47" s="75" t="s">
        <v>325</v>
      </c>
      <c r="I47" s="76" t="s">
        <v>83</v>
      </c>
    </row>
    <row r="48" spans="1:12">
      <c r="I48" s="76" t="s">
        <v>101</v>
      </c>
      <c r="J48" s="76">
        <v>2011</v>
      </c>
      <c r="K48" s="76">
        <v>2012</v>
      </c>
    </row>
    <row r="49" spans="1:12">
      <c r="A49" s="76" t="s">
        <v>326</v>
      </c>
      <c r="C49" s="76" t="s">
        <v>327</v>
      </c>
      <c r="I49" s="86">
        <f>G14+B18+H26</f>
        <v>6751.5</v>
      </c>
      <c r="J49" s="86">
        <f>SUM(J11,J14,J18,J25,J26,J29,J37,J38)</f>
        <v>47847.3</v>
      </c>
      <c r="K49" s="76">
        <f>SUM(K11:K38)</f>
        <v>189153.36999999997</v>
      </c>
      <c r="L49" s="76" t="s">
        <v>165</v>
      </c>
    </row>
    <row r="52" spans="1:12">
      <c r="I52" s="87" t="s">
        <v>217</v>
      </c>
      <c r="K52" s="86">
        <f>K49+J49+I49</f>
        <v>243752.16999999998</v>
      </c>
      <c r="L52" s="76" t="s">
        <v>165</v>
      </c>
    </row>
    <row r="53" spans="1:12">
      <c r="K53" s="76">
        <f>K52*1000</f>
        <v>243752169.99999997</v>
      </c>
    </row>
  </sheetData>
  <pageMargins left="0.75" right="0.75" top="1" bottom="1" header="0.5" footer="0.5"/>
  <pageSetup paperSize="9" firstPageNumber="0" fitToWidth="0" fitToHeight="0" pageOrder="overThenDown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4"/>
  <sheetViews>
    <sheetView showGridLines="0" workbookViewId="0">
      <selection activeCell="B45" sqref="B45"/>
    </sheetView>
  </sheetViews>
  <sheetFormatPr baseColWidth="10" defaultColWidth="12.1640625" defaultRowHeight="13" x14ac:dyDescent="0"/>
  <cols>
    <col min="1" max="1" width="19.1640625" style="89" customWidth="1"/>
    <col min="2" max="2" width="16.5" style="89" customWidth="1"/>
    <col min="3" max="3" width="14" style="89" customWidth="1"/>
    <col min="4" max="4" width="12" style="89" customWidth="1"/>
    <col min="5" max="5" width="12.1640625" style="89" customWidth="1"/>
    <col min="6" max="6" width="12.33203125" style="89" customWidth="1"/>
    <col min="7" max="7" width="12.1640625" style="89" customWidth="1"/>
    <col min="8" max="8" width="11.5" style="89" customWidth="1"/>
    <col min="9" max="9" width="11.1640625" style="89" customWidth="1"/>
    <col min="10" max="10" width="11.6640625" style="89" customWidth="1"/>
    <col min="11" max="12" width="12" style="89" customWidth="1"/>
    <col min="13" max="14" width="12.33203125" style="89" customWidth="1"/>
    <col min="15" max="15" width="13.5" style="89" customWidth="1"/>
    <col min="16" max="16384" width="12.1640625" style="89"/>
  </cols>
  <sheetData>
    <row r="1" spans="1:16" ht="18.75" customHeight="1">
      <c r="A1" s="88" t="s">
        <v>329</v>
      </c>
      <c r="B1" s="88"/>
    </row>
    <row r="2" spans="1:16" ht="2.25" customHeight="1">
      <c r="A2" s="90"/>
      <c r="B2" s="90"/>
    </row>
    <row r="3" spans="1:16" ht="15" customHeight="1">
      <c r="A3" s="91" t="s">
        <v>330</v>
      </c>
      <c r="B3" s="91" t="s">
        <v>331</v>
      </c>
      <c r="C3" s="92" t="s">
        <v>332</v>
      </c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4" t="s">
        <v>333</v>
      </c>
    </row>
    <row r="4" spans="1:16" ht="15" customHeight="1">
      <c r="A4" s="95"/>
      <c r="B4" s="95"/>
      <c r="C4" s="96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4"/>
    </row>
    <row r="5" spans="1:16" ht="37.5" customHeight="1">
      <c r="A5" s="98"/>
      <c r="B5" s="98"/>
      <c r="C5" s="99" t="s">
        <v>334</v>
      </c>
      <c r="D5" s="99">
        <v>2002</v>
      </c>
      <c r="E5" s="99">
        <v>2003</v>
      </c>
      <c r="F5" s="99">
        <v>2004</v>
      </c>
      <c r="G5" s="99">
        <v>2005</v>
      </c>
      <c r="H5" s="99">
        <v>2006</v>
      </c>
      <c r="I5" s="99">
        <v>2007</v>
      </c>
      <c r="J5" s="99">
        <v>2008</v>
      </c>
      <c r="K5" s="99">
        <v>2009</v>
      </c>
      <c r="L5" s="99">
        <v>2010</v>
      </c>
      <c r="M5" s="99">
        <v>2011</v>
      </c>
      <c r="N5" s="99">
        <v>2012</v>
      </c>
      <c r="O5" s="100" t="s">
        <v>335</v>
      </c>
    </row>
    <row r="6" spans="1:16" s="105" customFormat="1" ht="14" thickBot="1">
      <c r="A6" s="101"/>
      <c r="B6" s="102">
        <f>SUM(B7,B15,B25,B30,B34)</f>
        <v>81089666</v>
      </c>
      <c r="C6" s="102">
        <f>SUM(C7,C15,C25,C30,C34)</f>
        <v>32624051</v>
      </c>
      <c r="D6" s="102">
        <f t="shared" ref="D6:N6" si="0">SUM(D7,D15,D25,D30,D34)</f>
        <v>2309232</v>
      </c>
      <c r="E6" s="102">
        <f t="shared" si="0"/>
        <v>2250980</v>
      </c>
      <c r="F6" s="102">
        <f t="shared" si="0"/>
        <v>2606457</v>
      </c>
      <c r="G6" s="102">
        <f t="shared" si="0"/>
        <v>2854500</v>
      </c>
      <c r="H6" s="102">
        <f t="shared" si="0"/>
        <v>3337248</v>
      </c>
      <c r="I6" s="102">
        <f t="shared" si="0"/>
        <v>4345163</v>
      </c>
      <c r="J6" s="102">
        <f t="shared" si="0"/>
        <v>5300926</v>
      </c>
      <c r="K6" s="102">
        <f t="shared" si="0"/>
        <v>4730007</v>
      </c>
      <c r="L6" s="102">
        <f t="shared" si="0"/>
        <v>5425178</v>
      </c>
      <c r="M6" s="102">
        <f t="shared" si="0"/>
        <v>6000871</v>
      </c>
      <c r="N6" s="102">
        <f t="shared" si="0"/>
        <v>5327069</v>
      </c>
      <c r="O6" s="103">
        <v>4474781</v>
      </c>
      <c r="P6" s="104"/>
    </row>
    <row r="7" spans="1:16" s="105" customFormat="1" ht="14" thickTop="1">
      <c r="A7" s="106" t="s">
        <v>336</v>
      </c>
      <c r="B7" s="107">
        <f>SUM(B8:B14)</f>
        <v>3902556</v>
      </c>
      <c r="C7" s="107">
        <f t="shared" ref="C7:N7" si="1">SUM(C8:C14)</f>
        <v>968342</v>
      </c>
      <c r="D7" s="107">
        <f t="shared" si="1"/>
        <v>114865</v>
      </c>
      <c r="E7" s="107">
        <f t="shared" si="1"/>
        <v>119064</v>
      </c>
      <c r="F7" s="107">
        <f t="shared" si="1"/>
        <v>146555</v>
      </c>
      <c r="G7" s="107">
        <f t="shared" si="1"/>
        <v>158573</v>
      </c>
      <c r="H7" s="107">
        <f t="shared" si="1"/>
        <v>178393</v>
      </c>
      <c r="I7" s="107">
        <f t="shared" si="1"/>
        <v>233112</v>
      </c>
      <c r="J7" s="107">
        <f t="shared" si="1"/>
        <v>314777</v>
      </c>
      <c r="K7" s="107">
        <f t="shared" si="1"/>
        <v>303326</v>
      </c>
      <c r="L7" s="107">
        <f t="shared" si="1"/>
        <v>346830</v>
      </c>
      <c r="M7" s="107">
        <f t="shared" si="1"/>
        <v>398660</v>
      </c>
      <c r="N7" s="107">
        <f t="shared" si="1"/>
        <v>354424</v>
      </c>
      <c r="O7" s="108">
        <v>300540</v>
      </c>
    </row>
    <row r="8" spans="1:16" s="113" customFormat="1" ht="15">
      <c r="A8" s="109" t="s">
        <v>337</v>
      </c>
      <c r="B8" s="110">
        <v>204107</v>
      </c>
      <c r="C8" s="111">
        <v>49216</v>
      </c>
      <c r="D8" s="111">
        <v>5604</v>
      </c>
      <c r="E8" s="111">
        <v>5600</v>
      </c>
      <c r="F8" s="111">
        <v>6913</v>
      </c>
      <c r="G8" s="111">
        <v>7456</v>
      </c>
      <c r="H8" s="111">
        <v>9599</v>
      </c>
      <c r="I8" s="111">
        <v>11920</v>
      </c>
      <c r="J8" s="111">
        <v>17814</v>
      </c>
      <c r="K8" s="111">
        <v>18730</v>
      </c>
      <c r="L8" s="111">
        <v>21449</v>
      </c>
      <c r="M8" s="111">
        <v>20257</v>
      </c>
      <c r="N8" s="111">
        <v>17700</v>
      </c>
      <c r="O8" s="112">
        <v>13473</v>
      </c>
    </row>
    <row r="9" spans="1:16" s="113" customFormat="1" ht="15">
      <c r="A9" s="109" t="s">
        <v>338</v>
      </c>
      <c r="B9" s="111">
        <v>151528</v>
      </c>
      <c r="C9" s="111">
        <v>28638</v>
      </c>
      <c r="D9" s="111">
        <v>4191</v>
      </c>
      <c r="E9" s="111">
        <v>4469</v>
      </c>
      <c r="F9" s="111">
        <v>5411</v>
      </c>
      <c r="G9" s="111">
        <v>7100</v>
      </c>
      <c r="H9" s="111">
        <v>7278</v>
      </c>
      <c r="I9" s="111">
        <v>9047</v>
      </c>
      <c r="J9" s="111">
        <v>13054</v>
      </c>
      <c r="K9" s="111">
        <v>12744</v>
      </c>
      <c r="L9" s="111">
        <v>16864</v>
      </c>
      <c r="M9" s="111">
        <v>19432</v>
      </c>
      <c r="N9" s="111">
        <v>12835</v>
      </c>
      <c r="O9" s="112">
        <v>11809</v>
      </c>
    </row>
    <row r="10" spans="1:16" s="113" customFormat="1" ht="15">
      <c r="A10" s="109" t="s">
        <v>339</v>
      </c>
      <c r="B10" s="111">
        <v>694698</v>
      </c>
      <c r="C10" s="111">
        <v>191635</v>
      </c>
      <c r="D10" s="111">
        <v>19333</v>
      </c>
      <c r="E10" s="111">
        <v>18175</v>
      </c>
      <c r="F10" s="111">
        <v>25793</v>
      </c>
      <c r="G10" s="111">
        <v>32980</v>
      </c>
      <c r="H10" s="111">
        <v>32182</v>
      </c>
      <c r="I10" s="111">
        <v>40986</v>
      </c>
      <c r="J10" s="111">
        <v>51082</v>
      </c>
      <c r="K10" s="111">
        <v>53121</v>
      </c>
      <c r="L10" s="111">
        <v>59644</v>
      </c>
      <c r="M10" s="111">
        <v>68670</v>
      </c>
      <c r="N10" s="111">
        <v>56047</v>
      </c>
      <c r="O10" s="112">
        <v>51504</v>
      </c>
    </row>
    <row r="11" spans="1:16" s="113" customFormat="1" ht="15">
      <c r="A11" s="109" t="s">
        <v>340</v>
      </c>
      <c r="B11" s="111">
        <v>1412003</v>
      </c>
      <c r="C11" s="111">
        <v>305127</v>
      </c>
      <c r="D11" s="111">
        <v>38780</v>
      </c>
      <c r="E11" s="111">
        <v>43316</v>
      </c>
      <c r="F11" s="111">
        <v>51807</v>
      </c>
      <c r="G11" s="111">
        <v>54208</v>
      </c>
      <c r="H11" s="111">
        <v>61388</v>
      </c>
      <c r="I11" s="111">
        <v>82423</v>
      </c>
      <c r="J11" s="111">
        <v>112863</v>
      </c>
      <c r="K11" s="111">
        <v>108877</v>
      </c>
      <c r="L11" s="111">
        <v>126038</v>
      </c>
      <c r="M11" s="111">
        <v>157517</v>
      </c>
      <c r="N11" s="111">
        <v>154138</v>
      </c>
      <c r="O11" s="112">
        <v>131175</v>
      </c>
    </row>
    <row r="12" spans="1:16" s="113" customFormat="1" ht="15">
      <c r="A12" s="109" t="s">
        <v>341</v>
      </c>
      <c r="B12" s="111">
        <v>753514</v>
      </c>
      <c r="C12" s="111">
        <v>210246</v>
      </c>
      <c r="D12" s="111">
        <v>22228</v>
      </c>
      <c r="E12" s="111">
        <v>22897</v>
      </c>
      <c r="F12" s="111">
        <v>30611</v>
      </c>
      <c r="G12" s="111">
        <v>29563</v>
      </c>
      <c r="H12" s="111">
        <v>33015</v>
      </c>
      <c r="I12" s="111">
        <v>42528</v>
      </c>
      <c r="J12" s="111">
        <v>61638</v>
      </c>
      <c r="K12" s="111">
        <v>59092</v>
      </c>
      <c r="L12" s="111">
        <v>65869</v>
      </c>
      <c r="M12" s="111">
        <v>72930</v>
      </c>
      <c r="N12" s="111">
        <v>60667</v>
      </c>
      <c r="O12" s="112">
        <v>46875</v>
      </c>
    </row>
    <row r="13" spans="1:16" s="113" customFormat="1" ht="15">
      <c r="A13" s="109" t="s">
        <v>342</v>
      </c>
      <c r="B13" s="111">
        <v>163923</v>
      </c>
      <c r="C13" s="111">
        <v>48761</v>
      </c>
      <c r="D13" s="111">
        <v>5821</v>
      </c>
      <c r="E13" s="111">
        <v>4982</v>
      </c>
      <c r="F13" s="111">
        <v>5528</v>
      </c>
      <c r="G13" s="111">
        <v>6538</v>
      </c>
      <c r="H13" s="111">
        <v>8084</v>
      </c>
      <c r="I13" s="111">
        <v>10684</v>
      </c>
      <c r="J13" s="111">
        <v>13607</v>
      </c>
      <c r="K13" s="111">
        <v>12524</v>
      </c>
      <c r="L13" s="111">
        <v>13857</v>
      </c>
      <c r="M13" s="111">
        <v>14384</v>
      </c>
      <c r="N13" s="111">
        <v>11088</v>
      </c>
      <c r="O13" s="112">
        <v>9232</v>
      </c>
    </row>
    <row r="14" spans="1:16" s="114" customFormat="1" ht="15">
      <c r="A14" s="109" t="s">
        <v>343</v>
      </c>
      <c r="B14" s="111">
        <v>522783</v>
      </c>
      <c r="C14" s="111">
        <v>134719</v>
      </c>
      <c r="D14" s="111">
        <v>18908</v>
      </c>
      <c r="E14" s="111">
        <v>19625</v>
      </c>
      <c r="F14" s="111">
        <v>20492</v>
      </c>
      <c r="G14" s="111">
        <v>20728</v>
      </c>
      <c r="H14" s="111">
        <v>26847</v>
      </c>
      <c r="I14" s="111">
        <v>35524</v>
      </c>
      <c r="J14" s="111">
        <v>44719</v>
      </c>
      <c r="K14" s="111">
        <v>38238</v>
      </c>
      <c r="L14" s="111">
        <v>43109</v>
      </c>
      <c r="M14" s="111">
        <v>45470</v>
      </c>
      <c r="N14" s="111">
        <v>41949</v>
      </c>
      <c r="O14" s="112">
        <v>36472</v>
      </c>
    </row>
    <row r="15" spans="1:16" s="113" customFormat="1">
      <c r="A15" s="115" t="s">
        <v>344</v>
      </c>
      <c r="B15" s="107">
        <f>SUM(B16:B24)</f>
        <v>13005495</v>
      </c>
      <c r="C15" s="107">
        <f t="shared" ref="C15:N15" si="2">SUM(C16:C24)</f>
        <v>3681911</v>
      </c>
      <c r="D15" s="107">
        <f t="shared" si="2"/>
        <v>374575</v>
      </c>
      <c r="E15" s="107">
        <f t="shared" si="2"/>
        <v>355755</v>
      </c>
      <c r="F15" s="107">
        <f t="shared" si="2"/>
        <v>400901</v>
      </c>
      <c r="G15" s="107">
        <f t="shared" si="2"/>
        <v>462120</v>
      </c>
      <c r="H15" s="107">
        <f t="shared" si="2"/>
        <v>564801</v>
      </c>
      <c r="I15" s="107">
        <f t="shared" si="2"/>
        <v>743719</v>
      </c>
      <c r="J15" s="107">
        <f t="shared" si="2"/>
        <v>979152</v>
      </c>
      <c r="K15" s="107">
        <f t="shared" si="2"/>
        <v>983521</v>
      </c>
      <c r="L15" s="107">
        <f t="shared" si="2"/>
        <v>1169881</v>
      </c>
      <c r="M15" s="107">
        <f t="shared" si="2"/>
        <v>1305642</v>
      </c>
      <c r="N15" s="107">
        <f t="shared" si="2"/>
        <v>1153587</v>
      </c>
      <c r="O15" s="108">
        <v>940752</v>
      </c>
    </row>
    <row r="16" spans="1:16" s="105" customFormat="1" ht="15">
      <c r="A16" s="109" t="s">
        <v>345</v>
      </c>
      <c r="B16" s="116">
        <v>608142</v>
      </c>
      <c r="C16" s="117">
        <v>166680</v>
      </c>
      <c r="D16" s="111">
        <v>18019</v>
      </c>
      <c r="E16" s="111">
        <v>19166</v>
      </c>
      <c r="F16" s="111">
        <v>18458</v>
      </c>
      <c r="G16" s="111">
        <v>21523</v>
      </c>
      <c r="H16" s="111">
        <v>26123</v>
      </c>
      <c r="I16" s="111">
        <v>33085</v>
      </c>
      <c r="J16" s="111">
        <v>42685</v>
      </c>
      <c r="K16" s="111">
        <v>46056</v>
      </c>
      <c r="L16" s="111">
        <v>53523</v>
      </c>
      <c r="M16" s="111">
        <v>62191</v>
      </c>
      <c r="N16" s="111">
        <v>59604</v>
      </c>
      <c r="O16" s="118">
        <v>47223</v>
      </c>
    </row>
    <row r="17" spans="1:15" s="113" customFormat="1" ht="15">
      <c r="A17" s="109" t="s">
        <v>346</v>
      </c>
      <c r="B17" s="116">
        <v>3132419</v>
      </c>
      <c r="C17" s="117">
        <v>910164</v>
      </c>
      <c r="D17" s="111">
        <v>94224</v>
      </c>
      <c r="E17" s="111">
        <v>91020</v>
      </c>
      <c r="F17" s="111">
        <v>102775</v>
      </c>
      <c r="G17" s="111">
        <v>117583</v>
      </c>
      <c r="H17" s="111">
        <v>134844</v>
      </c>
      <c r="I17" s="111">
        <v>180862</v>
      </c>
      <c r="J17" s="111">
        <v>248200</v>
      </c>
      <c r="K17" s="111">
        <v>235697</v>
      </c>
      <c r="L17" s="111">
        <v>268005</v>
      </c>
      <c r="M17" s="111">
        <v>289494</v>
      </c>
      <c r="N17" s="111">
        <v>269266</v>
      </c>
      <c r="O17" s="118">
        <v>213221</v>
      </c>
    </row>
    <row r="18" spans="1:15" s="113" customFormat="1" ht="15">
      <c r="A18" s="109" t="s">
        <v>347</v>
      </c>
      <c r="B18" s="116">
        <v>2356038</v>
      </c>
      <c r="C18" s="117">
        <v>720884</v>
      </c>
      <c r="D18" s="111">
        <v>69666</v>
      </c>
      <c r="E18" s="111">
        <v>62792</v>
      </c>
      <c r="F18" s="111">
        <v>70554</v>
      </c>
      <c r="G18" s="111">
        <v>79008</v>
      </c>
      <c r="H18" s="111">
        <v>103625</v>
      </c>
      <c r="I18" s="111">
        <v>129254</v>
      </c>
      <c r="J18" s="111">
        <v>164484</v>
      </c>
      <c r="K18" s="111">
        <v>170973</v>
      </c>
      <c r="L18" s="111">
        <v>204460</v>
      </c>
      <c r="M18" s="111">
        <v>236521</v>
      </c>
      <c r="N18" s="111">
        <v>201193</v>
      </c>
      <c r="O18" s="118">
        <v>166572</v>
      </c>
    </row>
    <row r="19" spans="1:15" s="113" customFormat="1" ht="15">
      <c r="A19" s="109" t="s">
        <v>348</v>
      </c>
      <c r="B19" s="116">
        <v>1203314</v>
      </c>
      <c r="C19" s="117">
        <v>207009</v>
      </c>
      <c r="D19" s="111">
        <v>27371</v>
      </c>
      <c r="E19" s="111">
        <v>30869</v>
      </c>
      <c r="F19" s="111">
        <v>37121</v>
      </c>
      <c r="G19" s="111">
        <v>45792</v>
      </c>
      <c r="H19" s="111">
        <v>53774</v>
      </c>
      <c r="I19" s="111">
        <v>73201</v>
      </c>
      <c r="J19" s="111">
        <v>99614</v>
      </c>
      <c r="K19" s="111">
        <v>106216</v>
      </c>
      <c r="L19" s="111">
        <v>133344</v>
      </c>
      <c r="M19" s="111">
        <v>158329</v>
      </c>
      <c r="N19" s="111">
        <v>134745</v>
      </c>
      <c r="O19" s="118">
        <v>107866</v>
      </c>
    </row>
    <row r="20" spans="1:15" s="113" customFormat="1" ht="15">
      <c r="A20" s="109" t="s">
        <v>349</v>
      </c>
      <c r="B20" s="116">
        <v>951778</v>
      </c>
      <c r="C20" s="117">
        <v>269368</v>
      </c>
      <c r="D20" s="111">
        <v>25440</v>
      </c>
      <c r="E20" s="111">
        <v>25479</v>
      </c>
      <c r="F20" s="111">
        <v>27263</v>
      </c>
      <c r="G20" s="111">
        <v>32244</v>
      </c>
      <c r="H20" s="111">
        <v>42064</v>
      </c>
      <c r="I20" s="111">
        <v>57560</v>
      </c>
      <c r="J20" s="111">
        <v>75605</v>
      </c>
      <c r="K20" s="111">
        <v>70645</v>
      </c>
      <c r="L20" s="111">
        <v>88669</v>
      </c>
      <c r="M20" s="111">
        <v>96609</v>
      </c>
      <c r="N20" s="111">
        <v>80412</v>
      </c>
      <c r="O20" s="118">
        <v>67626</v>
      </c>
    </row>
    <row r="21" spans="1:15" s="113" customFormat="1" ht="15">
      <c r="A21" s="109" t="s">
        <v>350</v>
      </c>
      <c r="B21" s="116">
        <v>2379005</v>
      </c>
      <c r="C21" s="117">
        <v>740337</v>
      </c>
      <c r="D21" s="111">
        <v>64164</v>
      </c>
      <c r="E21" s="111">
        <v>58432</v>
      </c>
      <c r="F21" s="111">
        <v>68015</v>
      </c>
      <c r="G21" s="111">
        <v>78885</v>
      </c>
      <c r="H21" s="111">
        <v>97051</v>
      </c>
      <c r="I21" s="111">
        <v>131175</v>
      </c>
      <c r="J21" s="111">
        <v>170521</v>
      </c>
      <c r="K21" s="111">
        <v>174045</v>
      </c>
      <c r="L21" s="111">
        <v>209472</v>
      </c>
      <c r="M21" s="111">
        <v>238193</v>
      </c>
      <c r="N21" s="111">
        <v>201648</v>
      </c>
      <c r="O21" s="118">
        <v>164582</v>
      </c>
    </row>
    <row r="22" spans="1:15" s="113" customFormat="1" ht="15">
      <c r="A22" s="109" t="s">
        <v>351</v>
      </c>
      <c r="B22" s="116">
        <v>845041</v>
      </c>
      <c r="C22" s="117">
        <v>196248</v>
      </c>
      <c r="D22" s="111">
        <v>24840</v>
      </c>
      <c r="E22" s="111">
        <v>25922</v>
      </c>
      <c r="F22" s="111">
        <v>26731</v>
      </c>
      <c r="G22" s="111">
        <v>32169</v>
      </c>
      <c r="H22" s="111">
        <v>39024</v>
      </c>
      <c r="I22" s="111">
        <v>44743</v>
      </c>
      <c r="J22" s="111">
        <v>65709</v>
      </c>
      <c r="K22" s="111">
        <v>69516</v>
      </c>
      <c r="L22" s="111">
        <v>83722</v>
      </c>
      <c r="M22" s="111">
        <v>88442</v>
      </c>
      <c r="N22" s="111">
        <v>83676</v>
      </c>
      <c r="O22" s="118">
        <v>73569</v>
      </c>
    </row>
    <row r="23" spans="1:15" s="113" customFormat="1" ht="15">
      <c r="A23" s="109" t="s">
        <v>352</v>
      </c>
      <c r="B23" s="116">
        <v>959268</v>
      </c>
      <c r="C23" s="117">
        <v>298097</v>
      </c>
      <c r="D23" s="111">
        <v>33095</v>
      </c>
      <c r="E23" s="111">
        <v>25529</v>
      </c>
      <c r="F23" s="111">
        <v>31694</v>
      </c>
      <c r="G23" s="111">
        <v>36134</v>
      </c>
      <c r="H23" s="111">
        <v>46122</v>
      </c>
      <c r="I23" s="111">
        <v>64653</v>
      </c>
      <c r="J23" s="111">
        <v>72264</v>
      </c>
      <c r="K23" s="111">
        <v>66810</v>
      </c>
      <c r="L23" s="111">
        <v>77908</v>
      </c>
      <c r="M23" s="111">
        <v>78754</v>
      </c>
      <c r="N23" s="111">
        <v>73949</v>
      </c>
      <c r="O23" s="118">
        <v>61322</v>
      </c>
    </row>
    <row r="24" spans="1:15" s="113" customFormat="1" ht="15">
      <c r="A24" s="109" t="s">
        <v>353</v>
      </c>
      <c r="B24" s="116">
        <v>570490</v>
      </c>
      <c r="C24" s="117">
        <v>173124</v>
      </c>
      <c r="D24" s="111">
        <v>17756</v>
      </c>
      <c r="E24" s="111">
        <v>16546</v>
      </c>
      <c r="F24" s="111">
        <v>18290</v>
      </c>
      <c r="G24" s="111">
        <v>18782</v>
      </c>
      <c r="H24" s="111">
        <v>22174</v>
      </c>
      <c r="I24" s="111">
        <v>29186</v>
      </c>
      <c r="J24" s="111">
        <v>40070</v>
      </c>
      <c r="K24" s="111">
        <v>43563</v>
      </c>
      <c r="L24" s="111">
        <v>50778</v>
      </c>
      <c r="M24" s="111">
        <v>57109</v>
      </c>
      <c r="N24" s="111">
        <v>49094</v>
      </c>
      <c r="O24" s="118">
        <v>38771</v>
      </c>
    </row>
    <row r="25" spans="1:15" s="113" customFormat="1">
      <c r="A25" s="115" t="s">
        <v>354</v>
      </c>
      <c r="B25" s="107">
        <f>SUM(B26:B29)</f>
        <v>40409009</v>
      </c>
      <c r="C25" s="107">
        <f t="shared" ref="C25:N25" si="3">SUM(C26:C29)</f>
        <v>17954768</v>
      </c>
      <c r="D25" s="107">
        <f t="shared" si="3"/>
        <v>1105113</v>
      </c>
      <c r="E25" s="107">
        <f t="shared" si="3"/>
        <v>1044736</v>
      </c>
      <c r="F25" s="107">
        <f t="shared" si="3"/>
        <v>1228561</v>
      </c>
      <c r="G25" s="107">
        <f t="shared" si="3"/>
        <v>1382623</v>
      </c>
      <c r="H25" s="107">
        <f t="shared" si="3"/>
        <v>1654053</v>
      </c>
      <c r="I25" s="107">
        <f t="shared" si="3"/>
        <v>2148030</v>
      </c>
      <c r="J25" s="107">
        <f t="shared" si="3"/>
        <v>2514558</v>
      </c>
      <c r="K25" s="107">
        <f t="shared" si="3"/>
        <v>2137906</v>
      </c>
      <c r="L25" s="107">
        <f t="shared" si="3"/>
        <v>2446007</v>
      </c>
      <c r="M25" s="107">
        <f t="shared" si="3"/>
        <v>2688391</v>
      </c>
      <c r="N25" s="107">
        <f t="shared" si="3"/>
        <v>2352336</v>
      </c>
      <c r="O25" s="108">
        <v>1954392</v>
      </c>
    </row>
    <row r="26" spans="1:15" s="105" customFormat="1" ht="15">
      <c r="A26" s="109" t="s">
        <v>355</v>
      </c>
      <c r="B26" s="116">
        <v>1573501</v>
      </c>
      <c r="C26" s="111">
        <v>550608</v>
      </c>
      <c r="D26" s="111">
        <v>44816</v>
      </c>
      <c r="E26" s="111">
        <v>43215</v>
      </c>
      <c r="F26" s="111">
        <v>51516</v>
      </c>
      <c r="G26" s="111">
        <v>57217</v>
      </c>
      <c r="H26" s="111">
        <v>70030</v>
      </c>
      <c r="I26" s="111">
        <v>96765</v>
      </c>
      <c r="J26" s="111">
        <v>119769</v>
      </c>
      <c r="K26" s="111">
        <v>101257</v>
      </c>
      <c r="L26" s="111">
        <v>110863</v>
      </c>
      <c r="M26" s="111">
        <v>126361</v>
      </c>
      <c r="N26" s="111">
        <v>118097</v>
      </c>
      <c r="O26" s="112">
        <v>93824</v>
      </c>
    </row>
    <row r="27" spans="1:15" s="113" customFormat="1" ht="15">
      <c r="A27" s="109" t="s">
        <v>356</v>
      </c>
      <c r="B27" s="116">
        <v>8838687</v>
      </c>
      <c r="C27" s="111">
        <v>3744398</v>
      </c>
      <c r="D27" s="111">
        <v>234977</v>
      </c>
      <c r="E27" s="111">
        <v>233760</v>
      </c>
      <c r="F27" s="111">
        <v>260751</v>
      </c>
      <c r="G27" s="111">
        <v>294029</v>
      </c>
      <c r="H27" s="111">
        <v>361737</v>
      </c>
      <c r="I27" s="111">
        <v>465762</v>
      </c>
      <c r="J27" s="111">
        <v>574622</v>
      </c>
      <c r="K27" s="111">
        <v>476930</v>
      </c>
      <c r="L27" s="111">
        <v>539905</v>
      </c>
      <c r="M27" s="111">
        <v>623070</v>
      </c>
      <c r="N27" s="111">
        <v>568504</v>
      </c>
      <c r="O27" s="112">
        <v>507479</v>
      </c>
    </row>
    <row r="28" spans="1:15" s="113" customFormat="1" ht="15">
      <c r="A28" s="109" t="s">
        <v>357</v>
      </c>
      <c r="B28" s="116">
        <v>5536490</v>
      </c>
      <c r="C28" s="111">
        <v>2484810</v>
      </c>
      <c r="D28" s="111">
        <v>165523</v>
      </c>
      <c r="E28" s="111">
        <v>139982</v>
      </c>
      <c r="F28" s="111">
        <v>164048</v>
      </c>
      <c r="G28" s="111">
        <v>172926</v>
      </c>
      <c r="H28" s="111">
        <v>201065</v>
      </c>
      <c r="I28" s="111">
        <v>272945</v>
      </c>
      <c r="J28" s="111">
        <v>325999</v>
      </c>
      <c r="K28" s="111">
        <v>300596</v>
      </c>
      <c r="L28" s="111">
        <v>343455</v>
      </c>
      <c r="M28" s="111">
        <v>375845</v>
      </c>
      <c r="N28" s="111">
        <v>345153</v>
      </c>
      <c r="O28" s="112">
        <v>274843</v>
      </c>
    </row>
    <row r="29" spans="1:15" s="113" customFormat="1" ht="15">
      <c r="A29" s="109" t="s">
        <v>358</v>
      </c>
      <c r="B29" s="116">
        <v>24460331</v>
      </c>
      <c r="C29" s="111">
        <v>11174952</v>
      </c>
      <c r="D29" s="111">
        <v>659797</v>
      </c>
      <c r="E29" s="111">
        <v>627779</v>
      </c>
      <c r="F29" s="111">
        <v>752246</v>
      </c>
      <c r="G29" s="111">
        <v>858451</v>
      </c>
      <c r="H29" s="111">
        <v>1021221</v>
      </c>
      <c r="I29" s="111">
        <v>1312558</v>
      </c>
      <c r="J29" s="111">
        <v>1494168</v>
      </c>
      <c r="K29" s="111">
        <v>1259123</v>
      </c>
      <c r="L29" s="111">
        <v>1451784</v>
      </c>
      <c r="M29" s="111">
        <v>1563115</v>
      </c>
      <c r="N29" s="111">
        <v>1320582</v>
      </c>
      <c r="O29" s="112">
        <v>1078246</v>
      </c>
    </row>
    <row r="30" spans="1:15" s="113" customFormat="1">
      <c r="A30" s="115" t="s">
        <v>359</v>
      </c>
      <c r="B30" s="107">
        <f>SUM(B31:B33)</f>
        <v>16329099</v>
      </c>
      <c r="C30" s="107">
        <f t="shared" ref="C30:N30" si="4">SUM(C31:C33)</f>
        <v>7418635</v>
      </c>
      <c r="D30" s="107">
        <f t="shared" si="4"/>
        <v>490919</v>
      </c>
      <c r="E30" s="107">
        <f t="shared" si="4"/>
        <v>508367</v>
      </c>
      <c r="F30" s="107">
        <f t="shared" si="4"/>
        <v>573014</v>
      </c>
      <c r="G30" s="107">
        <f t="shared" si="4"/>
        <v>583375</v>
      </c>
      <c r="H30" s="107">
        <f t="shared" si="4"/>
        <v>632776</v>
      </c>
      <c r="I30" s="107">
        <f t="shared" si="4"/>
        <v>785603</v>
      </c>
      <c r="J30" s="107">
        <f t="shared" si="4"/>
        <v>937006</v>
      </c>
      <c r="K30" s="107">
        <f t="shared" si="4"/>
        <v>825129</v>
      </c>
      <c r="L30" s="107">
        <f t="shared" si="4"/>
        <v>915897</v>
      </c>
      <c r="M30" s="107">
        <f t="shared" si="4"/>
        <v>1013646</v>
      </c>
      <c r="N30" s="107">
        <f t="shared" si="4"/>
        <v>927908</v>
      </c>
      <c r="O30" s="108">
        <v>813109</v>
      </c>
    </row>
    <row r="31" spans="1:15" s="105" customFormat="1" ht="15">
      <c r="A31" s="109" t="s">
        <v>360</v>
      </c>
      <c r="B31" s="116">
        <v>6311809</v>
      </c>
      <c r="C31" s="111">
        <v>2856900</v>
      </c>
      <c r="D31" s="111">
        <v>180968</v>
      </c>
      <c r="E31" s="111">
        <v>188720</v>
      </c>
      <c r="F31" s="111">
        <v>223449</v>
      </c>
      <c r="G31" s="111">
        <v>227724</v>
      </c>
      <c r="H31" s="111">
        <v>246305</v>
      </c>
      <c r="I31" s="111">
        <v>318854</v>
      </c>
      <c r="J31" s="111">
        <v>375451</v>
      </c>
      <c r="K31" s="111">
        <v>313710</v>
      </c>
      <c r="L31" s="111">
        <v>356286</v>
      </c>
      <c r="M31" s="111">
        <v>393389</v>
      </c>
      <c r="N31" s="111">
        <v>355475</v>
      </c>
      <c r="O31" s="118">
        <v>308374</v>
      </c>
    </row>
    <row r="32" spans="1:15" s="114" customFormat="1" ht="15">
      <c r="A32" s="109" t="s">
        <v>361</v>
      </c>
      <c r="B32" s="116">
        <v>5845567</v>
      </c>
      <c r="C32" s="111">
        <v>2927586</v>
      </c>
      <c r="D32" s="111">
        <v>172474</v>
      </c>
      <c r="E32" s="111">
        <v>178898</v>
      </c>
      <c r="F32" s="111">
        <v>193243</v>
      </c>
      <c r="G32" s="111">
        <v>185757</v>
      </c>
      <c r="H32" s="111">
        <v>201734</v>
      </c>
      <c r="I32" s="111">
        <v>243783</v>
      </c>
      <c r="J32" s="111">
        <v>304938</v>
      </c>
      <c r="K32" s="111">
        <v>271988</v>
      </c>
      <c r="L32" s="111">
        <v>290037</v>
      </c>
      <c r="M32" s="111">
        <v>326761</v>
      </c>
      <c r="N32" s="111">
        <v>310407</v>
      </c>
      <c r="O32" s="118">
        <v>272011</v>
      </c>
    </row>
    <row r="33" spans="1:16" s="113" customFormat="1" ht="15">
      <c r="A33" s="109" t="s">
        <v>362</v>
      </c>
      <c r="B33" s="116">
        <v>4171723</v>
      </c>
      <c r="C33" s="111">
        <v>1634149</v>
      </c>
      <c r="D33" s="111">
        <v>137477</v>
      </c>
      <c r="E33" s="111">
        <v>140749</v>
      </c>
      <c r="F33" s="111">
        <v>156322</v>
      </c>
      <c r="G33" s="111">
        <v>169894</v>
      </c>
      <c r="H33" s="111">
        <v>184737</v>
      </c>
      <c r="I33" s="111">
        <v>222966</v>
      </c>
      <c r="J33" s="111">
        <v>256617</v>
      </c>
      <c r="K33" s="111">
        <v>239431</v>
      </c>
      <c r="L33" s="111">
        <v>269574</v>
      </c>
      <c r="M33" s="111">
        <v>293496</v>
      </c>
      <c r="N33" s="111">
        <v>262026</v>
      </c>
      <c r="O33" s="118">
        <v>232724</v>
      </c>
    </row>
    <row r="34" spans="1:16" s="113" customFormat="1">
      <c r="A34" s="115" t="s">
        <v>363</v>
      </c>
      <c r="B34" s="107">
        <f>SUM(B35:B38)</f>
        <v>7443507</v>
      </c>
      <c r="C34" s="107">
        <f t="shared" ref="C34:N34" si="5">SUM(C35:C38)</f>
        <v>2600395</v>
      </c>
      <c r="D34" s="107">
        <f t="shared" si="5"/>
        <v>223760</v>
      </c>
      <c r="E34" s="107">
        <f t="shared" si="5"/>
        <v>223058</v>
      </c>
      <c r="F34" s="107">
        <f t="shared" si="5"/>
        <v>257426</v>
      </c>
      <c r="G34" s="107">
        <f t="shared" si="5"/>
        <v>267809</v>
      </c>
      <c r="H34" s="107">
        <f t="shared" si="5"/>
        <v>307225</v>
      </c>
      <c r="I34" s="107">
        <f t="shared" si="5"/>
        <v>434699</v>
      </c>
      <c r="J34" s="107">
        <f t="shared" si="5"/>
        <v>555433</v>
      </c>
      <c r="K34" s="107">
        <f t="shared" si="5"/>
        <v>480125</v>
      </c>
      <c r="L34" s="107">
        <f t="shared" si="5"/>
        <v>546563</v>
      </c>
      <c r="M34" s="107">
        <f t="shared" si="5"/>
        <v>594532</v>
      </c>
      <c r="N34" s="107">
        <f t="shared" si="5"/>
        <v>538814</v>
      </c>
      <c r="O34" s="108">
        <v>465988</v>
      </c>
      <c r="P34" s="119"/>
    </row>
    <row r="35" spans="1:16" s="105" customFormat="1" ht="15">
      <c r="A35" s="109" t="s">
        <v>364</v>
      </c>
      <c r="B35" s="116">
        <v>1502751</v>
      </c>
      <c r="C35" s="111">
        <v>460921</v>
      </c>
      <c r="D35" s="111">
        <v>36779</v>
      </c>
      <c r="E35" s="111">
        <v>36728</v>
      </c>
      <c r="F35" s="111">
        <v>43633</v>
      </c>
      <c r="G35" s="111">
        <v>48590</v>
      </c>
      <c r="H35" s="111">
        <v>64192</v>
      </c>
      <c r="I35" s="111">
        <v>87007</v>
      </c>
      <c r="J35" s="111">
        <v>110122</v>
      </c>
      <c r="K35" s="111">
        <v>114228</v>
      </c>
      <c r="L35" s="111">
        <v>130924</v>
      </c>
      <c r="M35" s="111">
        <v>133807</v>
      </c>
      <c r="N35" s="111">
        <v>132838</v>
      </c>
      <c r="O35" s="118">
        <v>115751</v>
      </c>
    </row>
    <row r="36" spans="1:16" s="113" customFormat="1" ht="15">
      <c r="A36" s="109" t="s">
        <v>365</v>
      </c>
      <c r="B36" s="116">
        <v>3145903</v>
      </c>
      <c r="C36" s="111">
        <v>1200585</v>
      </c>
      <c r="D36" s="111">
        <v>91825</v>
      </c>
      <c r="E36" s="111">
        <v>91904</v>
      </c>
      <c r="F36" s="111">
        <v>103387</v>
      </c>
      <c r="G36" s="111">
        <v>110603</v>
      </c>
      <c r="H36" s="111">
        <v>130273</v>
      </c>
      <c r="I36" s="111">
        <v>183678</v>
      </c>
      <c r="J36" s="111">
        <v>230804</v>
      </c>
      <c r="K36" s="111">
        <v>184613</v>
      </c>
      <c r="L36" s="111">
        <v>214884</v>
      </c>
      <c r="M36" s="111">
        <v>237475</v>
      </c>
      <c r="N36" s="111">
        <v>209504</v>
      </c>
      <c r="O36" s="118">
        <v>175030</v>
      </c>
    </row>
    <row r="37" spans="1:16" s="113" customFormat="1" ht="15">
      <c r="A37" s="109" t="s">
        <v>366</v>
      </c>
      <c r="B37" s="116">
        <v>1551426</v>
      </c>
      <c r="C37" s="111">
        <v>468101</v>
      </c>
      <c r="D37" s="111">
        <v>55261</v>
      </c>
      <c r="E37" s="111">
        <v>53751</v>
      </c>
      <c r="F37" s="111">
        <v>63585</v>
      </c>
      <c r="G37" s="111">
        <v>59303</v>
      </c>
      <c r="H37" s="111">
        <v>59514</v>
      </c>
      <c r="I37" s="111">
        <v>93473</v>
      </c>
      <c r="J37" s="111">
        <v>131001</v>
      </c>
      <c r="K37" s="111">
        <v>108199</v>
      </c>
      <c r="L37" s="111">
        <v>116415</v>
      </c>
      <c r="M37" s="111">
        <v>132266</v>
      </c>
      <c r="N37" s="111">
        <v>117552</v>
      </c>
      <c r="O37" s="118">
        <v>105792</v>
      </c>
    </row>
    <row r="38" spans="1:16" s="114" customFormat="1" ht="16" thickBot="1">
      <c r="A38" s="120" t="s">
        <v>367</v>
      </c>
      <c r="B38" s="121">
        <v>1243427</v>
      </c>
      <c r="C38" s="122">
        <v>470788</v>
      </c>
      <c r="D38" s="122">
        <v>39895</v>
      </c>
      <c r="E38" s="122">
        <v>40675</v>
      </c>
      <c r="F38" s="122">
        <v>46821</v>
      </c>
      <c r="G38" s="122">
        <v>49313</v>
      </c>
      <c r="H38" s="122">
        <v>53246</v>
      </c>
      <c r="I38" s="122">
        <v>70541</v>
      </c>
      <c r="J38" s="122">
        <v>83506</v>
      </c>
      <c r="K38" s="122">
        <v>73085</v>
      </c>
      <c r="L38" s="122">
        <v>84340</v>
      </c>
      <c r="M38" s="122">
        <v>90984</v>
      </c>
      <c r="N38" s="122">
        <v>78920</v>
      </c>
      <c r="O38" s="123">
        <v>69415</v>
      </c>
    </row>
    <row r="39" spans="1:16" s="126" customFormat="1" ht="3" customHeight="1" thickTop="1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5"/>
    </row>
    <row r="40" spans="1:16">
      <c r="A40" s="127" t="s">
        <v>368</v>
      </c>
      <c r="B40" s="127"/>
    </row>
    <row r="42" spans="1:16">
      <c r="A42" s="128"/>
      <c r="B42" s="128"/>
      <c r="C42" s="129"/>
    </row>
    <row r="43" spans="1:16">
      <c r="B43" s="130"/>
    </row>
    <row r="44" spans="1:16">
      <c r="A44" s="89" t="s">
        <v>369</v>
      </c>
      <c r="B44" s="130" t="s">
        <v>370</v>
      </c>
    </row>
  </sheetData>
  <mergeCells count="5">
    <mergeCell ref="A3:A5"/>
    <mergeCell ref="B3:B5"/>
    <mergeCell ref="C3:N4"/>
    <mergeCell ref="O3:O4"/>
    <mergeCell ref="A39:M39"/>
  </mergeCells>
  <printOptions horizontalCentered="1" gridLinesSet="0"/>
  <pageMargins left="0.18" right="0.18" top="0.7" bottom="0.39370078740157483" header="0.16" footer="0"/>
  <pageSetup paperSize="9" scale="75" orientation="landscape" horizontalDpi="300" verticalDpi="300"/>
  <headerFooter>
    <oddFooter>&amp;CDenatran - CGIE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abSelected="1" topLeftCell="B1" workbookViewId="0">
      <selection activeCell="F8" sqref="F8"/>
    </sheetView>
  </sheetViews>
  <sheetFormatPr baseColWidth="10" defaultRowHeight="15" x14ac:dyDescent="0"/>
  <cols>
    <col min="6" max="6" width="12.1640625" bestFit="1" customWidth="1"/>
    <col min="7" max="7" width="13.83203125" customWidth="1"/>
  </cols>
  <sheetData>
    <row r="1" spans="1:2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</row>
    <row r="2" spans="1:21" ht="16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</row>
    <row r="3" spans="1:21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1">
      <c r="A4" s="39"/>
      <c r="B4" s="40"/>
      <c r="D4" s="42"/>
      <c r="E4" s="46"/>
      <c r="F4" s="41" t="s">
        <v>162</v>
      </c>
      <c r="G4" s="41" t="s">
        <v>223</v>
      </c>
      <c r="H4" s="41" t="s">
        <v>167</v>
      </c>
      <c r="I4" s="41" t="s">
        <v>228</v>
      </c>
      <c r="J4" s="41" t="s">
        <v>229</v>
      </c>
      <c r="K4" s="41" t="s">
        <v>230</v>
      </c>
      <c r="L4" s="41"/>
      <c r="M4" s="41"/>
      <c r="N4" s="46"/>
      <c r="O4" s="46"/>
      <c r="P4" s="46"/>
      <c r="Q4" s="46"/>
      <c r="R4" s="46"/>
      <c r="S4" s="46"/>
      <c r="T4" s="46"/>
      <c r="U4" s="46"/>
    </row>
    <row r="5" spans="1:21">
      <c r="A5" s="46"/>
      <c r="B5" s="47" t="s">
        <v>169</v>
      </c>
      <c r="C5" s="44"/>
      <c r="D5" s="46" t="s">
        <v>170</v>
      </c>
      <c r="E5" s="46"/>
      <c r="F5" s="49" t="s">
        <v>165</v>
      </c>
      <c r="G5" s="46"/>
      <c r="H5" s="46"/>
      <c r="I5" s="46"/>
      <c r="J5" s="49"/>
      <c r="K5" s="50"/>
      <c r="L5" s="46"/>
      <c r="M5" s="46"/>
      <c r="N5" s="46"/>
      <c r="O5" s="46"/>
      <c r="P5" s="46"/>
      <c r="Q5" s="46"/>
      <c r="R5" s="46"/>
      <c r="S5" s="46"/>
      <c r="T5" s="46"/>
      <c r="U5" s="46"/>
    </row>
    <row r="6" spans="1:21">
      <c r="A6" s="46"/>
      <c r="B6" s="47"/>
      <c r="C6" s="46"/>
      <c r="D6" s="46"/>
      <c r="E6" s="42"/>
      <c r="F6" s="46"/>
      <c r="G6" s="46"/>
      <c r="H6" s="46"/>
      <c r="I6" s="46"/>
      <c r="J6" s="46"/>
      <c r="K6" s="45"/>
      <c r="L6" s="46"/>
      <c r="M6" s="46"/>
      <c r="N6" s="46"/>
      <c r="O6" s="46"/>
      <c r="P6" s="46"/>
      <c r="Q6" s="46"/>
      <c r="R6" s="46"/>
      <c r="S6" s="46"/>
      <c r="T6" s="46"/>
      <c r="U6" s="46"/>
    </row>
    <row r="7" spans="1:21">
      <c r="A7" s="46"/>
      <c r="B7" s="47"/>
      <c r="C7" s="46"/>
      <c r="D7" s="46"/>
      <c r="E7" s="42" t="s">
        <v>28</v>
      </c>
      <c r="F7">
        <f>BR_total_cars!B6/1000</f>
        <v>81089.665999999997</v>
      </c>
      <c r="G7" s="46"/>
      <c r="H7" s="46"/>
      <c r="I7" s="46"/>
      <c r="J7" s="46"/>
      <c r="K7" s="45"/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21">
      <c r="A8" s="46"/>
      <c r="B8" s="47"/>
      <c r="C8" s="46"/>
      <c r="D8" s="46"/>
      <c r="E8" s="39" t="s">
        <v>5</v>
      </c>
      <c r="F8" s="46">
        <v>43431</v>
      </c>
      <c r="G8" s="46">
        <v>2578567</v>
      </c>
      <c r="H8" s="46"/>
      <c r="I8" s="46">
        <v>184589</v>
      </c>
      <c r="J8" s="46">
        <v>272877</v>
      </c>
      <c r="K8" s="46">
        <v>76794</v>
      </c>
      <c r="L8" s="46"/>
      <c r="M8" s="46"/>
      <c r="N8" s="46" t="s">
        <v>240</v>
      </c>
      <c r="O8" s="46"/>
      <c r="P8" s="46"/>
      <c r="Q8" s="46"/>
      <c r="R8" s="46"/>
      <c r="S8" s="46"/>
      <c r="T8" s="46"/>
      <c r="U8" s="46"/>
    </row>
    <row r="9" spans="1:21">
      <c r="A9" s="46"/>
      <c r="B9" s="47"/>
      <c r="C9" s="46"/>
      <c r="D9" s="46"/>
      <c r="E9" s="39" t="s">
        <v>10</v>
      </c>
      <c r="F9" s="46">
        <v>22248</v>
      </c>
      <c r="G9" s="46">
        <v>4984722</v>
      </c>
      <c r="H9" s="46"/>
      <c r="I9" s="46">
        <v>161037</v>
      </c>
      <c r="J9" s="46"/>
      <c r="K9" s="46">
        <v>62358</v>
      </c>
      <c r="L9" s="46"/>
      <c r="M9" s="46"/>
      <c r="N9" s="46" t="s">
        <v>241</v>
      </c>
      <c r="O9" s="46"/>
      <c r="P9" s="46"/>
      <c r="Q9" s="46"/>
      <c r="R9" s="46"/>
      <c r="S9" s="46"/>
      <c r="T9" s="46"/>
      <c r="U9" s="46"/>
    </row>
    <row r="10" spans="1:21">
      <c r="A10" s="46"/>
      <c r="B10" s="47"/>
      <c r="C10" s="46"/>
      <c r="D10" s="46"/>
      <c r="E10" s="39" t="s">
        <v>6</v>
      </c>
      <c r="F10" s="46">
        <v>32555</v>
      </c>
      <c r="G10" s="46">
        <v>5405456</v>
      </c>
      <c r="H10" s="46"/>
      <c r="I10" s="46">
        <v>198875</v>
      </c>
      <c r="J10" s="46"/>
      <c r="K10" s="46">
        <v>90452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</row>
    <row r="11" spans="1:21">
      <c r="A11" s="46"/>
      <c r="B11" s="47"/>
      <c r="C11" s="46"/>
      <c r="D11" s="46"/>
      <c r="E11" s="39" t="s">
        <v>8</v>
      </c>
      <c r="F11" s="46">
        <v>7859</v>
      </c>
      <c r="G11" s="46">
        <v>919211</v>
      </c>
      <c r="H11" s="46"/>
      <c r="I11" s="46">
        <v>71487</v>
      </c>
      <c r="J11" s="46">
        <v>64115</v>
      </c>
      <c r="K11" s="46">
        <v>10986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</row>
    <row r="12" spans="1:21">
      <c r="A12" s="46"/>
      <c r="B12" s="47"/>
      <c r="C12" s="46"/>
      <c r="D12" s="46"/>
      <c r="E12" s="39" t="s">
        <v>9</v>
      </c>
      <c r="F12" s="46">
        <v>18744</v>
      </c>
      <c r="G12" s="46">
        <v>2920779</v>
      </c>
      <c r="H12" s="46"/>
      <c r="I12" s="46">
        <v>257226</v>
      </c>
      <c r="J12" s="46">
        <v>162401</v>
      </c>
      <c r="K12" s="46">
        <v>102927</v>
      </c>
      <c r="L12" s="46"/>
      <c r="M12" s="48"/>
      <c r="N12" s="46"/>
      <c r="O12" s="46"/>
      <c r="P12" s="46"/>
      <c r="Q12" s="46"/>
      <c r="R12" s="46"/>
      <c r="S12" s="46"/>
      <c r="T12" s="46"/>
      <c r="U12" s="46"/>
    </row>
    <row r="13" spans="1:21">
      <c r="A13" s="46"/>
      <c r="B13" s="47"/>
      <c r="C13" s="46"/>
      <c r="D13" s="46"/>
      <c r="E13" s="39" t="s">
        <v>11</v>
      </c>
      <c r="F13" s="46">
        <v>28467</v>
      </c>
      <c r="G13" s="46">
        <v>3607601</v>
      </c>
      <c r="H13" s="46"/>
      <c r="I13" s="46">
        <v>106165</v>
      </c>
      <c r="J13" s="46">
        <v>5789</v>
      </c>
      <c r="K13" s="46">
        <v>168062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</row>
    <row r="14" spans="1:21">
      <c r="A14" s="46"/>
      <c r="B14" s="47"/>
      <c r="C14" s="46"/>
      <c r="D14" s="46"/>
      <c r="E14" s="46" t="s">
        <v>166</v>
      </c>
      <c r="F14" s="46">
        <f>EUROSTAT_EU!K52</f>
        <v>243752.16999999998</v>
      </c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</row>
    <row r="15" spans="1:21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</row>
    <row r="16" spans="1:21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</row>
    <row r="17" spans="1:21">
      <c r="A17" s="46"/>
      <c r="B17" s="4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</row>
    <row r="18" spans="1:21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</row>
    <row r="19" spans="1:21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</row>
    <row r="20" spans="1:21">
      <c r="A20" s="46"/>
      <c r="B20" s="47"/>
      <c r="C20" s="46" t="s">
        <v>216</v>
      </c>
      <c r="D20" s="46"/>
      <c r="E20" s="46"/>
      <c r="F20" s="41" t="s">
        <v>217</v>
      </c>
      <c r="G20" s="41" t="s">
        <v>163</v>
      </c>
      <c r="H20" s="41" t="s">
        <v>164</v>
      </c>
      <c r="I20" s="51" t="s">
        <v>175</v>
      </c>
      <c r="J20" s="41" t="s">
        <v>218</v>
      </c>
      <c r="K20" s="51" t="s">
        <v>177</v>
      </c>
      <c r="L20" s="51" t="s">
        <v>219</v>
      </c>
      <c r="M20" s="46"/>
      <c r="N20" s="46"/>
      <c r="O20" s="46"/>
      <c r="P20" s="46"/>
      <c r="Q20" s="46"/>
      <c r="R20" s="46"/>
      <c r="S20" s="46"/>
      <c r="T20" s="46"/>
      <c r="U20" s="46"/>
    </row>
    <row r="21" spans="1:21">
      <c r="A21" s="46"/>
      <c r="B21" s="47"/>
      <c r="C21" s="46">
        <v>2012</v>
      </c>
      <c r="D21" s="46"/>
      <c r="E21" s="46"/>
      <c r="F21" s="50" t="s">
        <v>165</v>
      </c>
      <c r="G21" s="50" t="s">
        <v>165</v>
      </c>
      <c r="H21" s="50" t="s">
        <v>165</v>
      </c>
      <c r="I21" s="50" t="s">
        <v>165</v>
      </c>
      <c r="J21" s="50" t="s">
        <v>165</v>
      </c>
      <c r="K21" s="50" t="s">
        <v>165</v>
      </c>
      <c r="L21" s="50" t="s">
        <v>165</v>
      </c>
      <c r="M21" s="46"/>
      <c r="N21" s="46"/>
      <c r="O21" s="46"/>
      <c r="P21" s="46"/>
      <c r="Q21" s="46"/>
      <c r="R21" s="46"/>
      <c r="S21" s="46"/>
      <c r="T21" s="46"/>
      <c r="U21" s="46"/>
    </row>
    <row r="22" spans="1:21">
      <c r="A22" s="52"/>
      <c r="B22" s="58"/>
      <c r="C22" s="46"/>
      <c r="D22" s="46"/>
      <c r="E22" s="46"/>
      <c r="F22" s="46"/>
      <c r="G22" s="46"/>
      <c r="H22" s="45"/>
      <c r="I22" s="52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</row>
    <row r="23" spans="1:21">
      <c r="A23" s="52"/>
      <c r="B23" s="58"/>
      <c r="C23" s="46"/>
      <c r="D23" s="46"/>
      <c r="E23" s="39" t="s">
        <v>5</v>
      </c>
      <c r="F23" s="46">
        <f>F8</f>
        <v>43431</v>
      </c>
      <c r="G23" s="46">
        <v>30206</v>
      </c>
      <c r="H23" s="61">
        <v>12579</v>
      </c>
      <c r="I23" s="52">
        <v>495</v>
      </c>
      <c r="J23" s="46">
        <v>7</v>
      </c>
      <c r="K23" s="46">
        <v>76</v>
      </c>
      <c r="L23" s="46">
        <v>68</v>
      </c>
      <c r="M23" s="46"/>
      <c r="N23" s="46"/>
      <c r="O23" s="46"/>
      <c r="P23" s="46"/>
      <c r="Q23" s="46"/>
      <c r="R23" s="46"/>
      <c r="S23" s="46"/>
      <c r="T23" s="46"/>
      <c r="U23" s="46"/>
    </row>
    <row r="24" spans="1:21">
      <c r="A24" s="52"/>
      <c r="B24" s="58"/>
      <c r="C24" s="46"/>
      <c r="D24" s="46"/>
      <c r="E24" s="39" t="s">
        <v>10</v>
      </c>
      <c r="F24" s="46">
        <f t="shared" ref="F24:F28" si="0">F9</f>
        <v>22248</v>
      </c>
      <c r="G24" s="46">
        <v>10305</v>
      </c>
      <c r="H24" s="46">
        <v>11938</v>
      </c>
      <c r="I24" s="52" t="s">
        <v>221</v>
      </c>
      <c r="J24" s="46" t="s">
        <v>221</v>
      </c>
      <c r="K24" s="46" t="s">
        <v>221</v>
      </c>
      <c r="L24" s="46" t="s">
        <v>221</v>
      </c>
      <c r="M24" s="46"/>
      <c r="N24" s="46"/>
      <c r="O24" s="46"/>
      <c r="P24" s="46"/>
      <c r="Q24" s="46"/>
      <c r="R24" s="46"/>
      <c r="S24" s="46"/>
      <c r="T24" s="46"/>
      <c r="U24" s="46"/>
    </row>
    <row r="25" spans="1:21">
      <c r="A25" s="52"/>
      <c r="B25" s="58"/>
      <c r="C25" s="46">
        <v>2007</v>
      </c>
      <c r="D25" s="46"/>
      <c r="E25" s="39" t="s">
        <v>6</v>
      </c>
      <c r="F25" s="46">
        <f t="shared" si="0"/>
        <v>32555</v>
      </c>
      <c r="G25">
        <v>14778</v>
      </c>
      <c r="H25" s="52">
        <v>15922</v>
      </c>
      <c r="I25" s="52">
        <v>145</v>
      </c>
      <c r="J25" s="46">
        <v>3</v>
      </c>
      <c r="K25" s="46" t="s">
        <v>220</v>
      </c>
      <c r="L25" s="46">
        <v>9</v>
      </c>
      <c r="M25" s="46"/>
      <c r="N25" s="46"/>
      <c r="O25" s="46"/>
      <c r="P25" s="46"/>
      <c r="Q25" s="46"/>
      <c r="R25" s="46"/>
      <c r="S25" s="46"/>
      <c r="T25" s="46"/>
      <c r="U25" s="46"/>
    </row>
    <row r="26" spans="1:21">
      <c r="A26" s="52"/>
      <c r="B26" s="58"/>
      <c r="C26" s="46">
        <v>2011</v>
      </c>
      <c r="D26" s="46"/>
      <c r="E26" s="39" t="s">
        <v>8</v>
      </c>
      <c r="F26" s="46">
        <f t="shared" si="0"/>
        <v>7859</v>
      </c>
      <c r="G26" s="46">
        <v>6254</v>
      </c>
      <c r="H26" s="46">
        <v>1327</v>
      </c>
      <c r="I26" s="52">
        <v>204</v>
      </c>
      <c r="J26" s="46">
        <v>70</v>
      </c>
      <c r="K26" s="46">
        <v>2</v>
      </c>
      <c r="L26" s="46">
        <v>2</v>
      </c>
      <c r="M26" s="46"/>
      <c r="N26" s="46"/>
      <c r="O26" s="46"/>
      <c r="P26" s="46"/>
      <c r="Q26" s="46"/>
      <c r="R26" s="46"/>
      <c r="S26" s="46"/>
      <c r="T26" s="46"/>
      <c r="U26" s="46"/>
    </row>
    <row r="27" spans="1:21">
      <c r="A27" s="52"/>
      <c r="B27" s="58"/>
      <c r="C27" s="46"/>
      <c r="D27" s="46"/>
      <c r="E27" s="39" t="s">
        <v>9</v>
      </c>
      <c r="F27" s="46">
        <f t="shared" si="0"/>
        <v>18744</v>
      </c>
      <c r="G27" s="46">
        <v>10811</v>
      </c>
      <c r="H27" s="46">
        <v>4830</v>
      </c>
      <c r="I27" s="52">
        <v>2757</v>
      </c>
      <c r="J27" s="46" t="s">
        <v>220</v>
      </c>
      <c r="K27" s="46" t="s">
        <v>220</v>
      </c>
      <c r="L27" s="46">
        <v>346</v>
      </c>
      <c r="M27" s="46"/>
      <c r="N27" s="46"/>
      <c r="O27" s="46"/>
      <c r="P27" s="46"/>
      <c r="Q27" s="46"/>
      <c r="R27" s="46"/>
      <c r="S27" s="46"/>
      <c r="T27" s="46"/>
      <c r="U27" s="46"/>
    </row>
    <row r="28" spans="1:21">
      <c r="A28" s="52"/>
      <c r="B28" s="58"/>
      <c r="C28" s="46">
        <v>2011</v>
      </c>
      <c r="D28" s="46"/>
      <c r="E28" s="39" t="s">
        <v>11</v>
      </c>
      <c r="F28" s="46">
        <f t="shared" si="0"/>
        <v>28467</v>
      </c>
      <c r="G28" s="46">
        <v>19548</v>
      </c>
      <c r="H28" s="46">
        <v>8736</v>
      </c>
      <c r="I28" s="52">
        <v>22</v>
      </c>
      <c r="J28" s="46">
        <v>3</v>
      </c>
      <c r="K28" s="46">
        <v>1</v>
      </c>
      <c r="L28" s="46">
        <v>130</v>
      </c>
      <c r="M28" s="46"/>
      <c r="N28" s="46"/>
      <c r="O28" s="46"/>
      <c r="P28" s="46"/>
      <c r="Q28" s="46"/>
      <c r="R28" s="46"/>
      <c r="S28" s="46"/>
      <c r="T28" s="46"/>
      <c r="U28" s="46"/>
    </row>
    <row r="29" spans="1:21">
      <c r="A29" s="52"/>
      <c r="B29" s="58"/>
      <c r="C29" s="46"/>
      <c r="D29" s="46"/>
      <c r="E29" s="46" t="s">
        <v>166</v>
      </c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</row>
    <row r="30" spans="1:21">
      <c r="A30" s="46"/>
      <c r="B30" s="4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</row>
    <row r="31" spans="1:21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</row>
    <row r="32" spans="1:21">
      <c r="A32" s="46"/>
      <c r="B32" s="4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</row>
    <row r="33" spans="1:21">
      <c r="A33" s="46"/>
      <c r="B33" s="47"/>
      <c r="C33" s="46" t="s">
        <v>222</v>
      </c>
      <c r="D33" s="46"/>
      <c r="E33" s="46"/>
      <c r="F33" s="41" t="s">
        <v>217</v>
      </c>
      <c r="G33" s="41" t="s">
        <v>163</v>
      </c>
      <c r="H33" s="41" t="s">
        <v>164</v>
      </c>
      <c r="I33" s="51" t="s">
        <v>175</v>
      </c>
      <c r="J33" s="41" t="s">
        <v>218</v>
      </c>
      <c r="K33" s="51" t="s">
        <v>177</v>
      </c>
      <c r="L33" s="51" t="s">
        <v>219</v>
      </c>
      <c r="M33" s="46"/>
      <c r="N33" s="46"/>
      <c r="O33" s="46"/>
      <c r="P33" s="46"/>
      <c r="Q33" s="46"/>
      <c r="R33" s="46"/>
      <c r="S33" s="46"/>
      <c r="T33" s="46"/>
      <c r="U33" s="46"/>
    </row>
    <row r="34" spans="1:21">
      <c r="A34" s="46"/>
      <c r="B34" s="47"/>
      <c r="C34" s="46">
        <v>2012</v>
      </c>
      <c r="D34" s="46"/>
      <c r="E34" s="46"/>
      <c r="F34" s="50"/>
      <c r="G34" s="50" t="s">
        <v>168</v>
      </c>
      <c r="H34" s="50"/>
      <c r="I34" s="50"/>
      <c r="J34" s="50"/>
      <c r="K34" s="50"/>
      <c r="L34" s="50"/>
      <c r="M34" s="46"/>
      <c r="N34" s="46"/>
      <c r="O34" s="46"/>
      <c r="P34" s="46"/>
      <c r="Q34" s="46"/>
      <c r="R34" s="46"/>
      <c r="S34" s="46"/>
      <c r="T34" s="46"/>
      <c r="U34" s="46"/>
    </row>
    <row r="35" spans="1:21">
      <c r="A35" s="46"/>
      <c r="B35" s="47"/>
      <c r="C35" s="46"/>
      <c r="D35" s="46"/>
      <c r="E35" s="46"/>
      <c r="F35" s="46"/>
      <c r="G35" s="46"/>
      <c r="H35" s="45"/>
      <c r="I35" s="52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</row>
    <row r="36" spans="1:21">
      <c r="A36" s="46"/>
      <c r="B36" s="47"/>
      <c r="C36" s="46"/>
      <c r="D36" s="46"/>
      <c r="E36" s="39" t="s">
        <v>5</v>
      </c>
      <c r="F36" s="46">
        <f>G8</f>
        <v>2578567</v>
      </c>
      <c r="G36" s="46">
        <v>125759</v>
      </c>
      <c r="H36" s="61">
        <v>2422958</v>
      </c>
      <c r="I36" s="52">
        <v>9831</v>
      </c>
      <c r="J36" s="46">
        <v>2389</v>
      </c>
      <c r="K36" s="46">
        <v>16989</v>
      </c>
      <c r="L36" s="46">
        <v>641</v>
      </c>
      <c r="M36" s="46"/>
      <c r="N36" s="46"/>
      <c r="O36" s="46"/>
      <c r="P36" s="46"/>
      <c r="Q36" s="46"/>
      <c r="R36" s="46"/>
      <c r="S36" s="46"/>
      <c r="T36" s="46"/>
      <c r="U36" s="46"/>
    </row>
    <row r="37" spans="1:21">
      <c r="A37" s="46"/>
      <c r="B37" s="47"/>
      <c r="C37" s="46"/>
      <c r="D37" s="46"/>
      <c r="E37" s="39" t="s">
        <v>10</v>
      </c>
      <c r="F37" s="46">
        <f t="shared" ref="F37:F41" si="1">G9</f>
        <v>4984722</v>
      </c>
      <c r="G37" s="46">
        <v>568587</v>
      </c>
      <c r="H37" s="46">
        <v>4413826</v>
      </c>
      <c r="I37" s="52" t="s">
        <v>221</v>
      </c>
      <c r="J37" s="46" t="s">
        <v>221</v>
      </c>
      <c r="K37" s="46" t="s">
        <v>221</v>
      </c>
      <c r="L37" s="46">
        <v>20874</v>
      </c>
      <c r="M37" s="46"/>
      <c r="N37" s="46"/>
      <c r="O37" s="46"/>
      <c r="P37" s="46"/>
      <c r="Q37" s="46"/>
      <c r="R37" s="46"/>
      <c r="S37" s="46"/>
      <c r="T37" s="46"/>
      <c r="U37" s="46"/>
    </row>
    <row r="38" spans="1:21">
      <c r="A38" s="46"/>
      <c r="B38" s="47"/>
      <c r="C38" s="46">
        <v>2009</v>
      </c>
      <c r="D38" s="46"/>
      <c r="E38" s="39" t="s">
        <v>6</v>
      </c>
      <c r="F38" s="46">
        <f t="shared" si="1"/>
        <v>5405456</v>
      </c>
      <c r="G38">
        <v>149345</v>
      </c>
      <c r="H38" s="52">
        <v>5215886</v>
      </c>
      <c r="I38" s="52">
        <v>12399</v>
      </c>
      <c r="J38" s="46">
        <v>5622</v>
      </c>
      <c r="K38" s="46">
        <v>1330</v>
      </c>
      <c r="L38" s="46">
        <v>2309</v>
      </c>
      <c r="M38" s="46"/>
      <c r="N38" s="46"/>
      <c r="O38" s="46"/>
      <c r="P38" s="46"/>
      <c r="Q38" s="46"/>
      <c r="R38" s="46"/>
      <c r="S38" s="46"/>
      <c r="T38" s="46"/>
      <c r="U38" s="46"/>
    </row>
    <row r="39" spans="1:21">
      <c r="A39" s="46"/>
      <c r="B39" s="47"/>
      <c r="C39" s="46">
        <v>2011</v>
      </c>
      <c r="D39" s="46"/>
      <c r="E39" s="39" t="s">
        <v>8</v>
      </c>
      <c r="F39" s="46">
        <f t="shared" si="1"/>
        <v>919211</v>
      </c>
      <c r="G39" s="46">
        <v>29647</v>
      </c>
      <c r="H39" s="46">
        <v>871121</v>
      </c>
      <c r="I39" s="52">
        <v>16625</v>
      </c>
      <c r="J39" s="46">
        <v>152</v>
      </c>
      <c r="K39" s="46">
        <v>1662</v>
      </c>
      <c r="L39" s="46">
        <v>4</v>
      </c>
      <c r="M39" s="46"/>
      <c r="N39" s="46"/>
      <c r="O39" s="46"/>
      <c r="P39" s="46"/>
      <c r="Q39" s="46"/>
      <c r="R39" s="46"/>
      <c r="S39" s="46"/>
      <c r="T39" s="46"/>
      <c r="U39" s="46"/>
    </row>
    <row r="40" spans="1:21">
      <c r="A40" s="46"/>
      <c r="B40" s="47"/>
      <c r="C40" s="46"/>
      <c r="D40" s="46"/>
      <c r="E40" s="39" t="s">
        <v>9</v>
      </c>
      <c r="F40" s="46">
        <f t="shared" si="1"/>
        <v>2920779</v>
      </c>
      <c r="G40" s="46">
        <v>694705</v>
      </c>
      <c r="H40" s="46">
        <v>1969895</v>
      </c>
      <c r="I40" s="52">
        <v>182889</v>
      </c>
      <c r="J40" s="46">
        <v>70</v>
      </c>
      <c r="K40" s="46" t="s">
        <v>221</v>
      </c>
      <c r="L40" s="46">
        <v>73290</v>
      </c>
      <c r="M40" s="46"/>
      <c r="N40" s="46"/>
      <c r="O40" s="46"/>
      <c r="P40" s="46"/>
      <c r="Q40" s="46"/>
      <c r="R40" s="46"/>
      <c r="S40" s="46"/>
      <c r="T40" s="46"/>
      <c r="U40" s="46"/>
    </row>
    <row r="41" spans="1:21">
      <c r="A41" s="46"/>
      <c r="B41" s="47"/>
      <c r="C41" s="46">
        <v>2011</v>
      </c>
      <c r="D41" s="46"/>
      <c r="E41" s="39" t="s">
        <v>11</v>
      </c>
      <c r="F41" s="46">
        <f t="shared" si="1"/>
        <v>3607601</v>
      </c>
      <c r="G41" s="46">
        <v>159058</v>
      </c>
      <c r="H41" s="46">
        <v>3431522</v>
      </c>
      <c r="I41" s="52">
        <v>1736</v>
      </c>
      <c r="J41" s="46">
        <v>4313</v>
      </c>
      <c r="K41" s="46">
        <v>346</v>
      </c>
      <c r="L41" s="46">
        <v>10626</v>
      </c>
      <c r="M41" s="46"/>
      <c r="N41" s="46"/>
      <c r="O41" s="46"/>
      <c r="P41" s="46"/>
      <c r="Q41" s="46"/>
      <c r="R41" s="46"/>
      <c r="S41" s="46"/>
      <c r="T41" s="46"/>
      <c r="U41" s="46"/>
    </row>
    <row r="42" spans="1:21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</row>
    <row r="43" spans="1:21">
      <c r="A43" s="52"/>
      <c r="B43" s="58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</row>
    <row r="44" spans="1:21">
      <c r="A44" s="52"/>
      <c r="B44" s="58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</row>
    <row r="45" spans="1:21">
      <c r="A45" s="52"/>
      <c r="B45" s="58"/>
      <c r="C45" s="46" t="s">
        <v>224</v>
      </c>
      <c r="D45" s="46"/>
      <c r="E45" s="46"/>
      <c r="F45" s="41" t="s">
        <v>217</v>
      </c>
      <c r="G45" s="41" t="s">
        <v>163</v>
      </c>
      <c r="H45" s="41" t="s">
        <v>164</v>
      </c>
      <c r="I45" s="51" t="s">
        <v>225</v>
      </c>
      <c r="J45" s="41" t="s">
        <v>218</v>
      </c>
      <c r="K45" s="51" t="s">
        <v>177</v>
      </c>
      <c r="L45" s="51" t="s">
        <v>219</v>
      </c>
      <c r="M45" s="46"/>
      <c r="N45" s="46"/>
      <c r="O45" s="46"/>
      <c r="P45" s="46"/>
      <c r="Q45" s="46"/>
      <c r="R45" s="46"/>
      <c r="S45" s="46"/>
      <c r="T45" s="46"/>
      <c r="U45" s="46"/>
    </row>
    <row r="46" spans="1:21">
      <c r="A46" s="52"/>
      <c r="B46" s="58"/>
      <c r="C46" s="46">
        <v>2012</v>
      </c>
      <c r="D46" s="46"/>
      <c r="E46" s="46"/>
      <c r="F46" s="50"/>
      <c r="G46" s="50" t="s">
        <v>168</v>
      </c>
      <c r="H46" s="50"/>
      <c r="I46" s="50"/>
      <c r="J46" s="50"/>
      <c r="K46" s="50"/>
      <c r="L46" s="50"/>
      <c r="M46" s="46"/>
      <c r="N46" s="46"/>
      <c r="O46" s="46"/>
      <c r="P46" s="46"/>
      <c r="Q46" s="46"/>
      <c r="R46" s="46"/>
      <c r="S46" s="46"/>
      <c r="T46" s="46"/>
      <c r="U46" s="46"/>
    </row>
    <row r="47" spans="1:21">
      <c r="A47" s="52"/>
      <c r="B47" s="58"/>
      <c r="C47" s="46"/>
      <c r="D47" s="46"/>
      <c r="E47" s="46"/>
      <c r="F47" s="46"/>
      <c r="G47" s="46"/>
      <c r="H47" s="45"/>
      <c r="I47" s="52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</row>
    <row r="48" spans="1:21">
      <c r="A48" s="52"/>
      <c r="B48" s="58"/>
      <c r="C48" s="46">
        <v>2013</v>
      </c>
      <c r="D48" s="46"/>
      <c r="E48" s="39" t="s">
        <v>5</v>
      </c>
      <c r="F48" s="46">
        <f>H8</f>
        <v>0</v>
      </c>
      <c r="G48" s="46">
        <v>100</v>
      </c>
      <c r="H48" s="61">
        <v>183775</v>
      </c>
      <c r="I48" s="52">
        <v>714</v>
      </c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</row>
    <row r="49" spans="1:21">
      <c r="A49" s="52"/>
      <c r="B49" s="58"/>
      <c r="C49" s="46"/>
      <c r="D49" s="46"/>
      <c r="E49" s="39" t="s">
        <v>10</v>
      </c>
      <c r="F49" s="46">
        <f t="shared" ref="F49:F53" si="2">H9</f>
        <v>0</v>
      </c>
      <c r="G49" s="46">
        <v>1523</v>
      </c>
      <c r="H49" s="46">
        <v>185411</v>
      </c>
      <c r="I49" s="52">
        <v>30</v>
      </c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</row>
    <row r="50" spans="1:21">
      <c r="A50" s="52"/>
      <c r="B50" s="58"/>
      <c r="C50" s="46"/>
      <c r="D50" s="46"/>
      <c r="E50" s="39" t="s">
        <v>6</v>
      </c>
      <c r="F50" s="46">
        <f t="shared" si="2"/>
        <v>0</v>
      </c>
      <c r="G50">
        <v>2</v>
      </c>
      <c r="H50" s="52">
        <v>198744</v>
      </c>
      <c r="I50" s="52">
        <v>129</v>
      </c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</row>
    <row r="51" spans="1:21">
      <c r="A51" s="52"/>
      <c r="B51" s="58"/>
      <c r="C51" s="46">
        <v>2011</v>
      </c>
      <c r="D51" s="46"/>
      <c r="E51" s="39" t="s">
        <v>8</v>
      </c>
      <c r="F51" s="46">
        <f t="shared" si="2"/>
        <v>0</v>
      </c>
      <c r="G51" s="46">
        <v>25</v>
      </c>
      <c r="H51" s="46">
        <v>71409</v>
      </c>
      <c r="I51" s="52">
        <v>53</v>
      </c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</row>
    <row r="52" spans="1:21">
      <c r="A52" s="52"/>
      <c r="B52" s="58"/>
      <c r="C52" s="46">
        <v>2013</v>
      </c>
      <c r="D52" s="46"/>
      <c r="E52" s="39" t="s">
        <v>9</v>
      </c>
      <c r="F52" s="46">
        <f t="shared" si="2"/>
        <v>0</v>
      </c>
      <c r="G52" s="46">
        <v>1630</v>
      </c>
      <c r="H52" s="46">
        <v>273099</v>
      </c>
      <c r="I52" s="52">
        <v>5691</v>
      </c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</row>
    <row r="53" spans="1:21">
      <c r="A53" s="52"/>
      <c r="B53" s="58"/>
      <c r="C53" s="46">
        <v>2011</v>
      </c>
      <c r="D53" s="46"/>
      <c r="E53" s="39" t="s">
        <v>11</v>
      </c>
      <c r="F53" s="46">
        <f t="shared" si="2"/>
        <v>0</v>
      </c>
      <c r="G53" s="46">
        <v>1189</v>
      </c>
      <c r="H53" s="46">
        <v>104296</v>
      </c>
      <c r="I53" s="52">
        <v>680</v>
      </c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</row>
    <row r="54" spans="1:21">
      <c r="A54" s="52"/>
      <c r="B54" s="58"/>
      <c r="C54" s="52"/>
      <c r="D54" s="52"/>
      <c r="E54" s="52"/>
      <c r="F54" s="52"/>
      <c r="G54" s="52"/>
      <c r="H54" s="52"/>
      <c r="I54" s="52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</row>
    <row r="55" spans="1:21">
      <c r="A55" s="52"/>
      <c r="B55" s="58"/>
      <c r="C55" s="52"/>
      <c r="D55" s="52"/>
      <c r="E55" s="52"/>
      <c r="F55" s="52"/>
      <c r="G55" s="52"/>
      <c r="H55" s="52"/>
      <c r="I55" s="52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</row>
    <row r="56" spans="1:21">
      <c r="A56" s="52"/>
      <c r="B56" s="58"/>
      <c r="C56" s="52"/>
      <c r="D56" s="52"/>
      <c r="E56" s="52"/>
      <c r="F56" s="52"/>
      <c r="G56" s="52"/>
      <c r="H56" s="52"/>
      <c r="I56" s="52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</row>
    <row r="57" spans="1:21">
      <c r="A57" s="52"/>
      <c r="B57" s="58"/>
      <c r="C57" s="52" t="s">
        <v>231</v>
      </c>
      <c r="D57" s="52"/>
      <c r="E57" s="52"/>
      <c r="F57" s="51" t="s">
        <v>217</v>
      </c>
      <c r="G57" s="51" t="s">
        <v>163</v>
      </c>
      <c r="H57" s="51" t="s">
        <v>164</v>
      </c>
      <c r="I57" s="51" t="s">
        <v>175</v>
      </c>
      <c r="J57" s="51" t="s">
        <v>218</v>
      </c>
      <c r="K57" s="51" t="s">
        <v>177</v>
      </c>
      <c r="L57" s="51" t="s">
        <v>219</v>
      </c>
      <c r="M57" s="46"/>
      <c r="N57" s="46"/>
      <c r="O57" s="46"/>
      <c r="P57" s="46"/>
      <c r="Q57" s="46"/>
      <c r="R57" s="46"/>
      <c r="S57" s="46"/>
      <c r="T57" s="46"/>
      <c r="U57" s="46"/>
    </row>
    <row r="58" spans="1:21">
      <c r="A58" s="52"/>
      <c r="B58" s="58"/>
      <c r="C58" s="52">
        <v>2012</v>
      </c>
      <c r="D58" s="52"/>
      <c r="E58" s="52"/>
      <c r="F58" s="53"/>
      <c r="G58" s="53" t="s">
        <v>168</v>
      </c>
      <c r="H58" s="53"/>
      <c r="I58" s="53"/>
      <c r="J58" s="53"/>
      <c r="K58" s="53"/>
      <c r="L58" s="53"/>
      <c r="M58" s="46"/>
      <c r="N58" s="46"/>
      <c r="O58" s="46"/>
      <c r="P58" s="46"/>
      <c r="Q58" s="46"/>
      <c r="R58" s="46"/>
      <c r="S58" s="46"/>
      <c r="T58" s="46"/>
      <c r="U58" s="46"/>
    </row>
    <row r="59" spans="1:21">
      <c r="A59" s="52"/>
      <c r="B59" s="58"/>
      <c r="C59" s="52"/>
      <c r="D59" s="52"/>
      <c r="E59" s="52"/>
      <c r="F59" s="52"/>
      <c r="G59" s="52"/>
      <c r="H59" s="54"/>
      <c r="I59" s="52"/>
      <c r="J59" s="52"/>
      <c r="K59" s="52"/>
      <c r="L59" s="52"/>
      <c r="M59" s="46"/>
      <c r="N59" s="46"/>
      <c r="O59" s="46"/>
      <c r="P59" s="46"/>
      <c r="Q59" s="46"/>
      <c r="R59" s="46"/>
      <c r="S59" s="46"/>
      <c r="T59" s="46"/>
      <c r="U59" s="46"/>
    </row>
    <row r="60" spans="1:21">
      <c r="A60" s="52"/>
      <c r="B60" s="58"/>
      <c r="C60" s="52">
        <v>2013</v>
      </c>
      <c r="D60" s="52"/>
      <c r="E60" s="56" t="s">
        <v>5</v>
      </c>
      <c r="F60" s="46">
        <f>I8</f>
        <v>184589</v>
      </c>
      <c r="G60" s="46">
        <v>100</v>
      </c>
      <c r="H60" s="61">
        <v>183775</v>
      </c>
      <c r="I60" s="52">
        <v>714</v>
      </c>
      <c r="J60" s="52"/>
      <c r="K60" s="52"/>
      <c r="L60" s="52"/>
      <c r="M60" s="46"/>
      <c r="N60" s="46"/>
      <c r="O60" s="46"/>
      <c r="P60" s="46"/>
      <c r="Q60" s="46"/>
      <c r="R60" s="46"/>
      <c r="S60" s="46"/>
      <c r="T60" s="46"/>
      <c r="U60" s="46"/>
    </row>
    <row r="61" spans="1:21">
      <c r="A61" s="52"/>
      <c r="B61" s="58"/>
      <c r="C61" s="52"/>
      <c r="D61" s="52"/>
      <c r="E61" s="56" t="s">
        <v>10</v>
      </c>
      <c r="F61" s="46">
        <f t="shared" ref="F61:F65" si="3">I9</f>
        <v>161037</v>
      </c>
      <c r="G61" s="46">
        <v>1523</v>
      </c>
      <c r="H61" s="46">
        <v>185411</v>
      </c>
      <c r="I61" s="52">
        <v>30</v>
      </c>
      <c r="J61" s="52"/>
      <c r="K61" s="52"/>
      <c r="L61" s="52"/>
      <c r="M61" s="46"/>
      <c r="N61" s="46"/>
      <c r="O61" s="46"/>
      <c r="P61" s="46"/>
      <c r="Q61" s="46"/>
      <c r="R61" s="46"/>
      <c r="S61" s="46"/>
      <c r="T61" s="46"/>
      <c r="U61" s="46"/>
    </row>
    <row r="62" spans="1:21">
      <c r="A62" s="52"/>
      <c r="B62" s="58"/>
      <c r="C62" s="52"/>
      <c r="D62" s="52"/>
      <c r="E62" s="56" t="s">
        <v>6</v>
      </c>
      <c r="F62" s="46">
        <f t="shared" si="3"/>
        <v>198875</v>
      </c>
      <c r="G62">
        <v>2</v>
      </c>
      <c r="H62" s="52">
        <v>198744</v>
      </c>
      <c r="I62" s="52">
        <v>129</v>
      </c>
      <c r="J62" s="52"/>
      <c r="K62" s="52"/>
      <c r="L62" s="52"/>
      <c r="M62" s="46"/>
      <c r="N62" s="46"/>
      <c r="O62" s="46"/>
      <c r="P62" s="46"/>
      <c r="Q62" s="46"/>
      <c r="R62" s="46"/>
      <c r="S62" s="46"/>
      <c r="T62" s="46"/>
      <c r="U62" s="46"/>
    </row>
    <row r="63" spans="1:21">
      <c r="A63" s="52"/>
      <c r="B63" s="58"/>
      <c r="C63" s="52">
        <v>2011</v>
      </c>
      <c r="D63" s="52"/>
      <c r="E63" s="56" t="s">
        <v>8</v>
      </c>
      <c r="F63" s="46">
        <f t="shared" si="3"/>
        <v>71487</v>
      </c>
      <c r="G63" s="46">
        <v>25</v>
      </c>
      <c r="H63" s="46">
        <v>71409</v>
      </c>
      <c r="I63" s="52">
        <v>53</v>
      </c>
      <c r="J63" s="52"/>
      <c r="K63" s="52"/>
      <c r="L63" s="52"/>
      <c r="M63" s="46"/>
      <c r="N63" s="46"/>
      <c r="O63" s="46"/>
      <c r="P63" s="46"/>
      <c r="Q63" s="46"/>
      <c r="R63" s="46"/>
      <c r="S63" s="46"/>
      <c r="T63" s="46"/>
      <c r="U63" s="46"/>
    </row>
    <row r="64" spans="1:21">
      <c r="A64" s="52"/>
      <c r="B64" s="58"/>
      <c r="C64" s="52">
        <v>2013</v>
      </c>
      <c r="D64" s="52"/>
      <c r="E64" s="56" t="s">
        <v>9</v>
      </c>
      <c r="F64" s="46">
        <f t="shared" si="3"/>
        <v>257226</v>
      </c>
      <c r="G64" s="46">
        <v>1630</v>
      </c>
      <c r="H64" s="46">
        <v>273099</v>
      </c>
      <c r="I64" s="52">
        <v>5691</v>
      </c>
      <c r="J64" s="52"/>
      <c r="K64" s="52"/>
      <c r="L64" s="52"/>
      <c r="M64" s="46"/>
      <c r="N64" s="46"/>
      <c r="O64" s="46"/>
      <c r="P64" s="46"/>
      <c r="Q64" s="46"/>
      <c r="R64" s="46"/>
      <c r="S64" s="46"/>
      <c r="T64" s="46"/>
      <c r="U64" s="46"/>
    </row>
    <row r="65" spans="1:21">
      <c r="A65" s="52"/>
      <c r="B65" s="58"/>
      <c r="C65" s="52">
        <v>2011</v>
      </c>
      <c r="D65" s="52"/>
      <c r="E65" s="56" t="s">
        <v>11</v>
      </c>
      <c r="F65" s="46">
        <f t="shared" si="3"/>
        <v>106165</v>
      </c>
      <c r="G65" s="46">
        <v>1189</v>
      </c>
      <c r="H65" s="46">
        <v>104296</v>
      </c>
      <c r="I65" s="52">
        <v>680</v>
      </c>
      <c r="J65" s="52"/>
      <c r="K65" s="52"/>
      <c r="L65" s="52"/>
      <c r="M65" s="46"/>
      <c r="N65" s="46"/>
      <c r="O65" s="46"/>
      <c r="P65" s="46"/>
      <c r="Q65" s="46"/>
      <c r="R65" s="46"/>
      <c r="S65" s="46"/>
      <c r="T65" s="46"/>
      <c r="U65" s="46"/>
    </row>
    <row r="66" spans="1:21">
      <c r="A66" s="52"/>
      <c r="B66" s="58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46"/>
      <c r="N66" s="46"/>
      <c r="O66" s="46"/>
      <c r="P66" s="46"/>
      <c r="Q66" s="46"/>
      <c r="R66" s="46"/>
      <c r="S66" s="46"/>
      <c r="T66" s="46"/>
      <c r="U66" s="46"/>
    </row>
    <row r="67" spans="1:21">
      <c r="A67" s="52"/>
      <c r="B67" s="58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46"/>
      <c r="N67" s="46"/>
      <c r="O67" s="46"/>
      <c r="P67" s="46"/>
      <c r="Q67" s="46"/>
      <c r="R67" s="46"/>
      <c r="S67" s="46"/>
      <c r="T67" s="46"/>
      <c r="U67" s="46"/>
    </row>
    <row r="68" spans="1:21">
      <c r="A68" s="52"/>
      <c r="B68" s="58"/>
      <c r="C68" s="52"/>
      <c r="D68" s="52"/>
      <c r="E68" s="52"/>
      <c r="F68" s="52"/>
      <c r="G68" s="52"/>
      <c r="H68" s="52"/>
      <c r="I68" s="52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</row>
    <row r="69" spans="1:21">
      <c r="A69" s="52"/>
      <c r="B69" s="58"/>
      <c r="C69" s="52" t="s">
        <v>227</v>
      </c>
      <c r="D69" s="52"/>
      <c r="E69" s="52"/>
      <c r="F69" s="51" t="s">
        <v>217</v>
      </c>
      <c r="G69" s="51" t="s">
        <v>163</v>
      </c>
      <c r="H69" s="51" t="s">
        <v>164</v>
      </c>
      <c r="I69" s="51" t="s">
        <v>175</v>
      </c>
      <c r="J69" s="51" t="s">
        <v>218</v>
      </c>
      <c r="K69" s="51" t="s">
        <v>177</v>
      </c>
      <c r="L69" s="51" t="s">
        <v>219</v>
      </c>
      <c r="M69" s="46"/>
      <c r="N69" s="46"/>
      <c r="O69" s="46"/>
      <c r="P69" s="46"/>
      <c r="Q69" s="46"/>
      <c r="R69" s="46"/>
      <c r="S69" s="46"/>
      <c r="T69" s="46"/>
      <c r="U69" s="46"/>
    </row>
    <row r="70" spans="1:21">
      <c r="A70" s="52"/>
      <c r="B70" s="58"/>
      <c r="C70" s="52">
        <v>2012</v>
      </c>
      <c r="D70" s="52"/>
      <c r="E70" s="52"/>
      <c r="F70" s="53"/>
      <c r="G70" s="53" t="s">
        <v>168</v>
      </c>
      <c r="H70" s="53"/>
      <c r="I70" s="53"/>
      <c r="J70" s="53"/>
      <c r="K70" s="53"/>
      <c r="L70" s="53"/>
      <c r="M70" s="46"/>
      <c r="N70" s="46"/>
      <c r="O70" s="46"/>
      <c r="P70" s="46"/>
      <c r="Q70" s="46"/>
      <c r="R70" s="46"/>
      <c r="S70" s="46"/>
      <c r="T70" s="46"/>
      <c r="U70" s="46"/>
    </row>
    <row r="71" spans="1:21">
      <c r="A71" s="52"/>
      <c r="B71" s="58"/>
      <c r="C71" s="52"/>
      <c r="D71" s="52"/>
      <c r="E71" s="52"/>
      <c r="F71" s="52"/>
      <c r="G71" s="52"/>
      <c r="H71" s="54"/>
      <c r="I71" s="52"/>
      <c r="J71" s="52"/>
      <c r="K71" s="52"/>
      <c r="L71" s="52"/>
      <c r="M71" s="46"/>
      <c r="N71" s="46"/>
      <c r="O71" s="46"/>
      <c r="P71" s="46"/>
      <c r="Q71" s="46"/>
      <c r="R71" s="46"/>
      <c r="S71" s="46"/>
      <c r="T71" s="46"/>
      <c r="U71" s="46"/>
    </row>
    <row r="72" spans="1:21">
      <c r="A72" s="52"/>
      <c r="B72" s="58"/>
      <c r="C72" s="52">
        <v>2013</v>
      </c>
      <c r="D72" s="52"/>
      <c r="E72" s="56" t="s">
        <v>5</v>
      </c>
      <c r="F72" s="52">
        <f>J8</f>
        <v>272877</v>
      </c>
      <c r="G72" s="52"/>
      <c r="H72" s="62"/>
      <c r="I72" s="52"/>
      <c r="J72" s="52"/>
      <c r="K72" s="52"/>
      <c r="L72" s="52"/>
      <c r="M72" s="46"/>
      <c r="N72" s="46"/>
      <c r="O72" s="46"/>
      <c r="P72" s="46"/>
      <c r="Q72" s="46"/>
      <c r="R72" s="46"/>
      <c r="S72" s="46"/>
      <c r="T72" s="46"/>
      <c r="U72" s="46"/>
    </row>
    <row r="73" spans="1:21">
      <c r="A73" s="52"/>
      <c r="B73" s="58"/>
      <c r="C73" s="52"/>
      <c r="D73" s="52"/>
      <c r="E73" s="56" t="s">
        <v>10</v>
      </c>
      <c r="F73" s="52">
        <f t="shared" ref="F73:F77" si="4">J9</f>
        <v>0</v>
      </c>
      <c r="G73" s="52"/>
      <c r="H73" s="52"/>
      <c r="I73" s="52"/>
      <c r="J73" s="52"/>
      <c r="K73" s="52"/>
      <c r="L73" s="52"/>
      <c r="M73" s="46"/>
      <c r="N73" s="46"/>
      <c r="O73" s="46"/>
      <c r="P73" s="46"/>
      <c r="Q73" s="46"/>
      <c r="R73" s="46"/>
      <c r="S73" s="46"/>
      <c r="T73" s="46"/>
      <c r="U73" s="46"/>
    </row>
    <row r="74" spans="1:21">
      <c r="A74" s="52"/>
      <c r="B74" s="58"/>
      <c r="C74" s="52"/>
      <c r="D74" s="52"/>
      <c r="E74" s="56" t="s">
        <v>6</v>
      </c>
      <c r="F74" s="52">
        <f t="shared" si="4"/>
        <v>0</v>
      </c>
      <c r="G74" s="60"/>
      <c r="H74" s="52"/>
      <c r="I74" s="52"/>
      <c r="J74" s="52"/>
      <c r="K74" s="52"/>
      <c r="L74" s="52"/>
      <c r="M74" s="46"/>
      <c r="N74" s="46"/>
      <c r="O74" s="46"/>
      <c r="P74" s="46"/>
      <c r="Q74" s="46"/>
      <c r="R74" s="46"/>
      <c r="S74" s="46"/>
      <c r="T74" s="46"/>
      <c r="U74" s="46"/>
    </row>
    <row r="75" spans="1:21">
      <c r="A75" s="52"/>
      <c r="B75" s="58"/>
      <c r="C75" s="52">
        <v>2011</v>
      </c>
      <c r="D75" s="52"/>
      <c r="E75" s="56" t="s">
        <v>8</v>
      </c>
      <c r="F75" s="52">
        <f t="shared" si="4"/>
        <v>64115</v>
      </c>
      <c r="G75" s="52"/>
      <c r="H75" s="52"/>
      <c r="I75" s="52"/>
      <c r="J75" s="52"/>
      <c r="K75" s="52"/>
      <c r="L75" s="52"/>
      <c r="M75" s="46"/>
      <c r="N75" s="46"/>
      <c r="O75" s="46"/>
      <c r="P75" s="46"/>
      <c r="Q75" s="46"/>
      <c r="R75" s="46"/>
      <c r="S75" s="46"/>
      <c r="T75" s="46"/>
      <c r="U75" s="46"/>
    </row>
    <row r="76" spans="1:21">
      <c r="A76" s="52"/>
      <c r="B76" s="58"/>
      <c r="C76" s="52">
        <v>2013</v>
      </c>
      <c r="D76" s="52"/>
      <c r="E76" s="56" t="s">
        <v>9</v>
      </c>
      <c r="F76" s="52">
        <f t="shared" si="4"/>
        <v>162401</v>
      </c>
      <c r="G76" s="52"/>
      <c r="H76" s="52"/>
      <c r="I76" s="52"/>
      <c r="J76" s="52"/>
      <c r="K76" s="52"/>
      <c r="L76" s="52"/>
      <c r="M76" s="46"/>
      <c r="N76" s="46"/>
      <c r="O76" s="46"/>
      <c r="P76" s="46"/>
      <c r="Q76" s="46"/>
      <c r="R76" s="46"/>
      <c r="S76" s="46"/>
      <c r="T76" s="46"/>
      <c r="U76" s="46"/>
    </row>
    <row r="77" spans="1:21">
      <c r="A77" s="52"/>
      <c r="B77" s="58"/>
      <c r="C77" s="52">
        <v>2011</v>
      </c>
      <c r="D77" s="52"/>
      <c r="E77" s="56" t="s">
        <v>11</v>
      </c>
      <c r="F77" s="52">
        <f t="shared" si="4"/>
        <v>5789</v>
      </c>
      <c r="G77" s="52"/>
      <c r="H77" s="52"/>
      <c r="I77" s="52"/>
      <c r="J77" s="52"/>
      <c r="K77" s="52"/>
      <c r="L77" s="52"/>
      <c r="M77" s="46"/>
      <c r="N77" s="46"/>
      <c r="O77" s="46"/>
      <c r="P77" s="46"/>
      <c r="Q77" s="46"/>
      <c r="R77" s="46"/>
      <c r="S77" s="46"/>
      <c r="T77" s="46"/>
      <c r="U77" s="46"/>
    </row>
    <row r="78" spans="1:21">
      <c r="A78" s="52"/>
      <c r="B78" s="58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46"/>
      <c r="N78" s="46"/>
      <c r="O78" s="46"/>
      <c r="P78" s="46"/>
      <c r="Q78" s="46"/>
      <c r="R78" s="46"/>
      <c r="S78" s="46"/>
      <c r="T78" s="46"/>
      <c r="U78" s="46"/>
    </row>
    <row r="79" spans="1:21">
      <c r="A79" s="52"/>
      <c r="B79" s="58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46"/>
      <c r="N79" s="46"/>
      <c r="O79" s="46"/>
      <c r="P79" s="46"/>
      <c r="Q79" s="46"/>
      <c r="R79" s="46"/>
      <c r="S79" s="46"/>
      <c r="T79" s="46"/>
      <c r="U79" s="46"/>
    </row>
    <row r="80" spans="1:21">
      <c r="A80" s="52"/>
      <c r="B80" s="58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</row>
    <row r="81" spans="1:21">
      <c r="A81" s="52"/>
      <c r="B81" s="58"/>
      <c r="C81" s="52" t="s">
        <v>226</v>
      </c>
      <c r="D81" s="52"/>
      <c r="E81" s="52"/>
      <c r="F81" s="51" t="s">
        <v>217</v>
      </c>
      <c r="G81" s="51" t="s">
        <v>163</v>
      </c>
      <c r="H81" s="51" t="s">
        <v>164</v>
      </c>
      <c r="I81" s="51" t="s">
        <v>175</v>
      </c>
      <c r="J81" s="51" t="s">
        <v>218</v>
      </c>
      <c r="K81" s="51" t="s">
        <v>177</v>
      </c>
      <c r="L81" s="51" t="s">
        <v>219</v>
      </c>
      <c r="M81" s="46"/>
      <c r="N81" s="46"/>
      <c r="O81" s="46"/>
      <c r="P81" s="46"/>
      <c r="Q81" s="46"/>
      <c r="R81" s="46"/>
      <c r="S81" s="46"/>
      <c r="T81" s="46"/>
      <c r="U81" s="46"/>
    </row>
    <row r="82" spans="1:21">
      <c r="A82" s="52"/>
      <c r="B82" s="58"/>
      <c r="C82" s="52">
        <v>2012</v>
      </c>
      <c r="D82" s="52"/>
      <c r="E82" s="52"/>
      <c r="F82" s="53"/>
      <c r="G82" s="53" t="s">
        <v>168</v>
      </c>
      <c r="H82" s="53"/>
      <c r="I82" s="53"/>
      <c r="J82" s="53"/>
      <c r="K82" s="53"/>
      <c r="L82" s="53"/>
      <c r="M82" s="46"/>
      <c r="N82" s="46"/>
      <c r="O82" s="46"/>
      <c r="P82" s="46"/>
      <c r="Q82" s="46"/>
      <c r="R82" s="46"/>
      <c r="S82" s="46"/>
      <c r="T82" s="46"/>
      <c r="U82" s="46"/>
    </row>
    <row r="83" spans="1:21">
      <c r="A83" s="52"/>
      <c r="B83" s="58"/>
      <c r="C83" s="52"/>
      <c r="D83" s="52"/>
      <c r="E83" s="52"/>
      <c r="F83" s="52"/>
      <c r="G83" s="52"/>
      <c r="H83" s="54"/>
      <c r="I83" s="52"/>
      <c r="J83" s="52"/>
      <c r="K83" s="52"/>
      <c r="L83" s="52"/>
      <c r="M83" s="46"/>
      <c r="N83" s="46"/>
      <c r="O83" s="46"/>
      <c r="P83" s="46"/>
      <c r="Q83" s="46"/>
      <c r="R83" s="46"/>
      <c r="S83" s="46"/>
      <c r="T83" s="46"/>
      <c r="U83" s="46"/>
    </row>
    <row r="84" spans="1:21">
      <c r="A84" s="52"/>
      <c r="B84" s="58"/>
      <c r="C84" s="52">
        <v>2013</v>
      </c>
      <c r="D84" s="52"/>
      <c r="E84" s="56" t="s">
        <v>5</v>
      </c>
      <c r="F84" s="52">
        <f>K8</f>
        <v>76794</v>
      </c>
      <c r="G84" s="52">
        <v>94</v>
      </c>
      <c r="H84" s="62">
        <v>74575</v>
      </c>
      <c r="I84" s="52"/>
      <c r="J84" s="52"/>
      <c r="K84" s="52"/>
      <c r="L84" s="52"/>
      <c r="M84" s="46"/>
      <c r="N84" s="46"/>
      <c r="O84" s="46"/>
      <c r="P84" s="46"/>
      <c r="Q84" s="46"/>
      <c r="R84" s="46"/>
      <c r="S84" s="46"/>
      <c r="T84" s="46"/>
      <c r="U84" s="46"/>
    </row>
    <row r="85" spans="1:21">
      <c r="A85" s="52"/>
      <c r="B85" s="58"/>
      <c r="C85" s="52"/>
      <c r="D85" s="52"/>
      <c r="E85" s="56" t="s">
        <v>10</v>
      </c>
      <c r="F85" s="52">
        <f t="shared" ref="F85:F89" si="5">K9</f>
        <v>62358</v>
      </c>
      <c r="G85" s="52">
        <v>743</v>
      </c>
      <c r="H85" s="52">
        <v>59228</v>
      </c>
      <c r="I85" s="52"/>
      <c r="J85" s="52"/>
      <c r="K85" s="52"/>
      <c r="L85" s="52"/>
      <c r="M85" s="46"/>
      <c r="N85" s="46"/>
      <c r="O85" s="46"/>
      <c r="P85" s="46"/>
      <c r="Q85" s="46"/>
      <c r="R85" s="46"/>
      <c r="S85" s="46"/>
      <c r="T85" s="46"/>
      <c r="U85" s="46"/>
    </row>
    <row r="86" spans="1:21">
      <c r="A86" s="52"/>
      <c r="B86" s="58"/>
      <c r="C86" s="52">
        <v>2009</v>
      </c>
      <c r="D86" s="52"/>
      <c r="E86" s="56" t="s">
        <v>6</v>
      </c>
      <c r="F86" s="52">
        <f t="shared" si="5"/>
        <v>90452</v>
      </c>
      <c r="G86" s="60">
        <v>107</v>
      </c>
      <c r="H86" s="52">
        <v>87535</v>
      </c>
      <c r="I86" s="52"/>
      <c r="J86" s="52"/>
      <c r="K86" s="52"/>
      <c r="L86" s="52"/>
      <c r="M86" s="46"/>
      <c r="N86" s="46"/>
      <c r="O86" s="46"/>
      <c r="P86" s="46"/>
      <c r="Q86" s="46"/>
      <c r="R86" s="46"/>
      <c r="S86" s="46"/>
      <c r="T86" s="46"/>
      <c r="U86" s="46"/>
    </row>
    <row r="87" spans="1:21">
      <c r="A87" s="52"/>
      <c r="B87" s="58"/>
      <c r="C87" s="52">
        <v>2011</v>
      </c>
      <c r="D87" s="52"/>
      <c r="E87" s="56" t="s">
        <v>8</v>
      </c>
      <c r="F87" s="52">
        <f t="shared" si="5"/>
        <v>10986</v>
      </c>
      <c r="G87" s="52">
        <v>28</v>
      </c>
      <c r="H87" s="52">
        <v>10271</v>
      </c>
      <c r="I87" s="52"/>
      <c r="J87" s="52"/>
      <c r="K87" s="52"/>
      <c r="L87" s="52"/>
      <c r="M87" s="46"/>
      <c r="N87" s="46"/>
      <c r="O87" s="46"/>
      <c r="P87" s="46"/>
      <c r="Q87" s="46"/>
      <c r="R87" s="46"/>
      <c r="S87" s="46"/>
      <c r="T87" s="46"/>
      <c r="U87" s="46"/>
    </row>
    <row r="88" spans="1:21">
      <c r="A88" s="52"/>
      <c r="B88" s="58"/>
      <c r="C88" s="52">
        <v>2013</v>
      </c>
      <c r="D88" s="52"/>
      <c r="E88" s="56" t="s">
        <v>9</v>
      </c>
      <c r="F88" s="52">
        <f t="shared" si="5"/>
        <v>102927</v>
      </c>
      <c r="G88" s="52">
        <v>4189</v>
      </c>
      <c r="H88" s="52">
        <v>93949</v>
      </c>
      <c r="I88" s="52"/>
      <c r="J88" s="52"/>
      <c r="K88" s="52"/>
      <c r="L88" s="52"/>
      <c r="M88" s="46"/>
      <c r="N88" s="46"/>
      <c r="O88" s="46"/>
      <c r="P88" s="46"/>
      <c r="Q88" s="46"/>
      <c r="R88" s="46"/>
      <c r="S88" s="46"/>
      <c r="T88" s="46"/>
      <c r="U88" s="46"/>
    </row>
    <row r="89" spans="1:21">
      <c r="A89" s="52"/>
      <c r="B89" s="58"/>
      <c r="C89" s="52">
        <v>2011</v>
      </c>
      <c r="D89" s="52"/>
      <c r="E89" s="56" t="s">
        <v>11</v>
      </c>
      <c r="F89" s="52">
        <f t="shared" si="5"/>
        <v>168062</v>
      </c>
      <c r="G89" s="52">
        <v>5913</v>
      </c>
      <c r="H89" s="52">
        <v>161786</v>
      </c>
      <c r="I89" s="52"/>
      <c r="J89" s="52"/>
      <c r="K89" s="52"/>
      <c r="L89" s="52"/>
      <c r="M89" s="46"/>
      <c r="N89" s="46"/>
      <c r="O89" s="46"/>
      <c r="P89" s="46"/>
      <c r="Q89" s="46"/>
      <c r="R89" s="46"/>
      <c r="S89" s="46"/>
      <c r="T89" s="46"/>
      <c r="U89" s="46"/>
    </row>
    <row r="90" spans="1:21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</row>
    <row r="91" spans="1:21">
      <c r="A91" s="52"/>
      <c r="B91" s="58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</row>
    <row r="92" spans="1:21">
      <c r="A92" s="52"/>
      <c r="B92" s="58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</row>
    <row r="93" spans="1:21">
      <c r="A93" s="52"/>
      <c r="B93" s="58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</row>
    <row r="94" spans="1:21">
      <c r="A94" s="52"/>
      <c r="B94" s="58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</row>
    <row r="95" spans="1:21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</row>
    <row r="96" spans="1:21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</row>
    <row r="97" spans="1:21">
      <c r="A97" s="52"/>
      <c r="B97" s="58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</row>
    <row r="98" spans="1:21">
      <c r="A98" s="52"/>
      <c r="B98" s="58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</row>
    <row r="99" spans="1:21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</row>
    <row r="100" spans="1:21">
      <c r="A100" s="52"/>
      <c r="B100" s="58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</row>
    <row r="101" spans="1:21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</row>
    <row r="102" spans="1:21">
      <c r="A102" s="52"/>
      <c r="B102" s="58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</row>
    <row r="103" spans="1:21">
      <c r="A103" s="52"/>
      <c r="B103" s="58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</row>
    <row r="104" spans="1:21">
      <c r="A104" s="52"/>
      <c r="B104" s="58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</row>
    <row r="105" spans="1:21">
      <c r="A105" s="52"/>
      <c r="B105" s="58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</row>
    <row r="106" spans="1:21">
      <c r="A106" s="52"/>
      <c r="B106" s="58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</row>
    <row r="107" spans="1:21">
      <c r="A107" s="52"/>
      <c r="B107" s="58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</row>
    <row r="108" spans="1:21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</row>
    <row r="109" spans="1:2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</row>
    <row r="110" spans="1:2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</row>
    <row r="111" spans="1:2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</row>
    <row r="112" spans="1:2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</row>
    <row r="113" spans="1:2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</row>
    <row r="114" spans="1:2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</row>
    <row r="115" spans="1:2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</row>
    <row r="116" spans="1:2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</row>
    <row r="117" spans="1:2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opLeftCell="B92" workbookViewId="0">
      <selection activeCell="D120" sqref="D100:D120"/>
    </sheetView>
  </sheetViews>
  <sheetFormatPr baseColWidth="10" defaultRowHeight="15" x14ac:dyDescent="0"/>
  <cols>
    <col min="2" max="2" width="13" customWidth="1"/>
    <col min="3" max="3" width="20.6640625" customWidth="1"/>
    <col min="6" max="6" width="12.1640625" customWidth="1"/>
    <col min="7" max="7" width="13.83203125" customWidth="1"/>
    <col min="8" max="8" width="16.83203125" customWidth="1"/>
    <col min="9" max="9" width="24" customWidth="1"/>
    <col min="10" max="10" width="22.33203125" customWidth="1"/>
    <col min="11" max="11" width="13.33203125" customWidth="1"/>
    <col min="12" max="13" width="12.1640625" bestFit="1" customWidth="1"/>
  </cols>
  <sheetData>
    <row r="1" spans="1:24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52"/>
      <c r="U1" s="52"/>
      <c r="V1" s="52"/>
      <c r="W1" s="52"/>
      <c r="X1" s="52"/>
    </row>
    <row r="2" spans="1:24" ht="16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>
      <c r="A4" s="39"/>
      <c r="B4" s="40"/>
      <c r="D4" s="46"/>
      <c r="E4" s="46"/>
      <c r="F4" s="46"/>
      <c r="G4" s="46"/>
      <c r="H4" s="46"/>
      <c r="I4" s="46"/>
      <c r="J4" s="46"/>
      <c r="K4" s="46"/>
      <c r="L4" s="46"/>
      <c r="M4" s="46"/>
      <c r="N4" s="52"/>
      <c r="O4" s="52"/>
      <c r="P4" s="46"/>
      <c r="Q4" s="52"/>
      <c r="R4" s="52"/>
      <c r="S4" s="46"/>
      <c r="T4" s="52"/>
      <c r="U4" s="52"/>
      <c r="V4" s="46"/>
      <c r="W4" s="46"/>
    </row>
    <row r="5" spans="1:24">
      <c r="A5" s="46"/>
      <c r="B5" s="40" t="s">
        <v>232</v>
      </c>
      <c r="C5" s="55"/>
      <c r="E5" s="46"/>
      <c r="F5" s="46"/>
      <c r="G5" s="46"/>
      <c r="H5" s="46"/>
      <c r="I5" s="46" t="s">
        <v>187</v>
      </c>
      <c r="J5" s="46"/>
      <c r="K5" s="46"/>
      <c r="L5" s="46"/>
      <c r="M5" s="46"/>
      <c r="N5" s="52"/>
      <c r="O5" s="52"/>
      <c r="P5" s="46"/>
      <c r="Q5" s="52"/>
      <c r="R5" s="52"/>
      <c r="S5" s="46"/>
      <c r="T5" s="52"/>
      <c r="U5" s="52"/>
      <c r="V5" s="46"/>
      <c r="W5" s="46"/>
    </row>
    <row r="6" spans="1:24">
      <c r="A6" s="46"/>
      <c r="B6" s="47"/>
      <c r="C6" s="46"/>
      <c r="D6" s="46"/>
      <c r="E6" s="46"/>
      <c r="F6" s="46" t="s">
        <v>182</v>
      </c>
      <c r="G6" s="46" t="s">
        <v>185</v>
      </c>
      <c r="H6" s="46" t="s">
        <v>183</v>
      </c>
      <c r="I6" s="46" t="s">
        <v>186</v>
      </c>
      <c r="J6" s="46"/>
      <c r="K6" s="46"/>
      <c r="L6" s="46" t="s">
        <v>214</v>
      </c>
      <c r="M6" s="46" t="s">
        <v>196</v>
      </c>
      <c r="N6" s="52"/>
      <c r="O6" s="52"/>
      <c r="P6" s="46"/>
      <c r="Q6" s="52"/>
      <c r="R6" s="52"/>
      <c r="S6" s="46"/>
      <c r="T6" s="52"/>
      <c r="U6" s="52"/>
      <c r="V6" s="46"/>
      <c r="W6" s="46"/>
    </row>
    <row r="7" spans="1:24">
      <c r="A7" s="46"/>
      <c r="B7" s="47"/>
      <c r="C7" s="59" t="s">
        <v>272</v>
      </c>
      <c r="D7" s="46" t="s">
        <v>178</v>
      </c>
      <c r="E7" s="46"/>
      <c r="F7" s="46">
        <v>7915613</v>
      </c>
      <c r="G7" s="46">
        <v>98482.6</v>
      </c>
      <c r="H7" s="46">
        <v>113821</v>
      </c>
      <c r="I7" s="46">
        <f>(G7*1000000)/F7</f>
        <v>12441.563275011045</v>
      </c>
      <c r="J7" s="46"/>
      <c r="K7" s="46"/>
      <c r="L7" s="46"/>
      <c r="M7" s="46"/>
      <c r="N7" s="46"/>
      <c r="O7" s="46"/>
      <c r="P7" s="46"/>
      <c r="Q7" s="52"/>
      <c r="R7" s="52"/>
      <c r="S7" s="46"/>
      <c r="T7" s="52"/>
      <c r="U7" s="52"/>
      <c r="V7" s="46"/>
      <c r="W7" s="46"/>
    </row>
    <row r="8" spans="1:24">
      <c r="A8" s="46"/>
      <c r="B8" s="47"/>
      <c r="C8" s="59" t="s">
        <v>273</v>
      </c>
      <c r="D8" s="46" t="s">
        <v>179</v>
      </c>
      <c r="E8" s="46"/>
      <c r="F8" s="46">
        <v>832121</v>
      </c>
      <c r="G8" s="46">
        <v>15656.8</v>
      </c>
      <c r="H8" s="46">
        <v>16309.2</v>
      </c>
      <c r="I8" s="46">
        <f t="shared" ref="I8:I12" si="0">(G8*1000000)/F8</f>
        <v>18815.532837171519</v>
      </c>
      <c r="J8" s="46"/>
      <c r="K8" s="46"/>
      <c r="L8" s="46"/>
      <c r="M8" s="46"/>
      <c r="N8" s="46"/>
      <c r="O8" s="46"/>
      <c r="P8" s="46"/>
      <c r="Q8" s="52"/>
      <c r="R8" s="52"/>
      <c r="S8" s="46"/>
      <c r="T8" s="52"/>
      <c r="U8" s="52"/>
      <c r="V8" s="46"/>
      <c r="W8" s="46"/>
    </row>
    <row r="9" spans="1:24">
      <c r="A9" s="39"/>
      <c r="B9" s="40"/>
      <c r="C9" s="46"/>
      <c r="D9" s="46" t="s">
        <v>180</v>
      </c>
      <c r="E9" s="46"/>
      <c r="F9" s="46">
        <v>67096</v>
      </c>
      <c r="G9" s="46">
        <v>2065.9</v>
      </c>
      <c r="H9" s="46">
        <v>2726.1</v>
      </c>
      <c r="I9" s="46">
        <f t="shared" si="0"/>
        <v>30790.211040896625</v>
      </c>
      <c r="J9" s="46"/>
      <c r="K9" s="46"/>
      <c r="L9" s="46"/>
      <c r="M9" s="46"/>
      <c r="N9" s="46"/>
      <c r="O9" s="46"/>
      <c r="P9" s="46"/>
      <c r="Q9" s="52"/>
      <c r="R9" s="52"/>
      <c r="S9" s="46"/>
      <c r="T9" s="52"/>
      <c r="U9" s="52"/>
      <c r="V9" s="46"/>
      <c r="W9" s="46"/>
    </row>
    <row r="10" spans="1:24">
      <c r="A10" s="46"/>
      <c r="B10" s="47"/>
      <c r="C10" s="46"/>
      <c r="D10" s="46" t="s">
        <v>181</v>
      </c>
      <c r="E10" s="46"/>
      <c r="F10" s="46">
        <v>70422</v>
      </c>
      <c r="G10" s="46">
        <v>3835.2</v>
      </c>
      <c r="H10" s="46">
        <v>6542.8</v>
      </c>
      <c r="I10" s="46">
        <f t="shared" si="0"/>
        <v>54460.253897929622</v>
      </c>
      <c r="J10" s="46"/>
      <c r="K10" s="46"/>
      <c r="L10" s="46"/>
      <c r="M10" s="46"/>
      <c r="N10" s="46"/>
      <c r="O10" s="46"/>
      <c r="P10" s="46"/>
      <c r="Q10" s="52"/>
      <c r="R10" s="52"/>
      <c r="S10" s="46"/>
      <c r="T10" s="52"/>
      <c r="U10" s="52"/>
      <c r="V10" s="46"/>
      <c r="W10" s="46"/>
    </row>
    <row r="11" spans="1:24">
      <c r="A11" s="46"/>
      <c r="B11" s="47"/>
      <c r="C11" s="46"/>
      <c r="D11" s="46" t="s">
        <v>173</v>
      </c>
      <c r="E11" s="46"/>
      <c r="F11" s="46">
        <v>63312</v>
      </c>
      <c r="G11" s="46">
        <v>416.6</v>
      </c>
      <c r="H11" s="46">
        <v>727.3</v>
      </c>
      <c r="I11" s="46">
        <f t="shared" si="0"/>
        <v>6580.1111953500131</v>
      </c>
      <c r="J11" s="46"/>
      <c r="K11" s="46"/>
      <c r="L11" s="46"/>
      <c r="M11" s="46"/>
      <c r="N11" s="46"/>
      <c r="O11" s="46"/>
      <c r="P11" s="46"/>
      <c r="Q11" s="52"/>
      <c r="R11" s="52"/>
      <c r="S11" s="46"/>
      <c r="T11" s="52"/>
      <c r="U11" s="52"/>
      <c r="V11" s="46"/>
      <c r="W11" s="46"/>
    </row>
    <row r="12" spans="1:24">
      <c r="A12" s="46"/>
      <c r="B12" s="47"/>
      <c r="C12" s="46"/>
      <c r="D12" s="46" t="s">
        <v>174</v>
      </c>
      <c r="E12" s="46"/>
      <c r="F12" s="46">
        <v>10464</v>
      </c>
      <c r="G12" s="46">
        <v>616.4</v>
      </c>
      <c r="H12" s="46">
        <v>700.3</v>
      </c>
      <c r="I12" s="46">
        <f t="shared" si="0"/>
        <v>58906.727828746174</v>
      </c>
      <c r="J12" s="46"/>
      <c r="K12" s="46"/>
      <c r="L12" s="46"/>
      <c r="M12" s="46"/>
      <c r="N12" s="46"/>
      <c r="O12" s="48"/>
      <c r="P12" s="46"/>
      <c r="Q12" s="52"/>
      <c r="R12" s="52"/>
      <c r="S12" s="46"/>
      <c r="T12" s="52"/>
      <c r="U12" s="52"/>
      <c r="V12" s="46"/>
      <c r="W12" s="46"/>
    </row>
    <row r="13" spans="1:24">
      <c r="A13" s="46"/>
      <c r="B13" s="4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52"/>
      <c r="U13" s="52"/>
      <c r="V13" s="46"/>
      <c r="W13" s="46"/>
    </row>
    <row r="14" spans="1:24">
      <c r="A14" s="46"/>
      <c r="B14" s="47"/>
      <c r="C14" s="46"/>
      <c r="D14" s="46" t="s">
        <v>184</v>
      </c>
      <c r="E14" s="46"/>
      <c r="F14" s="46"/>
      <c r="G14" s="46">
        <v>121073.60000000001</v>
      </c>
      <c r="H14" s="46">
        <v>140826.70000000001</v>
      </c>
      <c r="I14" s="46" t="e">
        <f>(G14*1000000)/F14</f>
        <v>#DIV/0!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4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4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>
      <c r="A17" s="46"/>
      <c r="B17" s="47"/>
      <c r="C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>
      <c r="A20" s="46"/>
      <c r="B20" s="47"/>
      <c r="C20" s="46"/>
      <c r="D20" s="39" t="s">
        <v>269</v>
      </c>
      <c r="E20" s="46"/>
      <c r="F20" s="46" t="s">
        <v>286</v>
      </c>
      <c r="G20" t="s">
        <v>287</v>
      </c>
      <c r="H20" s="46" t="s">
        <v>288</v>
      </c>
      <c r="I20" s="46" t="s">
        <v>289</v>
      </c>
      <c r="J20" s="46" t="s">
        <v>290</v>
      </c>
      <c r="K20" s="46"/>
      <c r="L20" s="46" t="s">
        <v>294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A21" s="46"/>
      <c r="B21" s="47"/>
      <c r="C21" s="46"/>
      <c r="E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>
      <c r="A22" s="46"/>
      <c r="B22" s="47"/>
      <c r="C22" s="46"/>
      <c r="D22" s="46" t="s">
        <v>163</v>
      </c>
      <c r="E22" s="46"/>
      <c r="F22" s="46">
        <f>Transport_numbers!G$23*1000</f>
        <v>30206000</v>
      </c>
      <c r="G22" s="46">
        <f>$I$7</f>
        <v>12441.563275011045</v>
      </c>
      <c r="H22" s="46">
        <v>0.476190476190476</v>
      </c>
      <c r="I22" s="46">
        <f>G22/H22</f>
        <v>26127.282877523205</v>
      </c>
      <c r="J22" s="46">
        <f>I22*F22</f>
        <v>789200706598.46594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>
      <c r="A23" s="46"/>
      <c r="B23" s="47"/>
      <c r="C23" s="46"/>
      <c r="D23" s="46" t="s">
        <v>164</v>
      </c>
      <c r="E23" s="46"/>
      <c r="F23" s="46">
        <f>Transport_numbers!H$23*1000</f>
        <v>12579000</v>
      </c>
      <c r="G23" s="46">
        <f t="shared" ref="G23:G27" si="1">$I$7</f>
        <v>12441.563275011045</v>
      </c>
      <c r="H23" s="46">
        <v>0.52631578947368396</v>
      </c>
      <c r="I23" s="46">
        <f t="shared" ref="I23:I26" si="2">G23/H23</f>
        <v>23638.970222520999</v>
      </c>
      <c r="J23" s="46">
        <f t="shared" ref="J23:J27" si="3">I23*F23</f>
        <v>297354606429.09161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>
      <c r="A24" s="46"/>
      <c r="B24" s="47"/>
      <c r="C24" s="46"/>
      <c r="D24" s="46" t="s">
        <v>175</v>
      </c>
      <c r="E24" s="46"/>
      <c r="F24" s="46">
        <f>Transport_numbers!I$23*1000</f>
        <v>495000</v>
      </c>
      <c r="G24" s="46">
        <f t="shared" si="1"/>
        <v>12441.563275011045</v>
      </c>
      <c r="H24" s="46">
        <v>0.5</v>
      </c>
      <c r="I24" s="46">
        <f t="shared" si="2"/>
        <v>24883.126550022091</v>
      </c>
      <c r="J24" s="46">
        <f t="shared" si="3"/>
        <v>12317147642.260935</v>
      </c>
      <c r="K24" s="46"/>
      <c r="L24" s="52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>
      <c r="A25" s="39"/>
      <c r="B25" s="40"/>
      <c r="C25" s="46"/>
      <c r="D25" s="46" t="s">
        <v>218</v>
      </c>
      <c r="E25" s="46"/>
      <c r="F25" s="46">
        <f>Transport_numbers!J$23*1000</f>
        <v>7000</v>
      </c>
      <c r="G25" s="46">
        <f t="shared" si="1"/>
        <v>12441.563275011045</v>
      </c>
      <c r="H25" s="46">
        <v>1.5384615384615401</v>
      </c>
      <c r="I25" s="46">
        <f t="shared" si="2"/>
        <v>8087.0161287571709</v>
      </c>
      <c r="J25" s="46">
        <f t="shared" si="3"/>
        <v>56609112.901300199</v>
      </c>
      <c r="K25" s="46"/>
      <c r="L25" s="46" t="s">
        <v>243</v>
      </c>
      <c r="M25" s="46" t="s">
        <v>244</v>
      </c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>
      <c r="A26" s="46"/>
      <c r="B26" s="47"/>
      <c r="C26" s="46"/>
      <c r="D26" s="46" t="s">
        <v>177</v>
      </c>
      <c r="E26" s="46"/>
      <c r="F26" s="46">
        <f>Transport_numbers!K$23*1000</f>
        <v>76000</v>
      </c>
      <c r="G26" s="46">
        <f t="shared" si="1"/>
        <v>12441.563275011045</v>
      </c>
      <c r="H26" s="46">
        <v>0.476190476190476</v>
      </c>
      <c r="I26" s="46">
        <f t="shared" si="2"/>
        <v>26127.282877523205</v>
      </c>
      <c r="J26" s="46">
        <f t="shared" si="3"/>
        <v>1985673498.6917636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>
      <c r="A27" s="46"/>
      <c r="B27" s="47"/>
      <c r="C27" s="46"/>
      <c r="D27" s="46" t="s">
        <v>219</v>
      </c>
      <c r="E27" s="46"/>
      <c r="F27" s="46">
        <f>Transport_numbers!L$23*1000</f>
        <v>68000</v>
      </c>
      <c r="G27" s="46">
        <f t="shared" si="1"/>
        <v>12441.563275011045</v>
      </c>
      <c r="H27" s="46"/>
      <c r="I27" s="46">
        <v>0</v>
      </c>
      <c r="J27" s="46">
        <f t="shared" si="3"/>
        <v>0</v>
      </c>
      <c r="K27" s="46"/>
      <c r="L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>
      <c r="A28" s="46"/>
      <c r="B28" s="4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>
      <c r="A29" s="46"/>
      <c r="B29" s="47"/>
      <c r="C29" s="46"/>
      <c r="D29" s="46" t="s">
        <v>217</v>
      </c>
      <c r="E29" s="46"/>
      <c r="F29" s="46">
        <v>7915613</v>
      </c>
      <c r="G29" s="46"/>
      <c r="H29" s="46"/>
      <c r="I29" s="46"/>
      <c r="J29" s="46">
        <f>SUM(J22:J27)</f>
        <v>1100914743281.4116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>
      <c r="A30" s="39"/>
      <c r="B30" s="4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>
      <c r="A32" s="46"/>
      <c r="B32" s="47"/>
      <c r="C32" s="59" t="s">
        <v>274</v>
      </c>
      <c r="D32" s="39" t="s">
        <v>270</v>
      </c>
      <c r="E32" s="46"/>
      <c r="F32" s="46" t="s">
        <v>286</v>
      </c>
      <c r="G32" t="s">
        <v>287</v>
      </c>
      <c r="H32" s="46" t="s">
        <v>288</v>
      </c>
      <c r="I32" s="46" t="s">
        <v>289</v>
      </c>
      <c r="J32" s="46" t="s">
        <v>290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>
      <c r="A33" s="46"/>
      <c r="B33" s="47"/>
      <c r="C33" s="59" t="s">
        <v>275</v>
      </c>
      <c r="D33" s="46"/>
      <c r="E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>
      <c r="A34" s="46"/>
      <c r="B34" s="47"/>
      <c r="C34" s="59" t="s">
        <v>276</v>
      </c>
      <c r="D34" s="46" t="s">
        <v>163</v>
      </c>
      <c r="E34" s="46"/>
      <c r="F34" s="46">
        <f>Transport_numbers!G$36</f>
        <v>125759</v>
      </c>
      <c r="G34" s="46">
        <f>$I$8</f>
        <v>18815.532837171519</v>
      </c>
      <c r="H34" s="46">
        <f>(1-0.0907314815)*H35</f>
        <v>0.43298500880952379</v>
      </c>
      <c r="I34" s="46">
        <f>G34/H34</f>
        <v>43455.390958925178</v>
      </c>
      <c r="J34" s="46">
        <f>I34*F34</f>
        <v>5464906511.6034718</v>
      </c>
      <c r="K34" s="46" t="s">
        <v>206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>
      <c r="A35" s="46"/>
      <c r="B35" s="47"/>
      <c r="C35" s="46"/>
      <c r="D35" s="46" t="s">
        <v>164</v>
      </c>
      <c r="E35" s="46"/>
      <c r="F35" s="63">
        <f>Transport_numbers!H$36</f>
        <v>2422958</v>
      </c>
      <c r="G35" s="46">
        <f t="shared" ref="G35:G41" si="4">$I$8</f>
        <v>18815.532837171519</v>
      </c>
      <c r="H35" s="46">
        <f>1/2.1</f>
        <v>0.47619047619047616</v>
      </c>
      <c r="I35" s="46">
        <f t="shared" ref="I35:I38" si="5">G35/H35</f>
        <v>39512.618958060193</v>
      </c>
      <c r="J35" s="46">
        <f t="shared" ref="J35:J39" si="6">I35*F35</f>
        <v>95737416205.383606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>
      <c r="A36" s="46"/>
      <c r="B36" s="47"/>
      <c r="C36" s="46"/>
      <c r="D36" s="46" t="s">
        <v>175</v>
      </c>
      <c r="E36" s="46"/>
      <c r="F36" s="46">
        <f>Transport_numbers!I$36</f>
        <v>9831</v>
      </c>
      <c r="G36" s="46">
        <f t="shared" si="4"/>
        <v>18815.532837171519</v>
      </c>
      <c r="H36" s="46">
        <f>H24*AVERAGE((H34/H22),(H35/H23),(H38/H26))</f>
        <v>0.45385355539213584</v>
      </c>
      <c r="I36" s="46">
        <f t="shared" si="5"/>
        <v>41457.277603377224</v>
      </c>
      <c r="J36" s="46">
        <f t="shared" si="6"/>
        <v>407566496.11880147</v>
      </c>
      <c r="K36" s="46" t="s">
        <v>213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>
      <c r="A37" s="46"/>
      <c r="B37" s="47"/>
      <c r="C37" s="46"/>
      <c r="D37" s="46" t="s">
        <v>218</v>
      </c>
      <c r="E37" s="46"/>
      <c r="F37" s="46">
        <f>Transport_numbers!J$36</f>
        <v>2389</v>
      </c>
      <c r="G37" s="46">
        <f t="shared" si="4"/>
        <v>18815.532837171519</v>
      </c>
      <c r="H37" s="46">
        <f>H25*AVERAGE((H34/H22),(H35/H23),(H38/H26))</f>
        <v>1.3964724781296503</v>
      </c>
      <c r="I37" s="46">
        <f t="shared" si="5"/>
        <v>13473.615221097583</v>
      </c>
      <c r="J37" s="46">
        <f t="shared" si="6"/>
        <v>32188466.763202127</v>
      </c>
      <c r="K37" s="46" t="s">
        <v>213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>
      <c r="A38" s="46"/>
      <c r="B38" s="47"/>
      <c r="C38" s="46"/>
      <c r="D38" s="46" t="s">
        <v>177</v>
      </c>
      <c r="E38" s="46"/>
      <c r="F38" s="46">
        <f>Transport_numbers!K$36</f>
        <v>16989</v>
      </c>
      <c r="G38" s="46">
        <f t="shared" si="4"/>
        <v>18815.532837171519</v>
      </c>
      <c r="H38" s="46">
        <f>1/2.31</f>
        <v>0.4329004329004329</v>
      </c>
      <c r="I38" s="46">
        <f t="shared" si="5"/>
        <v>43463.880853866205</v>
      </c>
      <c r="J38" s="46">
        <f t="shared" si="6"/>
        <v>738407871.82633293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A39" s="46"/>
      <c r="B39" s="47"/>
      <c r="C39" s="46"/>
      <c r="D39" s="46" t="s">
        <v>219</v>
      </c>
      <c r="E39" s="46"/>
      <c r="F39" s="46">
        <f>Transport_numbers!L$36</f>
        <v>641</v>
      </c>
      <c r="G39" s="46">
        <f t="shared" si="4"/>
        <v>18815.532837171519</v>
      </c>
      <c r="H39" s="46">
        <v>0</v>
      </c>
      <c r="I39" s="46">
        <v>0</v>
      </c>
      <c r="J39" s="46">
        <f t="shared" si="6"/>
        <v>0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3">
      <c r="A40" s="46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>
      <c r="A41" s="46"/>
      <c r="B41" s="47"/>
      <c r="C41" s="46"/>
      <c r="D41" s="46" t="s">
        <v>217</v>
      </c>
      <c r="E41" s="46"/>
      <c r="F41" s="46">
        <f>Transport_numbers!F$36</f>
        <v>2578567</v>
      </c>
      <c r="G41" s="46">
        <f t="shared" si="4"/>
        <v>18815.532837171519</v>
      </c>
      <c r="H41" s="46"/>
      <c r="I41" s="46" t="e">
        <f>G41/H41</f>
        <v>#DIV/0!</v>
      </c>
      <c r="J41" s="46" t="e">
        <f>I41*F41</f>
        <v>#DIV/0!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>
      <c r="A43" s="46"/>
      <c r="B43" s="4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>
      <c r="A44" s="56"/>
      <c r="B44" s="57"/>
      <c r="C44" s="46"/>
      <c r="D44" s="39" t="s">
        <v>280</v>
      </c>
      <c r="E44" s="46"/>
      <c r="F44" s="46" t="s">
        <v>286</v>
      </c>
      <c r="G44" t="s">
        <v>287</v>
      </c>
      <c r="H44" s="46" t="s">
        <v>288</v>
      </c>
      <c r="I44" s="46" t="s">
        <v>289</v>
      </c>
      <c r="J44" s="46" t="s">
        <v>290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>
      <c r="A45" s="52"/>
      <c r="B45" s="58"/>
      <c r="C45" s="46"/>
      <c r="D45" s="46"/>
      <c r="E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>
      <c r="A46" s="52"/>
      <c r="B46" s="58"/>
      <c r="C46" s="46"/>
      <c r="D46" s="46" t="s">
        <v>163</v>
      </c>
      <c r="E46" s="46"/>
      <c r="F46" s="46">
        <v>0</v>
      </c>
      <c r="G46" s="46">
        <f>$I$9</f>
        <v>30790.211040896625</v>
      </c>
      <c r="H46" s="46">
        <v>9.6522852639873896E-2</v>
      </c>
      <c r="I46" s="46">
        <f>G46/H46</f>
        <v>318994.00192589307</v>
      </c>
      <c r="J46" s="46">
        <f>I46*F46</f>
        <v>0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>
      <c r="A47" s="52"/>
      <c r="B47" s="58"/>
      <c r="C47" s="46"/>
      <c r="D47" s="46" t="s">
        <v>164</v>
      </c>
      <c r="E47" s="46"/>
      <c r="F47" s="46">
        <v>0</v>
      </c>
      <c r="G47" s="46">
        <f t="shared" ref="G47:G53" si="7">$I$9</f>
        <v>30790.211040896625</v>
      </c>
      <c r="H47" s="46">
        <v>0.10638297872340401</v>
      </c>
      <c r="I47" s="46">
        <f t="shared" ref="I47:I51" si="8">G47/H47</f>
        <v>289427.98378442897</v>
      </c>
      <c r="J47" s="46">
        <f t="shared" ref="J47:J51" si="9">I47*F47</f>
        <v>0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>
      <c r="A48" s="52"/>
      <c r="B48" s="58"/>
      <c r="C48" s="46"/>
      <c r="D48" s="46" t="s">
        <v>175</v>
      </c>
      <c r="E48" s="46"/>
      <c r="F48" s="46">
        <v>0</v>
      </c>
      <c r="G48" s="46">
        <f t="shared" si="7"/>
        <v>30790.211040896625</v>
      </c>
      <c r="H48" s="46"/>
      <c r="I48" s="46" t="e">
        <f t="shared" si="8"/>
        <v>#DIV/0!</v>
      </c>
      <c r="J48" s="46" t="e">
        <f t="shared" si="9"/>
        <v>#DIV/0!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>
      <c r="A49" s="56"/>
      <c r="B49" s="57"/>
      <c r="C49" s="46"/>
      <c r="D49" s="46" t="s">
        <v>218</v>
      </c>
      <c r="E49" s="46"/>
      <c r="F49" s="46">
        <v>0</v>
      </c>
      <c r="G49" s="46">
        <f t="shared" si="7"/>
        <v>30790.211040896625</v>
      </c>
      <c r="H49" s="46">
        <v>0.19157088122605401</v>
      </c>
      <c r="I49" s="46">
        <f t="shared" si="8"/>
        <v>160724.90163348007</v>
      </c>
      <c r="J49" s="46">
        <f t="shared" si="9"/>
        <v>0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>
      <c r="A50" s="52"/>
      <c r="B50" s="58"/>
      <c r="C50" s="46"/>
      <c r="D50" s="46" t="s">
        <v>177</v>
      </c>
      <c r="E50" s="46"/>
      <c r="F50" s="46">
        <v>0</v>
      </c>
      <c r="G50" s="46">
        <f t="shared" si="7"/>
        <v>30790.211040896625</v>
      </c>
      <c r="H50" s="46">
        <v>0.10638297872340401</v>
      </c>
      <c r="I50" s="46">
        <f t="shared" si="8"/>
        <v>289427.98378442897</v>
      </c>
      <c r="J50" s="46">
        <f t="shared" si="9"/>
        <v>0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>
      <c r="A51" s="52"/>
      <c r="B51" s="58"/>
      <c r="C51" s="46"/>
      <c r="D51" s="46" t="s">
        <v>219</v>
      </c>
      <c r="E51" s="46"/>
      <c r="F51" s="46">
        <v>0</v>
      </c>
      <c r="G51" s="46">
        <f t="shared" si="7"/>
        <v>30790.211040896625</v>
      </c>
      <c r="H51" s="46"/>
      <c r="I51" s="46" t="e">
        <f t="shared" si="8"/>
        <v>#DIV/0!</v>
      </c>
      <c r="J51" s="46" t="e">
        <f t="shared" si="9"/>
        <v>#DIV/0!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>
      <c r="A52" s="52"/>
      <c r="B52" s="5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>
      <c r="A53" s="52"/>
      <c r="B53" s="58"/>
      <c r="C53" s="46"/>
      <c r="D53" s="46" t="s">
        <v>217</v>
      </c>
      <c r="E53" s="46"/>
      <c r="F53" s="46">
        <v>0</v>
      </c>
      <c r="G53" s="46">
        <f t="shared" si="7"/>
        <v>30790.211040896625</v>
      </c>
      <c r="H53" s="46"/>
      <c r="I53" s="46" t="e">
        <f>G53/H53</f>
        <v>#DIV/0!</v>
      </c>
      <c r="J53" s="46" t="e">
        <f>I53*F53</f>
        <v>#DIV/0!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>
      <c r="A54" s="52"/>
      <c r="B54" s="58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>
      <c r="A55" s="52"/>
      <c r="B55" s="5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>
      <c r="A56" s="52"/>
      <c r="B56" s="58"/>
      <c r="C56" s="46"/>
      <c r="D56" s="39" t="s">
        <v>271</v>
      </c>
      <c r="E56" s="46"/>
      <c r="F56" s="46" t="s">
        <v>286</v>
      </c>
      <c r="G56" t="s">
        <v>287</v>
      </c>
      <c r="H56" s="46" t="s">
        <v>288</v>
      </c>
      <c r="I56" s="46" t="s">
        <v>289</v>
      </c>
      <c r="J56" s="46" t="s">
        <v>290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>
      <c r="A57" s="52"/>
      <c r="B57" s="58"/>
      <c r="C57" s="46"/>
      <c r="D57" s="46"/>
      <c r="E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>
      <c r="A58" s="52"/>
      <c r="B58" s="58"/>
      <c r="C58" s="46"/>
      <c r="D58" s="46" t="s">
        <v>163</v>
      </c>
      <c r="E58" s="46"/>
      <c r="F58" s="46">
        <f>Transport_numbers!G60</f>
        <v>100</v>
      </c>
      <c r="G58" s="46">
        <f t="shared" ref="G58:G62" si="10">$I$10</f>
        <v>54460.253897929622</v>
      </c>
      <c r="H58" s="46">
        <f>H59*(1-0.0907314815)</f>
        <v>7.3328106330645154E-2</v>
      </c>
      <c r="I58" s="46">
        <f>G58/H58</f>
        <v>742692.76302270591</v>
      </c>
      <c r="J58" s="46">
        <f>I58*F58</f>
        <v>74269276.302270591</v>
      </c>
      <c r="K58" s="46" t="s">
        <v>206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>
      <c r="A59" s="52"/>
      <c r="B59" s="58"/>
      <c r="C59" s="46"/>
      <c r="D59" s="46" t="s">
        <v>164</v>
      </c>
      <c r="E59" s="46"/>
      <c r="F59" s="63">
        <f>Transport_numbers!H60</f>
        <v>183775</v>
      </c>
      <c r="G59" s="46">
        <f t="shared" si="10"/>
        <v>54460.253897929622</v>
      </c>
      <c r="H59" s="46">
        <f>1/12.4</f>
        <v>8.0645161290322578E-2</v>
      </c>
      <c r="I59" s="46">
        <f t="shared" ref="I59:I63" si="11">G59/H59</f>
        <v>675307.14833432739</v>
      </c>
      <c r="J59" s="46">
        <f t="shared" ref="J59:J63" si="12">I59*F59</f>
        <v>124104571185.14102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>
      <c r="A60" s="52"/>
      <c r="B60" s="58"/>
      <c r="C60" s="46"/>
      <c r="D60" s="46" t="s">
        <v>225</v>
      </c>
      <c r="E60" s="46"/>
      <c r="F60" s="63">
        <f>Transport_numbers!I60</f>
        <v>714</v>
      </c>
      <c r="G60" s="46">
        <f>$I$10</f>
        <v>54460.253897929622</v>
      </c>
      <c r="H60" s="46"/>
      <c r="I60" s="46" t="e">
        <f t="shared" si="11"/>
        <v>#DIV/0!</v>
      </c>
      <c r="J60" s="46" t="e">
        <f t="shared" si="12"/>
        <v>#DIV/0!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>
      <c r="A61" s="52"/>
      <c r="B61" s="58"/>
      <c r="C61" s="46"/>
      <c r="D61" s="46"/>
      <c r="E61" s="46"/>
      <c r="F61" s="46">
        <v>0</v>
      </c>
      <c r="G61" s="46">
        <f t="shared" si="10"/>
        <v>54460.253897929622</v>
      </c>
      <c r="H61" s="46"/>
      <c r="I61" s="46" t="e">
        <f t="shared" si="11"/>
        <v>#DIV/0!</v>
      </c>
      <c r="J61" s="46" t="e">
        <f t="shared" si="12"/>
        <v>#DIV/0!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>
      <c r="A62" s="52"/>
      <c r="B62" s="58"/>
      <c r="C62" s="46"/>
      <c r="D62" s="46"/>
      <c r="E62" s="46"/>
      <c r="F62" s="46">
        <v>0</v>
      </c>
      <c r="G62" s="46">
        <f t="shared" si="10"/>
        <v>54460.253897929622</v>
      </c>
      <c r="H62" s="46"/>
      <c r="I62" s="46" t="e">
        <f t="shared" si="11"/>
        <v>#DIV/0!</v>
      </c>
      <c r="J62" s="46" t="e">
        <f t="shared" si="12"/>
        <v>#DIV/0!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>
      <c r="A63" s="52"/>
      <c r="B63" s="58"/>
      <c r="C63" s="46"/>
      <c r="D63" s="46"/>
      <c r="E63" s="46"/>
      <c r="F63" s="46">
        <v>0</v>
      </c>
      <c r="G63" s="46">
        <f>$I$10</f>
        <v>54460.253897929622</v>
      </c>
      <c r="H63" s="46"/>
      <c r="I63" s="46" t="e">
        <f t="shared" si="11"/>
        <v>#DIV/0!</v>
      </c>
      <c r="J63" s="46" t="e">
        <f t="shared" si="12"/>
        <v>#DIV/0!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>
      <c r="A64" s="56"/>
      <c r="B64" s="5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>
      <c r="A65" s="52"/>
      <c r="B65" s="58"/>
      <c r="C65" s="46"/>
      <c r="D65" s="46" t="s">
        <v>217</v>
      </c>
      <c r="E65" s="46"/>
      <c r="F65" s="46"/>
      <c r="G65" s="46">
        <f t="shared" ref="G65" si="13">$I$10</f>
        <v>54460.253897929622</v>
      </c>
      <c r="H65" s="46"/>
      <c r="I65" s="46" t="e">
        <f>G65/H65</f>
        <v>#DIV/0!</v>
      </c>
      <c r="J65" s="46" t="e">
        <f>I65*F65</f>
        <v>#DIV/0!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>
      <c r="A66" s="52"/>
      <c r="B66" s="58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>
      <c r="A67" s="52"/>
      <c r="B67" s="5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>
      <c r="A68" s="52"/>
      <c r="B68" s="58"/>
      <c r="C68" s="46"/>
      <c r="D68" s="39" t="s">
        <v>227</v>
      </c>
      <c r="E68" s="46"/>
      <c r="F68" s="46" t="s">
        <v>286</v>
      </c>
      <c r="G68" t="s">
        <v>287</v>
      </c>
      <c r="H68" s="46" t="s">
        <v>288</v>
      </c>
      <c r="I68" s="46" t="s">
        <v>289</v>
      </c>
      <c r="J68" s="46" t="s">
        <v>290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>
      <c r="A69" s="56"/>
      <c r="B69" s="57"/>
      <c r="C69" s="46"/>
      <c r="D69" s="46"/>
      <c r="E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>
      <c r="A70" s="52"/>
      <c r="B70" s="58"/>
      <c r="C70" s="46"/>
      <c r="D70" s="46" t="s">
        <v>163</v>
      </c>
      <c r="E70" s="46"/>
      <c r="F70" s="46">
        <f>$F$77*NL!F70/(NL!$F$70+NL!$F$71)</f>
        <v>13117.288992920758</v>
      </c>
      <c r="G70" s="46">
        <f>$I$11</f>
        <v>6580.1111953500131</v>
      </c>
      <c r="H70" s="46">
        <f>H46</f>
        <v>9.6522852639873896E-2</v>
      </c>
      <c r="I70" s="46">
        <f>G70/H70</f>
        <v>68171.536743742574</v>
      </c>
      <c r="J70" s="46">
        <f>I70*F70</f>
        <v>894225748.55918741</v>
      </c>
      <c r="K70" s="46" t="s">
        <v>242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>
      <c r="A71" s="52"/>
      <c r="B71" s="58"/>
      <c r="C71" s="46"/>
      <c r="D71" s="46" t="s">
        <v>164</v>
      </c>
      <c r="E71" s="46"/>
      <c r="F71" s="46">
        <f>$F$77*NL!F71/(NL!$F$70+NL!$F$71)</f>
        <v>259759.71100707926</v>
      </c>
      <c r="G71" s="46">
        <f t="shared" ref="G71:G77" si="14">$I$11</f>
        <v>6580.1111953500131</v>
      </c>
      <c r="H71" s="46">
        <f>H47</f>
        <v>0.10638297872340401</v>
      </c>
      <c r="I71" s="46">
        <f t="shared" ref="I71:I75" si="15">G71/H71</f>
        <v>61853.045236290265</v>
      </c>
      <c r="J71" s="46">
        <f t="shared" ref="J71:J75" si="16">I71*F71</f>
        <v>16066929155.486559</v>
      </c>
      <c r="K71" s="46" t="s">
        <v>242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>
      <c r="A72" s="52"/>
      <c r="B72" s="58"/>
      <c r="C72" s="46"/>
      <c r="D72" s="46" t="s">
        <v>225</v>
      </c>
      <c r="E72" s="46"/>
      <c r="F72" s="46">
        <v>0</v>
      </c>
      <c r="G72" s="46">
        <f t="shared" si="14"/>
        <v>6580.1111953500131</v>
      </c>
      <c r="H72" s="46"/>
      <c r="I72" s="46" t="e">
        <f t="shared" si="15"/>
        <v>#DIV/0!</v>
      </c>
      <c r="J72" s="46" t="e">
        <f t="shared" si="16"/>
        <v>#DIV/0!</v>
      </c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>
      <c r="A73" s="52"/>
      <c r="B73" s="58"/>
      <c r="C73" s="46"/>
      <c r="D73" s="46"/>
      <c r="E73" s="46"/>
      <c r="F73" s="46">
        <v>0</v>
      </c>
      <c r="G73" s="46">
        <f t="shared" si="14"/>
        <v>6580.1111953500131</v>
      </c>
      <c r="H73" s="46"/>
      <c r="I73" s="46" t="e">
        <f t="shared" si="15"/>
        <v>#DIV/0!</v>
      </c>
      <c r="J73" s="46" t="e">
        <f t="shared" si="16"/>
        <v>#DIV/0!</v>
      </c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>
      <c r="A74" s="52"/>
      <c r="B74" s="58"/>
      <c r="C74" s="46"/>
      <c r="D74" s="46"/>
      <c r="E74" s="46"/>
      <c r="F74" s="46">
        <v>0</v>
      </c>
      <c r="G74" s="46">
        <f t="shared" si="14"/>
        <v>6580.1111953500131</v>
      </c>
      <c r="H74" s="46"/>
      <c r="I74" s="46" t="e">
        <f t="shared" si="15"/>
        <v>#DIV/0!</v>
      </c>
      <c r="J74" s="46" t="e">
        <f t="shared" si="16"/>
        <v>#DIV/0!</v>
      </c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>
      <c r="A75" s="52"/>
      <c r="B75" s="58"/>
      <c r="C75" s="46"/>
      <c r="D75" s="46"/>
      <c r="E75" s="46"/>
      <c r="F75" s="46">
        <v>0</v>
      </c>
      <c r="G75" s="46">
        <f t="shared" si="14"/>
        <v>6580.1111953500131</v>
      </c>
      <c r="H75" s="46"/>
      <c r="I75" s="46" t="e">
        <f t="shared" si="15"/>
        <v>#DIV/0!</v>
      </c>
      <c r="J75" s="46" t="e">
        <f t="shared" si="16"/>
        <v>#DIV/0!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>
      <c r="A76" s="52"/>
      <c r="B76" s="58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>
      <c r="A77" s="56"/>
      <c r="B77" s="57"/>
      <c r="C77" s="46"/>
      <c r="D77" s="46" t="s">
        <v>217</v>
      </c>
      <c r="E77" s="46"/>
      <c r="F77" s="46">
        <f>Transport_numbers!F72</f>
        <v>272877</v>
      </c>
      <c r="G77" s="46">
        <f t="shared" si="14"/>
        <v>6580.1111953500131</v>
      </c>
      <c r="H77" s="46"/>
      <c r="I77" s="46" t="e">
        <f>G77/H77</f>
        <v>#DIV/0!</v>
      </c>
      <c r="J77" s="46" t="e">
        <f>I77*F77</f>
        <v>#DIV/0!</v>
      </c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>
      <c r="A78" s="52"/>
      <c r="B78" s="58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>
      <c r="A79" s="52"/>
      <c r="B79" s="5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>
      <c r="A80" s="52"/>
      <c r="B80" s="58"/>
      <c r="C80" s="46"/>
      <c r="D80" s="39" t="s">
        <v>174</v>
      </c>
      <c r="E80" s="46"/>
      <c r="F80" s="46" t="s">
        <v>286</v>
      </c>
      <c r="G80" t="s">
        <v>287</v>
      </c>
      <c r="H80" s="46" t="s">
        <v>288</v>
      </c>
      <c r="I80" s="46" t="s">
        <v>289</v>
      </c>
      <c r="J80" s="46" t="s">
        <v>290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>
      <c r="A81" s="52"/>
      <c r="B81" s="58"/>
      <c r="C81" s="46"/>
      <c r="D81" s="46"/>
      <c r="E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>
      <c r="A82" s="56"/>
      <c r="B82" s="57"/>
      <c r="C82" s="46"/>
      <c r="D82" s="46" t="s">
        <v>163</v>
      </c>
      <c r="E82" s="46"/>
      <c r="F82" s="64">
        <f>Transport_numbers!G$84</f>
        <v>94</v>
      </c>
      <c r="G82" s="46">
        <f>$I$12</f>
        <v>58906.727828746174</v>
      </c>
      <c r="H82" s="46">
        <f>(1-0.0907314815)*H83</f>
        <v>7.9760396359649113E-2</v>
      </c>
      <c r="I82" s="46">
        <f>G82/H82</f>
        <v>738546.0769669289</v>
      </c>
      <c r="J82" s="46">
        <f>I82*F82</f>
        <v>69423331.23489131</v>
      </c>
      <c r="K82" s="46" t="s">
        <v>206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>
      <c r="A83" s="52"/>
      <c r="B83" s="58"/>
      <c r="C83" s="46"/>
      <c r="D83" s="46" t="s">
        <v>164</v>
      </c>
      <c r="E83" s="46"/>
      <c r="F83" s="64">
        <f>Transport_numbers!H$84</f>
        <v>74575</v>
      </c>
      <c r="G83" s="46">
        <f t="shared" ref="G83:G89" si="17">$I$12</f>
        <v>58906.727828746174</v>
      </c>
      <c r="H83" s="46">
        <f>1/11.4</f>
        <v>8.771929824561403E-2</v>
      </c>
      <c r="I83" s="46">
        <f t="shared" ref="I83:I87" si="18">G83/H83</f>
        <v>671536.69724770647</v>
      </c>
      <c r="J83" s="46">
        <f t="shared" ref="J83:J87" si="19">I83*F83</f>
        <v>50079849197.247711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>
      <c r="A84" s="52"/>
      <c r="B84" s="58"/>
      <c r="C84" s="46"/>
      <c r="D84" s="46"/>
      <c r="E84" s="46"/>
      <c r="F84" s="64">
        <v>0</v>
      </c>
      <c r="G84" s="46">
        <f t="shared" si="17"/>
        <v>58906.727828746174</v>
      </c>
      <c r="H84" s="46"/>
      <c r="I84" s="46" t="e">
        <f t="shared" si="18"/>
        <v>#DIV/0!</v>
      </c>
      <c r="J84" s="46" t="e">
        <f t="shared" si="19"/>
        <v>#DIV/0!</v>
      </c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>
      <c r="A85" s="52"/>
      <c r="B85" s="58"/>
      <c r="C85" s="46"/>
      <c r="D85" s="46"/>
      <c r="E85" s="46"/>
      <c r="F85" s="64">
        <v>0</v>
      </c>
      <c r="G85" s="46">
        <f t="shared" si="17"/>
        <v>58906.727828746174</v>
      </c>
      <c r="H85" s="46">
        <f>1/5</f>
        <v>0.2</v>
      </c>
      <c r="I85" s="46">
        <f t="shared" si="18"/>
        <v>294533.63914373086</v>
      </c>
      <c r="J85" s="46">
        <f t="shared" si="19"/>
        <v>0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>
      <c r="A86" s="52"/>
      <c r="B86" s="58"/>
      <c r="C86" s="46"/>
      <c r="D86" s="46"/>
      <c r="E86" s="46"/>
      <c r="F86" s="64">
        <v>0</v>
      </c>
      <c r="G86" s="46">
        <f t="shared" si="17"/>
        <v>58906.727828746174</v>
      </c>
      <c r="H86" s="46">
        <f>1/10.26</f>
        <v>9.7465886939571159E-2</v>
      </c>
      <c r="I86" s="46">
        <f t="shared" si="18"/>
        <v>604383.02752293565</v>
      </c>
      <c r="J86" s="46">
        <f t="shared" si="19"/>
        <v>0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>
      <c r="A87" s="52"/>
      <c r="B87" s="58"/>
      <c r="C87" s="46"/>
      <c r="D87" s="46"/>
      <c r="E87" s="46"/>
      <c r="F87" s="64">
        <v>0</v>
      </c>
      <c r="G87" s="46">
        <f t="shared" si="17"/>
        <v>58906.727828746174</v>
      </c>
      <c r="H87" s="46"/>
      <c r="I87" s="46" t="e">
        <f t="shared" si="18"/>
        <v>#DIV/0!</v>
      </c>
      <c r="J87" s="46" t="e">
        <f t="shared" si="19"/>
        <v>#DIV/0!</v>
      </c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>
      <c r="A88" s="52"/>
      <c r="B88" s="58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>
      <c r="A89" s="52"/>
      <c r="B89" s="58"/>
      <c r="C89" s="46"/>
      <c r="D89" s="46" t="s">
        <v>217</v>
      </c>
      <c r="E89" s="46"/>
      <c r="F89" s="64">
        <f>SUM(F82:F87)</f>
        <v>74669</v>
      </c>
      <c r="G89" s="46">
        <f t="shared" si="17"/>
        <v>58906.727828746174</v>
      </c>
      <c r="H89" s="46"/>
      <c r="I89" s="46" t="e">
        <f>G89/H89</f>
        <v>#DIV/0!</v>
      </c>
      <c r="J89" s="46" t="e">
        <f>I89*F89</f>
        <v>#DIV/0!</v>
      </c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>
      <c r="A91" s="52"/>
      <c r="B91" s="58"/>
      <c r="C91" s="46"/>
      <c r="D91" s="46" t="s">
        <v>277</v>
      </c>
      <c r="E91" s="46"/>
      <c r="F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>
      <c r="A92" s="52"/>
      <c r="B92" s="58"/>
      <c r="C92" s="46"/>
      <c r="D92" s="46" t="s">
        <v>278</v>
      </c>
      <c r="E92" s="46"/>
      <c r="G92" s="46"/>
      <c r="H92" s="46"/>
      <c r="I92" s="46"/>
      <c r="J92" s="46"/>
      <c r="K92" s="46"/>
      <c r="L92" s="46"/>
      <c r="M92" s="46"/>
      <c r="N92" s="46" t="s">
        <v>215</v>
      </c>
      <c r="O92" s="46"/>
      <c r="P92" s="46"/>
      <c r="Q92" s="46"/>
      <c r="R92" s="46"/>
      <c r="S92" s="46"/>
      <c r="T92" s="46"/>
      <c r="U92" s="46"/>
      <c r="V92" s="46"/>
      <c r="W92" s="46"/>
    </row>
    <row r="93" spans="1:23">
      <c r="A93" s="56"/>
      <c r="B93" s="57"/>
      <c r="C93" s="46"/>
      <c r="D93" s="46" t="s">
        <v>279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>
      <c r="A94" s="52"/>
      <c r="B94" s="58"/>
      <c r="C94" s="46"/>
      <c r="D94" s="46" t="s">
        <v>281</v>
      </c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>
      <c r="A97" s="52"/>
      <c r="B97" s="58"/>
      <c r="C97" s="46"/>
      <c r="D97" s="39" t="s">
        <v>199</v>
      </c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>
      <c r="A98" s="56"/>
      <c r="B98" s="5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>
      <c r="A100" s="52"/>
      <c r="B100" s="58"/>
      <c r="C100" s="46"/>
      <c r="D100" s="39" t="s">
        <v>292</v>
      </c>
      <c r="E100" s="46"/>
      <c r="F100" s="46" t="s">
        <v>207</v>
      </c>
      <c r="G100" s="46"/>
      <c r="H100" s="46"/>
      <c r="I100" s="46" t="s">
        <v>207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>
      <c r="A102" s="52"/>
      <c r="B102" s="58"/>
      <c r="C102" s="46"/>
      <c r="D102" s="46" t="s">
        <v>282</v>
      </c>
      <c r="E102" s="46"/>
      <c r="F102" s="46">
        <f>J22</f>
        <v>789200706598.46594</v>
      </c>
      <c r="G102" s="46"/>
      <c r="H102" s="46" t="s">
        <v>171</v>
      </c>
      <c r="I102" s="46">
        <f>F102</f>
        <v>789200706598.46594</v>
      </c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>
      <c r="A103" s="52"/>
      <c r="B103" s="58"/>
      <c r="C103" s="46"/>
      <c r="D103" s="46" t="s">
        <v>283</v>
      </c>
      <c r="E103" s="46"/>
      <c r="F103" s="46">
        <f>J34</f>
        <v>5464906511.6034718</v>
      </c>
      <c r="G103" s="46"/>
      <c r="H103" s="46" t="s">
        <v>201</v>
      </c>
      <c r="I103" s="46">
        <f>SUM(F103:F107)</f>
        <v>6502824867.6998205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>
      <c r="A104" s="52"/>
      <c r="B104" s="58"/>
      <c r="C104" s="46"/>
      <c r="D104" s="46" t="s">
        <v>280</v>
      </c>
      <c r="E104" s="46"/>
      <c r="F104" s="46">
        <f>J46</f>
        <v>0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>
      <c r="A105" s="52"/>
      <c r="B105" s="58"/>
      <c r="C105" s="46"/>
      <c r="D105" s="46" t="s">
        <v>271</v>
      </c>
      <c r="E105" s="46"/>
      <c r="F105" s="46">
        <f>J58</f>
        <v>74269276.302270591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>
      <c r="A106" s="52"/>
      <c r="B106" s="58"/>
      <c r="C106" s="46"/>
      <c r="D106" s="46" t="s">
        <v>284</v>
      </c>
      <c r="E106" s="46"/>
      <c r="F106" s="46">
        <f>J70</f>
        <v>894225748.55918741</v>
      </c>
      <c r="G106" t="s">
        <v>205</v>
      </c>
      <c r="H106" s="46" t="s">
        <v>202</v>
      </c>
      <c r="I106" s="46">
        <f>I102/(I102+I103)</f>
        <v>0.9918275782241186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>
      <c r="A107" s="52"/>
      <c r="B107" s="58"/>
      <c r="C107" s="46"/>
      <c r="D107" s="46" t="s">
        <v>174</v>
      </c>
      <c r="E107" s="46"/>
      <c r="F107">
        <f>J82</f>
        <v>69423331.23489131</v>
      </c>
      <c r="G107" s="46"/>
      <c r="H107" s="46" t="s">
        <v>203</v>
      </c>
      <c r="I107" s="46">
        <f>1-I106</f>
        <v>8.1724217758814E-3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>
      <c r="A109" s="56"/>
      <c r="B109" s="57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>
      <c r="A110" s="52"/>
      <c r="B110" s="58"/>
      <c r="C110" s="46"/>
      <c r="D110" s="39" t="s">
        <v>204</v>
      </c>
      <c r="E110" s="46"/>
      <c r="F110" s="46" t="s">
        <v>207</v>
      </c>
      <c r="G110" s="46"/>
      <c r="H110" s="46"/>
      <c r="I110" s="46" t="s">
        <v>207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>
      <c r="A111" s="52"/>
      <c r="B111" s="58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>
      <c r="A112" s="52"/>
      <c r="B112" s="58"/>
      <c r="C112" s="46"/>
      <c r="D112" s="46" t="s">
        <v>282</v>
      </c>
      <c r="E112" s="46"/>
      <c r="F112" s="46">
        <f>J23</f>
        <v>297354606429.09161</v>
      </c>
      <c r="G112" s="46"/>
      <c r="H112" s="46" t="s">
        <v>171</v>
      </c>
      <c r="I112" s="46">
        <f>F112</f>
        <v>297354606429.09161</v>
      </c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>
      <c r="A113" s="52"/>
      <c r="B113" s="58"/>
      <c r="C113" s="46"/>
      <c r="D113" s="46" t="s">
        <v>283</v>
      </c>
      <c r="E113" s="46"/>
      <c r="F113" s="46">
        <f>J35</f>
        <v>95737416205.383606</v>
      </c>
      <c r="G113" s="46"/>
      <c r="H113" s="46" t="s">
        <v>201</v>
      </c>
      <c r="I113" s="46">
        <f>SUM(F113:F117)</f>
        <v>285988765743.25891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>
      <c r="A114" s="56"/>
      <c r="B114" s="57"/>
      <c r="C114" s="46"/>
      <c r="D114" s="46" t="s">
        <v>280</v>
      </c>
      <c r="E114" s="46"/>
      <c r="F114" s="46">
        <f>J47</f>
        <v>0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>
      <c r="A115" s="52"/>
      <c r="B115" s="58"/>
      <c r="C115" s="46"/>
      <c r="D115" s="46" t="s">
        <v>271</v>
      </c>
      <c r="E115" s="46"/>
      <c r="F115" s="46">
        <f>J59</f>
        <v>124104571185.14102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>
      <c r="A116" s="52"/>
      <c r="B116" s="58"/>
      <c r="C116" s="46"/>
      <c r="D116" s="46" t="s">
        <v>284</v>
      </c>
      <c r="E116" s="46"/>
      <c r="F116" s="46">
        <f>J71</f>
        <v>16066929155.486559</v>
      </c>
      <c r="G116" t="s">
        <v>205</v>
      </c>
      <c r="H116" s="46" t="s">
        <v>202</v>
      </c>
      <c r="I116" s="46">
        <f>I112/(I112+I113)</f>
        <v>0.50974198150525529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>
      <c r="A117" s="52"/>
      <c r="B117" s="58"/>
      <c r="C117" s="46"/>
      <c r="D117" s="46" t="s">
        <v>174</v>
      </c>
      <c r="E117" s="46"/>
      <c r="F117">
        <f>J83</f>
        <v>50079849197.247711</v>
      </c>
      <c r="G117" s="46"/>
      <c r="H117" s="46" t="s">
        <v>203</v>
      </c>
      <c r="I117" s="46">
        <f>1-I116</f>
        <v>0.49025801849474471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>
      <c r="A118" s="52"/>
      <c r="B118" s="58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>
      <c r="A119" s="52"/>
      <c r="B119" s="58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>
      <c r="A120" s="52"/>
      <c r="B120" s="58"/>
      <c r="C120" s="46"/>
      <c r="D120" s="39" t="s">
        <v>291</v>
      </c>
      <c r="E120" s="46"/>
      <c r="F120" s="46" t="s">
        <v>207</v>
      </c>
      <c r="G120" s="46"/>
      <c r="H120" s="46"/>
      <c r="I120" s="46" t="s">
        <v>207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>
      <c r="A121" s="52"/>
      <c r="B121" s="58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>
      <c r="A122" s="52"/>
      <c r="B122" s="58"/>
      <c r="C122" s="46"/>
      <c r="D122" s="46" t="s">
        <v>282</v>
      </c>
      <c r="E122" s="46"/>
      <c r="F122" s="46">
        <f>J25</f>
        <v>56609112.901300199</v>
      </c>
      <c r="G122" s="46"/>
      <c r="H122" s="46" t="s">
        <v>171</v>
      </c>
      <c r="I122" s="46">
        <f>F122</f>
        <v>56609112.901300199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>
      <c r="A123" s="52"/>
      <c r="B123" s="58"/>
      <c r="C123" s="46"/>
      <c r="D123" s="46" t="s">
        <v>283</v>
      </c>
      <c r="E123" s="46"/>
      <c r="F123" s="46">
        <f>J37</f>
        <v>32188466.763202127</v>
      </c>
      <c r="G123" s="46"/>
      <c r="H123" s="46" t="s">
        <v>201</v>
      </c>
      <c r="I123" s="46">
        <f>SUM(F123:F127)</f>
        <v>32188466.763202127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>
      <c r="A124" s="52"/>
      <c r="B124" s="58"/>
      <c r="C124" s="46"/>
      <c r="D124" s="46" t="s">
        <v>280</v>
      </c>
      <c r="E124" s="46"/>
      <c r="F124" s="46">
        <f>J49</f>
        <v>0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>
      <c r="A125" s="52"/>
      <c r="B125" s="58"/>
      <c r="C125" s="46"/>
      <c r="D125" s="46" t="s">
        <v>271</v>
      </c>
      <c r="E125" s="46"/>
      <c r="F125" s="46">
        <v>0</v>
      </c>
      <c r="G125" s="46" t="s">
        <v>205</v>
      </c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>
      <c r="A126" s="52"/>
      <c r="B126" s="58"/>
      <c r="C126" s="46"/>
      <c r="D126" s="46" t="s">
        <v>284</v>
      </c>
      <c r="E126" s="46"/>
      <c r="F126" s="46">
        <v>0</v>
      </c>
      <c r="G126" t="s">
        <v>205</v>
      </c>
      <c r="H126" s="46" t="s">
        <v>202</v>
      </c>
      <c r="I126" s="46">
        <f>I122/(I122+I123)</f>
        <v>0.63750738607045876</v>
      </c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>
      <c r="A127" s="52"/>
      <c r="B127" s="58"/>
      <c r="C127" s="46"/>
      <c r="D127" s="46" t="s">
        <v>174</v>
      </c>
      <c r="E127" s="46"/>
      <c r="F127">
        <f>J85</f>
        <v>0</v>
      </c>
      <c r="G127" s="46"/>
      <c r="H127" s="46" t="s">
        <v>203</v>
      </c>
      <c r="I127" s="46">
        <f>1-I126</f>
        <v>0.36249261392954124</v>
      </c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>
      <c r="A128" s="52"/>
      <c r="B128" s="58"/>
      <c r="C128" s="46"/>
      <c r="D128" s="46"/>
      <c r="E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>
      <c r="A129" s="56"/>
      <c r="B129" s="57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>
      <c r="A130" s="52"/>
      <c r="B130" s="65"/>
      <c r="C130" s="46"/>
      <c r="D130" s="39" t="s">
        <v>208</v>
      </c>
      <c r="E130" s="46"/>
      <c r="F130" s="46" t="s">
        <v>285</v>
      </c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>
      <c r="A131" s="52"/>
      <c r="B131" s="58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>
      <c r="A132" s="52"/>
      <c r="B132" s="58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>
      <c r="A133" s="52"/>
      <c r="B133" s="58"/>
      <c r="C133" s="46"/>
      <c r="D133" s="39" t="s">
        <v>269</v>
      </c>
      <c r="E133" s="46"/>
      <c r="F133" s="46" t="s">
        <v>286</v>
      </c>
      <c r="G133" t="s">
        <v>287</v>
      </c>
      <c r="H133" s="46" t="s">
        <v>288</v>
      </c>
      <c r="I133" s="46" t="s">
        <v>289</v>
      </c>
      <c r="J133" s="46" t="s">
        <v>290</v>
      </c>
      <c r="K133" s="46" t="s">
        <v>209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>
      <c r="A134" s="56"/>
      <c r="B134" s="57"/>
      <c r="C134" s="46"/>
      <c r="E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>
      <c r="A135" s="52"/>
      <c r="B135" s="58"/>
      <c r="C135" s="46"/>
      <c r="D135" s="46" t="s">
        <v>163</v>
      </c>
      <c r="E135" s="46"/>
      <c r="F135" s="46">
        <f>F22</f>
        <v>30206000</v>
      </c>
      <c r="G135" s="46">
        <f>$I$7</f>
        <v>12441.563275011045</v>
      </c>
      <c r="H135" s="46">
        <v>0.476190476190476</v>
      </c>
      <c r="I135" s="46">
        <f>G135/H135</f>
        <v>26127.282877523205</v>
      </c>
      <c r="J135" s="46">
        <f>I135*F135</f>
        <v>789200706598.46594</v>
      </c>
      <c r="K135" s="46">
        <f>J135/$J$142</f>
        <v>0.71685905871889433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>
      <c r="A136" s="52"/>
      <c r="B136" s="58"/>
      <c r="C136" s="46"/>
      <c r="D136" s="46" t="s">
        <v>164</v>
      </c>
      <c r="E136" s="46"/>
      <c r="F136" s="46">
        <f t="shared" ref="F136:F142" si="20">F23</f>
        <v>12579000</v>
      </c>
      <c r="G136" s="46">
        <f t="shared" ref="G136:G140" si="21">$I$7</f>
        <v>12441.563275011045</v>
      </c>
      <c r="H136" s="46">
        <v>0.52631578947368396</v>
      </c>
      <c r="I136" s="46">
        <f t="shared" ref="I136:I139" si="22">G136/H136</f>
        <v>23638.970222520999</v>
      </c>
      <c r="J136" s="46">
        <f t="shared" ref="J136:J140" si="23">I136*F136</f>
        <v>297354606429.09161</v>
      </c>
      <c r="K136" s="46">
        <f t="shared" ref="K136:K140" si="24">J136/$J$142</f>
        <v>0.27009776028867566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>
      <c r="A137" s="52"/>
      <c r="B137" s="58"/>
      <c r="C137" s="46"/>
      <c r="D137" s="46" t="s">
        <v>175</v>
      </c>
      <c r="E137" s="46"/>
      <c r="F137" s="46">
        <f t="shared" si="20"/>
        <v>495000</v>
      </c>
      <c r="G137" s="46">
        <f t="shared" si="21"/>
        <v>12441.563275011045</v>
      </c>
      <c r="H137" s="46">
        <v>0.5</v>
      </c>
      <c r="I137" s="46">
        <f t="shared" si="22"/>
        <v>24883.126550022091</v>
      </c>
      <c r="J137" s="46">
        <f t="shared" si="23"/>
        <v>12317147642.260935</v>
      </c>
      <c r="K137" s="46">
        <f t="shared" si="24"/>
        <v>1.1188103091024254E-2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>
      <c r="A138" s="52"/>
      <c r="B138" s="58"/>
      <c r="C138" s="46"/>
      <c r="D138" s="46" t="s">
        <v>218</v>
      </c>
      <c r="E138" s="46"/>
      <c r="F138" s="46">
        <f t="shared" si="20"/>
        <v>7000</v>
      </c>
      <c r="G138" s="46">
        <f t="shared" si="21"/>
        <v>12441.563275011045</v>
      </c>
      <c r="H138" s="46">
        <v>1.5384615384615401</v>
      </c>
      <c r="I138" s="46">
        <f t="shared" si="22"/>
        <v>8087.0161287571709</v>
      </c>
      <c r="J138" s="46">
        <f t="shared" si="23"/>
        <v>56609112.901300199</v>
      </c>
      <c r="K138" s="46">
        <f t="shared" si="24"/>
        <v>5.1420069761778086E-5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>
      <c r="A139" s="52"/>
      <c r="B139" s="58"/>
      <c r="C139" s="46"/>
      <c r="D139" s="46" t="s">
        <v>177</v>
      </c>
      <c r="E139" s="46"/>
      <c r="F139" s="46">
        <f t="shared" si="20"/>
        <v>76000</v>
      </c>
      <c r="G139" s="46">
        <f t="shared" si="21"/>
        <v>12441.563275011045</v>
      </c>
      <c r="H139" s="46">
        <v>0.476190476190476</v>
      </c>
      <c r="I139" s="46">
        <f t="shared" si="22"/>
        <v>26127.282877523205</v>
      </c>
      <c r="J139" s="46">
        <f t="shared" si="23"/>
        <v>1985673498.6917636</v>
      </c>
      <c r="K139" s="46">
        <f t="shared" si="24"/>
        <v>1.8036578316439108E-3</v>
      </c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>
      <c r="A140" s="52"/>
      <c r="B140" s="58"/>
      <c r="C140" s="46"/>
      <c r="D140" s="46" t="s">
        <v>219</v>
      </c>
      <c r="E140" s="46"/>
      <c r="F140" s="46">
        <f t="shared" si="20"/>
        <v>68000</v>
      </c>
      <c r="G140" s="46">
        <f t="shared" si="21"/>
        <v>12441.563275011045</v>
      </c>
      <c r="H140" s="46">
        <v>0</v>
      </c>
      <c r="I140" s="46">
        <v>0</v>
      </c>
      <c r="J140" s="46">
        <f t="shared" si="23"/>
        <v>0</v>
      </c>
      <c r="K140" s="46">
        <f t="shared" si="24"/>
        <v>0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>
      <c r="A141" s="52"/>
      <c r="B141" s="58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>
      <c r="A142" s="52"/>
      <c r="B142" s="58"/>
      <c r="C142" s="46"/>
      <c r="D142" s="46" t="s">
        <v>217</v>
      </c>
      <c r="E142" s="46"/>
      <c r="F142" s="46">
        <f t="shared" si="20"/>
        <v>7915613</v>
      </c>
      <c r="G142" s="46"/>
      <c r="H142" s="46"/>
      <c r="I142" s="46"/>
      <c r="J142" s="46">
        <f>SUM(J135:J140)</f>
        <v>1100914743281.4116</v>
      </c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>
      <c r="A143" s="52"/>
      <c r="B143" s="58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>
      <c r="A144" s="52"/>
      <c r="B144" s="58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>
      <c r="A145" s="52"/>
      <c r="B145" s="58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>
      <c r="A146" s="52"/>
      <c r="B146" s="58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 spans="1:23">
      <c r="A147" s="52"/>
      <c r="B147" s="58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>
      <c r="A148" s="52"/>
      <c r="B148" s="58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>
      <c r="A149" s="52"/>
      <c r="B149" s="58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>
      <c r="A150" s="52"/>
      <c r="B150" s="58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 spans="1:23">
      <c r="A151" s="52"/>
      <c r="B151" s="58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>
      <c r="A152" s="52"/>
      <c r="B152" s="58"/>
      <c r="C152" s="46"/>
      <c r="D152" s="46"/>
      <c r="E152" s="46"/>
      <c r="F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>
      <c r="A153" s="52"/>
      <c r="B153" s="58"/>
      <c r="C153" s="46"/>
      <c r="D153" s="46"/>
      <c r="E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>
      <c r="A154" s="52"/>
      <c r="B154" s="58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>
      <c r="A155" s="56"/>
      <c r="B155" s="57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 spans="1:23">
      <c r="A156" s="52"/>
      <c r="B156" s="58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>
      <c r="A157" s="52"/>
      <c r="B157" s="58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>
      <c r="A158" s="52"/>
      <c r="B158" s="58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>
      <c r="A159" s="52"/>
      <c r="B159" s="58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>
      <c r="A160" s="56"/>
      <c r="B160" s="57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>
      <c r="A161" s="52"/>
      <c r="B161" s="58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>
      <c r="A162" s="52"/>
      <c r="B162" s="58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>
      <c r="A163" s="52"/>
      <c r="B163" s="58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>
      <c r="A164" s="52"/>
      <c r="B164" s="58"/>
      <c r="C164" s="46"/>
      <c r="D164" s="46"/>
      <c r="E164" s="46"/>
      <c r="F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>
      <c r="A165" s="52"/>
      <c r="B165" s="58"/>
      <c r="C165" s="46"/>
      <c r="D165" s="46"/>
      <c r="E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>
      <c r="A166" s="52"/>
      <c r="B166" s="58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>
      <c r="A167" s="52"/>
      <c r="B167" s="58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 spans="1:23">
      <c r="A168" s="52"/>
      <c r="B168" s="58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>
      <c r="A169" s="52"/>
      <c r="B169" s="58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 spans="1:23">
      <c r="A170" s="52"/>
      <c r="B170" s="58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>
      <c r="A171" s="52"/>
      <c r="B171" s="58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>
      <c r="A172" s="52"/>
      <c r="B172" s="58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>
      <c r="A173" s="52"/>
      <c r="B173" s="58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>
      <c r="A174" s="52"/>
      <c r="B174" s="58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>
      <c r="A175" s="52"/>
      <c r="B175" s="58"/>
      <c r="C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 spans="1:23">
      <c r="A176" s="52"/>
      <c r="B176" s="58"/>
      <c r="C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>
      <c r="A177" s="46"/>
      <c r="B177" s="46"/>
      <c r="C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>
      <c r="A178" s="46"/>
      <c r="B178" s="46"/>
      <c r="C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>
      <c r="A179" s="46"/>
      <c r="B179" s="46"/>
      <c r="C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 spans="1:23">
      <c r="A180" s="46"/>
      <c r="B180" s="46"/>
      <c r="C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>
      <c r="A181" s="46"/>
      <c r="B181" s="46"/>
      <c r="C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 spans="1:23">
      <c r="A182" s="46"/>
      <c r="B182" s="46"/>
      <c r="C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>
      <c r="A183" s="46"/>
      <c r="B183" s="46"/>
      <c r="C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>
      <c r="A184" s="46"/>
      <c r="B184" s="46"/>
      <c r="C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>
      <c r="A185" s="46"/>
      <c r="B185" s="46"/>
      <c r="C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>
      <c r="A186" s="46"/>
      <c r="B186" s="46"/>
      <c r="C186" s="46"/>
      <c r="O186" s="46"/>
      <c r="P186" s="46"/>
      <c r="Q186" s="46"/>
      <c r="R186" s="46"/>
      <c r="S186" s="46"/>
      <c r="T186" s="46"/>
      <c r="U186" s="46"/>
      <c r="V186" s="46"/>
      <c r="W186" s="4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opLeftCell="B89" workbookViewId="0">
      <selection activeCell="D100" sqref="D100:D120"/>
    </sheetView>
  </sheetViews>
  <sheetFormatPr baseColWidth="10" defaultRowHeight="15" x14ac:dyDescent="0"/>
  <cols>
    <col min="2" max="2" width="13" customWidth="1"/>
    <col min="3" max="3" width="19.5" customWidth="1"/>
    <col min="6" max="6" width="12.1640625" customWidth="1"/>
    <col min="7" max="7" width="13.83203125" customWidth="1"/>
    <col min="8" max="8" width="16.83203125" customWidth="1"/>
    <col min="9" max="9" width="24.1640625" customWidth="1"/>
    <col min="10" max="10" width="22.83203125" customWidth="1"/>
    <col min="11" max="11" width="13.33203125" customWidth="1"/>
    <col min="12" max="13" width="12.1640625" bestFit="1" customWidth="1"/>
  </cols>
  <sheetData>
    <row r="1" spans="1:24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52"/>
      <c r="U1" s="52"/>
      <c r="V1" s="52"/>
      <c r="W1" s="52"/>
      <c r="X1" s="52"/>
    </row>
    <row r="2" spans="1:24" ht="16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>
      <c r="A4" s="39"/>
      <c r="B4" s="40"/>
      <c r="D4" s="46"/>
      <c r="E4" s="46"/>
      <c r="F4" s="46"/>
      <c r="G4" s="46"/>
      <c r="H4" s="46"/>
      <c r="I4" s="46"/>
      <c r="J4" s="46"/>
      <c r="K4" s="46"/>
      <c r="L4" s="46"/>
      <c r="M4" s="46"/>
      <c r="N4" s="52"/>
      <c r="O4" s="52"/>
      <c r="P4" s="46"/>
      <c r="Q4" s="52"/>
      <c r="R4" s="52"/>
      <c r="S4" s="46"/>
      <c r="T4" s="52"/>
      <c r="U4" s="52"/>
      <c r="V4" s="46"/>
      <c r="W4" s="46"/>
    </row>
    <row r="5" spans="1:24">
      <c r="A5" s="46"/>
      <c r="B5" s="40" t="s">
        <v>236</v>
      </c>
      <c r="C5" s="55"/>
      <c r="E5" s="46"/>
      <c r="F5" s="46"/>
      <c r="G5" s="46"/>
      <c r="H5" s="46"/>
      <c r="I5" s="46" t="s">
        <v>187</v>
      </c>
      <c r="J5" s="46"/>
      <c r="K5" s="46"/>
      <c r="L5" s="46"/>
      <c r="M5" s="46"/>
      <c r="N5" s="52"/>
      <c r="O5" s="52"/>
      <c r="P5" s="46"/>
      <c r="Q5" s="52"/>
      <c r="R5" s="52"/>
      <c r="S5" s="46"/>
      <c r="T5" s="52"/>
      <c r="U5" s="52"/>
      <c r="V5" s="46"/>
      <c r="W5" s="46"/>
    </row>
    <row r="6" spans="1:24">
      <c r="A6" s="46"/>
      <c r="B6" s="47"/>
      <c r="C6" s="46"/>
      <c r="D6" s="46"/>
      <c r="E6" s="46"/>
      <c r="F6" s="46" t="s">
        <v>182</v>
      </c>
      <c r="G6" s="46" t="s">
        <v>185</v>
      </c>
      <c r="H6" s="46" t="s">
        <v>183</v>
      </c>
      <c r="I6" s="46" t="s">
        <v>186</v>
      </c>
      <c r="J6" s="46"/>
      <c r="K6" s="46"/>
      <c r="L6" s="46" t="s">
        <v>214</v>
      </c>
      <c r="M6" s="46" t="s">
        <v>196</v>
      </c>
      <c r="N6" s="52"/>
      <c r="O6" s="52"/>
      <c r="P6" s="46"/>
      <c r="Q6" s="52"/>
      <c r="R6" s="52"/>
      <c r="S6" s="46"/>
      <c r="T6" s="52"/>
      <c r="U6" s="52"/>
      <c r="V6" s="46"/>
      <c r="W6" s="46"/>
    </row>
    <row r="7" spans="1:24">
      <c r="A7" s="46"/>
      <c r="B7" s="47"/>
      <c r="C7" s="59" t="s">
        <v>272</v>
      </c>
      <c r="D7" s="46" t="s">
        <v>178</v>
      </c>
      <c r="E7" s="46"/>
      <c r="F7" s="46">
        <v>7915613</v>
      </c>
      <c r="G7" s="46">
        <v>98482.6</v>
      </c>
      <c r="H7" s="46">
        <v>113821</v>
      </c>
      <c r="I7" s="46">
        <f>(G7*1000000)/F7</f>
        <v>12441.563275011045</v>
      </c>
      <c r="J7" s="46"/>
      <c r="K7" s="46"/>
      <c r="L7" s="46"/>
      <c r="M7" s="46"/>
      <c r="N7" s="46"/>
      <c r="O7" s="46"/>
      <c r="P7" s="46"/>
      <c r="Q7" s="52"/>
      <c r="R7" s="52"/>
      <c r="S7" s="46"/>
      <c r="T7" s="52"/>
      <c r="U7" s="52"/>
      <c r="V7" s="46"/>
      <c r="W7" s="46"/>
    </row>
    <row r="8" spans="1:24">
      <c r="A8" s="46"/>
      <c r="B8" s="47"/>
      <c r="C8" s="59" t="s">
        <v>273</v>
      </c>
      <c r="D8" s="46" t="s">
        <v>179</v>
      </c>
      <c r="E8" s="46"/>
      <c r="F8" s="46">
        <v>832121</v>
      </c>
      <c r="G8" s="46">
        <v>15656.8</v>
      </c>
      <c r="H8" s="46">
        <v>16309.2</v>
      </c>
      <c r="I8" s="46">
        <f t="shared" ref="I8:I12" si="0">(G8*1000000)/F8</f>
        <v>18815.532837171519</v>
      </c>
      <c r="J8" s="46"/>
      <c r="K8" s="46"/>
      <c r="L8" s="46"/>
      <c r="M8" s="46"/>
      <c r="N8" s="46"/>
      <c r="O8" s="46"/>
      <c r="P8" s="46"/>
      <c r="Q8" s="52"/>
      <c r="R8" s="52"/>
      <c r="S8" s="46"/>
      <c r="T8" s="52"/>
      <c r="U8" s="52"/>
      <c r="V8" s="46"/>
      <c r="W8" s="46"/>
    </row>
    <row r="9" spans="1:24">
      <c r="A9" s="39"/>
      <c r="B9" s="40"/>
      <c r="C9" s="46"/>
      <c r="D9" s="46" t="s">
        <v>180</v>
      </c>
      <c r="E9" s="46"/>
      <c r="F9" s="46">
        <v>67096</v>
      </c>
      <c r="G9" s="46">
        <v>2065.9</v>
      </c>
      <c r="H9" s="46">
        <v>2726.1</v>
      </c>
      <c r="I9" s="46">
        <f t="shared" si="0"/>
        <v>30790.211040896625</v>
      </c>
      <c r="J9" s="46"/>
      <c r="K9" s="46"/>
      <c r="L9" s="46"/>
      <c r="M9" s="46"/>
      <c r="N9" s="46"/>
      <c r="O9" s="46"/>
      <c r="P9" s="46"/>
      <c r="Q9" s="52"/>
      <c r="R9" s="52"/>
      <c r="S9" s="46"/>
      <c r="T9" s="52"/>
      <c r="U9" s="52"/>
      <c r="V9" s="46"/>
      <c r="W9" s="46"/>
    </row>
    <row r="10" spans="1:24">
      <c r="A10" s="46"/>
      <c r="B10" s="47"/>
      <c r="C10" s="46"/>
      <c r="D10" s="46" t="s">
        <v>181</v>
      </c>
      <c r="E10" s="46"/>
      <c r="F10" s="46">
        <v>70422</v>
      </c>
      <c r="G10" s="46">
        <v>3835.2</v>
      </c>
      <c r="H10" s="46">
        <v>6542.8</v>
      </c>
      <c r="I10" s="46">
        <f t="shared" si="0"/>
        <v>54460.253897929622</v>
      </c>
      <c r="J10" s="46"/>
      <c r="K10" s="46"/>
      <c r="L10" s="46"/>
      <c r="M10" s="46"/>
      <c r="N10" s="46"/>
      <c r="O10" s="46"/>
      <c r="P10" s="46"/>
      <c r="Q10" s="52"/>
      <c r="R10" s="52"/>
      <c r="S10" s="46"/>
      <c r="T10" s="52"/>
      <c r="U10" s="52"/>
      <c r="V10" s="46"/>
      <c r="W10" s="46"/>
    </row>
    <row r="11" spans="1:24">
      <c r="A11" s="46"/>
      <c r="B11" s="47"/>
      <c r="C11" s="46"/>
      <c r="D11" s="46" t="s">
        <v>173</v>
      </c>
      <c r="E11" s="46"/>
      <c r="F11" s="46">
        <v>63312</v>
      </c>
      <c r="G11" s="46">
        <v>416.6</v>
      </c>
      <c r="H11" s="46">
        <v>727.3</v>
      </c>
      <c r="I11" s="46">
        <f t="shared" si="0"/>
        <v>6580.1111953500131</v>
      </c>
      <c r="J11" s="46"/>
      <c r="K11" s="46"/>
      <c r="L11" s="46"/>
      <c r="M11" s="46"/>
      <c r="N11" s="46"/>
      <c r="O11" s="46"/>
      <c r="P11" s="46"/>
      <c r="Q11" s="52"/>
      <c r="R11" s="52"/>
      <c r="S11" s="46"/>
      <c r="T11" s="52"/>
      <c r="U11" s="52"/>
      <c r="V11" s="46"/>
      <c r="W11" s="46"/>
    </row>
    <row r="12" spans="1:24">
      <c r="A12" s="46"/>
      <c r="B12" s="47"/>
      <c r="C12" s="46"/>
      <c r="D12" s="46" t="s">
        <v>174</v>
      </c>
      <c r="E12" s="46"/>
      <c r="F12" s="46">
        <v>10464</v>
      </c>
      <c r="G12" s="46">
        <v>616.4</v>
      </c>
      <c r="H12" s="46">
        <v>700.3</v>
      </c>
      <c r="I12" s="46">
        <f t="shared" si="0"/>
        <v>58906.727828746174</v>
      </c>
      <c r="J12" s="46"/>
      <c r="K12" s="46"/>
      <c r="L12" s="46"/>
      <c r="M12" s="46"/>
      <c r="N12" s="46"/>
      <c r="O12" s="48"/>
      <c r="P12" s="46"/>
      <c r="Q12" s="52"/>
      <c r="R12" s="52"/>
      <c r="S12" s="46"/>
      <c r="T12" s="52"/>
      <c r="U12" s="52"/>
      <c r="V12" s="46"/>
      <c r="W12" s="46"/>
    </row>
    <row r="13" spans="1:24">
      <c r="A13" s="46"/>
      <c r="B13" s="4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52"/>
      <c r="U13" s="52"/>
      <c r="V13" s="46"/>
      <c r="W13" s="46"/>
    </row>
    <row r="14" spans="1:24">
      <c r="A14" s="46"/>
      <c r="B14" s="47"/>
      <c r="C14" s="46"/>
      <c r="D14" s="46" t="s">
        <v>184</v>
      </c>
      <c r="E14" s="46"/>
      <c r="F14" s="46"/>
      <c r="G14" s="46">
        <v>121073.60000000001</v>
      </c>
      <c r="H14" s="46">
        <v>140826.70000000001</v>
      </c>
      <c r="I14" s="46" t="e">
        <f>(G14*1000000)/F14</f>
        <v>#DIV/0!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4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4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>
      <c r="A17" s="46"/>
      <c r="B17" s="47"/>
      <c r="C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>
      <c r="A20" s="46"/>
      <c r="B20" s="47"/>
      <c r="C20" s="46"/>
      <c r="D20" s="39" t="s">
        <v>269</v>
      </c>
      <c r="E20" s="46"/>
      <c r="F20" s="46" t="s">
        <v>286</v>
      </c>
      <c r="G20" t="s">
        <v>287</v>
      </c>
      <c r="H20" s="46" t="s">
        <v>288</v>
      </c>
      <c r="I20" s="46" t="s">
        <v>289</v>
      </c>
      <c r="J20" s="46" t="s">
        <v>290</v>
      </c>
      <c r="K20" s="46"/>
      <c r="L20" s="46" t="s">
        <v>294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A21" s="46"/>
      <c r="B21" s="47"/>
      <c r="C21" s="46"/>
      <c r="E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>
      <c r="A22" s="46"/>
      <c r="B22" s="47"/>
      <c r="C22" s="46"/>
      <c r="D22" s="46" t="s">
        <v>163</v>
      </c>
      <c r="E22" s="46"/>
      <c r="F22" s="46">
        <f>Transport_numbers!G$24*1000</f>
        <v>10305000</v>
      </c>
      <c r="G22" s="46">
        <f>$I$7</f>
        <v>12441.563275011045</v>
      </c>
      <c r="H22" s="46">
        <v>0.476190476190476</v>
      </c>
      <c r="I22" s="46">
        <f>G22/H22</f>
        <v>26127.282877523205</v>
      </c>
      <c r="J22" s="46">
        <f>I22*F22</f>
        <v>269241650052.87662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>
      <c r="A23" s="46"/>
      <c r="B23" s="47"/>
      <c r="C23" s="46"/>
      <c r="D23" s="46" t="s">
        <v>164</v>
      </c>
      <c r="E23" s="46"/>
      <c r="F23" s="46">
        <f>Transport_numbers!H$24*1000</f>
        <v>11938000</v>
      </c>
      <c r="G23" s="46">
        <f t="shared" ref="G23:G27" si="1">$I$7</f>
        <v>12441.563275011045</v>
      </c>
      <c r="H23" s="46">
        <v>0.52631578947368396</v>
      </c>
      <c r="I23" s="46">
        <f t="shared" ref="I23:I26" si="2">G23/H23</f>
        <v>23638.970222520999</v>
      </c>
      <c r="J23" s="46">
        <f t="shared" ref="J23:J27" si="3">I23*F23</f>
        <v>282202026516.45569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>
      <c r="A24" s="46"/>
      <c r="B24" s="47"/>
      <c r="C24" s="46"/>
      <c r="D24" s="46" t="s">
        <v>175</v>
      </c>
      <c r="E24" s="46"/>
      <c r="F24" s="46">
        <v>0</v>
      </c>
      <c r="G24" s="46">
        <f t="shared" si="1"/>
        <v>12441.563275011045</v>
      </c>
      <c r="H24" s="46">
        <v>0.5</v>
      </c>
      <c r="I24" s="46">
        <f t="shared" si="2"/>
        <v>24883.126550022091</v>
      </c>
      <c r="J24" s="46">
        <f t="shared" si="3"/>
        <v>0</v>
      </c>
      <c r="K24" s="46"/>
      <c r="L24" s="46" t="s">
        <v>243</v>
      </c>
      <c r="M24" s="46" t="s">
        <v>244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>
      <c r="A25" s="39"/>
      <c r="B25" s="40"/>
      <c r="C25" s="46"/>
      <c r="D25" s="46" t="s">
        <v>218</v>
      </c>
      <c r="E25" s="46"/>
      <c r="F25" s="46">
        <v>0</v>
      </c>
      <c r="G25" s="46">
        <f t="shared" si="1"/>
        <v>12441.563275011045</v>
      </c>
      <c r="H25" s="46">
        <v>1.5384615384615401</v>
      </c>
      <c r="I25" s="46">
        <f t="shared" si="2"/>
        <v>8087.0161287571709</v>
      </c>
      <c r="J25" s="46">
        <f t="shared" si="3"/>
        <v>0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>
      <c r="A26" s="46"/>
      <c r="B26" s="47"/>
      <c r="C26" s="46"/>
      <c r="D26" s="46" t="s">
        <v>177</v>
      </c>
      <c r="E26" s="46"/>
      <c r="F26" s="46">
        <v>0</v>
      </c>
      <c r="G26" s="46">
        <f t="shared" si="1"/>
        <v>12441.563275011045</v>
      </c>
      <c r="H26" s="46">
        <v>0.476190476190476</v>
      </c>
      <c r="I26" s="46">
        <f t="shared" si="2"/>
        <v>26127.282877523205</v>
      </c>
      <c r="J26" s="46">
        <f t="shared" si="3"/>
        <v>0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>
      <c r="A27" s="46"/>
      <c r="B27" s="47"/>
      <c r="C27" s="46"/>
      <c r="D27" s="46" t="s">
        <v>219</v>
      </c>
      <c r="E27" s="46"/>
      <c r="F27" s="46">
        <v>0</v>
      </c>
      <c r="G27" s="46">
        <f t="shared" si="1"/>
        <v>12441.563275011045</v>
      </c>
      <c r="H27" s="46"/>
      <c r="I27" s="46">
        <v>0</v>
      </c>
      <c r="J27" s="46">
        <f t="shared" si="3"/>
        <v>0</v>
      </c>
      <c r="K27" s="46"/>
      <c r="L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>
      <c r="A28" s="46"/>
      <c r="B28" s="4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>
      <c r="A29" s="46"/>
      <c r="B29" s="47"/>
      <c r="C29" s="46"/>
      <c r="D29" s="46" t="s">
        <v>217</v>
      </c>
      <c r="E29" s="46"/>
      <c r="F29" s="46"/>
      <c r="G29" s="46"/>
      <c r="H29" s="46"/>
      <c r="I29" s="46"/>
      <c r="J29" s="46">
        <f>SUM(J22:J27)</f>
        <v>551443676569.33228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>
      <c r="A30" s="39"/>
      <c r="B30" s="4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>
      <c r="A32" s="46"/>
      <c r="B32" s="47"/>
      <c r="C32" s="59" t="s">
        <v>274</v>
      </c>
      <c r="D32" s="39" t="s">
        <v>270</v>
      </c>
      <c r="E32" s="46"/>
      <c r="F32" s="46" t="s">
        <v>286</v>
      </c>
      <c r="G32" t="s">
        <v>287</v>
      </c>
      <c r="H32" s="46" t="s">
        <v>288</v>
      </c>
      <c r="I32" s="46" t="s">
        <v>289</v>
      </c>
      <c r="J32" s="46" t="s">
        <v>290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>
      <c r="A33" s="46"/>
      <c r="B33" s="47"/>
      <c r="C33" s="59" t="s">
        <v>275</v>
      </c>
      <c r="D33" s="46"/>
      <c r="E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>
      <c r="A34" s="46"/>
      <c r="B34" s="47"/>
      <c r="C34" s="59" t="s">
        <v>276</v>
      </c>
      <c r="D34" s="46" t="s">
        <v>163</v>
      </c>
      <c r="E34" s="46"/>
      <c r="F34" s="46">
        <f>Transport_numbers!G$37</f>
        <v>568587</v>
      </c>
      <c r="G34" s="46">
        <f>$I$8</f>
        <v>18815.532837171519</v>
      </c>
      <c r="H34" s="46">
        <f>(1-0.0907314815)*H35</f>
        <v>0.43298500880952379</v>
      </c>
      <c r="I34" s="46">
        <f>G34/H34</f>
        <v>43455.390958925178</v>
      </c>
      <c r="J34" s="46">
        <f>I34*F34</f>
        <v>24708170379.162392</v>
      </c>
      <c r="K34" s="46" t="s">
        <v>206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>
      <c r="A35" s="46"/>
      <c r="B35" s="47"/>
      <c r="C35" s="46"/>
      <c r="D35" s="46" t="s">
        <v>164</v>
      </c>
      <c r="E35" s="46"/>
      <c r="F35" s="63">
        <f>Transport_numbers!H$37</f>
        <v>4413826</v>
      </c>
      <c r="G35" s="46">
        <f t="shared" ref="G35:G41" si="4">$I$8</f>
        <v>18815.532837171519</v>
      </c>
      <c r="H35" s="46">
        <f>1/2.1</f>
        <v>0.47619047619047616</v>
      </c>
      <c r="I35" s="46">
        <f t="shared" ref="I35:I38" si="5">G35/H35</f>
        <v>39512.618958060193</v>
      </c>
      <c r="J35" s="46">
        <f t="shared" ref="J35:J39" si="6">I35*F35</f>
        <v>174401824885.17899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>
      <c r="A36" s="46"/>
      <c r="B36" s="47"/>
      <c r="C36" s="46"/>
      <c r="D36" s="46" t="s">
        <v>175</v>
      </c>
      <c r="E36" s="46"/>
      <c r="F36" s="46" t="str">
        <f>Transport_numbers!I$37</f>
        <v>na</v>
      </c>
      <c r="G36" s="46">
        <f t="shared" si="4"/>
        <v>18815.532837171519</v>
      </c>
      <c r="H36" s="46">
        <f>H24*AVERAGE((H34/H22),(H35/H23),(H38/H26))</f>
        <v>0.45385355539213584</v>
      </c>
      <c r="I36" s="46">
        <f t="shared" si="5"/>
        <v>41457.277603377224</v>
      </c>
      <c r="J36" s="46" t="e">
        <f t="shared" si="6"/>
        <v>#VALUE!</v>
      </c>
      <c r="K36" s="46" t="s">
        <v>213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>
      <c r="A37" s="46"/>
      <c r="B37" s="47"/>
      <c r="C37" s="46"/>
      <c r="D37" s="46" t="s">
        <v>218</v>
      </c>
      <c r="E37" s="46"/>
      <c r="F37" s="46" t="str">
        <f>Transport_numbers!J$37</f>
        <v>na</v>
      </c>
      <c r="G37" s="46">
        <f t="shared" si="4"/>
        <v>18815.532837171519</v>
      </c>
      <c r="H37" s="46">
        <f>H25*AVERAGE((H34/H22),(H35/H23),(H38/H26))</f>
        <v>1.3964724781296503</v>
      </c>
      <c r="I37" s="46">
        <f t="shared" si="5"/>
        <v>13473.615221097583</v>
      </c>
      <c r="J37" s="46" t="e">
        <f t="shared" si="6"/>
        <v>#VALUE!</v>
      </c>
      <c r="K37" s="46" t="s">
        <v>213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>
      <c r="A38" s="46"/>
      <c r="B38" s="47"/>
      <c r="C38" s="46"/>
      <c r="D38" s="46" t="s">
        <v>177</v>
      </c>
      <c r="E38" s="46"/>
      <c r="F38" s="46" t="str">
        <f>Transport_numbers!K$37</f>
        <v>na</v>
      </c>
      <c r="G38" s="46">
        <f t="shared" si="4"/>
        <v>18815.532837171519</v>
      </c>
      <c r="H38" s="46">
        <f>1/2.31</f>
        <v>0.4329004329004329</v>
      </c>
      <c r="I38" s="46">
        <f t="shared" si="5"/>
        <v>43463.880853866205</v>
      </c>
      <c r="J38" s="46" t="e">
        <f t="shared" si="6"/>
        <v>#VALUE!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A39" s="46"/>
      <c r="B39" s="47"/>
      <c r="C39" s="46"/>
      <c r="D39" s="46" t="s">
        <v>219</v>
      </c>
      <c r="E39" s="46"/>
      <c r="F39" s="46">
        <f>Transport_numbers!L$37</f>
        <v>20874</v>
      </c>
      <c r="G39" s="46">
        <f t="shared" si="4"/>
        <v>18815.532837171519</v>
      </c>
      <c r="H39" s="46">
        <v>0</v>
      </c>
      <c r="I39" s="46">
        <v>0</v>
      </c>
      <c r="J39" s="46">
        <f t="shared" si="6"/>
        <v>0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3">
      <c r="A40" s="46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>
      <c r="A41" s="46"/>
      <c r="B41" s="47"/>
      <c r="C41" s="46"/>
      <c r="D41" s="46" t="s">
        <v>217</v>
      </c>
      <c r="E41" s="46"/>
      <c r="F41" s="46">
        <f>Transport_numbers!F$37</f>
        <v>4984722</v>
      </c>
      <c r="G41" s="46">
        <f t="shared" si="4"/>
        <v>18815.532837171519</v>
      </c>
      <c r="H41" s="46"/>
      <c r="I41" s="46" t="e">
        <f>G41/H41</f>
        <v>#DIV/0!</v>
      </c>
      <c r="J41" s="46" t="e">
        <f>I41*F41</f>
        <v>#DIV/0!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>
      <c r="A43" s="46"/>
      <c r="B43" s="4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>
      <c r="A44" s="56"/>
      <c r="B44" s="57"/>
      <c r="C44" s="46"/>
      <c r="D44" s="39" t="s">
        <v>280</v>
      </c>
      <c r="E44" s="46"/>
      <c r="F44" s="46" t="s">
        <v>286</v>
      </c>
      <c r="G44" t="s">
        <v>287</v>
      </c>
      <c r="H44" s="46" t="s">
        <v>288</v>
      </c>
      <c r="I44" s="46" t="s">
        <v>289</v>
      </c>
      <c r="J44" s="46" t="s">
        <v>290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>
      <c r="A45" s="52"/>
      <c r="B45" s="58"/>
      <c r="C45" s="46"/>
      <c r="D45" s="46"/>
      <c r="E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>
      <c r="A46" s="52"/>
      <c r="B46" s="58"/>
      <c r="C46" s="46"/>
      <c r="D46" s="46" t="s">
        <v>163</v>
      </c>
      <c r="E46" s="46"/>
      <c r="F46" s="46">
        <v>0</v>
      </c>
      <c r="G46" s="46">
        <f>$I$9</f>
        <v>30790.211040896625</v>
      </c>
      <c r="H46" s="46">
        <v>9.6522852639873896E-2</v>
      </c>
      <c r="I46" s="46">
        <f>G46/H46</f>
        <v>318994.00192589307</v>
      </c>
      <c r="J46" s="46">
        <f>I46*F46</f>
        <v>0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>
      <c r="A47" s="52"/>
      <c r="B47" s="58"/>
      <c r="C47" s="46"/>
      <c r="D47" s="46" t="s">
        <v>164</v>
      </c>
      <c r="E47" s="46"/>
      <c r="F47" s="46">
        <v>0</v>
      </c>
      <c r="G47" s="46">
        <f t="shared" ref="G47:G53" si="7">$I$9</f>
        <v>30790.211040896625</v>
      </c>
      <c r="H47" s="46">
        <v>0.10638297872340401</v>
      </c>
      <c r="I47" s="46">
        <f t="shared" ref="I47:I51" si="8">G47/H47</f>
        <v>289427.98378442897</v>
      </c>
      <c r="J47" s="46">
        <f t="shared" ref="J47:J51" si="9">I47*F47</f>
        <v>0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>
      <c r="A48" s="52"/>
      <c r="B48" s="58"/>
      <c r="C48" s="46"/>
      <c r="D48" s="46" t="s">
        <v>175</v>
      </c>
      <c r="E48" s="46"/>
      <c r="F48" s="46">
        <v>0</v>
      </c>
      <c r="G48" s="46">
        <f t="shared" si="7"/>
        <v>30790.211040896625</v>
      </c>
      <c r="H48" s="46"/>
      <c r="I48" s="46" t="e">
        <f t="shared" si="8"/>
        <v>#DIV/0!</v>
      </c>
      <c r="J48" s="46" t="e">
        <f t="shared" si="9"/>
        <v>#DIV/0!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>
      <c r="A49" s="56"/>
      <c r="B49" s="57"/>
      <c r="C49" s="46"/>
      <c r="D49" s="46" t="s">
        <v>218</v>
      </c>
      <c r="E49" s="46"/>
      <c r="F49" s="46">
        <v>0</v>
      </c>
      <c r="G49" s="46">
        <f t="shared" si="7"/>
        <v>30790.211040896625</v>
      </c>
      <c r="H49" s="46">
        <v>0.19157088122605401</v>
      </c>
      <c r="I49" s="46">
        <f t="shared" si="8"/>
        <v>160724.90163348007</v>
      </c>
      <c r="J49" s="46">
        <f t="shared" si="9"/>
        <v>0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>
      <c r="A50" s="52"/>
      <c r="B50" s="58"/>
      <c r="C50" s="46"/>
      <c r="D50" s="46" t="s">
        <v>177</v>
      </c>
      <c r="E50" s="46"/>
      <c r="F50" s="46">
        <v>0</v>
      </c>
      <c r="G50" s="46">
        <f t="shared" si="7"/>
        <v>30790.211040896625</v>
      </c>
      <c r="H50" s="46">
        <v>0.10638297872340401</v>
      </c>
      <c r="I50" s="46">
        <f t="shared" si="8"/>
        <v>289427.98378442897</v>
      </c>
      <c r="J50" s="46">
        <f t="shared" si="9"/>
        <v>0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>
      <c r="A51" s="52"/>
      <c r="B51" s="58"/>
      <c r="C51" s="46"/>
      <c r="D51" s="46" t="s">
        <v>219</v>
      </c>
      <c r="E51" s="46"/>
      <c r="F51" s="46">
        <v>0</v>
      </c>
      <c r="G51" s="46">
        <f t="shared" si="7"/>
        <v>30790.211040896625</v>
      </c>
      <c r="H51" s="46"/>
      <c r="I51" s="46" t="e">
        <f t="shared" si="8"/>
        <v>#DIV/0!</v>
      </c>
      <c r="J51" s="46" t="e">
        <f t="shared" si="9"/>
        <v>#DIV/0!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>
      <c r="A52" s="52"/>
      <c r="B52" s="5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>
      <c r="A53" s="52"/>
      <c r="B53" s="58"/>
      <c r="C53" s="46"/>
      <c r="D53" s="46" t="s">
        <v>217</v>
      </c>
      <c r="E53" s="46"/>
      <c r="F53" s="46">
        <v>0</v>
      </c>
      <c r="G53" s="46">
        <f t="shared" si="7"/>
        <v>30790.211040896625</v>
      </c>
      <c r="H53" s="46"/>
      <c r="I53" s="46" t="e">
        <f>G53/H53</f>
        <v>#DIV/0!</v>
      </c>
      <c r="J53" s="46" t="e">
        <f>I53*F53</f>
        <v>#DIV/0!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>
      <c r="A54" s="52"/>
      <c r="B54" s="58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>
      <c r="A55" s="52"/>
      <c r="B55" s="5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>
      <c r="A56" s="52"/>
      <c r="B56" s="58"/>
      <c r="C56" s="46"/>
      <c r="D56" s="39" t="s">
        <v>271</v>
      </c>
      <c r="E56" s="46"/>
      <c r="F56" s="46" t="s">
        <v>286</v>
      </c>
      <c r="G56" t="s">
        <v>287</v>
      </c>
      <c r="H56" s="46" t="s">
        <v>288</v>
      </c>
      <c r="I56" s="46" t="s">
        <v>289</v>
      </c>
      <c r="J56" s="46" t="s">
        <v>290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>
      <c r="A57" s="52"/>
      <c r="B57" s="58"/>
      <c r="C57" s="46"/>
      <c r="D57" s="46"/>
      <c r="E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>
      <c r="A58" s="52"/>
      <c r="B58" s="58"/>
      <c r="C58" s="46"/>
      <c r="D58" s="46" t="s">
        <v>163</v>
      </c>
      <c r="E58" s="46"/>
      <c r="F58" s="46">
        <f>Transport_numbers!G61</f>
        <v>1523</v>
      </c>
      <c r="G58" s="46">
        <f t="shared" ref="G58:G62" si="10">$I$10</f>
        <v>54460.253897929622</v>
      </c>
      <c r="H58" s="46">
        <f>H59*(1-0.0907314815)</f>
        <v>7.3328106330645154E-2</v>
      </c>
      <c r="I58" s="46">
        <f>G58/H58</f>
        <v>742692.76302270591</v>
      </c>
      <c r="J58" s="46">
        <f>I58*F58</f>
        <v>1131121078.0835812</v>
      </c>
      <c r="K58" s="46" t="s">
        <v>206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>
      <c r="A59" s="52"/>
      <c r="B59" s="58"/>
      <c r="C59" s="46"/>
      <c r="D59" s="46" t="s">
        <v>164</v>
      </c>
      <c r="E59" s="46"/>
      <c r="F59" s="63">
        <f>Transport_numbers!H61</f>
        <v>185411</v>
      </c>
      <c r="G59" s="46">
        <f t="shared" si="10"/>
        <v>54460.253897929622</v>
      </c>
      <c r="H59" s="46">
        <f>1/12.4</f>
        <v>8.0645161290322578E-2</v>
      </c>
      <c r="I59" s="46">
        <f t="shared" ref="I59:I63" si="11">G59/H59</f>
        <v>675307.14833432739</v>
      </c>
      <c r="J59" s="46">
        <f t="shared" ref="J59:J63" si="12">I59*F59</f>
        <v>125209373679.81598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>
      <c r="A60" s="52"/>
      <c r="B60" s="58"/>
      <c r="C60" s="46"/>
      <c r="D60" s="46" t="s">
        <v>225</v>
      </c>
      <c r="E60" s="46"/>
      <c r="F60" s="63">
        <f>Transport_numbers!I61</f>
        <v>30</v>
      </c>
      <c r="G60" s="46">
        <f>$I$10</f>
        <v>54460.253897929622</v>
      </c>
      <c r="H60" s="46"/>
      <c r="I60" s="46" t="e">
        <f t="shared" si="11"/>
        <v>#DIV/0!</v>
      </c>
      <c r="J60" s="46" t="e">
        <f t="shared" si="12"/>
        <v>#DIV/0!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>
      <c r="A61" s="52"/>
      <c r="B61" s="58"/>
      <c r="C61" s="46"/>
      <c r="D61" s="46"/>
      <c r="E61" s="46"/>
      <c r="F61" s="46">
        <v>0</v>
      </c>
      <c r="G61" s="46">
        <f t="shared" si="10"/>
        <v>54460.253897929622</v>
      </c>
      <c r="H61" s="46"/>
      <c r="I61" s="46" t="e">
        <f t="shared" si="11"/>
        <v>#DIV/0!</v>
      </c>
      <c r="J61" s="46" t="e">
        <f t="shared" si="12"/>
        <v>#DIV/0!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>
      <c r="A62" s="52"/>
      <c r="B62" s="58"/>
      <c r="C62" s="46"/>
      <c r="D62" s="46"/>
      <c r="E62" s="46"/>
      <c r="F62" s="46">
        <v>0</v>
      </c>
      <c r="G62" s="46">
        <f t="shared" si="10"/>
        <v>54460.253897929622</v>
      </c>
      <c r="H62" s="46"/>
      <c r="I62" s="46" t="e">
        <f t="shared" si="11"/>
        <v>#DIV/0!</v>
      </c>
      <c r="J62" s="46" t="e">
        <f t="shared" si="12"/>
        <v>#DIV/0!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>
      <c r="A63" s="52"/>
      <c r="B63" s="58"/>
      <c r="C63" s="46"/>
      <c r="D63" s="46"/>
      <c r="E63" s="46"/>
      <c r="F63" s="46">
        <v>0</v>
      </c>
      <c r="G63" s="46">
        <f>$I$10</f>
        <v>54460.253897929622</v>
      </c>
      <c r="H63" s="46"/>
      <c r="I63" s="46" t="e">
        <f t="shared" si="11"/>
        <v>#DIV/0!</v>
      </c>
      <c r="J63" s="46" t="e">
        <f t="shared" si="12"/>
        <v>#DIV/0!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>
      <c r="A64" s="56"/>
      <c r="B64" s="5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>
      <c r="A65" s="52"/>
      <c r="B65" s="58"/>
      <c r="C65" s="46"/>
      <c r="D65" s="46" t="s">
        <v>217</v>
      </c>
      <c r="E65" s="46"/>
      <c r="F65" s="46"/>
      <c r="G65" s="46">
        <f t="shared" ref="G65" si="13">$I$10</f>
        <v>54460.253897929622</v>
      </c>
      <c r="H65" s="46"/>
      <c r="I65" s="46" t="e">
        <f>G65/H65</f>
        <v>#DIV/0!</v>
      </c>
      <c r="J65" s="46" t="e">
        <f>I65*F65</f>
        <v>#DIV/0!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>
      <c r="A66" s="52"/>
      <c r="B66" s="58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>
      <c r="A67" s="52"/>
      <c r="B67" s="5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>
      <c r="A68" s="52"/>
      <c r="B68" s="58"/>
      <c r="C68" s="46"/>
      <c r="D68" s="39" t="s">
        <v>227</v>
      </c>
      <c r="E68" s="46"/>
      <c r="F68" s="46" t="s">
        <v>286</v>
      </c>
      <c r="G68" t="s">
        <v>287</v>
      </c>
      <c r="H68" s="46" t="s">
        <v>288</v>
      </c>
      <c r="I68" s="46" t="s">
        <v>289</v>
      </c>
      <c r="J68" s="46" t="s">
        <v>290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>
      <c r="A69" s="56"/>
      <c r="B69" s="57"/>
      <c r="C69" s="46"/>
      <c r="D69" s="46"/>
      <c r="E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>
      <c r="A70" s="52"/>
      <c r="B70" s="58"/>
      <c r="C70" s="46"/>
      <c r="D70" s="46" t="s">
        <v>163</v>
      </c>
      <c r="E70" s="46"/>
      <c r="F70" s="46"/>
      <c r="G70" s="46">
        <f>$I$11</f>
        <v>6580.1111953500131</v>
      </c>
      <c r="H70" s="46"/>
      <c r="I70" s="46" t="e">
        <f>G70/H70</f>
        <v>#DIV/0!</v>
      </c>
      <c r="J70" s="46" t="e">
        <f>I70*F70</f>
        <v>#DIV/0!</v>
      </c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>
      <c r="A71" s="52"/>
      <c r="B71" s="58"/>
      <c r="C71" s="46"/>
      <c r="D71" s="46" t="s">
        <v>164</v>
      </c>
      <c r="E71" s="46"/>
      <c r="F71" s="46"/>
      <c r="G71" s="46">
        <f t="shared" ref="G71:G77" si="14">$I$11</f>
        <v>6580.1111953500131</v>
      </c>
      <c r="H71" s="46"/>
      <c r="I71" s="46" t="e">
        <f t="shared" ref="I71:I75" si="15">G71/H71</f>
        <v>#DIV/0!</v>
      </c>
      <c r="J71" s="46" t="e">
        <f t="shared" ref="J71:J75" si="16">I71*F71</f>
        <v>#DIV/0!</v>
      </c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>
      <c r="A72" s="52"/>
      <c r="B72" s="58"/>
      <c r="C72" s="46"/>
      <c r="D72" s="46" t="s">
        <v>225</v>
      </c>
      <c r="E72" s="46"/>
      <c r="F72" s="46">
        <v>0</v>
      </c>
      <c r="G72" s="46">
        <f t="shared" si="14"/>
        <v>6580.1111953500131</v>
      </c>
      <c r="H72" s="46"/>
      <c r="I72" s="46" t="e">
        <f t="shared" si="15"/>
        <v>#DIV/0!</v>
      </c>
      <c r="J72" s="46" t="e">
        <f t="shared" si="16"/>
        <v>#DIV/0!</v>
      </c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>
      <c r="A73" s="52"/>
      <c r="B73" s="58"/>
      <c r="C73" s="46"/>
      <c r="D73" s="46"/>
      <c r="E73" s="46"/>
      <c r="F73" s="46">
        <v>0</v>
      </c>
      <c r="G73" s="46">
        <f t="shared" si="14"/>
        <v>6580.1111953500131</v>
      </c>
      <c r="H73" s="46"/>
      <c r="I73" s="46" t="e">
        <f t="shared" si="15"/>
        <v>#DIV/0!</v>
      </c>
      <c r="J73" s="46" t="e">
        <f t="shared" si="16"/>
        <v>#DIV/0!</v>
      </c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>
      <c r="A74" s="52"/>
      <c r="B74" s="58"/>
      <c r="C74" s="46"/>
      <c r="D74" s="46"/>
      <c r="E74" s="46"/>
      <c r="F74" s="46">
        <v>0</v>
      </c>
      <c r="G74" s="46">
        <f t="shared" si="14"/>
        <v>6580.1111953500131</v>
      </c>
      <c r="H74" s="46"/>
      <c r="I74" s="46" t="e">
        <f t="shared" si="15"/>
        <v>#DIV/0!</v>
      </c>
      <c r="J74" s="46" t="e">
        <f t="shared" si="16"/>
        <v>#DIV/0!</v>
      </c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>
      <c r="A75" s="52"/>
      <c r="B75" s="58"/>
      <c r="C75" s="46"/>
      <c r="D75" s="46"/>
      <c r="E75" s="46"/>
      <c r="F75" s="46">
        <v>0</v>
      </c>
      <c r="G75" s="46">
        <f t="shared" si="14"/>
        <v>6580.1111953500131</v>
      </c>
      <c r="H75" s="46"/>
      <c r="I75" s="46" t="e">
        <f t="shared" si="15"/>
        <v>#DIV/0!</v>
      </c>
      <c r="J75" s="46" t="e">
        <f t="shared" si="16"/>
        <v>#DIV/0!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>
      <c r="A76" s="52"/>
      <c r="B76" s="58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>
      <c r="A77" s="56"/>
      <c r="B77" s="57"/>
      <c r="C77" s="46"/>
      <c r="D77" s="46" t="s">
        <v>217</v>
      </c>
      <c r="E77" s="46"/>
      <c r="F77" s="46">
        <f>Transport_numbers!F73</f>
        <v>0</v>
      </c>
      <c r="G77" s="46">
        <f t="shared" si="14"/>
        <v>6580.1111953500131</v>
      </c>
      <c r="H77" s="46"/>
      <c r="I77" s="46" t="e">
        <f>G77/H77</f>
        <v>#DIV/0!</v>
      </c>
      <c r="J77" s="46" t="e">
        <f>I77*F77</f>
        <v>#DIV/0!</v>
      </c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>
      <c r="A78" s="52"/>
      <c r="B78" s="58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>
      <c r="A79" s="52"/>
      <c r="B79" s="5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>
      <c r="A80" s="52"/>
      <c r="B80" s="58"/>
      <c r="C80" s="46"/>
      <c r="D80" s="39" t="s">
        <v>174</v>
      </c>
      <c r="E80" s="46"/>
      <c r="F80" s="46" t="s">
        <v>286</v>
      </c>
      <c r="G80" t="s">
        <v>287</v>
      </c>
      <c r="H80" s="46" t="s">
        <v>288</v>
      </c>
      <c r="I80" s="46" t="s">
        <v>289</v>
      </c>
      <c r="J80" s="46" t="s">
        <v>290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>
      <c r="A81" s="52"/>
      <c r="B81" s="58"/>
      <c r="C81" s="46"/>
      <c r="D81" s="46"/>
      <c r="E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>
      <c r="A82" s="56"/>
      <c r="B82" s="57"/>
      <c r="C82" s="46"/>
      <c r="D82" s="46" t="s">
        <v>163</v>
      </c>
      <c r="E82" s="46"/>
      <c r="F82" s="64">
        <f>Transport_numbers!G$85</f>
        <v>743</v>
      </c>
      <c r="G82" s="46">
        <f>$I$12</f>
        <v>58906.727828746174</v>
      </c>
      <c r="H82" s="46">
        <f>(1-0.0907314815)*H83</f>
        <v>7.9760396359649113E-2</v>
      </c>
      <c r="I82" s="46">
        <f>G82/H82</f>
        <v>738546.0769669289</v>
      </c>
      <c r="J82" s="46">
        <f>I82*F82</f>
        <v>548739735.18642819</v>
      </c>
      <c r="K82" s="46" t="s">
        <v>206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>
      <c r="A83" s="52"/>
      <c r="B83" s="58"/>
      <c r="C83" s="46"/>
      <c r="D83" s="46" t="s">
        <v>164</v>
      </c>
      <c r="E83" s="46"/>
      <c r="F83" s="64">
        <f>Transport_numbers!H$85</f>
        <v>59228</v>
      </c>
      <c r="G83" s="46">
        <f t="shared" ref="G83:G89" si="17">$I$12</f>
        <v>58906.727828746174</v>
      </c>
      <c r="H83" s="46">
        <f>1/11.4</f>
        <v>8.771929824561403E-2</v>
      </c>
      <c r="I83" s="46">
        <f t="shared" ref="I83:I87" si="18">G83/H83</f>
        <v>671536.69724770647</v>
      </c>
      <c r="J83" s="46">
        <f t="shared" ref="J83:J87" si="19">I83*F83</f>
        <v>39773775504.587158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>
      <c r="A84" s="52"/>
      <c r="B84" s="58"/>
      <c r="C84" s="46"/>
      <c r="D84" s="46"/>
      <c r="E84" s="46"/>
      <c r="F84" s="64">
        <v>0</v>
      </c>
      <c r="G84" s="46">
        <f t="shared" si="17"/>
        <v>58906.727828746174</v>
      </c>
      <c r="H84" s="46"/>
      <c r="I84" s="46" t="e">
        <f t="shared" si="18"/>
        <v>#DIV/0!</v>
      </c>
      <c r="J84" s="46" t="e">
        <f t="shared" si="19"/>
        <v>#DIV/0!</v>
      </c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>
      <c r="A85" s="52"/>
      <c r="B85" s="58"/>
      <c r="C85" s="46"/>
      <c r="D85" s="46"/>
      <c r="E85" s="46"/>
      <c r="F85" s="64">
        <v>0</v>
      </c>
      <c r="G85" s="46">
        <f t="shared" si="17"/>
        <v>58906.727828746174</v>
      </c>
      <c r="H85" s="46">
        <f>1/5</f>
        <v>0.2</v>
      </c>
      <c r="I85" s="46">
        <f t="shared" si="18"/>
        <v>294533.63914373086</v>
      </c>
      <c r="J85" s="46">
        <f t="shared" si="19"/>
        <v>0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>
      <c r="A86" s="52"/>
      <c r="B86" s="58"/>
      <c r="C86" s="46"/>
      <c r="D86" s="46"/>
      <c r="E86" s="46"/>
      <c r="F86" s="64">
        <v>0</v>
      </c>
      <c r="G86" s="46">
        <f t="shared" si="17"/>
        <v>58906.727828746174</v>
      </c>
      <c r="H86" s="46">
        <f>1/10.26</f>
        <v>9.7465886939571159E-2</v>
      </c>
      <c r="I86" s="46">
        <f t="shared" si="18"/>
        <v>604383.02752293565</v>
      </c>
      <c r="J86" s="46">
        <f t="shared" si="19"/>
        <v>0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>
      <c r="A87" s="52"/>
      <c r="B87" s="58"/>
      <c r="C87" s="46"/>
      <c r="D87" s="46"/>
      <c r="E87" s="46"/>
      <c r="F87" s="64">
        <v>0</v>
      </c>
      <c r="G87" s="46">
        <f t="shared" si="17"/>
        <v>58906.727828746174</v>
      </c>
      <c r="H87" s="46"/>
      <c r="I87" s="46" t="e">
        <f t="shared" si="18"/>
        <v>#DIV/0!</v>
      </c>
      <c r="J87" s="46" t="e">
        <f t="shared" si="19"/>
        <v>#DIV/0!</v>
      </c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>
      <c r="A88" s="52"/>
      <c r="B88" s="58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>
      <c r="A89" s="52"/>
      <c r="B89" s="58"/>
      <c r="C89" s="46"/>
      <c r="D89" s="46" t="s">
        <v>217</v>
      </c>
      <c r="E89" s="46"/>
      <c r="F89" s="64">
        <f>SUM(F82:F87)</f>
        <v>59971</v>
      </c>
      <c r="G89" s="46">
        <f t="shared" si="17"/>
        <v>58906.727828746174</v>
      </c>
      <c r="H89" s="46"/>
      <c r="I89" s="46" t="e">
        <f>G89/H89</f>
        <v>#DIV/0!</v>
      </c>
      <c r="J89" s="46" t="e">
        <f>I89*F89</f>
        <v>#DIV/0!</v>
      </c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>
      <c r="A91" s="52"/>
      <c r="B91" s="58"/>
      <c r="C91" s="46"/>
      <c r="D91" s="46" t="s">
        <v>277</v>
      </c>
      <c r="E91" s="46"/>
      <c r="F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>
      <c r="A92" s="52"/>
      <c r="B92" s="58"/>
      <c r="C92" s="46"/>
      <c r="D92" s="46" t="s">
        <v>278</v>
      </c>
      <c r="E92" s="46"/>
      <c r="G92" s="46"/>
      <c r="H92" s="46"/>
      <c r="I92" s="46"/>
      <c r="J92" s="46"/>
      <c r="K92" s="46"/>
      <c r="L92" s="46"/>
      <c r="M92" s="46"/>
      <c r="N92" s="46" t="s">
        <v>215</v>
      </c>
      <c r="O92" s="46"/>
      <c r="P92" s="46"/>
      <c r="Q92" s="46"/>
      <c r="R92" s="46"/>
      <c r="S92" s="46"/>
      <c r="T92" s="46"/>
      <c r="U92" s="46"/>
      <c r="V92" s="46"/>
      <c r="W92" s="46"/>
    </row>
    <row r="93" spans="1:23">
      <c r="A93" s="56"/>
      <c r="B93" s="57"/>
      <c r="C93" s="46"/>
      <c r="D93" s="46" t="s">
        <v>279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>
      <c r="A94" s="52"/>
      <c r="B94" s="58"/>
      <c r="C94" s="46"/>
      <c r="D94" s="46" t="s">
        <v>281</v>
      </c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>
      <c r="A97" s="52"/>
      <c r="B97" s="58"/>
      <c r="C97" s="46"/>
      <c r="D97" s="39" t="s">
        <v>199</v>
      </c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>
      <c r="A98" s="56"/>
      <c r="B98" s="5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>
      <c r="A100" s="52"/>
      <c r="B100" s="58"/>
      <c r="C100" s="46"/>
      <c r="D100" s="39" t="s">
        <v>292</v>
      </c>
      <c r="E100" s="46"/>
      <c r="F100" s="46" t="s">
        <v>207</v>
      </c>
      <c r="G100" s="46"/>
      <c r="H100" s="46"/>
      <c r="I100" s="46" t="s">
        <v>207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>
      <c r="A102" s="52"/>
      <c r="B102" s="58"/>
      <c r="C102" s="46"/>
      <c r="D102" s="46" t="s">
        <v>282</v>
      </c>
      <c r="E102" s="46"/>
      <c r="F102" s="46">
        <f>J22</f>
        <v>269241650052.87662</v>
      </c>
      <c r="G102" s="46"/>
      <c r="H102" s="46" t="s">
        <v>171</v>
      </c>
      <c r="I102" s="46">
        <f>F102</f>
        <v>269241650052.87662</v>
      </c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>
      <c r="A103" s="52"/>
      <c r="B103" s="58"/>
      <c r="C103" s="46"/>
      <c r="D103" s="46" t="s">
        <v>283</v>
      </c>
      <c r="E103" s="46"/>
      <c r="F103" s="46">
        <f>J34</f>
        <v>24708170379.162392</v>
      </c>
      <c r="G103" s="46"/>
      <c r="H103" s="46" t="s">
        <v>201</v>
      </c>
      <c r="I103" s="46">
        <f>SUM(F103:F107)</f>
        <v>26388031192.4324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>
      <c r="A104" s="52"/>
      <c r="B104" s="58"/>
      <c r="C104" s="46"/>
      <c r="D104" s="46" t="s">
        <v>280</v>
      </c>
      <c r="E104" s="46"/>
      <c r="F104" s="46">
        <f>J46</f>
        <v>0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>
      <c r="A105" s="52"/>
      <c r="B105" s="58"/>
      <c r="C105" s="46"/>
      <c r="D105" s="46" t="s">
        <v>271</v>
      </c>
      <c r="E105" s="46"/>
      <c r="F105" s="46">
        <f>J58</f>
        <v>1131121078.0835812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>
      <c r="A106" s="52"/>
      <c r="B106" s="58"/>
      <c r="C106" s="46"/>
      <c r="D106" s="46" t="s">
        <v>284</v>
      </c>
      <c r="E106" s="46"/>
      <c r="F106" s="46">
        <v>0</v>
      </c>
      <c r="G106" t="s">
        <v>205</v>
      </c>
      <c r="H106" s="46" t="s">
        <v>202</v>
      </c>
      <c r="I106" s="46">
        <f>I102/(I102+I103)</f>
        <v>0.91073957431718089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>
      <c r="A107" s="52"/>
      <c r="B107" s="58"/>
      <c r="C107" s="46"/>
      <c r="D107" s="46" t="s">
        <v>174</v>
      </c>
      <c r="E107" s="46"/>
      <c r="F107">
        <f>J82</f>
        <v>548739735.18642819</v>
      </c>
      <c r="G107" s="46"/>
      <c r="H107" s="46" t="s">
        <v>203</v>
      </c>
      <c r="I107" s="46">
        <f>1-I106</f>
        <v>8.9260425682819111E-2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>
      <c r="A109" s="56"/>
      <c r="B109" s="57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>
      <c r="A110" s="52"/>
      <c r="B110" s="58"/>
      <c r="C110" s="46"/>
      <c r="D110" s="39" t="s">
        <v>204</v>
      </c>
      <c r="E110" s="46"/>
      <c r="F110" s="46" t="s">
        <v>207</v>
      </c>
      <c r="G110" s="46"/>
      <c r="H110" s="46"/>
      <c r="I110" s="46" t="s">
        <v>207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>
      <c r="A111" s="52"/>
      <c r="B111" s="58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>
      <c r="A112" s="52"/>
      <c r="B112" s="58"/>
      <c r="C112" s="46"/>
      <c r="D112" s="46" t="s">
        <v>282</v>
      </c>
      <c r="E112" s="46"/>
      <c r="F112" s="46">
        <f>J23</f>
        <v>282202026516.45569</v>
      </c>
      <c r="G112" s="46"/>
      <c r="H112" s="46" t="s">
        <v>171</v>
      </c>
      <c r="I112" s="46">
        <f>F112</f>
        <v>282202026516.45569</v>
      </c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>
      <c r="A113" s="52"/>
      <c r="B113" s="58"/>
      <c r="C113" s="46"/>
      <c r="D113" s="46" t="s">
        <v>283</v>
      </c>
      <c r="E113" s="46"/>
      <c r="F113" s="46">
        <f>J35</f>
        <v>174401824885.17899</v>
      </c>
      <c r="G113" s="46"/>
      <c r="H113" s="46" t="s">
        <v>201</v>
      </c>
      <c r="I113" s="46">
        <f>SUM(F113:F117)</f>
        <v>299611870101.69226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>
      <c r="A114" s="56"/>
      <c r="B114" s="57"/>
      <c r="C114" s="46"/>
      <c r="D114" s="46" t="s">
        <v>280</v>
      </c>
      <c r="E114" s="46"/>
      <c r="F114" s="46">
        <f>J47</f>
        <v>0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>
      <c r="A115" s="52"/>
      <c r="B115" s="58"/>
      <c r="C115" s="46"/>
      <c r="D115" s="46" t="s">
        <v>271</v>
      </c>
      <c r="E115" s="46"/>
      <c r="F115" s="46">
        <f>J59</f>
        <v>125209373679.81598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>
      <c r="A116" s="52"/>
      <c r="B116" s="58"/>
      <c r="C116" s="46"/>
      <c r="D116" s="46" t="s">
        <v>284</v>
      </c>
      <c r="E116" s="46"/>
      <c r="F116" s="46">
        <v>0</v>
      </c>
      <c r="G116" t="s">
        <v>205</v>
      </c>
      <c r="H116" s="46" t="s">
        <v>202</v>
      </c>
      <c r="I116" s="46">
        <f>I112/(I112+I113)</f>
        <v>0.48503830547325094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>
      <c r="A117" s="52"/>
      <c r="B117" s="58"/>
      <c r="C117" s="46"/>
      <c r="D117" s="46" t="s">
        <v>174</v>
      </c>
      <c r="E117" s="46"/>
      <c r="F117">
        <f>I83</f>
        <v>671536.69724770647</v>
      </c>
      <c r="G117" s="46"/>
      <c r="H117" s="46" t="s">
        <v>203</v>
      </c>
      <c r="I117" s="46">
        <f>1-I116</f>
        <v>0.514961694526749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>
      <c r="A118" s="52"/>
      <c r="B118" s="58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>
      <c r="A119" s="52"/>
      <c r="B119" s="58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>
      <c r="A120" s="52"/>
      <c r="B120" s="58"/>
      <c r="C120" s="46"/>
      <c r="D120" s="39" t="s">
        <v>291</v>
      </c>
      <c r="E120" s="46"/>
      <c r="F120" s="46" t="s">
        <v>207</v>
      </c>
      <c r="G120" s="46"/>
      <c r="H120" s="46"/>
      <c r="I120" s="46" t="s">
        <v>207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>
      <c r="A121" s="52"/>
      <c r="B121" s="58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>
      <c r="A122" s="52"/>
      <c r="B122" s="58"/>
      <c r="C122" s="46"/>
      <c r="D122" s="46" t="s">
        <v>282</v>
      </c>
      <c r="E122" s="46"/>
      <c r="F122" s="46">
        <f>J25</f>
        <v>0</v>
      </c>
      <c r="G122" s="46"/>
      <c r="H122" s="46" t="s">
        <v>171</v>
      </c>
      <c r="I122" s="46">
        <f>F122</f>
        <v>0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>
      <c r="A123" s="52"/>
      <c r="B123" s="58"/>
      <c r="C123" s="46"/>
      <c r="D123" s="46" t="s">
        <v>283</v>
      </c>
      <c r="E123" s="46"/>
      <c r="F123" s="46" t="e">
        <f>J37</f>
        <v>#VALUE!</v>
      </c>
      <c r="G123" s="46"/>
      <c r="H123" s="46" t="s">
        <v>201</v>
      </c>
      <c r="I123" s="46" t="e">
        <f>SUM(F123:F127)</f>
        <v>#VALUE!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>
      <c r="A124" s="52"/>
      <c r="B124" s="58"/>
      <c r="C124" s="46"/>
      <c r="D124" s="46" t="s">
        <v>280</v>
      </c>
      <c r="E124" s="46"/>
      <c r="F124" s="46">
        <f>J49</f>
        <v>0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>
      <c r="A125" s="52"/>
      <c r="B125" s="58"/>
      <c r="C125" s="46"/>
      <c r="D125" s="46" t="s">
        <v>271</v>
      </c>
      <c r="E125" s="46"/>
      <c r="F125" s="46">
        <v>0</v>
      </c>
      <c r="G125" s="46" t="s">
        <v>205</v>
      </c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>
      <c r="A126" s="52"/>
      <c r="B126" s="58"/>
      <c r="C126" s="46"/>
      <c r="D126" s="46" t="s">
        <v>284</v>
      </c>
      <c r="E126" s="46"/>
      <c r="F126" s="46">
        <v>0</v>
      </c>
      <c r="G126" t="s">
        <v>205</v>
      </c>
      <c r="H126" s="46" t="s">
        <v>202</v>
      </c>
      <c r="I126" s="46" t="e">
        <f>I122/(I122+I123)</f>
        <v>#VALUE!</v>
      </c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>
      <c r="A127" s="52"/>
      <c r="B127" s="58"/>
      <c r="C127" s="46"/>
      <c r="D127" s="46" t="s">
        <v>174</v>
      </c>
      <c r="E127" s="46"/>
      <c r="F127">
        <f>J85</f>
        <v>0</v>
      </c>
      <c r="G127" s="46"/>
      <c r="H127" s="46" t="s">
        <v>203</v>
      </c>
      <c r="I127" s="46" t="e">
        <f>1-I126</f>
        <v>#VALUE!</v>
      </c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>
      <c r="A128" s="52"/>
      <c r="B128" s="58"/>
      <c r="C128" s="46"/>
      <c r="D128" s="46"/>
      <c r="E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>
      <c r="A129" s="56"/>
      <c r="B129" s="57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>
      <c r="A130" s="52"/>
      <c r="B130" s="65"/>
      <c r="C130" s="46"/>
      <c r="D130" s="39" t="s">
        <v>208</v>
      </c>
      <c r="E130" s="46"/>
      <c r="F130" s="46" t="s">
        <v>210</v>
      </c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>
      <c r="A131" s="52"/>
      <c r="B131" s="58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>
      <c r="A132" s="52"/>
      <c r="B132" s="58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>
      <c r="A133" s="52"/>
      <c r="B133" s="58"/>
      <c r="C133" s="46"/>
      <c r="D133" s="39" t="s">
        <v>269</v>
      </c>
      <c r="E133" s="46"/>
      <c r="F133" s="46" t="s">
        <v>286</v>
      </c>
      <c r="G133" t="s">
        <v>287</v>
      </c>
      <c r="H133" s="46" t="s">
        <v>288</v>
      </c>
      <c r="I133" s="46" t="s">
        <v>289</v>
      </c>
      <c r="J133" s="46" t="s">
        <v>290</v>
      </c>
      <c r="K133" s="46" t="s">
        <v>209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>
      <c r="A134" s="56"/>
      <c r="B134" s="57"/>
      <c r="C134" s="46"/>
      <c r="E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>
      <c r="A135" s="52"/>
      <c r="B135" s="58"/>
      <c r="C135" s="46"/>
      <c r="D135" s="46" t="s">
        <v>163</v>
      </c>
      <c r="E135" s="46"/>
      <c r="F135" s="46">
        <f>F22</f>
        <v>10305000</v>
      </c>
      <c r="G135" s="46">
        <f>$I$7</f>
        <v>12441.563275011045</v>
      </c>
      <c r="H135" s="46">
        <v>0.476190476190476</v>
      </c>
      <c r="I135" s="46">
        <f>G135/H135</f>
        <v>26127.282877523205</v>
      </c>
      <c r="J135" s="46">
        <f>I135*F135</f>
        <v>269241650052.87662</v>
      </c>
      <c r="K135" s="46">
        <f>J135/$J$142</f>
        <v>0.4882486852109641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>
      <c r="A136" s="52"/>
      <c r="B136" s="58"/>
      <c r="C136" s="46"/>
      <c r="D136" s="46" t="s">
        <v>164</v>
      </c>
      <c r="E136" s="46"/>
      <c r="F136" s="46">
        <f t="shared" ref="F136:F142" si="20">F23</f>
        <v>11938000</v>
      </c>
      <c r="G136" s="46">
        <f t="shared" ref="G136:G140" si="21">$I$7</f>
        <v>12441.563275011045</v>
      </c>
      <c r="H136" s="46">
        <v>0.52631578947368396</v>
      </c>
      <c r="I136" s="46">
        <f t="shared" ref="I136:I139" si="22">G136/H136</f>
        <v>23638.970222520999</v>
      </c>
      <c r="J136" s="46">
        <f t="shared" ref="J136:J140" si="23">I136*F136</f>
        <v>282202026516.45569</v>
      </c>
      <c r="K136" s="46">
        <f t="shared" ref="K136:K140" si="24">J136/$J$142</f>
        <v>0.5117513147890359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>
      <c r="A137" s="52"/>
      <c r="B137" s="58"/>
      <c r="C137" s="46"/>
      <c r="D137" s="46" t="s">
        <v>175</v>
      </c>
      <c r="E137" s="46"/>
      <c r="F137" s="46">
        <f t="shared" si="20"/>
        <v>0</v>
      </c>
      <c r="G137" s="46">
        <f t="shared" si="21"/>
        <v>12441.563275011045</v>
      </c>
      <c r="H137" s="46">
        <v>0.5</v>
      </c>
      <c r="I137" s="46">
        <f t="shared" si="22"/>
        <v>24883.126550022091</v>
      </c>
      <c r="J137" s="46">
        <f t="shared" si="23"/>
        <v>0</v>
      </c>
      <c r="K137" s="46">
        <f t="shared" si="24"/>
        <v>0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>
      <c r="A138" s="52"/>
      <c r="B138" s="58"/>
      <c r="C138" s="46"/>
      <c r="D138" s="46" t="s">
        <v>218</v>
      </c>
      <c r="E138" s="46"/>
      <c r="F138" s="46">
        <f t="shared" si="20"/>
        <v>0</v>
      </c>
      <c r="G138" s="46">
        <f t="shared" si="21"/>
        <v>12441.563275011045</v>
      </c>
      <c r="H138" s="46">
        <v>1.5384615384615401</v>
      </c>
      <c r="I138" s="46">
        <f t="shared" si="22"/>
        <v>8087.0161287571709</v>
      </c>
      <c r="J138" s="46">
        <f t="shared" si="23"/>
        <v>0</v>
      </c>
      <c r="K138" s="46">
        <f t="shared" si="24"/>
        <v>0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>
      <c r="A139" s="52"/>
      <c r="B139" s="58"/>
      <c r="C139" s="46"/>
      <c r="D139" s="46" t="s">
        <v>177</v>
      </c>
      <c r="E139" s="46"/>
      <c r="F139" s="46">
        <f t="shared" si="20"/>
        <v>0</v>
      </c>
      <c r="G139" s="46">
        <f t="shared" si="21"/>
        <v>12441.563275011045</v>
      </c>
      <c r="H139" s="46">
        <v>0.476190476190476</v>
      </c>
      <c r="I139" s="46">
        <f t="shared" si="22"/>
        <v>26127.282877523205</v>
      </c>
      <c r="J139" s="46">
        <f t="shared" si="23"/>
        <v>0</v>
      </c>
      <c r="K139" s="46">
        <f t="shared" si="24"/>
        <v>0</v>
      </c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>
      <c r="A140" s="52"/>
      <c r="B140" s="58"/>
      <c r="C140" s="46"/>
      <c r="D140" s="46" t="s">
        <v>219</v>
      </c>
      <c r="E140" s="46"/>
      <c r="F140" s="46">
        <f t="shared" si="20"/>
        <v>0</v>
      </c>
      <c r="G140" s="46">
        <f t="shared" si="21"/>
        <v>12441.563275011045</v>
      </c>
      <c r="H140" s="46">
        <v>0</v>
      </c>
      <c r="I140" s="46">
        <v>0</v>
      </c>
      <c r="J140" s="46">
        <f t="shared" si="23"/>
        <v>0</v>
      </c>
      <c r="K140" s="46">
        <f t="shared" si="24"/>
        <v>0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>
      <c r="A141" s="52"/>
      <c r="B141" s="58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>
      <c r="A142" s="52"/>
      <c r="B142" s="58"/>
      <c r="C142" s="46"/>
      <c r="D142" s="46" t="s">
        <v>217</v>
      </c>
      <c r="E142" s="46"/>
      <c r="F142" s="46">
        <f t="shared" si="20"/>
        <v>0</v>
      </c>
      <c r="G142" s="46"/>
      <c r="H142" s="46"/>
      <c r="I142" s="46"/>
      <c r="J142" s="46">
        <f>SUM(J135:J140)</f>
        <v>551443676569.33228</v>
      </c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>
      <c r="A143" s="52"/>
      <c r="B143" s="58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>
      <c r="A144" s="52"/>
      <c r="B144" s="58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>
      <c r="A145" s="52"/>
      <c r="B145" s="58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>
      <c r="A146" s="52"/>
      <c r="B146" s="58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 spans="1:23">
      <c r="A147" s="52"/>
      <c r="B147" s="58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>
      <c r="A148" s="52"/>
      <c r="B148" s="58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>
      <c r="A149" s="52"/>
      <c r="B149" s="58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>
      <c r="A150" s="52"/>
      <c r="B150" s="58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 spans="1:23">
      <c r="A151" s="52"/>
      <c r="B151" s="58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>
      <c r="A152" s="52"/>
      <c r="B152" s="58"/>
      <c r="C152" s="46"/>
      <c r="D152" s="46"/>
      <c r="E152" s="46"/>
      <c r="F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>
      <c r="A153" s="52"/>
      <c r="B153" s="58"/>
      <c r="C153" s="46"/>
      <c r="D153" s="46"/>
      <c r="E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>
      <c r="A154" s="52"/>
      <c r="B154" s="58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>
      <c r="A155" s="56"/>
      <c r="B155" s="57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 spans="1:23">
      <c r="A156" s="52"/>
      <c r="B156" s="58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>
      <c r="A157" s="52"/>
      <c r="B157" s="58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>
      <c r="A158" s="52"/>
      <c r="B158" s="58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>
      <c r="A159" s="52"/>
      <c r="B159" s="58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>
      <c r="A160" s="56"/>
      <c r="B160" s="57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>
      <c r="A161" s="52"/>
      <c r="B161" s="58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>
      <c r="A162" s="52"/>
      <c r="B162" s="58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>
      <c r="A163" s="52"/>
      <c r="B163" s="58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>
      <c r="A164" s="52"/>
      <c r="B164" s="58"/>
      <c r="C164" s="46"/>
      <c r="D164" s="46"/>
      <c r="E164" s="46"/>
      <c r="F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>
      <c r="A165" s="52"/>
      <c r="B165" s="58"/>
      <c r="C165" s="46"/>
      <c r="D165" s="46"/>
      <c r="E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>
      <c r="A166" s="52"/>
      <c r="B166" s="58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>
      <c r="A167" s="52"/>
      <c r="B167" s="58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 spans="1:23">
      <c r="A168" s="52"/>
      <c r="B168" s="58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>
      <c r="A169" s="52"/>
      <c r="B169" s="58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 spans="1:23">
      <c r="A170" s="52"/>
      <c r="B170" s="58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>
      <c r="A171" s="52"/>
      <c r="B171" s="58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>
      <c r="A172" s="52"/>
      <c r="B172" s="58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>
      <c r="A173" s="52"/>
      <c r="B173" s="58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>
      <c r="A174" s="52"/>
      <c r="B174" s="58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>
      <c r="A175" s="52"/>
      <c r="B175" s="58"/>
      <c r="C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 spans="1:23">
      <c r="A176" s="52"/>
      <c r="B176" s="58"/>
      <c r="C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>
      <c r="A177" s="46"/>
      <c r="B177" s="46"/>
      <c r="C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>
      <c r="A178" s="46"/>
      <c r="B178" s="46"/>
      <c r="C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>
      <c r="A179" s="46"/>
      <c r="B179" s="46"/>
      <c r="C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 spans="1:23">
      <c r="A180" s="46"/>
      <c r="B180" s="46"/>
      <c r="C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>
      <c r="A181" s="46"/>
      <c r="B181" s="46"/>
      <c r="C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 spans="1:23">
      <c r="A182" s="46"/>
      <c r="B182" s="46"/>
      <c r="C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>
      <c r="A183" s="46"/>
      <c r="B183" s="46"/>
      <c r="C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>
      <c r="A184" s="46"/>
      <c r="B184" s="46"/>
      <c r="C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>
      <c r="A185" s="46"/>
      <c r="B185" s="46"/>
      <c r="C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>
      <c r="A186" s="46"/>
      <c r="B186" s="46"/>
      <c r="C186" s="46"/>
      <c r="O186" s="46"/>
      <c r="P186" s="46"/>
      <c r="Q186" s="46"/>
      <c r="R186" s="46"/>
      <c r="S186" s="46"/>
      <c r="T186" s="46"/>
      <c r="U186" s="46"/>
      <c r="V186" s="46"/>
      <c r="W186" s="4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opLeftCell="C1" workbookViewId="0">
      <selection activeCell="F102" sqref="F102"/>
    </sheetView>
  </sheetViews>
  <sheetFormatPr baseColWidth="10" defaultRowHeight="15" x14ac:dyDescent="0"/>
  <cols>
    <col min="2" max="2" width="13" customWidth="1"/>
    <col min="3" max="3" width="19.83203125" customWidth="1"/>
    <col min="6" max="6" width="12.1640625" customWidth="1"/>
    <col min="7" max="7" width="13.83203125" customWidth="1"/>
    <col min="8" max="8" width="16.83203125" customWidth="1"/>
    <col min="9" max="9" width="24.33203125" customWidth="1"/>
    <col min="10" max="10" width="21.1640625" customWidth="1"/>
    <col min="11" max="11" width="13.33203125" customWidth="1"/>
    <col min="12" max="13" width="12.1640625" bestFit="1" customWidth="1"/>
  </cols>
  <sheetData>
    <row r="1" spans="1:24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52"/>
      <c r="U1" s="52"/>
      <c r="V1" s="52"/>
      <c r="W1" s="52"/>
      <c r="X1" s="52"/>
    </row>
    <row r="2" spans="1:24" ht="16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>
      <c r="A4" s="39"/>
      <c r="B4" s="40"/>
      <c r="D4" s="46"/>
      <c r="E4" s="46"/>
      <c r="F4" s="46"/>
      <c r="G4" s="46"/>
      <c r="H4" s="46"/>
      <c r="I4" s="46"/>
      <c r="J4" s="46"/>
      <c r="K4" s="46"/>
      <c r="L4" s="46"/>
      <c r="M4" s="46"/>
      <c r="N4" s="52"/>
      <c r="O4" s="52"/>
      <c r="P4" s="46"/>
      <c r="Q4" s="52"/>
      <c r="R4" s="52"/>
      <c r="S4" s="46"/>
      <c r="T4" s="52"/>
      <c r="U4" s="52"/>
      <c r="V4" s="46"/>
      <c r="W4" s="46"/>
    </row>
    <row r="5" spans="1:24">
      <c r="A5" s="46"/>
      <c r="B5" s="40" t="s">
        <v>235</v>
      </c>
      <c r="C5" s="55"/>
      <c r="E5" s="46"/>
      <c r="F5" s="46"/>
      <c r="G5" s="46"/>
      <c r="H5" s="46"/>
      <c r="I5" s="46" t="s">
        <v>187</v>
      </c>
      <c r="J5" s="46"/>
      <c r="K5" s="46"/>
      <c r="L5" s="46"/>
      <c r="M5" s="46"/>
      <c r="N5" s="52"/>
      <c r="O5" s="52"/>
      <c r="P5" s="46"/>
      <c r="Q5" s="52"/>
      <c r="R5" s="52"/>
      <c r="S5" s="46"/>
      <c r="T5" s="52"/>
      <c r="U5" s="52"/>
      <c r="V5" s="46"/>
      <c r="W5" s="46"/>
    </row>
    <row r="6" spans="1:24">
      <c r="A6" s="46"/>
      <c r="B6" s="47"/>
      <c r="C6" s="46"/>
      <c r="D6" s="46"/>
      <c r="E6" s="46"/>
      <c r="F6" s="46" t="s">
        <v>182</v>
      </c>
      <c r="G6" s="46" t="s">
        <v>185</v>
      </c>
      <c r="H6" s="46" t="s">
        <v>183</v>
      </c>
      <c r="I6" s="46" t="s">
        <v>186</v>
      </c>
      <c r="J6" s="46"/>
      <c r="K6" s="46"/>
      <c r="L6" s="46" t="s">
        <v>214</v>
      </c>
      <c r="M6" s="46" t="s">
        <v>196</v>
      </c>
      <c r="N6" s="52"/>
      <c r="O6" s="52"/>
      <c r="P6" s="46"/>
      <c r="Q6" s="52"/>
      <c r="R6" s="52"/>
      <c r="S6" s="46"/>
      <c r="T6" s="52"/>
      <c r="U6" s="52"/>
      <c r="V6" s="46"/>
      <c r="W6" s="46"/>
    </row>
    <row r="7" spans="1:24">
      <c r="A7" s="46"/>
      <c r="B7" s="47"/>
      <c r="C7" s="59" t="s">
        <v>272</v>
      </c>
      <c r="D7" s="46" t="s">
        <v>178</v>
      </c>
      <c r="E7" s="46"/>
      <c r="F7" s="46">
        <v>7915613</v>
      </c>
      <c r="G7" s="46">
        <v>98482.6</v>
      </c>
      <c r="H7" s="46">
        <v>113821</v>
      </c>
      <c r="I7" s="46">
        <f>(G7*1000000)/F7</f>
        <v>12441.563275011045</v>
      </c>
      <c r="J7" s="46"/>
      <c r="K7" s="46"/>
      <c r="L7" s="46"/>
      <c r="M7" s="46"/>
      <c r="N7" s="46"/>
      <c r="O7" s="46"/>
      <c r="P7" s="46"/>
      <c r="Q7" s="52"/>
      <c r="R7" s="52"/>
      <c r="S7" s="46"/>
      <c r="T7" s="52"/>
      <c r="U7" s="52"/>
      <c r="V7" s="46"/>
      <c r="W7" s="46"/>
    </row>
    <row r="8" spans="1:24">
      <c r="A8" s="46"/>
      <c r="B8" s="47"/>
      <c r="C8" s="59" t="s">
        <v>273</v>
      </c>
      <c r="D8" s="46" t="s">
        <v>179</v>
      </c>
      <c r="E8" s="46"/>
      <c r="F8" s="46">
        <v>832121</v>
      </c>
      <c r="G8" s="46">
        <v>15656.8</v>
      </c>
      <c r="H8" s="46">
        <v>16309.2</v>
      </c>
      <c r="I8" s="46">
        <f t="shared" ref="I8:I12" si="0">(G8*1000000)/F8</f>
        <v>18815.532837171519</v>
      </c>
      <c r="J8" s="46"/>
      <c r="K8" s="46"/>
      <c r="L8" s="46"/>
      <c r="M8" s="46"/>
      <c r="N8" s="46"/>
      <c r="O8" s="46"/>
      <c r="P8" s="46"/>
      <c r="Q8" s="52"/>
      <c r="R8" s="52"/>
      <c r="S8" s="46"/>
      <c r="T8" s="52"/>
      <c r="U8" s="52"/>
      <c r="V8" s="46"/>
      <c r="W8" s="46"/>
    </row>
    <row r="9" spans="1:24">
      <c r="A9" s="39"/>
      <c r="B9" s="40"/>
      <c r="C9" s="46"/>
      <c r="D9" s="46" t="s">
        <v>180</v>
      </c>
      <c r="E9" s="46"/>
      <c r="F9" s="46">
        <v>67096</v>
      </c>
      <c r="G9" s="46">
        <v>2065.9</v>
      </c>
      <c r="H9" s="46">
        <v>2726.1</v>
      </c>
      <c r="I9" s="46">
        <f t="shared" si="0"/>
        <v>30790.211040896625</v>
      </c>
      <c r="J9" s="46"/>
      <c r="K9" s="46"/>
      <c r="L9" s="46"/>
      <c r="M9" s="46"/>
      <c r="N9" s="46"/>
      <c r="O9" s="46"/>
      <c r="P9" s="46"/>
      <c r="Q9" s="52"/>
      <c r="R9" s="52"/>
      <c r="S9" s="46"/>
      <c r="T9" s="52"/>
      <c r="U9" s="52"/>
      <c r="V9" s="46"/>
      <c r="W9" s="46"/>
    </row>
    <row r="10" spans="1:24">
      <c r="A10" s="46"/>
      <c r="B10" s="47"/>
      <c r="C10" s="46"/>
      <c r="D10" s="46" t="s">
        <v>181</v>
      </c>
      <c r="E10" s="46"/>
      <c r="F10" s="46">
        <v>70422</v>
      </c>
      <c r="G10" s="46">
        <v>3835.2</v>
      </c>
      <c r="H10" s="46">
        <v>6542.8</v>
      </c>
      <c r="I10" s="46">
        <f t="shared" si="0"/>
        <v>54460.253897929622</v>
      </c>
      <c r="J10" s="46"/>
      <c r="K10" s="46"/>
      <c r="L10" s="46"/>
      <c r="M10" s="46"/>
      <c r="N10" s="46"/>
      <c r="O10" s="46"/>
      <c r="P10" s="46"/>
      <c r="Q10" s="52"/>
      <c r="R10" s="52"/>
      <c r="S10" s="46"/>
      <c r="T10" s="52"/>
      <c r="U10" s="52"/>
      <c r="V10" s="46"/>
      <c r="W10" s="46"/>
    </row>
    <row r="11" spans="1:24">
      <c r="A11" s="46"/>
      <c r="B11" s="47"/>
      <c r="C11" s="46"/>
      <c r="D11" s="46" t="s">
        <v>173</v>
      </c>
      <c r="E11" s="46"/>
      <c r="F11" s="46">
        <v>63312</v>
      </c>
      <c r="G11" s="46">
        <v>416.6</v>
      </c>
      <c r="H11" s="46">
        <v>727.3</v>
      </c>
      <c r="I11" s="46">
        <f t="shared" si="0"/>
        <v>6580.1111953500131</v>
      </c>
      <c r="J11" s="46"/>
      <c r="K11" s="46"/>
      <c r="L11" s="46"/>
      <c r="M11" s="46"/>
      <c r="N11" s="46"/>
      <c r="O11" s="46"/>
      <c r="P11" s="46"/>
      <c r="Q11" s="52"/>
      <c r="R11" s="52"/>
      <c r="S11" s="46"/>
      <c r="T11" s="52"/>
      <c r="U11" s="52"/>
      <c r="V11" s="46"/>
      <c r="W11" s="46"/>
    </row>
    <row r="12" spans="1:24">
      <c r="A12" s="46"/>
      <c r="B12" s="47"/>
      <c r="C12" s="46"/>
      <c r="D12" s="46" t="s">
        <v>174</v>
      </c>
      <c r="E12" s="46"/>
      <c r="F12" s="46">
        <v>10464</v>
      </c>
      <c r="G12" s="46">
        <v>616.4</v>
      </c>
      <c r="H12" s="46">
        <v>700.3</v>
      </c>
      <c r="I12" s="46">
        <f t="shared" si="0"/>
        <v>58906.727828746174</v>
      </c>
      <c r="J12" s="46"/>
      <c r="K12" s="46"/>
      <c r="L12" s="46"/>
      <c r="M12" s="46"/>
      <c r="N12" s="46"/>
      <c r="O12" s="48"/>
      <c r="P12" s="46"/>
      <c r="Q12" s="52"/>
      <c r="R12" s="52"/>
      <c r="S12" s="46"/>
      <c r="T12" s="52"/>
      <c r="U12" s="52"/>
      <c r="V12" s="46"/>
      <c r="W12" s="46"/>
    </row>
    <row r="13" spans="1:24">
      <c r="A13" s="46"/>
      <c r="B13" s="4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52"/>
      <c r="U13" s="52"/>
      <c r="V13" s="46"/>
      <c r="W13" s="46"/>
    </row>
    <row r="14" spans="1:24">
      <c r="A14" s="46"/>
      <c r="B14" s="47"/>
      <c r="C14" s="46"/>
      <c r="D14" s="46" t="s">
        <v>184</v>
      </c>
      <c r="E14" s="46"/>
      <c r="F14" s="46"/>
      <c r="G14" s="46">
        <v>121073.60000000001</v>
      </c>
      <c r="H14" s="46">
        <v>140826.70000000001</v>
      </c>
      <c r="I14" s="46" t="e">
        <f>(G14*1000000)/F14</f>
        <v>#DIV/0!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4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4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>
      <c r="A17" s="46"/>
      <c r="B17" s="47"/>
      <c r="C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>
      <c r="A20" s="46"/>
      <c r="B20" s="47"/>
      <c r="C20" s="46"/>
      <c r="D20" s="39" t="s">
        <v>269</v>
      </c>
      <c r="E20" s="46"/>
      <c r="F20" s="46" t="s">
        <v>286</v>
      </c>
      <c r="G20" t="s">
        <v>287</v>
      </c>
      <c r="H20" s="46" t="s">
        <v>288</v>
      </c>
      <c r="I20" s="46" t="s">
        <v>289</v>
      </c>
      <c r="J20" s="46" t="s">
        <v>290</v>
      </c>
      <c r="K20" s="46"/>
      <c r="L20" s="46" t="s">
        <v>294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A21" s="46"/>
      <c r="B21" s="47"/>
      <c r="C21" s="46"/>
      <c r="E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>
      <c r="A22" s="46"/>
      <c r="B22" s="47"/>
      <c r="C22" s="46"/>
      <c r="D22" s="46" t="s">
        <v>163</v>
      </c>
      <c r="E22" s="46"/>
      <c r="F22" s="46">
        <f>Transport_numbers!G$25*1000</f>
        <v>14778000</v>
      </c>
      <c r="G22" s="46">
        <f>$I$7</f>
        <v>12441.563275011045</v>
      </c>
      <c r="H22" s="46">
        <v>0.476190476190476</v>
      </c>
      <c r="I22" s="46">
        <f>G22/H22</f>
        <v>26127.282877523205</v>
      </c>
      <c r="J22" s="46">
        <f>I22*F22</f>
        <v>386108986364.0379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>
      <c r="A23" s="46"/>
      <c r="B23" s="47"/>
      <c r="C23" s="46"/>
      <c r="D23" s="46" t="s">
        <v>164</v>
      </c>
      <c r="E23" s="46"/>
      <c r="F23" s="46">
        <f>Transport_numbers!H$25*1000</f>
        <v>15922000</v>
      </c>
      <c r="G23" s="46">
        <f t="shared" ref="G23:G27" si="1">$I$7</f>
        <v>12441.563275011045</v>
      </c>
      <c r="H23" s="46">
        <v>0.52631578947368396</v>
      </c>
      <c r="I23" s="46">
        <f t="shared" ref="I23:I26" si="2">G23/H23</f>
        <v>23638.970222520999</v>
      </c>
      <c r="J23" s="46">
        <f t="shared" ref="J23:J27" si="3">I23*F23</f>
        <v>376379683882.97931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>
      <c r="A24" s="46"/>
      <c r="B24" s="47"/>
      <c r="C24" s="46"/>
      <c r="D24" s="46" t="s">
        <v>175</v>
      </c>
      <c r="E24" s="46"/>
      <c r="F24" s="46">
        <f>Transport_numbers!I$25*1000</f>
        <v>145000</v>
      </c>
      <c r="G24" s="46">
        <f t="shared" si="1"/>
        <v>12441.563275011045</v>
      </c>
      <c r="H24" s="46">
        <v>0.5</v>
      </c>
      <c r="I24" s="46">
        <f t="shared" si="2"/>
        <v>24883.126550022091</v>
      </c>
      <c r="J24" s="46">
        <f t="shared" si="3"/>
        <v>3608053349.7532029</v>
      </c>
      <c r="K24" s="46"/>
      <c r="L24" s="46" t="s">
        <v>243</v>
      </c>
      <c r="M24" s="46" t="s">
        <v>244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>
      <c r="A25" s="39"/>
      <c r="B25" s="40"/>
      <c r="C25" s="46"/>
      <c r="D25" s="46" t="s">
        <v>218</v>
      </c>
      <c r="E25" s="46"/>
      <c r="F25" s="46">
        <f>Transport_numbers!J$25*1000</f>
        <v>3000</v>
      </c>
      <c r="G25" s="46">
        <f t="shared" si="1"/>
        <v>12441.563275011045</v>
      </c>
      <c r="H25" s="46">
        <v>1.5384615384615401</v>
      </c>
      <c r="I25" s="46">
        <f t="shared" si="2"/>
        <v>8087.0161287571709</v>
      </c>
      <c r="J25" s="46">
        <f t="shared" si="3"/>
        <v>24261048.386271514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>
      <c r="A26" s="46"/>
      <c r="B26" s="47"/>
      <c r="C26" s="46"/>
      <c r="D26" s="46" t="s">
        <v>177</v>
      </c>
      <c r="E26" s="46"/>
      <c r="F26" s="46" t="e">
        <f>Transport_numbers!K$25*1000</f>
        <v>#VALUE!</v>
      </c>
      <c r="G26" s="46">
        <f t="shared" si="1"/>
        <v>12441.563275011045</v>
      </c>
      <c r="H26" s="46">
        <v>0.476190476190476</v>
      </c>
      <c r="I26" s="46">
        <f t="shared" si="2"/>
        <v>26127.282877523205</v>
      </c>
      <c r="J26" s="46" t="e">
        <f t="shared" si="3"/>
        <v>#VALUE!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>
      <c r="A27" s="46"/>
      <c r="B27" s="47"/>
      <c r="C27" s="46"/>
      <c r="D27" s="46" t="s">
        <v>219</v>
      </c>
      <c r="E27" s="46"/>
      <c r="F27" s="46">
        <f>Transport_numbers!L$25*1000</f>
        <v>9000</v>
      </c>
      <c r="G27" s="46">
        <f t="shared" si="1"/>
        <v>12441.563275011045</v>
      </c>
      <c r="H27" s="46"/>
      <c r="I27" s="46">
        <v>0</v>
      </c>
      <c r="J27" s="46">
        <f t="shared" si="3"/>
        <v>0</v>
      </c>
      <c r="K27" s="46"/>
      <c r="L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>
      <c r="A28" s="46"/>
      <c r="B28" s="4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>
      <c r="A29" s="46"/>
      <c r="B29" s="47"/>
      <c r="C29" s="46"/>
      <c r="D29" s="46" t="s">
        <v>217</v>
      </c>
      <c r="E29" s="46"/>
      <c r="F29" s="46"/>
      <c r="G29" s="46"/>
      <c r="H29" s="46"/>
      <c r="I29" s="46"/>
      <c r="J29" s="46" t="e">
        <f>SUM(J22:J27)</f>
        <v>#VALUE!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>
      <c r="A30" s="39"/>
      <c r="B30" s="4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>
      <c r="A32" s="46"/>
      <c r="B32" s="47"/>
      <c r="C32" s="59" t="s">
        <v>274</v>
      </c>
      <c r="D32" s="39" t="s">
        <v>270</v>
      </c>
      <c r="E32" s="46"/>
      <c r="F32" s="46" t="s">
        <v>286</v>
      </c>
      <c r="G32" t="s">
        <v>287</v>
      </c>
      <c r="H32" s="46" t="s">
        <v>288</v>
      </c>
      <c r="I32" s="46" t="s">
        <v>289</v>
      </c>
      <c r="J32" s="46" t="s">
        <v>290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>
      <c r="A33" s="46"/>
      <c r="B33" s="47"/>
      <c r="C33" s="59" t="s">
        <v>275</v>
      </c>
      <c r="D33" s="46"/>
      <c r="E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>
      <c r="A34" s="46"/>
      <c r="B34" s="47"/>
      <c r="C34" s="59" t="s">
        <v>276</v>
      </c>
      <c r="D34" s="46" t="s">
        <v>163</v>
      </c>
      <c r="E34" s="46"/>
      <c r="F34" s="46">
        <f>Transport_numbers!G$38</f>
        <v>149345</v>
      </c>
      <c r="G34" s="46">
        <f>$I$8</f>
        <v>18815.532837171519</v>
      </c>
      <c r="H34" s="46">
        <f>(1-0.0907314815)*H35</f>
        <v>0.43298500880952379</v>
      </c>
      <c r="I34" s="46">
        <f>G34/H34</f>
        <v>43455.390958925178</v>
      </c>
      <c r="J34" s="46">
        <f>I34*F34</f>
        <v>6489845362.7606812</v>
      </c>
      <c r="K34" s="46" t="s">
        <v>206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>
      <c r="A35" s="46"/>
      <c r="B35" s="47"/>
      <c r="C35" s="46"/>
      <c r="D35" s="46" t="s">
        <v>164</v>
      </c>
      <c r="E35" s="46"/>
      <c r="F35" s="63">
        <f>Transport_numbers!H$38</f>
        <v>5215886</v>
      </c>
      <c r="G35" s="46">
        <f t="shared" ref="G35:G41" si="4">$I$8</f>
        <v>18815.532837171519</v>
      </c>
      <c r="H35" s="46">
        <f>1/2.1</f>
        <v>0.47619047619047616</v>
      </c>
      <c r="I35" s="46">
        <f t="shared" ref="I35:I38" si="5">G35/H35</f>
        <v>39512.618958060193</v>
      </c>
      <c r="J35" s="46">
        <f t="shared" ref="J35:J39" si="6">I35*F35</f>
        <v>206093316046.68076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>
      <c r="A36" s="46"/>
      <c r="B36" s="47"/>
      <c r="C36" s="46"/>
      <c r="D36" s="46" t="s">
        <v>175</v>
      </c>
      <c r="E36" s="46"/>
      <c r="F36" s="46">
        <f>Transport_numbers!I$38</f>
        <v>12399</v>
      </c>
      <c r="G36" s="46">
        <f t="shared" si="4"/>
        <v>18815.532837171519</v>
      </c>
      <c r="H36" s="46">
        <f>H24*AVERAGE((H34/H22),(H35/H23),(H38/H26))</f>
        <v>0.45385355539213584</v>
      </c>
      <c r="I36" s="46">
        <f t="shared" si="5"/>
        <v>41457.277603377224</v>
      </c>
      <c r="J36" s="46">
        <f t="shared" si="6"/>
        <v>514028785.00427419</v>
      </c>
      <c r="K36" s="46" t="s">
        <v>213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>
      <c r="A37" s="46"/>
      <c r="B37" s="47"/>
      <c r="C37" s="46"/>
      <c r="D37" s="46" t="s">
        <v>218</v>
      </c>
      <c r="E37" s="46"/>
      <c r="F37" s="46">
        <f>Transport_numbers!J$38</f>
        <v>5622</v>
      </c>
      <c r="G37" s="46">
        <f t="shared" si="4"/>
        <v>18815.532837171519</v>
      </c>
      <c r="H37" s="46">
        <f>H25*AVERAGE((H34/H22),(H35/H23),(H38/H26))</f>
        <v>1.3964724781296503</v>
      </c>
      <c r="I37" s="46">
        <f t="shared" si="5"/>
        <v>13473.615221097583</v>
      </c>
      <c r="J37" s="46">
        <f t="shared" si="6"/>
        <v>75748664.773010612</v>
      </c>
      <c r="K37" s="46" t="s">
        <v>213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>
      <c r="A38" s="46"/>
      <c r="B38" s="47"/>
      <c r="C38" s="46"/>
      <c r="D38" s="46" t="s">
        <v>177</v>
      </c>
      <c r="E38" s="46"/>
      <c r="F38" s="46">
        <f>Transport_numbers!K$38</f>
        <v>1330</v>
      </c>
      <c r="G38" s="46">
        <f t="shared" si="4"/>
        <v>18815.532837171519</v>
      </c>
      <c r="H38" s="46">
        <f>1/2.31</f>
        <v>0.4329004329004329</v>
      </c>
      <c r="I38" s="46">
        <f t="shared" si="5"/>
        <v>43463.880853866205</v>
      </c>
      <c r="J38" s="46">
        <f t="shared" si="6"/>
        <v>57806961.53564205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A39" s="46"/>
      <c r="B39" s="47"/>
      <c r="C39" s="46"/>
      <c r="D39" s="46" t="s">
        <v>219</v>
      </c>
      <c r="E39" s="46"/>
      <c r="F39" s="46">
        <f>Transport_numbers!L$38</f>
        <v>2309</v>
      </c>
      <c r="G39" s="46">
        <f t="shared" si="4"/>
        <v>18815.532837171519</v>
      </c>
      <c r="H39" s="46">
        <v>0</v>
      </c>
      <c r="I39" s="46">
        <v>0</v>
      </c>
      <c r="J39" s="46">
        <f t="shared" si="6"/>
        <v>0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3">
      <c r="A40" s="46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>
      <c r="A41" s="46"/>
      <c r="B41" s="47"/>
      <c r="C41" s="46"/>
      <c r="D41" s="46" t="s">
        <v>217</v>
      </c>
      <c r="E41" s="46"/>
      <c r="F41" s="46">
        <f>Transport_numbers!F$38</f>
        <v>5405456</v>
      </c>
      <c r="G41" s="46">
        <f t="shared" si="4"/>
        <v>18815.532837171519</v>
      </c>
      <c r="H41" s="46"/>
      <c r="I41" s="46" t="e">
        <f>G41/H41</f>
        <v>#DIV/0!</v>
      </c>
      <c r="J41" s="46" t="e">
        <f>I41*F41</f>
        <v>#DIV/0!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>
      <c r="A43" s="46"/>
      <c r="B43" s="4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>
      <c r="A44" s="56"/>
      <c r="B44" s="57"/>
      <c r="C44" s="46"/>
      <c r="D44" s="39" t="s">
        <v>280</v>
      </c>
      <c r="E44" s="46"/>
      <c r="F44" s="46" t="s">
        <v>286</v>
      </c>
      <c r="G44" t="s">
        <v>287</v>
      </c>
      <c r="H44" s="46" t="s">
        <v>288</v>
      </c>
      <c r="I44" s="46" t="s">
        <v>289</v>
      </c>
      <c r="J44" s="46" t="s">
        <v>290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>
      <c r="A45" s="52"/>
      <c r="B45" s="58"/>
      <c r="C45" s="46"/>
      <c r="D45" s="46"/>
      <c r="E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>
      <c r="A46" s="52"/>
      <c r="B46" s="58"/>
      <c r="C46" s="46"/>
      <c r="D46" s="46" t="s">
        <v>163</v>
      </c>
      <c r="E46" s="46"/>
      <c r="F46" s="46">
        <v>0</v>
      </c>
      <c r="G46" s="46">
        <f>$I$9</f>
        <v>30790.211040896625</v>
      </c>
      <c r="H46" s="46">
        <v>9.6522852639873896E-2</v>
      </c>
      <c r="I46" s="46">
        <f>G46/H46</f>
        <v>318994.00192589307</v>
      </c>
      <c r="J46" s="46">
        <f>I46*F46</f>
        <v>0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>
      <c r="A47" s="52"/>
      <c r="B47" s="58"/>
      <c r="C47" s="46"/>
      <c r="D47" s="46" t="s">
        <v>164</v>
      </c>
      <c r="E47" s="46"/>
      <c r="F47" s="46">
        <v>0</v>
      </c>
      <c r="G47" s="46">
        <f t="shared" ref="G47:G53" si="7">$I$9</f>
        <v>30790.211040896625</v>
      </c>
      <c r="H47" s="46">
        <v>0.10638297872340401</v>
      </c>
      <c r="I47" s="46">
        <f t="shared" ref="I47:I51" si="8">G47/H47</f>
        <v>289427.98378442897</v>
      </c>
      <c r="J47" s="46">
        <f t="shared" ref="J47:J51" si="9">I47*F47</f>
        <v>0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>
      <c r="A48" s="52"/>
      <c r="B48" s="58"/>
      <c r="C48" s="46"/>
      <c r="D48" s="46" t="s">
        <v>175</v>
      </c>
      <c r="E48" s="46"/>
      <c r="F48" s="46">
        <v>0</v>
      </c>
      <c r="G48" s="46">
        <f t="shared" si="7"/>
        <v>30790.211040896625</v>
      </c>
      <c r="H48" s="46"/>
      <c r="I48" s="46" t="e">
        <f t="shared" si="8"/>
        <v>#DIV/0!</v>
      </c>
      <c r="J48" s="46" t="e">
        <f t="shared" si="9"/>
        <v>#DIV/0!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>
      <c r="A49" s="56"/>
      <c r="B49" s="57"/>
      <c r="C49" s="46"/>
      <c r="D49" s="46" t="s">
        <v>218</v>
      </c>
      <c r="E49" s="46"/>
      <c r="F49" s="46">
        <v>0</v>
      </c>
      <c r="G49" s="46">
        <f t="shared" si="7"/>
        <v>30790.211040896625</v>
      </c>
      <c r="H49" s="46">
        <v>0.19157088122605401</v>
      </c>
      <c r="I49" s="46">
        <f t="shared" si="8"/>
        <v>160724.90163348007</v>
      </c>
      <c r="J49" s="46">
        <f t="shared" si="9"/>
        <v>0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>
      <c r="A50" s="52"/>
      <c r="B50" s="58"/>
      <c r="C50" s="46"/>
      <c r="D50" s="46" t="s">
        <v>177</v>
      </c>
      <c r="E50" s="46"/>
      <c r="F50" s="46">
        <v>0</v>
      </c>
      <c r="G50" s="46">
        <f t="shared" si="7"/>
        <v>30790.211040896625</v>
      </c>
      <c r="H50" s="46">
        <v>0.10638297872340401</v>
      </c>
      <c r="I50" s="46">
        <f t="shared" si="8"/>
        <v>289427.98378442897</v>
      </c>
      <c r="J50" s="46">
        <f t="shared" si="9"/>
        <v>0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>
      <c r="A51" s="52"/>
      <c r="B51" s="58"/>
      <c r="C51" s="46"/>
      <c r="D51" s="46" t="s">
        <v>219</v>
      </c>
      <c r="E51" s="46"/>
      <c r="F51" s="46">
        <v>0</v>
      </c>
      <c r="G51" s="46">
        <f t="shared" si="7"/>
        <v>30790.211040896625</v>
      </c>
      <c r="H51" s="46"/>
      <c r="I51" s="46" t="e">
        <f t="shared" si="8"/>
        <v>#DIV/0!</v>
      </c>
      <c r="J51" s="46" t="e">
        <f t="shared" si="9"/>
        <v>#DIV/0!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>
      <c r="A52" s="52"/>
      <c r="B52" s="5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>
      <c r="A53" s="52"/>
      <c r="B53" s="58"/>
      <c r="C53" s="46"/>
      <c r="D53" s="46" t="s">
        <v>217</v>
      </c>
      <c r="E53" s="46"/>
      <c r="F53" s="46">
        <v>0</v>
      </c>
      <c r="G53" s="46">
        <f t="shared" si="7"/>
        <v>30790.211040896625</v>
      </c>
      <c r="H53" s="46"/>
      <c r="I53" s="46" t="e">
        <f>G53/H53</f>
        <v>#DIV/0!</v>
      </c>
      <c r="J53" s="46" t="e">
        <f>I53*F53</f>
        <v>#DIV/0!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>
      <c r="A54" s="52"/>
      <c r="B54" s="58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>
      <c r="A55" s="52"/>
      <c r="B55" s="5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>
      <c r="A56" s="52"/>
      <c r="B56" s="58"/>
      <c r="C56" s="46"/>
      <c r="D56" s="39" t="s">
        <v>271</v>
      </c>
      <c r="E56" s="46"/>
      <c r="F56" s="46" t="s">
        <v>286</v>
      </c>
      <c r="G56" t="s">
        <v>287</v>
      </c>
      <c r="H56" s="46" t="s">
        <v>288</v>
      </c>
      <c r="I56" s="46" t="s">
        <v>289</v>
      </c>
      <c r="J56" s="46" t="s">
        <v>290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>
      <c r="A57" s="52"/>
      <c r="B57" s="58"/>
      <c r="C57" s="46"/>
      <c r="D57" s="46"/>
      <c r="E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>
      <c r="A58" s="52"/>
      <c r="B58" s="58"/>
      <c r="C58" s="46"/>
      <c r="D58" s="46" t="s">
        <v>163</v>
      </c>
      <c r="E58" s="46"/>
      <c r="F58" s="46">
        <f>Transport_numbers!G62</f>
        <v>2</v>
      </c>
      <c r="G58" s="46">
        <f t="shared" ref="G58:G62" si="10">$I$10</f>
        <v>54460.253897929622</v>
      </c>
      <c r="H58" s="46">
        <f>H59*(1-0.0907314815)</f>
        <v>7.3328106330645154E-2</v>
      </c>
      <c r="I58" s="46">
        <f>G58/H58</f>
        <v>742692.76302270591</v>
      </c>
      <c r="J58" s="46">
        <f>I58*F58</f>
        <v>1485385.5260454118</v>
      </c>
      <c r="K58" s="46" t="s">
        <v>206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>
      <c r="A59" s="52"/>
      <c r="B59" s="58"/>
      <c r="C59" s="46"/>
      <c r="D59" s="46" t="s">
        <v>164</v>
      </c>
      <c r="E59" s="46"/>
      <c r="F59" s="63">
        <f>Transport_numbers!H62</f>
        <v>198744</v>
      </c>
      <c r="G59" s="46">
        <f t="shared" si="10"/>
        <v>54460.253897929622</v>
      </c>
      <c r="H59" s="46">
        <f>1/12.4</f>
        <v>8.0645161290322578E-2</v>
      </c>
      <c r="I59" s="46">
        <f t="shared" ref="I59:I63" si="11">G59/H59</f>
        <v>675307.14833432739</v>
      </c>
      <c r="J59" s="46">
        <f t="shared" ref="J59:J63" si="12">I59*F59</f>
        <v>134213243888.55756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>
      <c r="A60" s="52"/>
      <c r="B60" s="58"/>
      <c r="C60" s="46"/>
      <c r="D60" s="46" t="s">
        <v>225</v>
      </c>
      <c r="E60" s="46"/>
      <c r="F60" s="63">
        <f>Transport_numbers!I62</f>
        <v>129</v>
      </c>
      <c r="G60" s="46">
        <f>$I$10</f>
        <v>54460.253897929622</v>
      </c>
      <c r="H60" s="46"/>
      <c r="I60" s="46" t="e">
        <f t="shared" si="11"/>
        <v>#DIV/0!</v>
      </c>
      <c r="J60" s="46" t="e">
        <f t="shared" si="12"/>
        <v>#DIV/0!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>
      <c r="A61" s="52"/>
      <c r="B61" s="58"/>
      <c r="C61" s="46"/>
      <c r="D61" s="46"/>
      <c r="E61" s="46"/>
      <c r="F61" s="46">
        <v>0</v>
      </c>
      <c r="G61" s="46">
        <f t="shared" si="10"/>
        <v>54460.253897929622</v>
      </c>
      <c r="H61" s="46"/>
      <c r="I61" s="46" t="e">
        <f t="shared" si="11"/>
        <v>#DIV/0!</v>
      </c>
      <c r="J61" s="46" t="e">
        <f t="shared" si="12"/>
        <v>#DIV/0!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>
      <c r="A62" s="52"/>
      <c r="B62" s="58"/>
      <c r="C62" s="46"/>
      <c r="D62" s="46"/>
      <c r="E62" s="46"/>
      <c r="F62" s="46">
        <v>0</v>
      </c>
      <c r="G62" s="46">
        <f t="shared" si="10"/>
        <v>54460.253897929622</v>
      </c>
      <c r="H62" s="46"/>
      <c r="I62" s="46" t="e">
        <f t="shared" si="11"/>
        <v>#DIV/0!</v>
      </c>
      <c r="J62" s="46" t="e">
        <f t="shared" si="12"/>
        <v>#DIV/0!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>
      <c r="A63" s="52"/>
      <c r="B63" s="58"/>
      <c r="C63" s="46"/>
      <c r="D63" s="46"/>
      <c r="E63" s="46"/>
      <c r="F63" s="46">
        <v>0</v>
      </c>
      <c r="G63" s="46">
        <f>$I$10</f>
        <v>54460.253897929622</v>
      </c>
      <c r="H63" s="46"/>
      <c r="I63" s="46" t="e">
        <f t="shared" si="11"/>
        <v>#DIV/0!</v>
      </c>
      <c r="J63" s="46" t="e">
        <f t="shared" si="12"/>
        <v>#DIV/0!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>
      <c r="A64" s="56"/>
      <c r="B64" s="5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>
      <c r="A65" s="52"/>
      <c r="B65" s="58"/>
      <c r="C65" s="46"/>
      <c r="D65" s="46" t="s">
        <v>217</v>
      </c>
      <c r="E65" s="46"/>
      <c r="F65" s="46"/>
      <c r="G65" s="46">
        <f t="shared" ref="G65" si="13">$I$10</f>
        <v>54460.253897929622</v>
      </c>
      <c r="H65" s="46"/>
      <c r="I65" s="46" t="e">
        <f>G65/H65</f>
        <v>#DIV/0!</v>
      </c>
      <c r="J65" s="46" t="e">
        <f>I65*F65</f>
        <v>#DIV/0!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>
      <c r="A66" s="52"/>
      <c r="B66" s="58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>
      <c r="A67" s="52"/>
      <c r="B67" s="5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>
      <c r="A68" s="52"/>
      <c r="B68" s="58"/>
      <c r="C68" s="46"/>
      <c r="D68" s="39" t="s">
        <v>227</v>
      </c>
      <c r="E68" s="46"/>
      <c r="F68" s="46" t="s">
        <v>286</v>
      </c>
      <c r="G68" t="s">
        <v>287</v>
      </c>
      <c r="H68" s="46" t="s">
        <v>288</v>
      </c>
      <c r="I68" s="46" t="s">
        <v>289</v>
      </c>
      <c r="J68" s="46" t="s">
        <v>290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>
      <c r="A69" s="56"/>
      <c r="B69" s="57"/>
      <c r="C69" s="46"/>
      <c r="D69" s="46"/>
      <c r="E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>
      <c r="A70" s="52"/>
      <c r="B70" s="58"/>
      <c r="C70" s="46"/>
      <c r="D70" s="46" t="s">
        <v>163</v>
      </c>
      <c r="E70" s="46"/>
      <c r="F70" s="46">
        <f>$F$77*NL!F70/(NL!$F$70+NL!$F$71)</f>
        <v>0</v>
      </c>
      <c r="G70" s="46">
        <f>$I$11</f>
        <v>6580.1111953500131</v>
      </c>
      <c r="H70" s="46"/>
      <c r="I70" s="46" t="e">
        <f>G70/H70</f>
        <v>#DIV/0!</v>
      </c>
      <c r="J70" s="46" t="e">
        <f>I70*F70</f>
        <v>#DIV/0!</v>
      </c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>
      <c r="A71" s="52"/>
      <c r="B71" s="58"/>
      <c r="C71" s="46"/>
      <c r="D71" s="46" t="s">
        <v>164</v>
      </c>
      <c r="E71" s="46"/>
      <c r="F71" s="46">
        <f>$F$77*NL!F71/(NL!$F$70+NL!$F$71)</f>
        <v>0</v>
      </c>
      <c r="G71" s="46">
        <f t="shared" ref="G71:G77" si="14">$I$11</f>
        <v>6580.1111953500131</v>
      </c>
      <c r="H71" s="46"/>
      <c r="I71" s="46" t="e">
        <f t="shared" ref="I71:I75" si="15">G71/H71</f>
        <v>#DIV/0!</v>
      </c>
      <c r="J71" s="46" t="e">
        <f t="shared" ref="J71:J75" si="16">I71*F71</f>
        <v>#DIV/0!</v>
      </c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>
      <c r="A72" s="52"/>
      <c r="B72" s="58"/>
      <c r="C72" s="46"/>
      <c r="D72" s="46" t="s">
        <v>225</v>
      </c>
      <c r="E72" s="46"/>
      <c r="F72" s="46">
        <v>0</v>
      </c>
      <c r="G72" s="46">
        <f t="shared" si="14"/>
        <v>6580.1111953500131</v>
      </c>
      <c r="H72" s="46"/>
      <c r="I72" s="46" t="e">
        <f t="shared" si="15"/>
        <v>#DIV/0!</v>
      </c>
      <c r="J72" s="46" t="e">
        <f t="shared" si="16"/>
        <v>#DIV/0!</v>
      </c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>
      <c r="A73" s="52"/>
      <c r="B73" s="58"/>
      <c r="C73" s="46"/>
      <c r="D73" s="46"/>
      <c r="E73" s="46"/>
      <c r="F73" s="46">
        <v>0</v>
      </c>
      <c r="G73" s="46">
        <f t="shared" si="14"/>
        <v>6580.1111953500131</v>
      </c>
      <c r="H73" s="46"/>
      <c r="I73" s="46" t="e">
        <f t="shared" si="15"/>
        <v>#DIV/0!</v>
      </c>
      <c r="J73" s="46" t="e">
        <f t="shared" si="16"/>
        <v>#DIV/0!</v>
      </c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>
      <c r="A74" s="52"/>
      <c r="B74" s="58"/>
      <c r="C74" s="46"/>
      <c r="D74" s="46"/>
      <c r="E74" s="46"/>
      <c r="F74" s="46">
        <v>0</v>
      </c>
      <c r="G74" s="46">
        <f t="shared" si="14"/>
        <v>6580.1111953500131</v>
      </c>
      <c r="H74" s="46"/>
      <c r="I74" s="46" t="e">
        <f t="shared" si="15"/>
        <v>#DIV/0!</v>
      </c>
      <c r="J74" s="46" t="e">
        <f t="shared" si="16"/>
        <v>#DIV/0!</v>
      </c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>
      <c r="A75" s="52"/>
      <c r="B75" s="58"/>
      <c r="C75" s="46"/>
      <c r="D75" s="46"/>
      <c r="E75" s="46"/>
      <c r="F75" s="46">
        <v>0</v>
      </c>
      <c r="G75" s="46">
        <f t="shared" si="14"/>
        <v>6580.1111953500131</v>
      </c>
      <c r="H75" s="46"/>
      <c r="I75" s="46" t="e">
        <f t="shared" si="15"/>
        <v>#DIV/0!</v>
      </c>
      <c r="J75" s="46" t="e">
        <f t="shared" si="16"/>
        <v>#DIV/0!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>
      <c r="A76" s="52"/>
      <c r="B76" s="58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>
      <c r="A77" s="56"/>
      <c r="B77" s="57"/>
      <c r="C77" s="46"/>
      <c r="D77" s="46" t="s">
        <v>217</v>
      </c>
      <c r="E77" s="46"/>
      <c r="F77" s="46">
        <f>Transport_numbers!F74</f>
        <v>0</v>
      </c>
      <c r="G77" s="46">
        <f t="shared" si="14"/>
        <v>6580.1111953500131</v>
      </c>
      <c r="H77" s="46"/>
      <c r="I77" s="46" t="e">
        <f>G77/H77</f>
        <v>#DIV/0!</v>
      </c>
      <c r="J77" s="46" t="e">
        <f>I77*F77</f>
        <v>#DIV/0!</v>
      </c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>
      <c r="A78" s="52"/>
      <c r="B78" s="58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>
      <c r="A79" s="52"/>
      <c r="B79" s="5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>
      <c r="A80" s="52"/>
      <c r="B80" s="58"/>
      <c r="C80" s="46"/>
      <c r="D80" s="39" t="s">
        <v>174</v>
      </c>
      <c r="E80" s="46"/>
      <c r="F80" s="46" t="s">
        <v>286</v>
      </c>
      <c r="G80" t="s">
        <v>287</v>
      </c>
      <c r="H80" s="46" t="s">
        <v>288</v>
      </c>
      <c r="I80" s="46" t="s">
        <v>289</v>
      </c>
      <c r="J80" s="46" t="s">
        <v>290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>
      <c r="A81" s="52"/>
      <c r="B81" s="58"/>
      <c r="C81" s="46"/>
      <c r="D81" s="46"/>
      <c r="E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>
      <c r="A82" s="56"/>
      <c r="B82" s="57"/>
      <c r="C82" s="46"/>
      <c r="D82" s="46" t="s">
        <v>163</v>
      </c>
      <c r="E82" s="46"/>
      <c r="F82" s="64">
        <f>Transport_numbers!G$86</f>
        <v>107</v>
      </c>
      <c r="G82" s="46">
        <f>$I$12</f>
        <v>58906.727828746174</v>
      </c>
      <c r="H82" s="46">
        <f>(1-0.0907314815)*H83</f>
        <v>7.9760396359649113E-2</v>
      </c>
      <c r="I82" s="46">
        <f>G82/H82</f>
        <v>738546.0769669289</v>
      </c>
      <c r="J82" s="46">
        <f>I82*F82</f>
        <v>79024430.235461399</v>
      </c>
      <c r="K82" s="46" t="s">
        <v>206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>
      <c r="A83" s="52"/>
      <c r="B83" s="58"/>
      <c r="C83" s="46"/>
      <c r="D83" s="46" t="s">
        <v>164</v>
      </c>
      <c r="E83" s="46"/>
      <c r="F83" s="64">
        <f>Transport_numbers!H$86</f>
        <v>87535</v>
      </c>
      <c r="G83" s="46">
        <f t="shared" ref="G83:G89" si="17">$I$12</f>
        <v>58906.727828746174</v>
      </c>
      <c r="H83" s="46">
        <f>1/11.4</f>
        <v>8.771929824561403E-2</v>
      </c>
      <c r="I83" s="46">
        <f t="shared" ref="I83:I87" si="18">G83/H83</f>
        <v>671536.69724770647</v>
      </c>
      <c r="J83" s="46">
        <f t="shared" ref="J83:J87" si="19">I83*F83</f>
        <v>58782964793.577988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>
      <c r="A84" s="52"/>
      <c r="B84" s="58"/>
      <c r="C84" s="46"/>
      <c r="D84" s="46"/>
      <c r="E84" s="46"/>
      <c r="F84" s="64">
        <v>0</v>
      </c>
      <c r="G84" s="46">
        <f t="shared" si="17"/>
        <v>58906.727828746174</v>
      </c>
      <c r="H84" s="46"/>
      <c r="I84" s="46" t="e">
        <f t="shared" si="18"/>
        <v>#DIV/0!</v>
      </c>
      <c r="J84" s="46" t="e">
        <f t="shared" si="19"/>
        <v>#DIV/0!</v>
      </c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>
      <c r="A85" s="52"/>
      <c r="B85" s="58"/>
      <c r="C85" s="46"/>
      <c r="D85" s="46"/>
      <c r="E85" s="46"/>
      <c r="F85" s="64">
        <v>0</v>
      </c>
      <c r="G85" s="46">
        <f t="shared" si="17"/>
        <v>58906.727828746174</v>
      </c>
      <c r="H85" s="46">
        <f>1/5</f>
        <v>0.2</v>
      </c>
      <c r="I85" s="46">
        <f t="shared" si="18"/>
        <v>294533.63914373086</v>
      </c>
      <c r="J85" s="46">
        <f t="shared" si="19"/>
        <v>0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>
      <c r="A86" s="52"/>
      <c r="B86" s="58"/>
      <c r="C86" s="46"/>
      <c r="D86" s="46"/>
      <c r="E86" s="46"/>
      <c r="F86" s="64">
        <v>0</v>
      </c>
      <c r="G86" s="46">
        <f t="shared" si="17"/>
        <v>58906.727828746174</v>
      </c>
      <c r="H86" s="46">
        <f>1/10.26</f>
        <v>9.7465886939571159E-2</v>
      </c>
      <c r="I86" s="46">
        <f t="shared" si="18"/>
        <v>604383.02752293565</v>
      </c>
      <c r="J86" s="46">
        <f t="shared" si="19"/>
        <v>0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>
      <c r="A87" s="52"/>
      <c r="B87" s="58"/>
      <c r="C87" s="46"/>
      <c r="D87" s="46"/>
      <c r="E87" s="46"/>
      <c r="F87" s="64">
        <v>0</v>
      </c>
      <c r="G87" s="46">
        <f t="shared" si="17"/>
        <v>58906.727828746174</v>
      </c>
      <c r="H87" s="46"/>
      <c r="I87" s="46" t="e">
        <f t="shared" si="18"/>
        <v>#DIV/0!</v>
      </c>
      <c r="J87" s="46" t="e">
        <f t="shared" si="19"/>
        <v>#DIV/0!</v>
      </c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>
      <c r="A88" s="52"/>
      <c r="B88" s="58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>
      <c r="A89" s="52"/>
      <c r="B89" s="58"/>
      <c r="C89" s="46"/>
      <c r="D89" s="46" t="s">
        <v>217</v>
      </c>
      <c r="E89" s="46"/>
      <c r="F89" s="64">
        <f>SUM(F82:F87)</f>
        <v>87642</v>
      </c>
      <c r="G89" s="46">
        <f t="shared" si="17"/>
        <v>58906.727828746174</v>
      </c>
      <c r="H89" s="46"/>
      <c r="I89" s="46" t="e">
        <f>G89/H89</f>
        <v>#DIV/0!</v>
      </c>
      <c r="J89" s="46" t="e">
        <f>I89*F89</f>
        <v>#DIV/0!</v>
      </c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>
      <c r="A91" s="52"/>
      <c r="B91" s="58"/>
      <c r="C91" s="46"/>
      <c r="D91" s="46" t="s">
        <v>277</v>
      </c>
      <c r="E91" s="46"/>
      <c r="F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>
      <c r="A92" s="52"/>
      <c r="B92" s="58"/>
      <c r="C92" s="46"/>
      <c r="D92" s="46" t="s">
        <v>278</v>
      </c>
      <c r="E92" s="46"/>
      <c r="G92" s="46"/>
      <c r="H92" s="46"/>
      <c r="I92" s="46"/>
      <c r="J92" s="46"/>
      <c r="K92" s="46"/>
      <c r="L92" s="46"/>
      <c r="M92" s="46"/>
      <c r="N92" s="46" t="s">
        <v>215</v>
      </c>
      <c r="O92" s="46"/>
      <c r="P92" s="46"/>
      <c r="Q92" s="46"/>
      <c r="R92" s="46"/>
      <c r="S92" s="46"/>
      <c r="T92" s="46"/>
      <c r="U92" s="46"/>
      <c r="V92" s="46"/>
      <c r="W92" s="46"/>
    </row>
    <row r="93" spans="1:23">
      <c r="A93" s="56"/>
      <c r="B93" s="57"/>
      <c r="C93" s="46"/>
      <c r="D93" s="46" t="s">
        <v>279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>
      <c r="A94" s="52"/>
      <c r="B94" s="58"/>
      <c r="C94" s="46"/>
      <c r="D94" s="46" t="s">
        <v>281</v>
      </c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>
      <c r="A97" s="52"/>
      <c r="B97" s="58"/>
      <c r="C97" s="46"/>
      <c r="D97" s="39" t="s">
        <v>199</v>
      </c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>
      <c r="A98" s="56"/>
      <c r="B98" s="5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>
      <c r="A100" s="52"/>
      <c r="B100" s="58"/>
      <c r="C100" s="46"/>
      <c r="D100" s="39" t="s">
        <v>292</v>
      </c>
      <c r="E100" s="46"/>
      <c r="F100" s="46" t="s">
        <v>207</v>
      </c>
      <c r="G100" s="46"/>
      <c r="H100" s="46"/>
      <c r="I100" s="46" t="s">
        <v>207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>
      <c r="A102" s="52"/>
      <c r="B102" s="58"/>
      <c r="C102" s="46"/>
      <c r="D102" s="46" t="s">
        <v>282</v>
      </c>
      <c r="E102" s="46"/>
      <c r="F102" s="46">
        <f>J22</f>
        <v>386108986364.0379</v>
      </c>
      <c r="G102" s="46"/>
      <c r="H102" s="46" t="s">
        <v>171</v>
      </c>
      <c r="I102" s="46">
        <f>F102</f>
        <v>386108986364.0379</v>
      </c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>
      <c r="A103" s="52"/>
      <c r="B103" s="58"/>
      <c r="C103" s="46"/>
      <c r="D103" s="46" t="s">
        <v>283</v>
      </c>
      <c r="E103" s="46"/>
      <c r="F103" s="46">
        <f>J34</f>
        <v>6489845362.7606812</v>
      </c>
      <c r="G103" s="46"/>
      <c r="H103" s="46" t="s">
        <v>201</v>
      </c>
      <c r="I103" s="46">
        <f>SUM(F103:F107)</f>
        <v>6570355178.5221882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>
      <c r="A104" s="52"/>
      <c r="B104" s="58"/>
      <c r="C104" s="46"/>
      <c r="D104" s="46" t="s">
        <v>280</v>
      </c>
      <c r="E104" s="46"/>
      <c r="F104" s="46">
        <f>J46</f>
        <v>0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>
      <c r="A105" s="52"/>
      <c r="B105" s="58"/>
      <c r="C105" s="46"/>
      <c r="D105" s="46" t="s">
        <v>271</v>
      </c>
      <c r="E105" s="46"/>
      <c r="F105" s="46">
        <f>J58</f>
        <v>1485385.5260454118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>
      <c r="A106" s="52"/>
      <c r="B106" s="58"/>
      <c r="C106" s="46"/>
      <c r="D106" s="46" t="s">
        <v>284</v>
      </c>
      <c r="E106" s="46"/>
      <c r="F106" s="46">
        <v>0</v>
      </c>
      <c r="G106" t="s">
        <v>205</v>
      </c>
      <c r="H106" s="46" t="s">
        <v>202</v>
      </c>
      <c r="I106" s="46">
        <f>I102/(I102+I103)</f>
        <v>0.98326788683939437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>
      <c r="A107" s="52"/>
      <c r="B107" s="58"/>
      <c r="C107" s="46"/>
      <c r="D107" s="46" t="s">
        <v>174</v>
      </c>
      <c r="E107" s="46"/>
      <c r="F107">
        <f>J82</f>
        <v>79024430.235461399</v>
      </c>
      <c r="G107" s="46"/>
      <c r="H107" s="46" t="s">
        <v>203</v>
      </c>
      <c r="I107" s="46">
        <f>1-I106</f>
        <v>1.6732113160605633E-2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>
      <c r="A109" s="56"/>
      <c r="B109" s="57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>
      <c r="A110" s="52"/>
      <c r="B110" s="58"/>
      <c r="C110" s="46"/>
      <c r="D110" s="39" t="s">
        <v>204</v>
      </c>
      <c r="E110" s="46"/>
      <c r="F110" s="46" t="s">
        <v>207</v>
      </c>
      <c r="G110" s="46"/>
      <c r="H110" s="46"/>
      <c r="I110" s="46" t="s">
        <v>207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>
      <c r="A111" s="52"/>
      <c r="B111" s="58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>
      <c r="A112" s="52"/>
      <c r="B112" s="58"/>
      <c r="C112" s="46"/>
      <c r="D112" s="46" t="s">
        <v>282</v>
      </c>
      <c r="E112" s="46"/>
      <c r="F112" s="46">
        <f>J23</f>
        <v>376379683882.97931</v>
      </c>
      <c r="G112" s="46"/>
      <c r="H112" s="46" t="s">
        <v>171</v>
      </c>
      <c r="I112" s="46">
        <f>F112</f>
        <v>376379683882.97931</v>
      </c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>
      <c r="A113" s="52"/>
      <c r="B113" s="58"/>
      <c r="C113" s="46"/>
      <c r="D113" s="46" t="s">
        <v>283</v>
      </c>
      <c r="E113" s="46"/>
      <c r="F113" s="46">
        <f>J35</f>
        <v>206093316046.68076</v>
      </c>
      <c r="G113" s="46"/>
      <c r="H113" s="46" t="s">
        <v>201</v>
      </c>
      <c r="I113" s="46">
        <f>SUM(F113:F117)</f>
        <v>340307231471.93555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>
      <c r="A114" s="56"/>
      <c r="B114" s="57"/>
      <c r="C114" s="46"/>
      <c r="D114" s="46" t="s">
        <v>280</v>
      </c>
      <c r="E114" s="46"/>
      <c r="F114" s="46">
        <f>J47</f>
        <v>0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>
      <c r="A115" s="52"/>
      <c r="B115" s="58"/>
      <c r="C115" s="46"/>
      <c r="D115" s="46" t="s">
        <v>271</v>
      </c>
      <c r="E115" s="46"/>
      <c r="F115" s="46">
        <f>J59</f>
        <v>134213243888.55756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>
      <c r="A116" s="52"/>
      <c r="B116" s="58"/>
      <c r="C116" s="46"/>
      <c r="D116" s="46" t="s">
        <v>284</v>
      </c>
      <c r="E116" s="46"/>
      <c r="F116" s="46">
        <v>0</v>
      </c>
      <c r="G116" t="s">
        <v>205</v>
      </c>
      <c r="H116" s="46" t="s">
        <v>202</v>
      </c>
      <c r="I116" s="46">
        <f>I112/(I112+I113)</f>
        <v>0.52516611622048393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>
      <c r="A117" s="52"/>
      <c r="B117" s="58"/>
      <c r="C117" s="46"/>
      <c r="D117" s="46" t="s">
        <v>174</v>
      </c>
      <c r="E117" s="46"/>
      <c r="F117">
        <f>I83</f>
        <v>671536.69724770647</v>
      </c>
      <c r="G117" s="46"/>
      <c r="H117" s="46" t="s">
        <v>203</v>
      </c>
      <c r="I117" s="46">
        <f>1-I116</f>
        <v>0.47483388377951607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>
      <c r="A118" s="52"/>
      <c r="B118" s="58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>
      <c r="A119" s="52"/>
      <c r="B119" s="58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>
      <c r="A120" s="52"/>
      <c r="B120" s="58"/>
      <c r="C120" s="46"/>
      <c r="D120" s="39" t="s">
        <v>291</v>
      </c>
      <c r="E120" s="46"/>
      <c r="F120" s="46" t="s">
        <v>207</v>
      </c>
      <c r="G120" s="46"/>
      <c r="H120" s="46"/>
      <c r="I120" s="46" t="s">
        <v>207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>
      <c r="A121" s="52"/>
      <c r="B121" s="58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>
      <c r="A122" s="52"/>
      <c r="B122" s="58"/>
      <c r="C122" s="46"/>
      <c r="D122" s="46" t="s">
        <v>282</v>
      </c>
      <c r="E122" s="46"/>
      <c r="F122" s="46">
        <f>J25</f>
        <v>24261048.386271514</v>
      </c>
      <c r="G122" s="46"/>
      <c r="H122" s="46" t="s">
        <v>171</v>
      </c>
      <c r="I122" s="46">
        <f>F122</f>
        <v>24261048.386271514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>
      <c r="A123" s="52"/>
      <c r="B123" s="58"/>
      <c r="C123" s="46"/>
      <c r="D123" s="46" t="s">
        <v>283</v>
      </c>
      <c r="E123" s="46"/>
      <c r="F123" s="46">
        <f>J37</f>
        <v>75748664.773010612</v>
      </c>
      <c r="G123" s="46"/>
      <c r="H123" s="46" t="s">
        <v>201</v>
      </c>
      <c r="I123" s="46">
        <f>SUM(F123:F127)</f>
        <v>75748664.773010612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>
      <c r="A124" s="52"/>
      <c r="B124" s="58"/>
      <c r="C124" s="46"/>
      <c r="D124" s="46" t="s">
        <v>280</v>
      </c>
      <c r="E124" s="46"/>
      <c r="F124" s="46">
        <f>J49</f>
        <v>0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>
      <c r="A125" s="52"/>
      <c r="B125" s="58"/>
      <c r="C125" s="46"/>
      <c r="D125" s="46" t="s">
        <v>271</v>
      </c>
      <c r="E125" s="46"/>
      <c r="F125" s="46">
        <v>0</v>
      </c>
      <c r="G125" s="46" t="s">
        <v>205</v>
      </c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>
      <c r="A126" s="52"/>
      <c r="B126" s="58"/>
      <c r="C126" s="46"/>
      <c r="D126" s="46" t="s">
        <v>284</v>
      </c>
      <c r="E126" s="46"/>
      <c r="F126" s="46">
        <v>0</v>
      </c>
      <c r="G126" t="s">
        <v>205</v>
      </c>
      <c r="H126" s="46" t="s">
        <v>202</v>
      </c>
      <c r="I126" s="46">
        <f>I122/(I122+I123)</f>
        <v>0.24258692100867998</v>
      </c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>
      <c r="A127" s="52"/>
      <c r="B127" s="58"/>
      <c r="C127" s="46"/>
      <c r="D127" s="46" t="s">
        <v>174</v>
      </c>
      <c r="E127" s="46"/>
      <c r="F127">
        <f>J85</f>
        <v>0</v>
      </c>
      <c r="G127" s="46"/>
      <c r="H127" s="46" t="s">
        <v>203</v>
      </c>
      <c r="I127" s="46">
        <f>1-I126</f>
        <v>0.75741307899132004</v>
      </c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>
      <c r="A128" s="52"/>
      <c r="B128" s="58"/>
      <c r="C128" s="46"/>
      <c r="D128" s="46"/>
      <c r="E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>
      <c r="A129" s="56"/>
      <c r="B129" s="57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>
      <c r="A130" s="52"/>
      <c r="B130" s="65"/>
      <c r="C130" s="46"/>
      <c r="D130" s="39" t="s">
        <v>208</v>
      </c>
      <c r="E130" s="46"/>
      <c r="F130" s="46" t="s">
        <v>210</v>
      </c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>
      <c r="A131" s="52"/>
      <c r="B131" s="58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>
      <c r="A132" s="52"/>
      <c r="B132" s="58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>
      <c r="A133" s="52"/>
      <c r="B133" s="58"/>
      <c r="C133" s="46"/>
      <c r="D133" s="39" t="s">
        <v>269</v>
      </c>
      <c r="E133" s="46"/>
      <c r="F133" s="46" t="s">
        <v>286</v>
      </c>
      <c r="G133" t="s">
        <v>287</v>
      </c>
      <c r="H133" s="46" t="s">
        <v>288</v>
      </c>
      <c r="I133" s="46" t="s">
        <v>289</v>
      </c>
      <c r="J133" s="46" t="s">
        <v>290</v>
      </c>
      <c r="K133" s="46" t="s">
        <v>209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>
      <c r="A134" s="56"/>
      <c r="B134" s="57"/>
      <c r="C134" s="46"/>
      <c r="E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>
      <c r="A135" s="52"/>
      <c r="B135" s="58"/>
      <c r="C135" s="46"/>
      <c r="D135" s="46" t="s">
        <v>163</v>
      </c>
      <c r="E135" s="46"/>
      <c r="F135" s="46">
        <f>F22</f>
        <v>14778000</v>
      </c>
      <c r="G135" s="46">
        <f>$I$7</f>
        <v>12441.563275011045</v>
      </c>
      <c r="H135" s="46">
        <v>0.476190476190476</v>
      </c>
      <c r="I135" s="46">
        <f>G135/H135</f>
        <v>26127.282877523205</v>
      </c>
      <c r="J135" s="46">
        <f>I135*F135</f>
        <v>386108986364.0379</v>
      </c>
      <c r="K135" s="46">
        <f>J135/$J$142</f>
        <v>0.50397912875715256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>
      <c r="A136" s="52"/>
      <c r="B136" s="58"/>
      <c r="C136" s="46"/>
      <c r="D136" s="46" t="s">
        <v>164</v>
      </c>
      <c r="E136" s="46"/>
      <c r="F136" s="46">
        <f t="shared" ref="F136:F142" si="20">F23</f>
        <v>15922000</v>
      </c>
      <c r="G136" s="46">
        <f t="shared" ref="G136:G140" si="21">$I$7</f>
        <v>12441.563275011045</v>
      </c>
      <c r="H136" s="46">
        <v>0.52631578947368396</v>
      </c>
      <c r="I136" s="46">
        <f t="shared" ref="I136:I139" si="22">G136/H136</f>
        <v>23638.970222520999</v>
      </c>
      <c r="J136" s="46">
        <f t="shared" ref="J136:J140" si="23">I136*F136</f>
        <v>376379683882.97931</v>
      </c>
      <c r="K136" s="46">
        <f t="shared" ref="K136:K140" si="24">J136/$J$142</f>
        <v>0.49127969527855531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>
      <c r="A137" s="52"/>
      <c r="B137" s="58"/>
      <c r="C137" s="46"/>
      <c r="D137" s="46" t="s">
        <v>175</v>
      </c>
      <c r="E137" s="46"/>
      <c r="F137" s="46">
        <f t="shared" si="20"/>
        <v>145000</v>
      </c>
      <c r="G137" s="46">
        <f t="shared" si="21"/>
        <v>12441.563275011045</v>
      </c>
      <c r="H137" s="46">
        <v>0.5</v>
      </c>
      <c r="I137" s="46">
        <f t="shared" si="22"/>
        <v>24883.126550022091</v>
      </c>
      <c r="J137" s="46">
        <f t="shared" si="23"/>
        <v>3608053349.7532029</v>
      </c>
      <c r="K137" s="46">
        <f t="shared" si="24"/>
        <v>4.709508579019462E-3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>
      <c r="A138" s="52"/>
      <c r="B138" s="58"/>
      <c r="C138" s="46"/>
      <c r="D138" s="46" t="s">
        <v>218</v>
      </c>
      <c r="E138" s="46"/>
      <c r="F138" s="46">
        <f t="shared" si="20"/>
        <v>3000</v>
      </c>
      <c r="G138" s="46">
        <f t="shared" si="21"/>
        <v>12441.563275011045</v>
      </c>
      <c r="H138" s="46">
        <v>1.5384615384615401</v>
      </c>
      <c r="I138" s="46">
        <f t="shared" si="22"/>
        <v>8087.0161287571709</v>
      </c>
      <c r="J138" s="46">
        <f t="shared" si="23"/>
        <v>24261048.386271514</v>
      </c>
      <c r="K138" s="46">
        <f t="shared" si="24"/>
        <v>3.1667385272717043E-5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>
      <c r="A139" s="52"/>
      <c r="B139" s="58"/>
      <c r="C139" s="46"/>
      <c r="D139" s="46" t="s">
        <v>177</v>
      </c>
      <c r="E139" s="46"/>
      <c r="F139" s="46">
        <v>0</v>
      </c>
      <c r="G139" s="46">
        <f t="shared" si="21"/>
        <v>12441.563275011045</v>
      </c>
      <c r="H139" s="46">
        <v>0.476190476190476</v>
      </c>
      <c r="I139" s="46">
        <f t="shared" si="22"/>
        <v>26127.282877523205</v>
      </c>
      <c r="J139" s="46">
        <f t="shared" si="23"/>
        <v>0</v>
      </c>
      <c r="K139" s="46">
        <f t="shared" si="24"/>
        <v>0</v>
      </c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>
      <c r="A140" s="52"/>
      <c r="B140" s="58"/>
      <c r="C140" s="46"/>
      <c r="D140" s="46" t="s">
        <v>219</v>
      </c>
      <c r="E140" s="46"/>
      <c r="F140" s="46">
        <f t="shared" si="20"/>
        <v>9000</v>
      </c>
      <c r="G140" s="46">
        <f t="shared" si="21"/>
        <v>12441.563275011045</v>
      </c>
      <c r="H140" s="46">
        <v>0</v>
      </c>
      <c r="I140" s="46">
        <v>0</v>
      </c>
      <c r="J140" s="46">
        <f t="shared" si="23"/>
        <v>0</v>
      </c>
      <c r="K140" s="46">
        <f t="shared" si="24"/>
        <v>0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>
      <c r="A141" s="52"/>
      <c r="B141" s="58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>
      <c r="A142" s="52"/>
      <c r="B142" s="58"/>
      <c r="C142" s="46"/>
      <c r="D142" s="46" t="s">
        <v>217</v>
      </c>
      <c r="E142" s="46"/>
      <c r="F142" s="46">
        <f t="shared" si="20"/>
        <v>0</v>
      </c>
      <c r="G142" s="46"/>
      <c r="H142" s="46"/>
      <c r="I142" s="46"/>
      <c r="J142" s="46">
        <f>SUM(J135:J140)</f>
        <v>766120984645.15662</v>
      </c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>
      <c r="A143" s="52"/>
      <c r="B143" s="58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>
      <c r="A144" s="52"/>
      <c r="B144" s="58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>
      <c r="A145" s="52"/>
      <c r="B145" s="58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>
      <c r="A146" s="52"/>
      <c r="B146" s="58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 spans="1:23">
      <c r="A147" s="52"/>
      <c r="B147" s="58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>
      <c r="A148" s="52"/>
      <c r="B148" s="58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>
      <c r="A149" s="52"/>
      <c r="B149" s="58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>
      <c r="A150" s="52"/>
      <c r="B150" s="58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 spans="1:23">
      <c r="A151" s="52"/>
      <c r="B151" s="58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>
      <c r="A152" s="52"/>
      <c r="B152" s="58"/>
      <c r="C152" s="46"/>
      <c r="D152" s="46"/>
      <c r="E152" s="46"/>
      <c r="F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>
      <c r="A153" s="52"/>
      <c r="B153" s="58"/>
      <c r="C153" s="46"/>
      <c r="D153" s="46"/>
      <c r="E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>
      <c r="A154" s="52"/>
      <c r="B154" s="58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>
      <c r="A155" s="56"/>
      <c r="B155" s="57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 spans="1:23">
      <c r="A156" s="52"/>
      <c r="B156" s="58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>
      <c r="A157" s="52"/>
      <c r="B157" s="58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>
      <c r="A158" s="52"/>
      <c r="B158" s="58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>
      <c r="A159" s="52"/>
      <c r="B159" s="58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>
      <c r="A160" s="56"/>
      <c r="B160" s="57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>
      <c r="A161" s="52"/>
      <c r="B161" s="58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>
      <c r="A162" s="52"/>
      <c r="B162" s="58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>
      <c r="A163" s="52"/>
      <c r="B163" s="58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>
      <c r="A164" s="52"/>
      <c r="B164" s="58"/>
      <c r="C164" s="46"/>
      <c r="D164" s="46"/>
      <c r="E164" s="46"/>
      <c r="F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>
      <c r="A165" s="52"/>
      <c r="B165" s="58"/>
      <c r="C165" s="46"/>
      <c r="D165" s="46"/>
      <c r="E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>
      <c r="A166" s="52"/>
      <c r="B166" s="58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>
      <c r="A167" s="52"/>
      <c r="B167" s="58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 spans="1:23">
      <c r="A168" s="52"/>
      <c r="B168" s="58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>
      <c r="A169" s="52"/>
      <c r="B169" s="58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 spans="1:23">
      <c r="A170" s="52"/>
      <c r="B170" s="58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>
      <c r="A171" s="52"/>
      <c r="B171" s="58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>
      <c r="A172" s="52"/>
      <c r="B172" s="58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>
      <c r="A173" s="52"/>
      <c r="B173" s="58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>
      <c r="A174" s="52"/>
      <c r="B174" s="58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>
      <c r="A175" s="52"/>
      <c r="B175" s="58"/>
      <c r="C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 spans="1:23">
      <c r="A176" s="52"/>
      <c r="B176" s="58"/>
      <c r="C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>
      <c r="A177" s="46"/>
      <c r="B177" s="46"/>
      <c r="C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>
      <c r="A178" s="46"/>
      <c r="B178" s="46"/>
      <c r="C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>
      <c r="A179" s="46"/>
      <c r="B179" s="46"/>
      <c r="C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 spans="1:23">
      <c r="A180" s="46"/>
      <c r="B180" s="46"/>
      <c r="C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>
      <c r="A181" s="46"/>
      <c r="B181" s="46"/>
      <c r="C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 spans="1:23">
      <c r="A182" s="46"/>
      <c r="B182" s="46"/>
      <c r="C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>
      <c r="A183" s="46"/>
      <c r="B183" s="46"/>
      <c r="C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>
      <c r="A184" s="46"/>
      <c r="B184" s="46"/>
      <c r="C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>
      <c r="A185" s="46"/>
      <c r="B185" s="46"/>
      <c r="C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>
      <c r="A186" s="46"/>
      <c r="B186" s="46"/>
      <c r="C186" s="46"/>
      <c r="O186" s="46"/>
      <c r="P186" s="46"/>
      <c r="Q186" s="46"/>
      <c r="R186" s="46"/>
      <c r="S186" s="46"/>
      <c r="T186" s="46"/>
      <c r="U186" s="46"/>
      <c r="V186" s="46"/>
      <c r="W186" s="4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Assumptions</vt:lpstr>
      <vt:lpstr>NL</vt:lpstr>
      <vt:lpstr>EUROSTAT_EU</vt:lpstr>
      <vt:lpstr>BR_total_cars</vt:lpstr>
      <vt:lpstr>Transport_numbers</vt:lpstr>
      <vt:lpstr>DE</vt:lpstr>
      <vt:lpstr>ES</vt:lpstr>
      <vt:lpstr>FR</vt:lpstr>
      <vt:lpstr>PL</vt:lpstr>
      <vt:lpstr>UK</vt:lpstr>
      <vt:lpstr>Shares NG</vt:lpstr>
      <vt:lpstr>Worldwide NGV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2015-10-26T10:03:38Z</dcterms:created>
  <dcterms:modified xsi:type="dcterms:W3CDTF">2016-02-04T10:17:52Z</dcterms:modified>
</cp:coreProperties>
</file>