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007"/>
  <workbookPr showInkAnnotation="0" codeName="ThisWorkbook" autoCompressPictures="0"/>
  <bookViews>
    <workbookView xWindow="0" yWindow="0" windowWidth="28800" windowHeight="15960" tabRatio="929" firstSheet="15" activeTab="19"/>
  </bookViews>
  <sheets>
    <sheet name="Cover Sheet" sheetId="34" r:id="rId1"/>
    <sheet name="Changelog" sheetId="1" r:id="rId2"/>
    <sheet name="Contents" sheetId="18" r:id="rId3"/>
    <sheet name="Introduction" sheetId="10" r:id="rId4"/>
    <sheet name="Dataflow" sheetId="36" r:id="rId5"/>
    <sheet name="Assumptions" sheetId="3" r:id="rId6"/>
    <sheet name="Dashboard" sheetId="28" r:id="rId7"/>
    <sheet name="Corrected energy balance step 2" sheetId="12" r:id="rId8"/>
    <sheet name="technical_specs" sheetId="13" r:id="rId9"/>
    <sheet name="Application shares" sheetId="49" r:id="rId10"/>
    <sheet name="Technology shares" sheetId="43" r:id="rId11"/>
    <sheet name="Final demand per energy carrier" sheetId="30" r:id="rId12"/>
    <sheet name="Technology split final demand" sheetId="32" r:id="rId13"/>
    <sheet name="Final demand extracted from EB" sheetId="47" r:id="rId14"/>
    <sheet name="Fuel aggregation" sheetId="37" r:id="rId15"/>
    <sheet name="Tech split of useful demand" sheetId="48" r:id="rId16"/>
    <sheet name="csv_ps_final_demand_lighting" sheetId="22" r:id="rId17"/>
    <sheet name="csv_ps_space_heating_electricit" sheetId="50" r:id="rId18"/>
    <sheet name="csv_ps_cooling_electricity" sheetId="51" r:id="rId19"/>
    <sheet name="csv_ps_space_heating_gas" sheetId="52" r:id="rId20"/>
    <sheet name="csv_ps_final_demand_coal" sheetId="54" r:id="rId21"/>
    <sheet name="csv_ps_final_demand_gas" sheetId="57" r:id="rId22"/>
    <sheet name="csv_ps_final_demand_oil" sheetId="56" r:id="rId23"/>
    <sheet name="csv_ps_final_demand_electricity" sheetId="55" r:id="rId24"/>
    <sheet name="csv_ps_final_demand_wood_p" sheetId="58" r:id="rId25"/>
    <sheet name="csv_heating_useful_insulation" sheetId="60" r:id="rId26"/>
    <sheet name="csv_cooling_useful_insulation" sheetId="63" r:id="rId27"/>
    <sheet name="csv_light_saving_detection" sheetId="66" r:id="rId28"/>
    <sheet name="csv_light_saving_control" sheetId="67" r:id="rId29"/>
  </sheets>
  <definedNames>
    <definedName name="base_year">Dashboard!$E$12</definedName>
    <definedName name="country">Dashboard!$E$11</definedName>
    <definedName name="Eff_cooling_airco">technical_specs!$L$25</definedName>
    <definedName name="Eff_cooling_pump">technical_specs!$L$23</definedName>
    <definedName name="Eff_cooling_pump_storage">technical_specs!$L$24</definedName>
    <definedName name="Eff_lighting_lamp_fluorescent">technical_specs!$L$29</definedName>
    <definedName name="Eff_lighting_lamp_incandescent">technical_specs!$L$28</definedName>
    <definedName name="Eff_lighting_led">technical_specs!$L$32</definedName>
    <definedName name="Eff_lighting_tube_fluorescent_efficient">technical_specs!$L$31</definedName>
    <definedName name="Eff_lighting_tube_fluorescent_standartd">technical_specs!$L$30</definedName>
    <definedName name="Eff_space_heating_coal">technical_specs!$L$15</definedName>
    <definedName name="Eff_space_heating_district">technical_specs!$L$20</definedName>
    <definedName name="Eff_space_heating_electric">technical_specs!$L$14</definedName>
    <definedName name="Eff_space_heating_gas">technical_specs!$L$11</definedName>
    <definedName name="Eff_space_heating_oil">technical_specs!$L$16</definedName>
    <definedName name="Eff_space_heating_pump_gas">technical_specs!$L$13</definedName>
    <definedName name="Eff_space_heating_pump_storage">technical_specs!$L$12</definedName>
    <definedName name="Eff_space_heating_solar_thermal">technical_specs!$L$18</definedName>
    <definedName name="Eff_space_heating_woodpellets">technical_specs!$L$19</definedName>
    <definedName name="Final_demand_lighting">Dashboard!$E$25</definedName>
    <definedName name="Final_demand_residences">'Fuel aggregation'!$L$11</definedName>
    <definedName name="Final_demand_space_cooling">Dashboard!$E$24</definedName>
    <definedName name="Final_demand_space_heating">Dashboard!$E$23</definedName>
  </definedName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F24" i="43" l="1"/>
  <c r="F23" i="43"/>
  <c r="F22" i="43"/>
  <c r="F21" i="43"/>
  <c r="F20" i="43"/>
  <c r="F17" i="43"/>
  <c r="F16" i="43"/>
  <c r="F12" i="43"/>
  <c r="F13" i="43"/>
  <c r="F9" i="43"/>
  <c r="F10" i="43"/>
  <c r="E25" i="49"/>
  <c r="E23" i="49"/>
  <c r="E24" i="49"/>
  <c r="E22" i="49"/>
  <c r="E19" i="49"/>
  <c r="E18" i="49"/>
  <c r="E15" i="49"/>
  <c r="E13" i="49"/>
  <c r="E14" i="49"/>
  <c r="E10" i="49"/>
  <c r="E9" i="49"/>
  <c r="D11" i="37"/>
  <c r="M19" i="28"/>
  <c r="D25" i="49"/>
  <c r="J16" i="13"/>
  <c r="L16" i="13"/>
  <c r="E16" i="32"/>
  <c r="D16" i="32"/>
  <c r="F16" i="32"/>
  <c r="J11" i="13"/>
  <c r="L11" i="13"/>
  <c r="E11" i="32"/>
  <c r="D11" i="32"/>
  <c r="F11" i="32"/>
  <c r="G11" i="37"/>
  <c r="D13" i="47"/>
  <c r="D14" i="47"/>
  <c r="G18" i="32"/>
  <c r="F11" i="37"/>
  <c r="D9" i="47"/>
  <c r="D10" i="47"/>
  <c r="G19" i="32"/>
  <c r="I11" i="37"/>
  <c r="D17" i="47"/>
  <c r="D18" i="47"/>
  <c r="G20" i="32"/>
  <c r="G16" i="32"/>
  <c r="D20" i="30"/>
  <c r="G20" i="30"/>
  <c r="G38" i="30"/>
  <c r="E11" i="37"/>
  <c r="G11" i="30"/>
  <c r="G42" i="30"/>
  <c r="L17" i="28"/>
  <c r="P17" i="28"/>
  <c r="G11" i="32"/>
  <c r="D15" i="30"/>
  <c r="F15" i="30"/>
  <c r="F38" i="30"/>
  <c r="F11" i="30"/>
  <c r="F42" i="30"/>
  <c r="L16" i="28"/>
  <c r="P16" i="28"/>
  <c r="J15" i="13"/>
  <c r="L15" i="13"/>
  <c r="E15" i="32"/>
  <c r="D15" i="32"/>
  <c r="F15" i="32"/>
  <c r="G15" i="32"/>
  <c r="D19" i="30"/>
  <c r="E19" i="30"/>
  <c r="E38" i="30"/>
  <c r="C11" i="37"/>
  <c r="E11" i="30"/>
  <c r="E42" i="30"/>
  <c r="L15" i="28"/>
  <c r="P15" i="28"/>
  <c r="K12" i="13"/>
  <c r="L12" i="13"/>
  <c r="E12" i="32"/>
  <c r="D12" i="32"/>
  <c r="F12" i="32"/>
  <c r="G12" i="32"/>
  <c r="D16" i="30"/>
  <c r="J16" i="30"/>
  <c r="J38" i="30"/>
  <c r="H11" i="37"/>
  <c r="J11" i="30"/>
  <c r="J41" i="30"/>
  <c r="E28" i="28"/>
  <c r="E27" i="28"/>
  <c r="M17" i="28"/>
  <c r="M16" i="28"/>
  <c r="M15" i="28"/>
  <c r="J14" i="13"/>
  <c r="L14" i="13"/>
  <c r="E14" i="32"/>
  <c r="D14" i="32"/>
  <c r="F14" i="32"/>
  <c r="G14" i="32"/>
  <c r="D18" i="30"/>
  <c r="J18" i="30"/>
  <c r="K23" i="13"/>
  <c r="L23" i="13"/>
  <c r="E23" i="32"/>
  <c r="D23" i="32"/>
  <c r="F23" i="32"/>
  <c r="K24" i="13"/>
  <c r="L24" i="13"/>
  <c r="E24" i="32"/>
  <c r="D24" i="32"/>
  <c r="F24" i="32"/>
  <c r="G24" i="32"/>
  <c r="D27" i="30"/>
  <c r="J27" i="30"/>
  <c r="K25" i="13"/>
  <c r="L25" i="13"/>
  <c r="E25" i="32"/>
  <c r="D25" i="32"/>
  <c r="F25" i="32"/>
  <c r="G25" i="32"/>
  <c r="D28" i="30"/>
  <c r="J28" i="30"/>
  <c r="J30" i="13"/>
  <c r="L30" i="13"/>
  <c r="E30" i="32"/>
  <c r="D30" i="32"/>
  <c r="F30" i="32"/>
  <c r="G28" i="32"/>
  <c r="D31" i="30"/>
  <c r="J31" i="30"/>
  <c r="G29" i="32"/>
  <c r="D32" i="30"/>
  <c r="J32" i="30"/>
  <c r="G30" i="32"/>
  <c r="D33" i="30"/>
  <c r="J33" i="30"/>
  <c r="J31" i="13"/>
  <c r="L31" i="13"/>
  <c r="E31" i="32"/>
  <c r="D31" i="32"/>
  <c r="F31" i="32"/>
  <c r="G31" i="32"/>
  <c r="D34" i="30"/>
  <c r="J34" i="30"/>
  <c r="J32" i="13"/>
  <c r="L32" i="13"/>
  <c r="E32" i="32"/>
  <c r="D32" i="32"/>
  <c r="F32" i="32"/>
  <c r="G32" i="32"/>
  <c r="D35" i="30"/>
  <c r="J35" i="30"/>
  <c r="D23" i="30"/>
  <c r="K23" i="30"/>
  <c r="K38" i="30"/>
  <c r="D22" i="30"/>
  <c r="H22" i="30"/>
  <c r="H38" i="30"/>
  <c r="D21" i="30"/>
  <c r="I21" i="30"/>
  <c r="I38" i="30"/>
  <c r="K13" i="13"/>
  <c r="L13" i="13"/>
  <c r="E13" i="32"/>
  <c r="D13" i="32"/>
  <c r="F13" i="32"/>
  <c r="G13" i="32"/>
  <c r="D17" i="30"/>
  <c r="F17" i="30"/>
  <c r="G23" i="32"/>
  <c r="D26" i="30"/>
  <c r="F26" i="30"/>
  <c r="D19" i="49"/>
  <c r="D15" i="49"/>
  <c r="D10" i="49"/>
  <c r="J11" i="37"/>
  <c r="L19" i="28"/>
  <c r="H11" i="30"/>
  <c r="I11" i="30"/>
  <c r="K11" i="30"/>
  <c r="L11" i="37"/>
  <c r="E21" i="28"/>
  <c r="D28" i="32"/>
  <c r="F28" i="32"/>
  <c r="D29" i="32"/>
  <c r="F29" i="32"/>
  <c r="E31" i="28"/>
  <c r="E33" i="28"/>
  <c r="E34" i="28"/>
  <c r="E35" i="28"/>
  <c r="E37" i="28"/>
  <c r="L11" i="28"/>
  <c r="P11" i="28"/>
  <c r="L53" i="28"/>
  <c r="P53" i="28"/>
  <c r="L47" i="28"/>
  <c r="P47" i="28"/>
  <c r="L30" i="28"/>
  <c r="P30" i="28"/>
  <c r="L28" i="28"/>
  <c r="P28" i="28"/>
  <c r="L27" i="28"/>
  <c r="P27" i="28"/>
  <c r="M27" i="28"/>
  <c r="M28" i="28"/>
  <c r="M30" i="28"/>
  <c r="M47" i="28"/>
  <c r="M53" i="28"/>
  <c r="L10" i="28"/>
  <c r="J20" i="13"/>
  <c r="J19" i="13"/>
  <c r="J18" i="13"/>
  <c r="B4" i="67"/>
  <c r="B3" i="67"/>
  <c r="B4" i="66"/>
  <c r="B3" i="66"/>
  <c r="B4" i="58"/>
  <c r="B3" i="58"/>
  <c r="L29" i="13"/>
  <c r="E29" i="32"/>
  <c r="L28" i="13"/>
  <c r="E28" i="32"/>
  <c r="E21" i="43"/>
  <c r="E20" i="43"/>
  <c r="E22" i="43"/>
  <c r="E23" i="43"/>
  <c r="E24" i="43"/>
  <c r="B4" i="22"/>
  <c r="B5" i="22"/>
  <c r="B6" i="22"/>
  <c r="B7" i="22"/>
  <c r="B3" i="22"/>
  <c r="E12" i="43"/>
  <c r="E13" i="43"/>
  <c r="B4" i="50"/>
  <c r="B3" i="50"/>
  <c r="E16" i="43"/>
  <c r="E17" i="43"/>
  <c r="B4" i="51"/>
  <c r="B3" i="51"/>
  <c r="E10" i="43"/>
  <c r="E9" i="43"/>
  <c r="B4" i="52"/>
  <c r="B3" i="52"/>
  <c r="D18" i="48"/>
  <c r="E18" i="48"/>
  <c r="L20" i="13"/>
  <c r="F18" i="48"/>
  <c r="D9" i="48"/>
  <c r="E9" i="48"/>
  <c r="F9" i="48"/>
  <c r="D10" i="48"/>
  <c r="E10" i="48"/>
  <c r="F10" i="48"/>
  <c r="D11" i="48"/>
  <c r="E11" i="48"/>
  <c r="F11" i="48"/>
  <c r="D12" i="48"/>
  <c r="E12" i="48"/>
  <c r="F12" i="48"/>
  <c r="D13" i="48"/>
  <c r="E13" i="48"/>
  <c r="F13" i="48"/>
  <c r="D14" i="48"/>
  <c r="E14" i="48"/>
  <c r="F14" i="48"/>
  <c r="D16" i="48"/>
  <c r="E16" i="48"/>
  <c r="L18" i="13"/>
  <c r="F16" i="48"/>
  <c r="D17" i="48"/>
  <c r="E17" i="48"/>
  <c r="L19" i="13"/>
  <c r="F17" i="48"/>
  <c r="G18" i="48"/>
  <c r="G17" i="48"/>
  <c r="G16" i="48"/>
  <c r="D24" i="49"/>
  <c r="D23" i="49"/>
  <c r="D22" i="49"/>
  <c r="D18" i="49"/>
  <c r="D14" i="49"/>
  <c r="D13" i="49"/>
  <c r="D9" i="49"/>
  <c r="G10" i="48"/>
  <c r="G11" i="48"/>
  <c r="G12" i="48"/>
  <c r="G13" i="48"/>
  <c r="G14" i="48"/>
  <c r="G9" i="48"/>
  <c r="K11" i="37"/>
  <c r="K24" i="37"/>
  <c r="J20" i="37"/>
  <c r="J19" i="37"/>
  <c r="C8" i="34"/>
  <c r="C5" i="34"/>
  <c r="C7" i="34"/>
  <c r="C6" i="34"/>
  <c r="B4" i="55"/>
  <c r="B5" i="55"/>
  <c r="B6" i="55"/>
  <c r="B3" i="55"/>
  <c r="B4" i="57"/>
  <c r="B5" i="57"/>
  <c r="B3" i="57"/>
  <c r="B4" i="56"/>
  <c r="B3" i="56"/>
  <c r="B4" i="54"/>
  <c r="B3" i="54"/>
</calcChain>
</file>

<file path=xl/comments1.xml><?xml version="1.0" encoding="utf-8"?>
<comments xmlns="http://schemas.openxmlformats.org/spreadsheetml/2006/main">
  <authors>
    <author>Quintel Intelligence</author>
  </authors>
  <commentList>
    <comment ref="C55" authorId="0">
      <text>
        <r>
          <rPr>
            <b/>
            <sz val="9"/>
            <color indexed="81"/>
            <rFont val="Calibri"/>
            <family val="2"/>
          </rPr>
          <t>Quintel Intelligence:</t>
        </r>
        <r>
          <rPr>
            <sz val="9"/>
            <color indexed="81"/>
            <rFont val="Calibri"/>
            <family val="2"/>
          </rPr>
          <t xml:space="preserve">
These technologies are currently not supported by the ETM
</t>
        </r>
      </text>
    </comment>
    <comment ref="C56" authorId="0">
      <text>
        <r>
          <rPr>
            <b/>
            <sz val="9"/>
            <color indexed="81"/>
            <rFont val="Calibri"/>
            <family val="2"/>
          </rPr>
          <t>Quintel Intelligence:</t>
        </r>
        <r>
          <rPr>
            <sz val="9"/>
            <color indexed="81"/>
            <rFont val="Calibri"/>
            <family val="2"/>
          </rPr>
          <t xml:space="preserve">
This technology is currently not supported by the ETM</t>
        </r>
      </text>
    </comment>
  </commentList>
</comments>
</file>

<file path=xl/comments2.xml><?xml version="1.0" encoding="utf-8"?>
<comments xmlns="http://schemas.openxmlformats.org/spreadsheetml/2006/main">
  <authors>
    <author>A satisfied Microsoft Office user</author>
  </authors>
  <commentList>
    <comment ref="C83" authorId="0">
      <text>
        <r>
          <rPr>
            <sz val="9"/>
            <color indexed="81"/>
            <rFont val="Arial"/>
          </rPr>
          <t xml:space="preserve">x  Not Applicable
</t>
        </r>
      </text>
    </comment>
    <comment ref="D83" authorId="0">
      <text>
        <r>
          <rPr>
            <sz val="9"/>
            <color indexed="81"/>
            <rFont val="Arial"/>
          </rPr>
          <t xml:space="preserve">x  Not Applicable
</t>
        </r>
      </text>
    </comment>
    <comment ref="U83" authorId="0">
      <text>
        <r>
          <rPr>
            <sz val="9"/>
            <color indexed="81"/>
            <rFont val="Arial"/>
          </rPr>
          <t xml:space="preserve">x  Not Applicable
</t>
        </r>
      </text>
    </comment>
  </commentList>
</comments>
</file>

<file path=xl/sharedStrings.xml><?xml version="1.0" encoding="utf-8"?>
<sst xmlns="http://schemas.openxmlformats.org/spreadsheetml/2006/main" count="929" uniqueCount="611">
  <si>
    <t>Changelog</t>
  </si>
  <si>
    <t>Document</t>
  </si>
  <si>
    <t>Version #</t>
  </si>
  <si>
    <t>Date</t>
  </si>
  <si>
    <t>Author</t>
  </si>
  <si>
    <t>Quintel Intelligence</t>
  </si>
  <si>
    <t>Changes</t>
  </si>
  <si>
    <t>Version</t>
  </si>
  <si>
    <t>Created this document</t>
  </si>
  <si>
    <t>Legend</t>
  </si>
  <si>
    <t>Cells</t>
  </si>
  <si>
    <t>Intermediate (calculation)</t>
  </si>
  <si>
    <t>Result</t>
  </si>
  <si>
    <t>Manual input</t>
  </si>
  <si>
    <t>Reference to manual input or data input</t>
  </si>
  <si>
    <t>Tabs</t>
  </si>
  <si>
    <t>Results</t>
  </si>
  <si>
    <t>Additional calculations</t>
  </si>
  <si>
    <t>Research data</t>
  </si>
  <si>
    <t>Comments</t>
  </si>
  <si>
    <t>Commercial and Public Services analysis</t>
  </si>
  <si>
    <t>Lody Kuling</t>
  </si>
  <si>
    <t>Organization</t>
  </si>
  <si>
    <t>Contents</t>
  </si>
  <si>
    <t>Tab</t>
  </si>
  <si>
    <t>Description</t>
  </si>
  <si>
    <t>An index with description of all the tabs in this analysis</t>
  </si>
  <si>
    <t>Introduction</t>
  </si>
  <si>
    <t>Assumptions</t>
  </si>
  <si>
    <t>A description of the modeling and country-specific assumptions for this analysis</t>
  </si>
  <si>
    <t>Dashboard</t>
  </si>
  <si>
    <t>On the dashboard, the country-specific assumptions can be changed manually. It also shows the most important checks</t>
  </si>
  <si>
    <t>Industry</t>
  </si>
  <si>
    <t>Other sources</t>
  </si>
  <si>
    <t>The Energytransition model</t>
  </si>
  <si>
    <t>This analysis</t>
  </si>
  <si>
    <t>Modeling assumptions</t>
  </si>
  <si>
    <t>Type</t>
  </si>
  <si>
    <t>Assumption</t>
  </si>
  <si>
    <t>Source</t>
  </si>
  <si>
    <t>General</t>
  </si>
  <si>
    <t>Hard coal (if no detail)</t>
  </si>
  <si>
    <t>Brown coal (if no detail)</t>
  </si>
  <si>
    <t>Anthracite</t>
  </si>
  <si>
    <t>Coking coal</t>
  </si>
  <si>
    <t>Other bituminous coal</t>
  </si>
  <si>
    <t>Sub-bituminous coal</t>
  </si>
  <si>
    <t>Peat</t>
  </si>
  <si>
    <t>Patent fuel</t>
  </si>
  <si>
    <t>Coke oven coke</t>
  </si>
  <si>
    <t>Gas coke</t>
  </si>
  <si>
    <t>Coal tar</t>
  </si>
  <si>
    <t>BKB/peat briquettes</t>
  </si>
  <si>
    <t>Gas works gas</t>
  </si>
  <si>
    <t>Coke oven gas</t>
  </si>
  <si>
    <t>Blast furnace gas</t>
  </si>
  <si>
    <t>Other recovered gases</t>
  </si>
  <si>
    <t>Lignite</t>
  </si>
  <si>
    <t>Crude/NGL/feedstocks (if no detail)</t>
  </si>
  <si>
    <t>Crude oil</t>
  </si>
  <si>
    <t>Natural gas liquids</t>
  </si>
  <si>
    <t>Refinery feedstocks</t>
  </si>
  <si>
    <t>Additives/blending components</t>
  </si>
  <si>
    <t>Other hydrocarbons</t>
  </si>
  <si>
    <t>Refinery gas</t>
  </si>
  <si>
    <t>Ethane</t>
  </si>
  <si>
    <t>Liquefied petroleum gases (LPG)</t>
  </si>
  <si>
    <t>Motor gasoline</t>
  </si>
  <si>
    <t>Aviation gasoline</t>
  </si>
  <si>
    <t>Gasoline type jet fuel</t>
  </si>
  <si>
    <t>Kerosene type jet fuel</t>
  </si>
  <si>
    <t>Other Kerosene</t>
  </si>
  <si>
    <t>Gas/diesel oil</t>
  </si>
  <si>
    <t>Fuel oil</t>
  </si>
  <si>
    <t>Naphtha</t>
  </si>
  <si>
    <t>White spirit &amp; SBP</t>
  </si>
  <si>
    <t>Lubricants</t>
  </si>
  <si>
    <t>Bitumen</t>
  </si>
  <si>
    <t>Paraffin waxes</t>
  </si>
  <si>
    <t>Petroleum coke</t>
  </si>
  <si>
    <t>Non-specified oil products</t>
  </si>
  <si>
    <t>Municipal waste (renewable)</t>
  </si>
  <si>
    <t>Industrial waste</t>
  </si>
  <si>
    <t>Municipal waste (non-renewable)</t>
  </si>
  <si>
    <t>Biogases</t>
  </si>
  <si>
    <t>Biogasoline</t>
  </si>
  <si>
    <t>Biodiesels</t>
  </si>
  <si>
    <t>Other liquid biofuels</t>
  </si>
  <si>
    <t>Primary solid biofuels</t>
  </si>
  <si>
    <t>Non-specified primary biofuels and waste</t>
  </si>
  <si>
    <t>A short introduction to the Energytransition model (ETM) and the Commercial and Public services analysis</t>
  </si>
  <si>
    <t>Lighting</t>
  </si>
  <si>
    <t>Space Heating</t>
  </si>
  <si>
    <t>Insulation</t>
  </si>
  <si>
    <t>Other</t>
  </si>
  <si>
    <t>Notes</t>
  </si>
  <si>
    <t>Checks</t>
  </si>
  <si>
    <t>Sector</t>
  </si>
  <si>
    <t>Value</t>
  </si>
  <si>
    <t>Unit</t>
  </si>
  <si>
    <t>Check</t>
  </si>
  <si>
    <t>Status</t>
  </si>
  <si>
    <t>Final demand</t>
  </si>
  <si>
    <t>Final energy demand used for Space Heating</t>
  </si>
  <si>
    <t>Final energy demand used for Lighting</t>
  </si>
  <si>
    <t>Space Cooling</t>
  </si>
  <si>
    <t>Final energy demand used for Space Cooling</t>
  </si>
  <si>
    <t>Percentage of heat delivered by gas-fired heaters</t>
  </si>
  <si>
    <t>Percentage of heat delivered by electric heaters</t>
  </si>
  <si>
    <t>Percentage of heat delivered by gas-fired heat pumps</t>
  </si>
  <si>
    <t>Percentage of heat delivered by electric heat pumps with thermal storage</t>
  </si>
  <si>
    <t>Percentage of heat delivered by coal-fired heaters</t>
  </si>
  <si>
    <t>Percentage of heat delivered by oil-fired heaters</t>
  </si>
  <si>
    <t>Percentage of cold delivered by gas-fired heat pumps</t>
  </si>
  <si>
    <t>Percentage of cold delivered by electric heat pumps with thermal storage</t>
  </si>
  <si>
    <t>Percentage of cold delivered by airconditioning</t>
  </si>
  <si>
    <t>Average thermal resistivity of roof</t>
  </si>
  <si>
    <t>Average thermal resistivity of floor</t>
  </si>
  <si>
    <t>Average thermal resistivity of outside walls</t>
  </si>
  <si>
    <t>Average thermal conductivity of windows</t>
  </si>
  <si>
    <t>All</t>
  </si>
  <si>
    <t>Space cooling</t>
  </si>
  <si>
    <t>Space heating</t>
  </si>
  <si>
    <t>Gas-fired heater</t>
  </si>
  <si>
    <t>Gas-fired heat pump</t>
  </si>
  <si>
    <t>Electric heat pump with thermal storage</t>
  </si>
  <si>
    <t>Electric heater</t>
  </si>
  <si>
    <t>Solar thermal panels</t>
  </si>
  <si>
    <t>Coal-fired heater</t>
  </si>
  <si>
    <t>Oil-fired heater</t>
  </si>
  <si>
    <t>Biomass-fired heater</t>
  </si>
  <si>
    <t>District heating</t>
  </si>
  <si>
    <t>Technology used</t>
  </si>
  <si>
    <t>Airconditioning</t>
  </si>
  <si>
    <t>Incandescent lamps</t>
  </si>
  <si>
    <t>Fluorescent lamps</t>
  </si>
  <si>
    <t>LED lamps</t>
  </si>
  <si>
    <t>Total</t>
  </si>
  <si>
    <t>Total IEA value</t>
  </si>
  <si>
    <t>PRODUCT</t>
  </si>
  <si>
    <t>Natural Gas</t>
  </si>
  <si>
    <t>Charcoal</t>
  </si>
  <si>
    <t>Elec/heat output from non-specified manufactured gases</t>
  </si>
  <si>
    <t>Heat output from non-specified combustible fuels</t>
  </si>
  <si>
    <t>Nuclear</t>
  </si>
  <si>
    <t>Hydro</t>
  </si>
  <si>
    <t>Geothermal</t>
  </si>
  <si>
    <t>Solar photovoltaics</t>
  </si>
  <si>
    <t>Solar thermal</t>
  </si>
  <si>
    <t>Tide, wave and ocean</t>
  </si>
  <si>
    <t>Wind</t>
  </si>
  <si>
    <t>Electricity</t>
  </si>
  <si>
    <t>Heat</t>
  </si>
  <si>
    <t>Memo: Renewables</t>
  </si>
  <si>
    <t>FLOW</t>
  </si>
  <si>
    <t>Production</t>
  </si>
  <si>
    <t>Imports</t>
  </si>
  <si>
    <t>Exports</t>
  </si>
  <si>
    <t>International marine bunkers</t>
  </si>
  <si>
    <t>International aviation bunkers</t>
  </si>
  <si>
    <t>Stock changes</t>
  </si>
  <si>
    <t>Total primary energy supply</t>
  </si>
  <si>
    <t>Transfers</t>
  </si>
  <si>
    <t>Statistical differences</t>
  </si>
  <si>
    <t>Transformation processes</t>
  </si>
  <si>
    <t>Main activity producer electricity plants</t>
  </si>
  <si>
    <t>Autoproducer electricity plants</t>
  </si>
  <si>
    <t>Main activity producer CHP plants</t>
  </si>
  <si>
    <t>Autoproducer CHP plants</t>
  </si>
  <si>
    <t>Main activity producer heat plants</t>
  </si>
  <si>
    <t>Autoproducer heat plants</t>
  </si>
  <si>
    <t>Heat pumps</t>
  </si>
  <si>
    <t>Electric boilers</t>
  </si>
  <si>
    <t>Chemical heat for electricity production</t>
  </si>
  <si>
    <t>Petrochemical plants</t>
  </si>
  <si>
    <t>For blended natural gas</t>
  </si>
  <si>
    <t>Charcoal production plants</t>
  </si>
  <si>
    <t>Non-specified (transformation)</t>
  </si>
  <si>
    <t>Energy industry own use</t>
  </si>
  <si>
    <t>Coal mines</t>
  </si>
  <si>
    <t>Oil and gas extraction</t>
  </si>
  <si>
    <t>Gasification plants for biogases</t>
  </si>
  <si>
    <t>Liquefaction (LNG) / regasification plants</t>
  </si>
  <si>
    <t>Own use in electricity, CHP and heat plants</t>
  </si>
  <si>
    <t>Pumped storage plants</t>
  </si>
  <si>
    <t>Nuclear industry</t>
  </si>
  <si>
    <t>Non-specified (energy)</t>
  </si>
  <si>
    <t>Losses</t>
  </si>
  <si>
    <t>Total final consumption</t>
  </si>
  <si>
    <t>Iron and steel</t>
  </si>
  <si>
    <t>Chemical and petrochemical</t>
  </si>
  <si>
    <t>Non-ferrous metals</t>
  </si>
  <si>
    <t>Non-metallic minerals</t>
  </si>
  <si>
    <t>Transport equipment</t>
  </si>
  <si>
    <t>Machinery</t>
  </si>
  <si>
    <t>Mining and quarrying</t>
  </si>
  <si>
    <t>Food and tobacco</t>
  </si>
  <si>
    <t>Paper, pulp and print</t>
  </si>
  <si>
    <t>Wood and wood products</t>
  </si>
  <si>
    <t>Construction</t>
  </si>
  <si>
    <t>Textile and leather</t>
  </si>
  <si>
    <t>Non-specified (industry)</t>
  </si>
  <si>
    <t>Transport</t>
  </si>
  <si>
    <t>Domestic aviation</t>
  </si>
  <si>
    <t>Road</t>
  </si>
  <si>
    <t>Rail</t>
  </si>
  <si>
    <t>Pipeline transport</t>
  </si>
  <si>
    <t>Domestic navigation</t>
  </si>
  <si>
    <t>Non-specified (transport)</t>
  </si>
  <si>
    <t>Residential</t>
  </si>
  <si>
    <t>Commercial and public services</t>
  </si>
  <si>
    <t>Agriculture/forestry</t>
  </si>
  <si>
    <t>Fishing</t>
  </si>
  <si>
    <t>Non-specified (other)</t>
  </si>
  <si>
    <t>Non-energy use</t>
  </si>
  <si>
    <t>Non-energy use industry/transformation/energy</t>
  </si>
  <si>
    <t xml:space="preserve">   Memo: Feedstock use in petrochemical industry</t>
  </si>
  <si>
    <t>Non-energy use in transport</t>
  </si>
  <si>
    <t>Non-energy use in other</t>
  </si>
  <si>
    <t>Electricity output (GWh)</t>
  </si>
  <si>
    <t>Electricity output (GWh)-main activity producer electricity plants</t>
  </si>
  <si>
    <t>Electricity output (GWh)-autoproducer electricity plants</t>
  </si>
  <si>
    <t>Electricity output (GWh)-main activity producer CHP plants</t>
  </si>
  <si>
    <t>Electricity output (GWh)-autoproducer CHP plants</t>
  </si>
  <si>
    <t>Heat output</t>
  </si>
  <si>
    <t>Heat output-main activity producer CHP plants</t>
  </si>
  <si>
    <t>Heat output-autoproducer CHP plants</t>
  </si>
  <si>
    <t>Heat output-main activity producer heat plants</t>
  </si>
  <si>
    <t>Heat output-autoproducer heat plants</t>
  </si>
  <si>
    <t>Technology</t>
  </si>
  <si>
    <t>Final demand per energy carrier</t>
  </si>
  <si>
    <t>Coëfficient of Performance (COP)</t>
  </si>
  <si>
    <t>Efficiency (%)</t>
  </si>
  <si>
    <t>Percentage of light delivered by incandescent lamps</t>
  </si>
  <si>
    <t>Percentage of light delivered by fluorescent lamps</t>
  </si>
  <si>
    <t>Percentage of light delivered by fluorescent tubes</t>
  </si>
  <si>
    <t>Percentage of light delivered by LED lamps</t>
  </si>
  <si>
    <t>The technological specifications of these technologies are the same for all countries.</t>
  </si>
  <si>
    <t>Technological specifications</t>
  </si>
  <si>
    <t>Country specific assumptions</t>
  </si>
  <si>
    <t>Percentages add up to 100%</t>
  </si>
  <si>
    <t>Technological efficiency</t>
  </si>
  <si>
    <t>Percentage of final demand converted by this technology</t>
  </si>
  <si>
    <t>Percentage of heat delivered per technology</t>
  </si>
  <si>
    <t>Relative size of final demand converted by this technology</t>
  </si>
  <si>
    <t>Deleted all source analysis</t>
  </si>
  <si>
    <t>Improved lay-out</t>
  </si>
  <si>
    <t>Analysis inputs</t>
  </si>
  <si>
    <t>Analysis calculations</t>
  </si>
  <si>
    <t>Analysis ouputs</t>
  </si>
  <si>
    <t>A visualization of the dataflow in this analysis</t>
  </si>
  <si>
    <t>Dataflow Commercial and Public Services</t>
  </si>
  <si>
    <t>Cover Sheet</t>
  </si>
  <si>
    <t>Dataflow</t>
  </si>
  <si>
    <t>Information about this document and a legend to tab and cell formatting</t>
  </si>
  <si>
    <t>A documentation of the changes to this analysis</t>
  </si>
  <si>
    <t>Steps to perform this analysis</t>
  </si>
  <si>
    <t xml:space="preserve">In short, the energytransition model (ETM) is a calculation engine with a front-end interface that is free to be used by private, commercial and public users. The engine exists of a collection of 'converters' that are linked together to approach the structure of an energy system at the country level. It includes for example import, export, electricity and heat production, final demand sectors and useful demand applications. Every converter has technical and economical specifications that were determined from scientific and technical literature. The model's initial configuration is mostly based on 2010 statistical data. Useful demand of energy applications is gathered from other sources. By moving sliders in a front end dashboard, representing energy use, energy production or socio-economical parameters, the calculation engine determines the results from these actions in a future scenario and communicates them to the user.
</t>
  </si>
  <si>
    <t>Added dataflow V3.2</t>
  </si>
  <si>
    <t>Proposed source</t>
  </si>
  <si>
    <t>Final energy demand used in the Commercial and Public Services sector  for Space Heating</t>
  </si>
  <si>
    <t>Final energy demand used in the Commercial and Public Services sector  for Space Cooling</t>
  </si>
  <si>
    <t>Final energy demand used in the Commercial and Public Services sector  for Lighting</t>
  </si>
  <si>
    <t>Use 'Source analysis Commercial and Pulic services sector' which can be found at ….</t>
  </si>
  <si>
    <t>National energy agency or an expert estimation</t>
  </si>
  <si>
    <t>Electric appliances</t>
  </si>
  <si>
    <t>Fuels</t>
  </si>
  <si>
    <t>IEA carriers</t>
  </si>
  <si>
    <t>Coal</t>
  </si>
  <si>
    <t>Natural gas</t>
  </si>
  <si>
    <t>Oil</t>
  </si>
  <si>
    <t>Wood pellets</t>
  </si>
  <si>
    <t xml:space="preserve">Final demand for electricity </t>
  </si>
  <si>
    <t xml:space="preserve">Final demand for Solar thermal </t>
  </si>
  <si>
    <t xml:space="preserve">Final demand for coal </t>
  </si>
  <si>
    <t xml:space="preserve">Final demand for oil </t>
  </si>
  <si>
    <t xml:space="preserve">Final demand for woodpellets </t>
  </si>
  <si>
    <t xml:space="preserve">Final demand for heat </t>
  </si>
  <si>
    <t>Final energy demand used for Electrical Appliances</t>
  </si>
  <si>
    <t>Final demand per energy carrier (TJ)</t>
  </si>
  <si>
    <t>Added all carriers</t>
  </si>
  <si>
    <t>Solar Thermal</t>
  </si>
  <si>
    <t>Solar PV</t>
  </si>
  <si>
    <t>Fuel aggregation</t>
  </si>
  <si>
    <t>Here the carriers in the IEA energy balance for the commercial and public services sector are combined into the fuels used in the ETM.</t>
  </si>
  <si>
    <t>Added auto-producers table to calculate PV solar</t>
  </si>
  <si>
    <t>Parameters</t>
  </si>
  <si>
    <t>Values</t>
  </si>
  <si>
    <t>Effective efficiency</t>
  </si>
  <si>
    <t>Changed dataflow to V5</t>
  </si>
  <si>
    <t>Final demand for Other</t>
  </si>
  <si>
    <t>All assumptions are filled</t>
  </si>
  <si>
    <t>Introductory</t>
  </si>
  <si>
    <t>Sources</t>
  </si>
  <si>
    <t>Main calculations</t>
  </si>
  <si>
    <t>GWh to TJ conversion</t>
  </si>
  <si>
    <t>Various improvements</t>
  </si>
  <si>
    <t>The technological specifications of energy conversion technologies used in the ETM are listed here</t>
  </si>
  <si>
    <t>Percentage of final demand for space heating delivered by biomass</t>
  </si>
  <si>
    <t>Percentage of final demand for space heating delivered by district heating</t>
  </si>
  <si>
    <t>Percentage of final demand for space heating delivered by solar thermal</t>
  </si>
  <si>
    <t>Percentage of final demand converted per technology (%)</t>
  </si>
  <si>
    <t>Percentage of heat delivered per technology (%)</t>
  </si>
  <si>
    <t>Including backwards calculation SWH</t>
  </si>
  <si>
    <t>Removed sources of district heating, included backward calculations for district heating and biomass</t>
  </si>
  <si>
    <t>Electrity</t>
  </si>
  <si>
    <t>Biomass</t>
  </si>
  <si>
    <t>Other appliances</t>
  </si>
  <si>
    <t>Updated dataflow and included CSV files</t>
  </si>
  <si>
    <t>These percentages are determined directly from the energy balance and the final demand specified on the dashboard</t>
  </si>
  <si>
    <t>Fuel Aggregation</t>
  </si>
  <si>
    <t>Final demands extracted from the energy balance</t>
  </si>
  <si>
    <t>Final demand for (district) heat</t>
  </si>
  <si>
    <t>Final demand for biomass</t>
  </si>
  <si>
    <t>Final demand for solar thermal</t>
  </si>
  <si>
    <t>Technology splits of final demands</t>
  </si>
  <si>
    <t>Technology split of useful demand fo space heating</t>
  </si>
  <si>
    <t>Final demand extracted from EB</t>
  </si>
  <si>
    <t>Tech split of useful demand</t>
  </si>
  <si>
    <t>The assumptions made on the dashboard are calculated towards final demand here using the efficiencies defined in the tab 'Technological specifications'.</t>
  </si>
  <si>
    <t>In this tab the final demands that were directly calculated from the energy balance are calculated towards useful demand to be able to display them on the dahboard.</t>
  </si>
  <si>
    <t>Here the corrected energy balance created in the CHP analysis should be pasted for your country and year</t>
  </si>
  <si>
    <t xml:space="preserve">The factors heat, biomass and solar from the energy balance are directly allocated to space heating by this model to respectively: district heating, biomass heater and solar thermal panels. </t>
  </si>
  <si>
    <t>Deleted all non-used carriers and checks and made minor alterations</t>
  </si>
  <si>
    <t>Filled notes and added explanation</t>
  </si>
  <si>
    <t>There are three main energy use groups in the built environment: space heating, space cooling and lighting. All other forms of energy use are piled up in this analysis as "other applications". The size and content of this sector is determined by subtracting the use for space heating, space cooling and lighting from the corrected IEA energy balance. The remaining electricity is allocated to electrical appliances and all other carriers are allocated to other appliances.</t>
  </si>
  <si>
    <t>The only technologies available for space heating, space cooling and lighting are the ones listed in the dashboard. These technologies are the ones used in the ETM.</t>
  </si>
  <si>
    <t>On this sheet you can fill the country specific assumptions for your country. Please mind the checks, if one or more become red it means that with the information you provided we cannot run the Energy Transition Model. Concerning your assumptions please provide sources.</t>
  </si>
  <si>
    <t>Carriers</t>
  </si>
  <si>
    <t>In this sheet the percentage of heat delivered per technology is determined for district heating, biomass fired heaters and solar thermal panels. For the other technologies the value is the same as defined by you on the dashboard.</t>
  </si>
  <si>
    <t>In this sheet the shares per technology per carrier needed for the Energy Transition Model are defined.</t>
  </si>
  <si>
    <r>
      <t>Please paste (</t>
    </r>
    <r>
      <rPr>
        <b/>
        <sz val="12"/>
        <rFont val="Calibri"/>
        <family val="2"/>
        <scheme val="minor"/>
      </rPr>
      <t>as values</t>
    </r>
    <r>
      <rPr>
        <sz val="12"/>
        <rFont val="Calibri"/>
        <scheme val="minor"/>
      </rPr>
      <t>) the energy balance resulting from the Power Plant-analysis (in TeraJoules) for your country in the table below. This data will be used in the analysis.</t>
    </r>
  </si>
  <si>
    <t>CSV-files</t>
  </si>
  <si>
    <t>share</t>
  </si>
  <si>
    <t>Percentage of light delivered by standard fluorescent tubes</t>
  </si>
  <si>
    <t>Standard fluorescent tubes</t>
  </si>
  <si>
    <t>Efficient fluorescent tubes</t>
  </si>
  <si>
    <t>changed names of csv files, added wood_caps and added efficient fluo tubes (+renaming of fluo tubes into standard fluo tubes</t>
  </si>
  <si>
    <t>Country</t>
  </si>
  <si>
    <t>Year data</t>
  </si>
  <si>
    <t>On this page, a description of the assumptions for this analysis is given. There are two types of assumptions, Modeling assumptions and Country specific assumptions. The modeling assumptions form the structure or framework to be able to do this analysis. They are the same for every country. The country specific assumptions must be entered by the researcher on the Dashboard page and are used to correctly adjust the calculations to the specific country. 
The fuels table gives an overview of how the ETM fuel carriers correspond with the IEA fuel carriers.</t>
  </si>
  <si>
    <t>Application</t>
  </si>
  <si>
    <t>Subtotal of defined appliances</t>
  </si>
  <si>
    <t>In this sheet the carriers from the energy balance are summed into the carriers that the ETM uses in the commercial and public services sector. The result for other carriers should be zero, because the ETM does not allow for the use of these carriers in the commercial and public services sector. To see what you should do, please see the dashboard. If you want to trace the problem, please check the energy balance for red cells.</t>
  </si>
  <si>
    <r>
      <t xml:space="preserve">In this sheet the percentages of heat delivered are converted into percentages of final demand converted per technology by using the technological efficiencies specified in the sheet 'Technological specifications'. </t>
    </r>
    <r>
      <rPr>
        <b/>
        <sz val="12"/>
        <color theme="1"/>
        <rFont val="Calibri"/>
        <family val="2"/>
        <scheme val="minor"/>
      </rPr>
      <t>An exception to this workflow</t>
    </r>
    <r>
      <rPr>
        <sz val="12"/>
        <color theme="1"/>
        <rFont val="Calibri"/>
        <family val="2"/>
        <scheme val="minor"/>
      </rPr>
      <t xml:space="preserve"> are the percentages of final demand for </t>
    </r>
    <r>
      <rPr>
        <b/>
        <sz val="12"/>
        <color theme="1"/>
        <rFont val="Calibri"/>
        <family val="2"/>
        <scheme val="minor"/>
      </rPr>
      <t>district heating, biomass heating</t>
    </r>
    <r>
      <rPr>
        <sz val="12"/>
        <color theme="1"/>
        <rFont val="Calibri"/>
        <family val="2"/>
        <scheme val="minor"/>
      </rPr>
      <t xml:space="preserve"> and</t>
    </r>
    <r>
      <rPr>
        <b/>
        <sz val="12"/>
        <color theme="1"/>
        <rFont val="Calibri"/>
        <family val="2"/>
        <scheme val="minor"/>
      </rPr>
      <t xml:space="preserve"> solar thermal panels</t>
    </r>
    <r>
      <rPr>
        <sz val="12"/>
        <color theme="1"/>
        <rFont val="Calibri"/>
        <family val="2"/>
        <scheme val="minor"/>
      </rPr>
      <t xml:space="preserve">, which have been </t>
    </r>
    <r>
      <rPr>
        <b/>
        <sz val="12"/>
        <color theme="1"/>
        <rFont val="Calibri"/>
        <family val="2"/>
        <scheme val="minor"/>
      </rPr>
      <t>directly determined in the sheet 'Final demand extracted</t>
    </r>
    <r>
      <rPr>
        <sz val="12"/>
        <color theme="1"/>
        <rFont val="Calibri"/>
        <family val="2"/>
        <scheme val="minor"/>
      </rPr>
      <t xml:space="preserve"> </t>
    </r>
    <r>
      <rPr>
        <b/>
        <sz val="12"/>
        <color theme="1"/>
        <rFont val="Calibri"/>
        <family val="2"/>
        <scheme val="minor"/>
      </rPr>
      <t>from EB'</t>
    </r>
    <r>
      <rPr>
        <sz val="12"/>
        <color theme="1"/>
        <rFont val="Calibri"/>
        <family val="2"/>
        <scheme val="minor"/>
      </rPr>
      <t>.</t>
    </r>
  </si>
  <si>
    <t>The shares of several technologies with the same application and energy carrier are determined here</t>
  </si>
  <si>
    <t>Shares per carrier per application</t>
  </si>
  <si>
    <t>The split over the several application is defined here for several carriers.</t>
  </si>
  <si>
    <t>The final demands per energy carrier for all energy applications are calculated here</t>
  </si>
  <si>
    <t>In this sheet the shares per carrier per application needed for the Energy Transition Model are defined.</t>
  </si>
  <si>
    <t>Shares per technology per carrier</t>
  </si>
  <si>
    <t>Percentage of final demand converted by this technology (%)</t>
  </si>
  <si>
    <t>In this sheet the percentage of final demand for space heating fulfilled by district heating, biomass and solar thermal is determined based on the final demand specified on the dashboard and the values in the energy balance.</t>
  </si>
  <si>
    <t>Changed row and column sequence</t>
  </si>
  <si>
    <t>Changed EB to latest version</t>
  </si>
  <si>
    <t>Blast furnaces_transformation</t>
  </si>
  <si>
    <t>Gas works_transformation</t>
  </si>
  <si>
    <t>Coke ovens_transformation</t>
  </si>
  <si>
    <t>Patent fuel plants_transformation</t>
  </si>
  <si>
    <t>BKB plants_transformation</t>
  </si>
  <si>
    <t>Oil refineries_transformation</t>
  </si>
  <si>
    <t>Coal liquefaction plants_transformation</t>
  </si>
  <si>
    <t>Gas-to-liquids (GTL) plants_transformation</t>
  </si>
  <si>
    <t>Blast furnaces_own_use</t>
  </si>
  <si>
    <t>Gas works_own_use</t>
  </si>
  <si>
    <t>Coke ovens_own_use</t>
  </si>
  <si>
    <t>Patent fuel plants_own_use</t>
  </si>
  <si>
    <t>BKB plants_own_use</t>
  </si>
  <si>
    <t>Oil refineries_own_use</t>
  </si>
  <si>
    <t>Coal liquefaction plants_own_use</t>
  </si>
  <si>
    <t>Gas-to-liquids (GTL) plants_own_use</t>
  </si>
  <si>
    <t>Fixed summing errors and net-gross pv prod error (SD)</t>
  </si>
  <si>
    <t>key</t>
  </si>
  <si>
    <t>buildings_lighting_incandescent_lamp_electricity</t>
  </si>
  <si>
    <t>buildings_lighting_efficient_fluorescent_electricity</t>
  </si>
  <si>
    <t>buildings_lighting_led_electricity</t>
  </si>
  <si>
    <t>buildings_lighting_fluorescent_lamp_electricity</t>
  </si>
  <si>
    <t>buildings_lighting_standard_fluorescent_electricity</t>
  </si>
  <si>
    <t>buildings_final_demand_for_lighting_electricity</t>
  </si>
  <si>
    <t>buildings_final_demand_for_lighting_electricity_parent_share</t>
  </si>
  <si>
    <t>buildings_final_demand_for_space_heating_electricity</t>
  </si>
  <si>
    <t>buildings_space_heater_electricity</t>
  </si>
  <si>
    <t>buildings_space_heater_collective_heatpump_water_water_ts_electricity</t>
  </si>
  <si>
    <t>buildings_final_demand_for_space_heating_electricity_parent_share</t>
  </si>
  <si>
    <t>buildings_cooling_airconditioning_electricity</t>
  </si>
  <si>
    <t>buildings_cooling_collective_heatpump_water_water_ts_electricity</t>
  </si>
  <si>
    <t>buildings_cooling_collective_cooling_network_electricity</t>
  </si>
  <si>
    <t>buildings_final_demand_for_cooling_electricity</t>
  </si>
  <si>
    <t>buildings_final_demand_for_cooling_electricity_parent_share</t>
  </si>
  <si>
    <t>buildings_space_heater_network_gas</t>
  </si>
  <si>
    <t>buildings_space_heater_heatpump_air_water_network_gas</t>
  </si>
  <si>
    <t>buildings_final_demand_coal_parent_share</t>
  </si>
  <si>
    <t>buildings_final_demand_for_space_heating_coal</t>
  </si>
  <si>
    <t>buildings_final_demand_for_appliances_coal</t>
  </si>
  <si>
    <t>buildings_final_demand_network_gas_parent_share</t>
  </si>
  <si>
    <t>buildings_final_demand_crude_oil_parent_share</t>
  </si>
  <si>
    <t>buildings_final_demand_for_space_heating_crude_oil</t>
  </si>
  <si>
    <t>buildings_final_demand_for_appliances_crude_oil</t>
  </si>
  <si>
    <t>buildings_final_demand_electricity_parent_share</t>
  </si>
  <si>
    <t>buildings_final_demand_for_appliances_electricity</t>
  </si>
  <si>
    <t>buildings_final_demand_wood_pellets_parent_share</t>
  </si>
  <si>
    <t>buildings_final_demand_for_space_heating_wood_pellets</t>
  </si>
  <si>
    <t>buildings_final_demand_for_appliances_wood_pellets</t>
  </si>
  <si>
    <t>buildings_useful_demand_for_space_heating_child_share</t>
  </si>
  <si>
    <t>buildings_heating_savings_from_insulation_useable_heat</t>
  </si>
  <si>
    <t>buildings_useful_demand_for_space_heating_after_insulation</t>
  </si>
  <si>
    <t>buildings_cooling_savings_insulation_cooling</t>
  </si>
  <si>
    <t>buildings_useful_demand_cooling_child_share</t>
  </si>
  <si>
    <t>buildings_useful_demand_after_insulation_cooling</t>
  </si>
  <si>
    <t>buildings_useful_demand_light_child_share</t>
  </si>
  <si>
    <t>buildings_useful_demand_after_motion_detection_light</t>
  </si>
  <si>
    <t>buildings_lighting_savings_from_motion_detection_light</t>
  </si>
  <si>
    <t>buildings_useful_demand_after_motion_detection_light_child_share</t>
  </si>
  <si>
    <t>buildings_useful_demand_after_motion_detection_daylight_control_light</t>
  </si>
  <si>
    <t>buildings_lighting_savings_from_daylight_control_light</t>
  </si>
  <si>
    <t>Added shares that define converters related to "savings" (RD)</t>
  </si>
  <si>
    <t>In residential sector the only source of auto-produced electricity is solar PV. By making this assumption we can determine the amount of electricity produced by solar PV for the commercial and public services sector. But this happens in the PP&amp;HP analysis</t>
  </si>
  <si>
    <t>Removed all Solar PV calculations and assumptions</t>
  </si>
  <si>
    <t>Added csv_ to sheet name of all CSV files. Added redundant child edges in edges.csv</t>
  </si>
  <si>
    <t>corrected CSV file tabs to start with "csv_..."</t>
  </si>
  <si>
    <t>converter key</t>
  </si>
  <si>
    <t>The base year for this analysis</t>
  </si>
  <si>
    <t>Automatically import/export analysis data</t>
  </si>
  <si>
    <t>Here the percentage of final demand for several carriers is determined based on the energy balance and the final demand per application specfied on the dashboard</t>
  </si>
  <si>
    <t>In this sheet an overview is presented of the allocation of energy carriers over the different technologies and applications. At the bottom of this sheet the size of the electrical appliances and the other appliances are determined.</t>
  </si>
  <si>
    <t>Final energy demand Commercial and Public Services (from energy balance)</t>
  </si>
  <si>
    <t>Final demand converted per technology (TJ)</t>
  </si>
  <si>
    <t>Useful demand created per technology (TJ)</t>
  </si>
  <si>
    <t>TJ</t>
  </si>
  <si>
    <t>Final_demand_space_heating</t>
  </si>
  <si>
    <t>Final_demand_space_cooling</t>
  </si>
  <si>
    <t>Final_demand_lighting</t>
  </si>
  <si>
    <t>Key</t>
  </si>
  <si>
    <t>Critical check</t>
  </si>
  <si>
    <t>country</t>
  </si>
  <si>
    <t>base_year</t>
  </si>
  <si>
    <t>A CSV-file with a converter output share (parent_share)</t>
  </si>
  <si>
    <t>csv_ps_final_demand_lighting</t>
  </si>
  <si>
    <t>csv_ps_space_heating_electricit</t>
  </si>
  <si>
    <t>csv_ps_cooling_electricity</t>
  </si>
  <si>
    <t>csv_ps_space_heating_gas</t>
  </si>
  <si>
    <t>csv_ps_final_demand_coal</t>
  </si>
  <si>
    <t>csv_ps_final_demand_gas</t>
  </si>
  <si>
    <t>csv_ps_final_demand_oil</t>
  </si>
  <si>
    <t>csv_ps_final_demand_electricity</t>
  </si>
  <si>
    <t>csv_ps_final_demand_wood_p</t>
  </si>
  <si>
    <t>csv_heating_useful_insulation</t>
  </si>
  <si>
    <t>csv_cooling_useful_insulation</t>
  </si>
  <si>
    <t>csv_light_saving_detection</t>
  </si>
  <si>
    <t>csv_light_saving_control</t>
  </si>
  <si>
    <t>1. Import the corrected energy balance using the import button on the Dashboard sheet.</t>
  </si>
  <si>
    <t>2. Look over all the assumptions and checks on the Assumptions page and the Dashboard. Consult the documentation for additional information.</t>
  </si>
  <si>
    <t>3. Fill in the (country-specific) assumptions on the Dashboard using reliable sources and/or use the source analysis mentioned in the comments. Please document your sources.</t>
  </si>
  <si>
    <t>4. Keep in mind the checks on the Dashboard. If a check fails, try to understand what goes wrong and adjust your assumptions as long as you feel it is still realistic</t>
  </si>
  <si>
    <t>5. If you encounter other problems please contact Quintel Intelligence</t>
  </si>
  <si>
    <t>6. Export the csv files using the export button on the Dashboard sheet.</t>
  </si>
  <si>
    <t>Updated to new style rules</t>
  </si>
  <si>
    <t>Corrected energy balance step 2</t>
  </si>
  <si>
    <t>Name in this excel file</t>
  </si>
  <si>
    <t>Eff_space_heating_solar_thermal</t>
  </si>
  <si>
    <t>Eff_space_heating_district</t>
  </si>
  <si>
    <t>Eff_space_heating_woodpellets</t>
  </si>
  <si>
    <t>Eff_space_heating_electric</t>
  </si>
  <si>
    <t>Eff_space_heating_gas</t>
  </si>
  <si>
    <t>Eff_space_heating_oil</t>
  </si>
  <si>
    <t>Eff_space_heating_coal</t>
  </si>
  <si>
    <t>Eff_space_heating_pump_storage</t>
  </si>
  <si>
    <t>Eff_cooling_airco</t>
  </si>
  <si>
    <t>Eff_cooling_pump</t>
  </si>
  <si>
    <t>Eff_cooling_pump_storage</t>
  </si>
  <si>
    <t>Eff_lighting_led</t>
  </si>
  <si>
    <t>Eff_lighting_lamp_incandescent</t>
  </si>
  <si>
    <t>Eff_lighting_lamp_fluorescent</t>
  </si>
  <si>
    <t>Eff_lighting_tube_fluorescent_standartd</t>
  </si>
  <si>
    <t>Eff_lighting_tube_fluorescent_efficient</t>
  </si>
  <si>
    <t>Total demand of aggregated carriers</t>
  </si>
  <si>
    <t>Total demand in energy balancen (IEA)</t>
  </si>
  <si>
    <t xml:space="preserve">Check: </t>
  </si>
  <si>
    <t xml:space="preserve">If the </t>
  </si>
  <si>
    <t>are the same,,</t>
  </si>
  <si>
    <t xml:space="preserve">the energy carriers have been aggregated correctly. </t>
  </si>
  <si>
    <t xml:space="preserve">Difference: </t>
  </si>
  <si>
    <t>Eff_space_heating_pump_gas</t>
  </si>
  <si>
    <t>Final demand per carrier per application (TJ)</t>
  </si>
  <si>
    <t>Final demand for coal (TJ)</t>
  </si>
  <si>
    <t>Final demand for oil (TJ)</t>
  </si>
  <si>
    <t>Final demand for woodpellets (TJ)</t>
  </si>
  <si>
    <t>Final demand for Solar thermal (TJ)</t>
  </si>
  <si>
    <t>Final demand for electricity (TJ)</t>
  </si>
  <si>
    <t>Final demand for heat (TJ)</t>
  </si>
  <si>
    <t xml:space="preserve">Fixing names. Fixing order of space heating technologies. Fixing layout/formatting. Replaced old "PJ" units. </t>
  </si>
  <si>
    <t xml:space="preserve">Application </t>
  </si>
  <si>
    <t>Carrier</t>
  </si>
  <si>
    <t>Network Gas</t>
  </si>
  <si>
    <t>Electriity</t>
  </si>
  <si>
    <t>Electrcity</t>
  </si>
  <si>
    <t>Share per technology and carrier</t>
  </si>
  <si>
    <t>Application shares</t>
  </si>
  <si>
    <t>Technology shares</t>
  </si>
  <si>
    <t>Percentages of energy demand</t>
  </si>
  <si>
    <t>Technology split final demand</t>
  </si>
  <si>
    <t>A CSV-file with a converter output share (parent_share) - currently hard coded</t>
  </si>
  <si>
    <t>A CSV-file with a converter input share (child_share) - hard coded</t>
  </si>
  <si>
    <t>Percentage of biomass (wood_pellets) used in space heating</t>
  </si>
  <si>
    <t>Percentage of biomass (wood_pellets) used in applicances</t>
  </si>
  <si>
    <t>Temporarily hard-coded assumptions</t>
  </si>
  <si>
    <t>The ETM graph contains a number of converters that are used to model future energy saving effects of improved insulation. The inluence of these converters is set to 'zero' in the 'present' scenario:</t>
  </si>
  <si>
    <t>Current savings in useful demand of lighting accomplished by motion detection</t>
  </si>
  <si>
    <t>Current savings in useful demand of lighting accomplished by daylight control</t>
  </si>
  <si>
    <t>Removing converters
buildings_useful_demand_for_space_heating_after_insulation_recirculation_recovery
buildings_useful_demand_for_space_heating_after_insulation_recirculation
buildings_heating_savings_from_recirculation_useable_heat
buildings_heating_savings_from_recovery_useable_heat
buildings_useful_demand_after_insulation_recirculation_recovery_cooling
buildings_useful_demand_after_insulation_recirculation_cooling
buildings_cooling_savings_from_recovery_cooling
buildings_cooling_savings_from_recirculation_cooling</t>
  </si>
  <si>
    <t>results from ETM modelling logic</t>
  </si>
  <si>
    <t>Renamed Analysis to "Services"</t>
  </si>
  <si>
    <t>added buttonns on Dashboard</t>
  </si>
  <si>
    <t>Fixing links in formulas (space heating)</t>
  </si>
  <si>
    <t>services_final_demand_space_heating</t>
  </si>
  <si>
    <t>services_final_demand_space_cooling</t>
  </si>
  <si>
    <t>services_final_demand_lighting</t>
  </si>
  <si>
    <t>services_space_heating_share_gas_fired_heaters</t>
  </si>
  <si>
    <t>services_space_heating_share_gas_fired_heat_pumps</t>
  </si>
  <si>
    <t>services_space_heating_share_electric_heaters</t>
  </si>
  <si>
    <t>services_space_heating_share_coal_fired_heater</t>
  </si>
  <si>
    <t>services_space_cooling_share_gas_fired_heat_pump</t>
  </si>
  <si>
    <t>services_space_cooling_share_electric_heat_pump</t>
  </si>
  <si>
    <t>services_space_cooling_share_airco</t>
  </si>
  <si>
    <t>services_lighting_incandescent_lamp</t>
  </si>
  <si>
    <t>services_lighting_fluorescent_lamp</t>
  </si>
  <si>
    <t>services_lighting_fluorescent_tube</t>
  </si>
  <si>
    <t>services_lighting_efficient_fluorescent_tube</t>
  </si>
  <si>
    <t>services_lighting_LED_tube</t>
  </si>
  <si>
    <t>services_biomass_used_in space_heating</t>
  </si>
  <si>
    <t>services_biomass_used_in appliances</t>
  </si>
  <si>
    <t>services_savings_lighting_motion_detection</t>
  </si>
  <si>
    <t>services_savings_lighting_daylight_control</t>
  </si>
  <si>
    <t>services_space_heating_share_electric_heat_pump_with_storage</t>
  </si>
  <si>
    <t>ETM carriers in Services Sector</t>
  </si>
  <si>
    <t>Fixing the order of keys on the dashboard / renaming one key</t>
  </si>
  <si>
    <t>services_space_heating_share_oil_fired_heater</t>
  </si>
  <si>
    <t>Final energy demand used for space heating</t>
  </si>
  <si>
    <t>Final energy use by solar thermal panels</t>
  </si>
  <si>
    <t>Final energy use by biomass-fired heaters</t>
  </si>
  <si>
    <t>Final energy use by district heating</t>
  </si>
  <si>
    <t>Name</t>
  </si>
  <si>
    <t>?</t>
  </si>
  <si>
    <t>heat efficiency</t>
  </si>
  <si>
    <t>1 / COP</t>
  </si>
  <si>
    <t>output.useable_heat</t>
  </si>
  <si>
    <t>input.electricity</t>
  </si>
  <si>
    <t>output.light</t>
  </si>
  <si>
    <t>buildings_space_heater_network_gas.converter</t>
  </si>
  <si>
    <t>buildings_space_heater_collective_heatpump_water_water_ts_electricity.converter</t>
  </si>
  <si>
    <t>buildings_space_heater_heatpump_air_water_network_gas.converter</t>
  </si>
  <si>
    <t>buildings_space_heater_electricity.converter</t>
  </si>
  <si>
    <t>buildings_space_heater_coal.converter</t>
  </si>
  <si>
    <t>buildings_space_heater_crude_oil.converter</t>
  </si>
  <si>
    <t>buildings_space_heater_solar_thermal.converter</t>
  </si>
  <si>
    <t>buildings_space_heater_wood_pellets.converter</t>
  </si>
  <si>
    <t>buildings_space_heater_district_heating_steam_hot_water.converter</t>
  </si>
  <si>
    <t>buildings_cooling_heatpump_air_water_network_gas.converter</t>
  </si>
  <si>
    <t>buildings_cooling_collective_heatpump_water_water_ts_electricity.converter</t>
  </si>
  <si>
    <t>buildings_cooling_airconditioning_electricity.converter</t>
  </si>
  <si>
    <t>buildings_lighting_efficient_fluorescent_electricity.converter</t>
  </si>
  <si>
    <t>buildings_lighting_standard_fluorescent_electricity.converter</t>
  </si>
  <si>
    <t>buildings_lighting_led_electricity.converter</t>
  </si>
  <si>
    <t>input.network_gas</t>
  </si>
  <si>
    <t>light efficiency</t>
  </si>
  <si>
    <t>Technological Specifications</t>
  </si>
  <si>
    <t>Extract data from Etsource</t>
  </si>
  <si>
    <t>Converter attributes</t>
  </si>
  <si>
    <t xml:space="preserve">Here, the technological specifications are imported from Etsource (automatically). These values are not country-specific and cannot be changed. </t>
  </si>
  <si>
    <t>enabling automatic import of technical specs</t>
  </si>
  <si>
    <t xml:space="preserve">removing Lody's "wrong" efficiencies, replacing them with efficiencies that are imporrted from etsource. Lody's efficiencies can be found in the source analysis folder. </t>
  </si>
  <si>
    <t>removing sheets with edges and nodes</t>
  </si>
  <si>
    <t>-</t>
  </si>
  <si>
    <t>All critical checks correct</t>
  </si>
  <si>
    <t>Taken from corrected energy balance</t>
  </si>
  <si>
    <t xml:space="preserve">Percentage of useful heat delivered by the remaining technologies </t>
  </si>
  <si>
    <t xml:space="preserve">Remaining final energy demand for space heating, after solar thermal panels, biomass heaters and district heating: </t>
  </si>
  <si>
    <t>Gas-fired heaters</t>
  </si>
  <si>
    <t>Electric heat pumps with thermal storage</t>
  </si>
  <si>
    <t>Gas-fired heat pumps</t>
  </si>
  <si>
    <t>Electric heaters</t>
  </si>
  <si>
    <t>Coal-fired heaters</t>
  </si>
  <si>
    <t>Oil-fired heaters</t>
  </si>
  <si>
    <t>extracted from corrected energy balance</t>
  </si>
  <si>
    <t xml:space="preserve">Percentage of useful cold delivered by </t>
  </si>
  <si>
    <t xml:space="preserve">Percentage of light delivered by </t>
  </si>
  <si>
    <t>LED tubes</t>
  </si>
  <si>
    <t>Final energy demand for electrical appliances is a positive number</t>
  </si>
  <si>
    <t>Final energy demand for other appliances is a positive number</t>
  </si>
  <si>
    <t>Final energy demand used for other Appliances (non-electric)</t>
  </si>
  <si>
    <t>Energy in services sector, not accounted for in ETM:</t>
  </si>
  <si>
    <t>Percentage of final demand</t>
  </si>
  <si>
    <t>Subtotal (TJ)</t>
  </si>
  <si>
    <t>Other appliances (non-electric) - remaining energy flows</t>
  </si>
  <si>
    <t>The following cannot be negative</t>
  </si>
  <si>
    <t>Other Applicances</t>
  </si>
  <si>
    <t>Network gas demand in other appliances</t>
  </si>
  <si>
    <t>Coal demand in other appliances</t>
  </si>
  <si>
    <t>Oil demand in other appliances</t>
  </si>
  <si>
    <t>major layout change to dashboard. Improving checks</t>
  </si>
  <si>
    <t>added 'Biogases' to network gas aggregation. Renaming natural gas to network gas in some instances</t>
  </si>
  <si>
    <t>Network gas</t>
  </si>
  <si>
    <t>Final demand for network gas (TJ)</t>
  </si>
  <si>
    <t xml:space="preserve">Final demand for network gas </t>
  </si>
  <si>
    <t xml:space="preserve">The main goal of this analysis is to create a representative energy use per application for the commercial and public services sector. The applications that are defined in this analysis are: space heating, space cooling, lighting, electric applications and other applications. 
Note that Solar PV production is not covered by this analysis as that results from the Energy Balance and the Autoproduction table (both available from IEA). To see what solar PV production is for your dataset, open the "2_power_and_heat_plant_analysis", import all the required data (including the Energy Balance and Autoproducer table, which both need to be bought from IEA), and proceed to 'Results by machine' or the 'PV solar' sheets. </t>
  </si>
  <si>
    <t>Implemented if-statement in Application shares to avoid #DIV/0 errors</t>
  </si>
  <si>
    <t>Implemented if-statement in Technology share to avoid #DIV/0 errors</t>
  </si>
  <si>
    <t>buildings_final_demand_for_space_heating_network_gas</t>
  </si>
  <si>
    <t>buildings_final_demand_for_cooling_network_gas</t>
  </si>
  <si>
    <t>buildings_final_demand_for_appliances_network_gas</t>
  </si>
  <si>
    <t>buildings_final_demand_for_space_heating_network_gas_parent_share</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</si>
</sst>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
    <numFmt numFmtId="165" formatCode="0.0%"/>
    <numFmt numFmtId="166" formatCode="[$-409]mmmm\ d\,\ yyyy;@"/>
    <numFmt numFmtId="167" formatCode="0.00000"/>
  </numFmts>
  <fonts count="32" x14ac:knownFonts="1">
    <font>
      <sz val="12"/>
      <color theme="1"/>
      <name val="Calibri"/>
      <family val="2"/>
      <scheme val="minor"/>
    </font>
    <font>
      <sz val="12"/>
      <color theme="1"/>
      <name val="Calibri"/>
      <family val="2"/>
      <scheme val="minor"/>
    </font>
    <font>
      <sz val="12"/>
      <color theme="1"/>
      <name val="Calibri"/>
      <family val="2"/>
      <scheme val="minor"/>
    </font>
    <font>
      <sz val="12"/>
      <color rgb="FFFF0000"/>
      <name val="Calibri"/>
      <family val="2"/>
      <scheme val="minor"/>
    </font>
    <font>
      <b/>
      <sz val="12"/>
      <color theme="1"/>
      <name val="Calibri"/>
      <family val="2"/>
      <scheme val="minor"/>
    </font>
    <font>
      <b/>
      <sz val="16"/>
      <color theme="3"/>
      <name val="Calibri"/>
      <scheme val="minor"/>
    </font>
    <font>
      <b/>
      <sz val="11"/>
      <color rgb="FF000000"/>
      <name val="Calibri"/>
      <family val="2"/>
      <scheme val="minor"/>
    </font>
    <font>
      <i/>
      <sz val="12"/>
      <color theme="1"/>
      <name val="Calibri"/>
      <scheme val="minor"/>
    </font>
    <font>
      <sz val="12"/>
      <name val="Calibri"/>
      <scheme val="minor"/>
    </font>
    <font>
      <u/>
      <sz val="12"/>
      <color theme="1"/>
      <name val="Calibri"/>
      <scheme val="minor"/>
    </font>
    <font>
      <sz val="12"/>
      <color rgb="FF000000"/>
      <name val="Calibri"/>
      <family val="2"/>
      <scheme val="minor"/>
    </font>
    <font>
      <u/>
      <sz val="12"/>
      <name val="Calibri"/>
      <scheme val="minor"/>
    </font>
    <font>
      <u/>
      <sz val="12"/>
      <color theme="10"/>
      <name val="Calibri"/>
      <family val="2"/>
      <scheme val="minor"/>
    </font>
    <font>
      <u/>
      <sz val="12"/>
      <color theme="11"/>
      <name val="Calibri"/>
      <family val="2"/>
      <scheme val="minor"/>
    </font>
    <font>
      <b/>
      <sz val="12"/>
      <name val="Calibri"/>
      <family val="2"/>
      <scheme val="minor"/>
    </font>
    <font>
      <b/>
      <sz val="12"/>
      <color rgb="FF000000"/>
      <name val="Calibri"/>
      <family val="2"/>
      <scheme val="minor"/>
    </font>
    <font>
      <sz val="24"/>
      <color theme="1"/>
      <name val="Calibri"/>
      <scheme val="minor"/>
    </font>
    <font>
      <b/>
      <sz val="18"/>
      <color theme="1"/>
      <name val="Calibri"/>
      <scheme val="minor"/>
    </font>
    <font>
      <sz val="9"/>
      <color indexed="81"/>
      <name val="Arial"/>
    </font>
    <font>
      <sz val="9"/>
      <color indexed="81"/>
      <name val="Calibri"/>
      <family val="2"/>
    </font>
    <font>
      <b/>
      <sz val="9"/>
      <color indexed="81"/>
      <name val="Calibri"/>
      <family val="2"/>
    </font>
    <font>
      <sz val="11"/>
      <color rgb="FF000000"/>
      <name val="Arial"/>
    </font>
    <font>
      <sz val="12"/>
      <color rgb="FF000000"/>
      <name val="Lucida Grande"/>
    </font>
    <font>
      <sz val="12"/>
      <color theme="0" tint="-0.499984740745262"/>
      <name val="Calibri"/>
      <scheme val="minor"/>
    </font>
    <font>
      <sz val="12"/>
      <color theme="0" tint="-0.14999847407452621"/>
      <name val="Calibri"/>
      <scheme val="minor"/>
    </font>
    <font>
      <b/>
      <sz val="12"/>
      <color theme="0" tint="-0.499984740745262"/>
      <name val="Calibri"/>
      <scheme val="minor"/>
    </font>
    <font>
      <sz val="11"/>
      <name val="Arial"/>
    </font>
    <font>
      <b/>
      <i/>
      <sz val="12"/>
      <name val="Calibri"/>
      <scheme val="minor"/>
    </font>
    <font>
      <i/>
      <sz val="12"/>
      <name val="Calibri"/>
      <scheme val="minor"/>
    </font>
    <font>
      <u/>
      <sz val="12"/>
      <color rgb="FF000000"/>
      <name val="Calibri"/>
      <scheme val="minor"/>
    </font>
    <font>
      <sz val="13"/>
      <color rgb="FF333333"/>
      <name val="Helvetica"/>
    </font>
    <font>
      <b/>
      <sz val="18"/>
      <color theme="5"/>
      <name val="Calibri"/>
      <scheme val="minor"/>
    </font>
  </fonts>
  <fills count="15">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theme="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rgb="FFFFFFFF"/>
        <bgColor rgb="FF000000"/>
      </patternFill>
    </fill>
    <fill>
      <patternFill patternType="solid">
        <fgColor rgb="FFFFFF00"/>
        <bgColor indexed="64"/>
      </patternFill>
    </fill>
    <fill>
      <patternFill patternType="solid">
        <fgColor rgb="FFFF00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rgb="FFFF6600"/>
        <bgColor indexed="64"/>
      </patternFill>
    </fill>
  </fills>
  <borders count="55">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thin">
        <color auto="1"/>
      </bottom>
      <diagonal/>
    </border>
    <border>
      <left/>
      <right style="medium">
        <color auto="1"/>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thin">
        <color auto="1"/>
      </top>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thin">
        <color auto="1"/>
      </left>
      <right style="thin">
        <color auto="1"/>
      </right>
      <top/>
      <bottom/>
      <diagonal/>
    </border>
    <border>
      <left style="thin">
        <color auto="1"/>
      </left>
      <right style="medium">
        <color auto="1"/>
      </right>
      <top/>
      <bottom/>
      <diagonal/>
    </border>
    <border>
      <left style="thin">
        <color auto="1"/>
      </left>
      <right style="thin">
        <color auto="1"/>
      </right>
      <top style="thin">
        <color auto="1"/>
      </top>
      <bottom style="thin">
        <color auto="1"/>
      </bottom>
      <diagonal/>
    </border>
    <border>
      <left style="medium">
        <color auto="1"/>
      </left>
      <right style="medium">
        <color auto="1"/>
      </right>
      <top/>
      <bottom style="medium">
        <color auto="1"/>
      </bottom>
      <diagonal/>
    </border>
    <border>
      <left style="thin">
        <color auto="1"/>
      </left>
      <right style="thin">
        <color auto="1"/>
      </right>
      <top/>
      <bottom style="medium">
        <color auto="1"/>
      </bottom>
      <diagonal/>
    </border>
    <border>
      <left/>
      <right style="thin">
        <color auto="1"/>
      </right>
      <top style="medium">
        <color auto="1"/>
      </top>
      <bottom/>
      <diagonal/>
    </border>
    <border>
      <left style="medium">
        <color auto="1"/>
      </left>
      <right style="thin">
        <color auto="1"/>
      </right>
      <top/>
      <bottom style="thin">
        <color auto="1"/>
      </bottom>
      <diagonal/>
    </border>
    <border>
      <left style="medium">
        <color auto="1"/>
      </left>
      <right style="thin">
        <color auto="1"/>
      </right>
      <top style="thin">
        <color auto="1"/>
      </top>
      <bottom style="thin">
        <color auto="1"/>
      </bottom>
      <diagonal/>
    </border>
    <border>
      <left/>
      <right/>
      <top style="thin">
        <color auto="1"/>
      </top>
      <bottom style="thin">
        <color auto="1"/>
      </bottom>
      <diagonal/>
    </border>
    <border>
      <left style="medium">
        <color auto="1"/>
      </left>
      <right style="thin">
        <color auto="1"/>
      </right>
      <top style="medium">
        <color auto="1"/>
      </top>
      <bottom style="thin">
        <color auto="1"/>
      </bottom>
      <diagonal/>
    </border>
    <border>
      <left/>
      <right/>
      <top style="medium">
        <color auto="1"/>
      </top>
      <bottom style="thin">
        <color auto="1"/>
      </bottom>
      <diagonal/>
    </border>
    <border>
      <left style="thin">
        <color auto="1"/>
      </left>
      <right style="thin">
        <color auto="1"/>
      </right>
      <top style="medium">
        <color auto="1"/>
      </top>
      <bottom style="thin">
        <color auto="1"/>
      </bottom>
      <diagonal/>
    </border>
    <border>
      <left/>
      <right style="medium">
        <color auto="1"/>
      </right>
      <top style="medium">
        <color auto="1"/>
      </top>
      <bottom style="thin">
        <color auto="1"/>
      </bottom>
      <diagonal/>
    </border>
    <border>
      <left/>
      <right style="medium">
        <color auto="1"/>
      </right>
      <top style="thin">
        <color auto="1"/>
      </top>
      <bottom style="thin">
        <color auto="1"/>
      </bottom>
      <diagonal/>
    </border>
    <border>
      <left style="medium">
        <color auto="1"/>
      </left>
      <right style="thin">
        <color auto="1"/>
      </right>
      <top/>
      <bottom/>
      <diagonal/>
    </border>
    <border>
      <left style="medium">
        <color auto="1"/>
      </left>
      <right style="thin">
        <color auto="1"/>
      </right>
      <top style="medium">
        <color auto="1"/>
      </top>
      <bottom style="medium">
        <color auto="1"/>
      </bottom>
      <diagonal/>
    </border>
    <border>
      <left/>
      <right/>
      <top style="medium">
        <color auto="1"/>
      </top>
      <bottom style="medium">
        <color auto="1"/>
      </bottom>
      <diagonal/>
    </border>
    <border>
      <left style="thin">
        <color auto="1"/>
      </left>
      <right style="thin">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bottom style="medium">
        <color auto="1"/>
      </bottom>
      <diagonal/>
    </border>
    <border>
      <left style="thin">
        <color auto="1"/>
      </left>
      <right/>
      <top style="medium">
        <color auto="1"/>
      </top>
      <bottom/>
      <diagonal/>
    </border>
    <border>
      <left/>
      <right style="medium">
        <color auto="1"/>
      </right>
      <top style="thin">
        <color auto="1"/>
      </top>
      <bottom/>
      <diagonal/>
    </border>
    <border>
      <left style="thin">
        <color auto="1"/>
      </left>
      <right style="thin">
        <color auto="1"/>
      </right>
      <top style="thin">
        <color auto="1"/>
      </top>
      <bottom/>
      <diagonal/>
    </border>
    <border>
      <left style="thin">
        <color auto="1"/>
      </left>
      <right style="medium">
        <color auto="1"/>
      </right>
      <top/>
      <bottom style="medium">
        <color auto="1"/>
      </bottom>
      <diagonal/>
    </border>
    <border>
      <left/>
      <right style="thin">
        <color auto="1"/>
      </right>
      <top/>
      <bottom style="medium">
        <color auto="1"/>
      </bottom>
      <diagonal/>
    </border>
    <border>
      <left style="thin">
        <color auto="1"/>
      </left>
      <right/>
      <top/>
      <bottom style="medium">
        <color auto="1"/>
      </bottom>
      <diagonal/>
    </border>
    <border>
      <left style="medium">
        <color auto="1"/>
      </left>
      <right style="thin">
        <color auto="1"/>
      </right>
      <top style="medium">
        <color auto="1"/>
      </top>
      <bottom/>
      <diagonal/>
    </border>
    <border>
      <left style="thin">
        <color auto="1"/>
      </left>
      <right style="medium">
        <color auto="1"/>
      </right>
      <top style="thin">
        <color auto="1"/>
      </top>
      <bottom/>
      <diagonal/>
    </border>
    <border>
      <left style="medium">
        <color auto="1"/>
      </left>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top style="medium">
        <color auto="1"/>
      </top>
      <bottom style="thin">
        <color auto="1"/>
      </bottom>
      <diagonal/>
    </border>
    <border>
      <left/>
      <right style="thin">
        <color auto="1"/>
      </right>
      <top style="medium">
        <color auto="1"/>
      </top>
      <bottom style="thin">
        <color auto="1"/>
      </bottom>
      <diagonal/>
    </border>
  </borders>
  <cellStyleXfs count="1357">
    <xf numFmtId="0" fontId="0" fillId="0" borderId="0"/>
    <xf numFmtId="9" fontId="2" fillId="0" borderId="0" applyFon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cellStyleXfs>
  <cellXfs count="407">
    <xf numFmtId="0" fontId="0" fillId="0" borderId="0" xfId="0"/>
    <xf numFmtId="0" fontId="0" fillId="2" borderId="0" xfId="0" applyFill="1"/>
    <xf numFmtId="0" fontId="5" fillId="2" borderId="0" xfId="0" applyFont="1" applyFill="1"/>
    <xf numFmtId="0" fontId="4" fillId="2" borderId="1" xfId="0" applyFont="1" applyFill="1" applyBorder="1"/>
    <xf numFmtId="0" fontId="0" fillId="2" borderId="2" xfId="0" applyFill="1" applyBorder="1"/>
    <xf numFmtId="0" fontId="0" fillId="2" borderId="3" xfId="0" applyFill="1" applyBorder="1"/>
    <xf numFmtId="0" fontId="6" fillId="3" borderId="4" xfId="0" applyFont="1" applyFill="1" applyBorder="1" applyAlignment="1">
      <alignment vertical="center"/>
    </xf>
    <xf numFmtId="0" fontId="0" fillId="2" borderId="5" xfId="0" applyFill="1" applyBorder="1"/>
    <xf numFmtId="0" fontId="0" fillId="2" borderId="0" xfId="0" applyFill="1" applyBorder="1"/>
    <xf numFmtId="0" fontId="6" fillId="3" borderId="6" xfId="0" applyFont="1" applyFill="1" applyBorder="1" applyAlignment="1">
      <alignment vertical="center"/>
    </xf>
    <xf numFmtId="0" fontId="0" fillId="2" borderId="7" xfId="0" applyFill="1" applyBorder="1"/>
    <xf numFmtId="0" fontId="0" fillId="2" borderId="8" xfId="0" applyFill="1" applyBorder="1"/>
    <xf numFmtId="0" fontId="6" fillId="3" borderId="1" xfId="0" applyFont="1" applyFill="1" applyBorder="1" applyAlignment="1">
      <alignment vertical="center"/>
    </xf>
    <xf numFmtId="0" fontId="4" fillId="2" borderId="2" xfId="0" applyFont="1" applyFill="1" applyBorder="1"/>
    <xf numFmtId="0" fontId="4" fillId="2" borderId="3" xfId="0" applyFont="1" applyFill="1" applyBorder="1"/>
    <xf numFmtId="0" fontId="4" fillId="2" borderId="0" xfId="0" applyFont="1" applyFill="1" applyBorder="1"/>
    <xf numFmtId="0" fontId="4" fillId="2" borderId="5" xfId="0" applyFont="1" applyFill="1" applyBorder="1"/>
    <xf numFmtId="0" fontId="0" fillId="0" borderId="0" xfId="0" applyFill="1" applyBorder="1"/>
    <xf numFmtId="0" fontId="0" fillId="0" borderId="5" xfId="0" applyFill="1" applyBorder="1"/>
    <xf numFmtId="0" fontId="0" fillId="2" borderId="4" xfId="0" applyFill="1" applyBorder="1"/>
    <xf numFmtId="0" fontId="0" fillId="2" borderId="6" xfId="0" applyFill="1" applyBorder="1"/>
    <xf numFmtId="0" fontId="4" fillId="2" borderId="4" xfId="0" applyFont="1" applyFill="1" applyBorder="1"/>
    <xf numFmtId="0" fontId="7" fillId="2" borderId="0" xfId="0" applyFont="1" applyFill="1" applyBorder="1"/>
    <xf numFmtId="0" fontId="0" fillId="2" borderId="9" xfId="0" applyFill="1" applyBorder="1"/>
    <xf numFmtId="0" fontId="0" fillId="4" borderId="0" xfId="0" applyFill="1" applyBorder="1"/>
    <xf numFmtId="0" fontId="0" fillId="5" borderId="0" xfId="0" applyFill="1" applyBorder="1"/>
    <xf numFmtId="2" fontId="0" fillId="2" borderId="0" xfId="0" applyNumberFormat="1" applyFill="1" applyBorder="1" applyAlignment="1">
      <alignment horizontal="left"/>
    </xf>
    <xf numFmtId="0" fontId="4" fillId="2" borderId="10" xfId="0" applyFont="1" applyFill="1" applyBorder="1"/>
    <xf numFmtId="0" fontId="4" fillId="2" borderId="11" xfId="0" applyFont="1" applyFill="1" applyBorder="1"/>
    <xf numFmtId="0" fontId="0" fillId="2" borderId="12" xfId="0" applyFill="1" applyBorder="1"/>
    <xf numFmtId="0" fontId="0" fillId="2" borderId="13" xfId="0" applyFill="1" applyBorder="1"/>
    <xf numFmtId="0" fontId="0" fillId="2" borderId="14" xfId="0" applyFill="1" applyBorder="1"/>
    <xf numFmtId="0" fontId="4" fillId="2" borderId="15" xfId="0" applyFont="1" applyFill="1" applyBorder="1"/>
    <xf numFmtId="0" fontId="4" fillId="0" borderId="7" xfId="0" applyFont="1" applyFill="1" applyBorder="1"/>
    <xf numFmtId="0" fontId="4" fillId="0" borderId="16" xfId="0" applyFont="1" applyFill="1" applyBorder="1"/>
    <xf numFmtId="0" fontId="4" fillId="2" borderId="13" xfId="0" applyFont="1" applyFill="1" applyBorder="1"/>
    <xf numFmtId="0" fontId="4" fillId="2" borderId="14" xfId="0" applyFont="1" applyFill="1" applyBorder="1"/>
    <xf numFmtId="0" fontId="9" fillId="2" borderId="13" xfId="0" applyFont="1" applyFill="1" applyBorder="1"/>
    <xf numFmtId="0" fontId="0" fillId="2" borderId="13" xfId="0" applyFill="1" applyBorder="1" applyAlignment="1">
      <alignment vertical="top"/>
    </xf>
    <xf numFmtId="0" fontId="0" fillId="0" borderId="0" xfId="0" applyFill="1" applyBorder="1" applyAlignment="1">
      <alignment wrapText="1"/>
    </xf>
    <xf numFmtId="0" fontId="0" fillId="0" borderId="14" xfId="0" applyFill="1" applyBorder="1" applyAlignment="1">
      <alignment vertical="top"/>
    </xf>
    <xf numFmtId="0" fontId="0" fillId="0" borderId="14" xfId="0" applyFill="1" applyBorder="1" applyAlignment="1">
      <alignment vertical="top" wrapText="1"/>
    </xf>
    <xf numFmtId="0" fontId="0" fillId="0" borderId="14" xfId="0" applyFill="1" applyBorder="1"/>
    <xf numFmtId="0" fontId="0" fillId="2" borderId="15" xfId="0" applyFill="1" applyBorder="1"/>
    <xf numFmtId="0" fontId="0" fillId="0" borderId="0" xfId="0" applyFill="1" applyBorder="1" applyAlignment="1">
      <alignment vertical="top"/>
    </xf>
    <xf numFmtId="0" fontId="0" fillId="0" borderId="7" xfId="0" applyFill="1" applyBorder="1"/>
    <xf numFmtId="0" fontId="0" fillId="0" borderId="16" xfId="0" applyFill="1" applyBorder="1"/>
    <xf numFmtId="0" fontId="0" fillId="2" borderId="17" xfId="0" applyFill="1" applyBorder="1"/>
    <xf numFmtId="0" fontId="0" fillId="0" borderId="18" xfId="0" applyFill="1" applyBorder="1"/>
    <xf numFmtId="0" fontId="9" fillId="2" borderId="20" xfId="0" applyFont="1" applyFill="1" applyBorder="1"/>
    <xf numFmtId="0" fontId="11" fillId="2" borderId="13" xfId="0" applyFont="1" applyFill="1" applyBorder="1"/>
    <xf numFmtId="0" fontId="0" fillId="0" borderId="19" xfId="0" applyFill="1" applyBorder="1"/>
    <xf numFmtId="0" fontId="4" fillId="0" borderId="1" xfId="0" applyFont="1" applyBorder="1"/>
    <xf numFmtId="0" fontId="0" fillId="2" borderId="11" xfId="0" applyFill="1" applyBorder="1"/>
    <xf numFmtId="0" fontId="4" fillId="2" borderId="21" xfId="0" applyFont="1" applyFill="1" applyBorder="1"/>
    <xf numFmtId="0" fontId="0" fillId="2" borderId="23" xfId="0" applyFill="1" applyBorder="1"/>
    <xf numFmtId="0" fontId="0" fillId="2" borderId="24" xfId="0" applyFill="1" applyBorder="1"/>
    <xf numFmtId="0" fontId="0" fillId="2" borderId="21" xfId="0" applyFill="1" applyBorder="1"/>
    <xf numFmtId="0" fontId="0" fillId="2" borderId="22" xfId="0" applyFill="1" applyBorder="1"/>
    <xf numFmtId="9" fontId="0" fillId="2" borderId="0" xfId="1" applyFont="1" applyFill="1" applyBorder="1"/>
    <xf numFmtId="0" fontId="10" fillId="8" borderId="0" xfId="0" applyFont="1" applyFill="1" applyBorder="1"/>
    <xf numFmtId="0" fontId="0" fillId="0" borderId="25" xfId="0" applyFill="1" applyBorder="1"/>
    <xf numFmtId="0" fontId="0" fillId="0" borderId="23" xfId="0" applyFill="1" applyBorder="1"/>
    <xf numFmtId="9" fontId="0" fillId="2" borderId="18" xfId="1" applyFont="1" applyFill="1" applyBorder="1"/>
    <xf numFmtId="0" fontId="4" fillId="2" borderId="23" xfId="0" applyFont="1" applyFill="1" applyBorder="1"/>
    <xf numFmtId="0" fontId="4" fillId="2" borderId="24" xfId="0" applyFont="1" applyFill="1" applyBorder="1"/>
    <xf numFmtId="0" fontId="0" fillId="2" borderId="23" xfId="0" applyFont="1" applyFill="1" applyBorder="1"/>
    <xf numFmtId="0" fontId="5" fillId="2" borderId="0" xfId="0" applyFont="1" applyFill="1" applyBorder="1"/>
    <xf numFmtId="0" fontId="4" fillId="2" borderId="15" xfId="0" applyFont="1" applyFill="1" applyBorder="1" applyAlignment="1">
      <alignment vertical="top" wrapText="1"/>
    </xf>
    <xf numFmtId="0" fontId="4" fillId="0" borderId="7" xfId="0" applyFont="1" applyFill="1" applyBorder="1" applyAlignment="1">
      <alignment vertical="top" wrapText="1"/>
    </xf>
    <xf numFmtId="0" fontId="4" fillId="2" borderId="13" xfId="0" applyFont="1" applyFill="1" applyBorder="1" applyAlignment="1">
      <alignment vertical="top" wrapText="1"/>
    </xf>
    <xf numFmtId="0" fontId="4" fillId="2" borderId="5" xfId="0" applyFont="1" applyFill="1" applyBorder="1" applyAlignment="1">
      <alignment vertical="top" wrapText="1"/>
    </xf>
    <xf numFmtId="0" fontId="4" fillId="2" borderId="0" xfId="0" applyFont="1" applyFill="1" applyBorder="1" applyAlignment="1">
      <alignment vertical="top" wrapText="1"/>
    </xf>
    <xf numFmtId="0" fontId="3" fillId="2" borderId="13" xfId="0" applyFont="1" applyFill="1" applyBorder="1"/>
    <xf numFmtId="0" fontId="4" fillId="2" borderId="7" xfId="0" applyFont="1" applyFill="1" applyBorder="1" applyAlignment="1">
      <alignment vertical="top" wrapText="1"/>
    </xf>
    <xf numFmtId="9" fontId="0" fillId="0" borderId="5" xfId="0" applyNumberFormat="1" applyFill="1" applyBorder="1"/>
    <xf numFmtId="0" fontId="4" fillId="2" borderId="3" xfId="0" applyFont="1" applyFill="1" applyBorder="1" applyAlignment="1">
      <alignment vertical="top" wrapText="1"/>
    </xf>
    <xf numFmtId="0" fontId="0" fillId="0" borderId="32" xfId="0" applyFill="1" applyBorder="1"/>
    <xf numFmtId="0" fontId="0" fillId="0" borderId="33" xfId="0" applyFill="1" applyBorder="1" applyAlignment="1">
      <alignment vertical="top" wrapText="1"/>
    </xf>
    <xf numFmtId="0" fontId="0" fillId="0" borderId="34" xfId="0" applyFill="1" applyBorder="1" applyAlignment="1">
      <alignment vertical="top" wrapText="1"/>
    </xf>
    <xf numFmtId="0" fontId="0" fillId="0" borderId="35" xfId="0" applyFill="1" applyBorder="1" applyAlignment="1">
      <alignment vertical="top" wrapText="1"/>
    </xf>
    <xf numFmtId="0" fontId="0" fillId="0" borderId="30" xfId="0" applyFill="1" applyBorder="1"/>
    <xf numFmtId="0" fontId="0" fillId="0" borderId="31" xfId="0" applyFill="1" applyBorder="1"/>
    <xf numFmtId="0" fontId="0" fillId="0" borderId="36" xfId="0" applyFill="1" applyBorder="1"/>
    <xf numFmtId="0" fontId="0" fillId="0" borderId="37" xfId="0" applyFill="1" applyBorder="1"/>
    <xf numFmtId="0" fontId="0" fillId="0" borderId="38" xfId="0" applyFill="1" applyBorder="1"/>
    <xf numFmtId="0" fontId="0" fillId="0" borderId="39" xfId="0" applyFill="1" applyBorder="1"/>
    <xf numFmtId="0" fontId="0" fillId="0" borderId="40" xfId="0" applyFill="1" applyBorder="1"/>
    <xf numFmtId="0" fontId="0" fillId="0" borderId="41" xfId="0" applyFill="1" applyBorder="1"/>
    <xf numFmtId="0" fontId="0" fillId="0" borderId="29" xfId="0" applyFill="1" applyBorder="1"/>
    <xf numFmtId="0" fontId="0" fillId="0" borderId="21" xfId="0" applyFill="1" applyBorder="1"/>
    <xf numFmtId="0" fontId="0" fillId="0" borderId="42" xfId="0" applyFill="1" applyBorder="1"/>
    <xf numFmtId="0" fontId="0" fillId="0" borderId="27" xfId="0" applyFill="1" applyBorder="1"/>
    <xf numFmtId="0" fontId="0" fillId="0" borderId="0" xfId="0" applyFont="1" applyFill="1" applyBorder="1"/>
    <xf numFmtId="0" fontId="0" fillId="0" borderId="5" xfId="0" applyFont="1" applyFill="1" applyBorder="1"/>
    <xf numFmtId="0" fontId="0" fillId="2" borderId="0" xfId="0" applyFont="1" applyFill="1"/>
    <xf numFmtId="0" fontId="0" fillId="2" borderId="13" xfId="0" applyFont="1" applyFill="1" applyBorder="1"/>
    <xf numFmtId="0" fontId="0" fillId="0" borderId="0" xfId="0" applyFill="1" applyBorder="1" applyAlignment="1">
      <alignment vertical="top" wrapText="1"/>
    </xf>
    <xf numFmtId="0" fontId="0" fillId="2" borderId="0" xfId="0" applyFill="1" applyBorder="1" applyAlignment="1">
      <alignment wrapText="1"/>
    </xf>
    <xf numFmtId="0" fontId="0" fillId="2" borderId="0" xfId="0" applyFill="1" applyBorder="1" applyAlignment="1">
      <alignment vertical="top" wrapText="1"/>
    </xf>
    <xf numFmtId="0" fontId="4" fillId="0" borderId="14" xfId="0" applyFont="1" applyFill="1" applyBorder="1"/>
    <xf numFmtId="0" fontId="4" fillId="0" borderId="8" xfId="0" applyFont="1" applyFill="1" applyBorder="1"/>
    <xf numFmtId="0" fontId="0" fillId="2" borderId="18" xfId="0" applyFill="1" applyBorder="1"/>
    <xf numFmtId="0" fontId="0" fillId="2" borderId="19" xfId="0" applyFill="1" applyBorder="1"/>
    <xf numFmtId="0" fontId="15" fillId="0" borderId="14" xfId="0" applyFont="1" applyBorder="1"/>
    <xf numFmtId="0" fontId="10" fillId="8" borderId="18" xfId="0" applyFont="1" applyFill="1" applyBorder="1"/>
    <xf numFmtId="0" fontId="10" fillId="8" borderId="19" xfId="0" applyFont="1" applyFill="1" applyBorder="1"/>
    <xf numFmtId="0" fontId="4" fillId="2" borderId="0" xfId="0" applyFont="1" applyFill="1"/>
    <xf numFmtId="0" fontId="4" fillId="0" borderId="7" xfId="0" applyFont="1" applyFill="1" applyBorder="1" applyAlignment="1">
      <alignment wrapText="1"/>
    </xf>
    <xf numFmtId="9" fontId="0" fillId="0" borderId="0" xfId="1" applyFont="1" applyFill="1" applyBorder="1"/>
    <xf numFmtId="2" fontId="0" fillId="0" borderId="0" xfId="1" applyNumberFormat="1" applyFont="1" applyFill="1" applyBorder="1"/>
    <xf numFmtId="0" fontId="4" fillId="2" borderId="45" xfId="0" applyFont="1" applyFill="1" applyBorder="1"/>
    <xf numFmtId="0" fontId="8" fillId="0" borderId="21" xfId="0" applyFont="1" applyBorder="1" applyAlignment="1">
      <alignment vertical="top" wrapText="1"/>
    </xf>
    <xf numFmtId="0" fontId="8" fillId="0" borderId="21" xfId="0" applyFont="1" applyBorder="1" applyAlignment="1">
      <alignment horizontal="left" vertical="top" wrapText="1"/>
    </xf>
    <xf numFmtId="0" fontId="16" fillId="2" borderId="0" xfId="0" applyFont="1" applyFill="1" applyAlignment="1">
      <alignment vertical="center"/>
    </xf>
    <xf numFmtId="0" fontId="16" fillId="2" borderId="0" xfId="0" applyFont="1" applyFill="1" applyAlignment="1">
      <alignment horizontal="center" vertical="center"/>
    </xf>
    <xf numFmtId="0" fontId="0" fillId="2" borderId="0" xfId="0" applyFont="1" applyFill="1" applyAlignment="1">
      <alignment horizontal="left" vertical="center"/>
    </xf>
    <xf numFmtId="0" fontId="5" fillId="2" borderId="0" xfId="0" applyFont="1" applyFill="1" applyAlignment="1">
      <alignment vertical="center"/>
    </xf>
    <xf numFmtId="0" fontId="4" fillId="2" borderId="1" xfId="0" applyFont="1" applyFill="1" applyBorder="1" applyAlignment="1">
      <alignment vertical="center"/>
    </xf>
    <xf numFmtId="0" fontId="16" fillId="2" borderId="2" xfId="0" applyFont="1" applyFill="1" applyBorder="1" applyAlignment="1">
      <alignment vertical="center"/>
    </xf>
    <xf numFmtId="0" fontId="16" fillId="2" borderId="3" xfId="0" applyFont="1" applyFill="1" applyBorder="1" applyAlignment="1">
      <alignment vertical="center"/>
    </xf>
    <xf numFmtId="0" fontId="0" fillId="2" borderId="6" xfId="0" applyFont="1" applyFill="1" applyBorder="1" applyAlignment="1">
      <alignment horizontal="left" vertical="top"/>
    </xf>
    <xf numFmtId="0" fontId="16" fillId="2" borderId="7" xfId="0" applyFont="1" applyFill="1" applyBorder="1" applyAlignment="1">
      <alignment vertical="center"/>
    </xf>
    <xf numFmtId="0" fontId="16" fillId="2" borderId="8" xfId="0" applyFont="1" applyFill="1" applyBorder="1" applyAlignment="1">
      <alignment vertical="center"/>
    </xf>
    <xf numFmtId="0" fontId="0" fillId="7" borderId="0" xfId="0" applyFill="1" applyBorder="1"/>
    <xf numFmtId="0" fontId="0" fillId="4" borderId="25" xfId="0" applyFill="1" applyBorder="1"/>
    <xf numFmtId="0" fontId="0" fillId="6" borderId="25" xfId="0" applyFill="1" applyBorder="1"/>
    <xf numFmtId="0" fontId="0" fillId="0" borderId="25" xfId="0" applyFont="1" applyFill="1" applyBorder="1"/>
    <xf numFmtId="0" fontId="8" fillId="0" borderId="0" xfId="0" applyFont="1" applyBorder="1" applyAlignment="1">
      <alignment horizontal="left" vertical="top" wrapText="1"/>
    </xf>
    <xf numFmtId="0" fontId="14" fillId="2" borderId="45" xfId="0" applyFont="1" applyFill="1" applyBorder="1"/>
    <xf numFmtId="0" fontId="14" fillId="2" borderId="23" xfId="0" applyFont="1" applyFill="1" applyBorder="1"/>
    <xf numFmtId="0" fontId="8" fillId="2" borderId="23" xfId="0" applyFont="1" applyFill="1" applyBorder="1"/>
    <xf numFmtId="0" fontId="17" fillId="2" borderId="0" xfId="0" applyFont="1" applyFill="1" applyAlignment="1">
      <alignment horizontal="left" vertical="center"/>
    </xf>
    <xf numFmtId="0" fontId="0" fillId="2" borderId="14" xfId="0" applyFill="1" applyBorder="1" applyAlignment="1">
      <alignment vertical="top"/>
    </xf>
    <xf numFmtId="0" fontId="9" fillId="2" borderId="20" xfId="0" applyFont="1" applyFill="1" applyBorder="1" applyAlignment="1">
      <alignment vertical="top"/>
    </xf>
    <xf numFmtId="0" fontId="0" fillId="2" borderId="44" xfId="0" applyFill="1" applyBorder="1" applyAlignment="1">
      <alignment vertical="top"/>
    </xf>
    <xf numFmtId="0" fontId="0" fillId="2" borderId="44" xfId="0" applyFill="1" applyBorder="1"/>
    <xf numFmtId="0" fontId="10" fillId="0" borderId="0" xfId="0" applyFont="1" applyFill="1" applyBorder="1"/>
    <xf numFmtId="0" fontId="0" fillId="2" borderId="0" xfId="0" applyFill="1" applyBorder="1" applyAlignment="1">
      <alignment vertical="top"/>
    </xf>
    <xf numFmtId="0" fontId="0" fillId="2" borderId="7" xfId="0" applyFill="1" applyBorder="1" applyAlignment="1">
      <alignment vertical="top"/>
    </xf>
    <xf numFmtId="0" fontId="0" fillId="2" borderId="18" xfId="0" applyFill="1" applyBorder="1" applyAlignment="1">
      <alignment vertical="top"/>
    </xf>
    <xf numFmtId="0" fontId="0" fillId="2" borderId="19" xfId="0" applyFill="1" applyBorder="1" applyAlignment="1">
      <alignment vertical="top"/>
    </xf>
    <xf numFmtId="0" fontId="4" fillId="2" borderId="16" xfId="0" applyFont="1" applyFill="1" applyBorder="1"/>
    <xf numFmtId="0" fontId="8" fillId="0" borderId="14" xfId="0" applyFont="1" applyFill="1" applyBorder="1"/>
    <xf numFmtId="0" fontId="9" fillId="2" borderId="15" xfId="0" applyFont="1" applyFill="1" applyBorder="1"/>
    <xf numFmtId="0" fontId="8" fillId="2" borderId="0" xfId="0" applyFont="1" applyFill="1"/>
    <xf numFmtId="0" fontId="4" fillId="0" borderId="16" xfId="0" applyFont="1" applyFill="1" applyBorder="1" applyAlignment="1">
      <alignment vertical="top" wrapText="1"/>
    </xf>
    <xf numFmtId="0" fontId="4" fillId="2" borderId="14" xfId="0" applyFont="1" applyFill="1" applyBorder="1" applyAlignment="1">
      <alignment vertical="top" wrapText="1"/>
    </xf>
    <xf numFmtId="164" fontId="4" fillId="2" borderId="18" xfId="0" applyNumberFormat="1" applyFont="1" applyFill="1" applyBorder="1" applyAlignment="1">
      <alignment vertical="top" wrapText="1"/>
    </xf>
    <xf numFmtId="0" fontId="0" fillId="0" borderId="44" xfId="0" applyFill="1" applyBorder="1"/>
    <xf numFmtId="0" fontId="0" fillId="2" borderId="46" xfId="0" applyFill="1" applyBorder="1"/>
    <xf numFmtId="0" fontId="3" fillId="2" borderId="15" xfId="0" applyFont="1" applyFill="1" applyBorder="1"/>
    <xf numFmtId="1" fontId="4" fillId="2" borderId="22" xfId="1" applyNumberFormat="1" applyFont="1" applyFill="1" applyBorder="1"/>
    <xf numFmtId="2" fontId="0" fillId="2" borderId="0" xfId="0" applyNumberFormat="1" applyFill="1"/>
    <xf numFmtId="0" fontId="0" fillId="2" borderId="47" xfId="0" applyFill="1" applyBorder="1"/>
    <xf numFmtId="164" fontId="4" fillId="2" borderId="23" xfId="0" applyNumberFormat="1" applyFont="1" applyFill="1" applyBorder="1"/>
    <xf numFmtId="165" fontId="0" fillId="2" borderId="23" xfId="0" applyNumberFormat="1" applyFill="1" applyBorder="1"/>
    <xf numFmtId="165" fontId="0" fillId="2" borderId="23" xfId="1" applyNumberFormat="1" applyFont="1" applyFill="1" applyBorder="1"/>
    <xf numFmtId="165" fontId="0" fillId="2" borderId="21" xfId="0" applyNumberFormat="1" applyFill="1" applyBorder="1"/>
    <xf numFmtId="0" fontId="4" fillId="2" borderId="43" xfId="0" applyFont="1" applyFill="1" applyBorder="1"/>
    <xf numFmtId="0" fontId="0" fillId="2" borderId="27" xfId="0" applyFill="1" applyBorder="1"/>
    <xf numFmtId="0" fontId="0" fillId="11" borderId="0" xfId="0" applyFill="1" applyBorder="1"/>
    <xf numFmtId="0" fontId="0" fillId="12" borderId="0" xfId="0" applyFill="1" applyBorder="1"/>
    <xf numFmtId="0" fontId="0" fillId="9" borderId="0" xfId="0" applyFill="1" applyBorder="1"/>
    <xf numFmtId="0" fontId="0" fillId="6" borderId="0" xfId="0" applyFill="1" applyBorder="1"/>
    <xf numFmtId="0" fontId="0" fillId="13" borderId="0" xfId="0" applyFill="1" applyBorder="1"/>
    <xf numFmtId="2" fontId="0" fillId="2" borderId="18" xfId="1" applyNumberFormat="1" applyFont="1" applyFill="1" applyBorder="1"/>
    <xf numFmtId="0" fontId="4" fillId="0" borderId="11" xfId="0" applyFont="1" applyFill="1" applyBorder="1" applyAlignment="1">
      <alignment wrapText="1"/>
    </xf>
    <xf numFmtId="0" fontId="4" fillId="0" borderId="12" xfId="0" applyFont="1" applyFill="1" applyBorder="1" applyAlignment="1">
      <alignment wrapText="1"/>
    </xf>
    <xf numFmtId="0" fontId="15" fillId="8" borderId="3" xfId="0" applyFont="1" applyFill="1" applyBorder="1"/>
    <xf numFmtId="0" fontId="10" fillId="8" borderId="47" xfId="0" applyFont="1" applyFill="1" applyBorder="1"/>
    <xf numFmtId="165" fontId="0" fillId="2" borderId="9" xfId="1" applyNumberFormat="1" applyFont="1" applyFill="1" applyBorder="1"/>
    <xf numFmtId="165" fontId="0" fillId="2" borderId="0" xfId="1" applyNumberFormat="1" applyFont="1" applyFill="1" applyBorder="1"/>
    <xf numFmtId="0" fontId="0" fillId="9" borderId="25" xfId="0" applyFill="1" applyBorder="1"/>
    <xf numFmtId="0" fontId="0" fillId="13" borderId="25" xfId="0" applyFill="1" applyBorder="1"/>
    <xf numFmtId="9" fontId="0" fillId="2" borderId="2" xfId="1" applyFont="1" applyFill="1" applyBorder="1"/>
    <xf numFmtId="0" fontId="8" fillId="13" borderId="25" xfId="0" applyFont="1" applyFill="1" applyBorder="1"/>
    <xf numFmtId="0" fontId="0" fillId="11" borderId="25" xfId="0" applyFill="1" applyBorder="1"/>
    <xf numFmtId="0" fontId="8" fillId="7" borderId="25" xfId="0" applyFont="1" applyFill="1" applyBorder="1"/>
    <xf numFmtId="0" fontId="4" fillId="2" borderId="49" xfId="0" applyFont="1" applyFill="1" applyBorder="1"/>
    <xf numFmtId="0" fontId="0" fillId="2" borderId="37" xfId="0" applyFill="1" applyBorder="1"/>
    <xf numFmtId="0" fontId="4" fillId="2" borderId="29" xfId="0" applyFont="1" applyFill="1" applyBorder="1" applyAlignment="1">
      <alignment vertical="top" wrapText="1"/>
    </xf>
    <xf numFmtId="0" fontId="3" fillId="2" borderId="37" xfId="0" applyFont="1" applyFill="1" applyBorder="1"/>
    <xf numFmtId="0" fontId="8" fillId="2" borderId="37" xfId="0" applyFont="1" applyFill="1" applyBorder="1" applyAlignment="1">
      <alignment wrapText="1"/>
    </xf>
    <xf numFmtId="0" fontId="3" fillId="2" borderId="42" xfId="0" applyFont="1" applyFill="1" applyBorder="1"/>
    <xf numFmtId="165" fontId="0" fillId="0" borderId="0" xfId="0" applyNumberFormat="1" applyFill="1" applyBorder="1"/>
    <xf numFmtId="165" fontId="0" fillId="2" borderId="0" xfId="0" applyNumberFormat="1" applyFill="1" applyBorder="1"/>
    <xf numFmtId="165" fontId="0" fillId="0" borderId="0" xfId="1" applyNumberFormat="1" applyFont="1" applyFill="1" applyBorder="1"/>
    <xf numFmtId="0" fontId="3" fillId="2" borderId="17" xfId="0" applyFont="1" applyFill="1" applyBorder="1"/>
    <xf numFmtId="1" fontId="4" fillId="2" borderId="46" xfId="1" applyNumberFormat="1" applyFont="1" applyFill="1" applyBorder="1"/>
    <xf numFmtId="0" fontId="4" fillId="0" borderId="16" xfId="0" applyFont="1" applyFill="1" applyBorder="1" applyAlignment="1">
      <alignment wrapText="1"/>
    </xf>
    <xf numFmtId="165" fontId="0" fillId="2" borderId="26" xfId="1" applyNumberFormat="1" applyFont="1" applyFill="1" applyBorder="1"/>
    <xf numFmtId="9" fontId="0" fillId="0" borderId="0" xfId="0" applyNumberFormat="1" applyFont="1" applyFill="1" applyBorder="1"/>
    <xf numFmtId="0" fontId="0" fillId="2" borderId="50" xfId="0" applyFill="1" applyBorder="1"/>
    <xf numFmtId="0" fontId="4" fillId="2" borderId="51" xfId="0" applyFont="1" applyFill="1" applyBorder="1" applyAlignment="1">
      <alignment vertical="top" wrapText="1"/>
    </xf>
    <xf numFmtId="0" fontId="4" fillId="2" borderId="33" xfId="0" applyFont="1" applyFill="1" applyBorder="1" applyAlignment="1">
      <alignment vertical="top" wrapText="1"/>
    </xf>
    <xf numFmtId="0" fontId="4" fillId="2" borderId="52" xfId="0" applyFont="1" applyFill="1" applyBorder="1" applyAlignment="1">
      <alignment vertical="top" wrapText="1"/>
    </xf>
    <xf numFmtId="0" fontId="0" fillId="2" borderId="0" xfId="0" applyFill="1" applyAlignment="1">
      <alignment wrapText="1"/>
    </xf>
    <xf numFmtId="1" fontId="0" fillId="2" borderId="0" xfId="0" applyNumberFormat="1" applyFill="1" applyBorder="1" applyAlignment="1">
      <alignment horizontal="left"/>
    </xf>
    <xf numFmtId="0" fontId="8" fillId="2" borderId="0" xfId="0" applyFont="1" applyFill="1" applyBorder="1" applyAlignment="1">
      <alignment vertical="top" wrapText="1"/>
    </xf>
    <xf numFmtId="0" fontId="8" fillId="2" borderId="21" xfId="0" applyFont="1" applyFill="1" applyBorder="1" applyAlignment="1">
      <alignment vertical="top" wrapText="1"/>
    </xf>
    <xf numFmtId="0" fontId="4" fillId="2" borderId="10" xfId="0" applyFont="1" applyFill="1" applyBorder="1" applyAlignment="1">
      <alignment vertical="top"/>
    </xf>
    <xf numFmtId="0" fontId="0" fillId="2" borderId="0" xfId="0" applyFill="1" applyBorder="1" applyAlignment="1">
      <alignment horizontal="left" vertical="top" wrapText="1"/>
    </xf>
    <xf numFmtId="0" fontId="8" fillId="2" borderId="3" xfId="0" applyFont="1" applyFill="1" applyBorder="1"/>
    <xf numFmtId="11" fontId="0" fillId="0" borderId="39" xfId="0" applyNumberFormat="1" applyFill="1" applyBorder="1"/>
    <xf numFmtId="0" fontId="21" fillId="0" borderId="0" xfId="0" applyFont="1"/>
    <xf numFmtId="166" fontId="0" fillId="2" borderId="0" xfId="0" applyNumberFormat="1" applyFill="1" applyBorder="1" applyAlignment="1">
      <alignment horizontal="left"/>
    </xf>
    <xf numFmtId="0" fontId="4" fillId="2" borderId="1" xfId="0" applyFont="1" applyFill="1" applyBorder="1" applyAlignment="1">
      <alignment vertical="top"/>
    </xf>
    <xf numFmtId="0" fontId="23" fillId="2" borderId="6" xfId="0" applyFont="1" applyFill="1" applyBorder="1" applyAlignment="1">
      <alignment vertical="top"/>
    </xf>
    <xf numFmtId="0" fontId="23" fillId="2" borderId="4" xfId="0" applyFont="1" applyFill="1" applyBorder="1" applyAlignment="1">
      <alignment vertical="top"/>
    </xf>
    <xf numFmtId="0" fontId="23" fillId="2" borderId="4" xfId="0" applyFont="1" applyFill="1" applyBorder="1" applyAlignment="1"/>
    <xf numFmtId="0" fontId="0" fillId="2" borderId="7" xfId="0" applyFill="1" applyBorder="1" applyAlignment="1">
      <alignment horizontal="left"/>
    </xf>
    <xf numFmtId="0" fontId="24" fillId="2" borderId="7" xfId="0" applyFont="1" applyFill="1" applyBorder="1"/>
    <xf numFmtId="3" fontId="8" fillId="0" borderId="0" xfId="1" applyNumberFormat="1" applyFont="1" applyFill="1" applyBorder="1"/>
    <xf numFmtId="3" fontId="0" fillId="2" borderId="18" xfId="1" applyNumberFormat="1" applyFont="1" applyFill="1" applyBorder="1"/>
    <xf numFmtId="3" fontId="0" fillId="2" borderId="26" xfId="1" applyNumberFormat="1" applyFont="1" applyFill="1" applyBorder="1"/>
    <xf numFmtId="3" fontId="0" fillId="2" borderId="9" xfId="1" applyNumberFormat="1" applyFont="1" applyFill="1" applyBorder="1"/>
    <xf numFmtId="3" fontId="0" fillId="2" borderId="0" xfId="1" applyNumberFormat="1" applyFont="1" applyFill="1" applyBorder="1"/>
    <xf numFmtId="3" fontId="0" fillId="0" borderId="0" xfId="0" applyNumberFormat="1" applyFont="1" applyFill="1" applyBorder="1" applyAlignment="1">
      <alignment vertical="top" wrapText="1"/>
    </xf>
    <xf numFmtId="3" fontId="0" fillId="0" borderId="14" xfId="0" applyNumberFormat="1" applyFont="1" applyFill="1" applyBorder="1" applyAlignment="1">
      <alignment vertical="top" wrapText="1"/>
    </xf>
    <xf numFmtId="3" fontId="4" fillId="0" borderId="0" xfId="0" applyNumberFormat="1" applyFont="1" applyFill="1" applyBorder="1" applyAlignment="1">
      <alignment vertical="top" wrapText="1"/>
    </xf>
    <xf numFmtId="3" fontId="0" fillId="0" borderId="24" xfId="1" applyNumberFormat="1" applyFont="1" applyFill="1" applyBorder="1"/>
    <xf numFmtId="3" fontId="0" fillId="0" borderId="0" xfId="1" applyNumberFormat="1" applyFont="1" applyFill="1" applyBorder="1"/>
    <xf numFmtId="3" fontId="0" fillId="2" borderId="2" xfId="1" applyNumberFormat="1" applyFont="1" applyFill="1" applyBorder="1"/>
    <xf numFmtId="0" fontId="0" fillId="2" borderId="0" xfId="0" applyFill="1" applyBorder="1" applyAlignment="1">
      <alignment horizontal="left"/>
    </xf>
    <xf numFmtId="0" fontId="0" fillId="2" borderId="0" xfId="0" applyFill="1" applyBorder="1" applyAlignment="1">
      <alignment horizontal="center"/>
    </xf>
    <xf numFmtId="0" fontId="0" fillId="2" borderId="0" xfId="0" applyFill="1" applyAlignment="1">
      <alignment horizontal="left"/>
    </xf>
    <xf numFmtId="0" fontId="0" fillId="2" borderId="11" xfId="0" applyFill="1" applyBorder="1" applyAlignment="1">
      <alignment horizontal="left"/>
    </xf>
    <xf numFmtId="0" fontId="4" fillId="2" borderId="0" xfId="0" applyFont="1" applyFill="1" applyBorder="1" applyAlignment="1">
      <alignment horizontal="left"/>
    </xf>
    <xf numFmtId="0" fontId="0" fillId="2" borderId="18" xfId="0" applyFill="1" applyBorder="1" applyAlignment="1">
      <alignment horizontal="left"/>
    </xf>
    <xf numFmtId="0" fontId="7" fillId="2" borderId="0" xfId="0" applyFont="1" applyFill="1" applyBorder="1" applyAlignment="1">
      <alignment horizontal="left"/>
    </xf>
    <xf numFmtId="0" fontId="23" fillId="2" borderId="1" xfId="0" applyFont="1" applyFill="1" applyBorder="1"/>
    <xf numFmtId="0" fontId="23" fillId="2" borderId="3" xfId="0" applyFont="1" applyFill="1" applyBorder="1"/>
    <xf numFmtId="0" fontId="23" fillId="2" borderId="4" xfId="0" applyFont="1" applyFill="1" applyBorder="1"/>
    <xf numFmtId="0" fontId="23" fillId="2" borderId="5" xfId="0" applyFont="1" applyFill="1" applyBorder="1"/>
    <xf numFmtId="0" fontId="25" fillId="2" borderId="6" xfId="0" applyFont="1" applyFill="1" applyBorder="1"/>
    <xf numFmtId="0" fontId="25" fillId="2" borderId="8" xfId="0" applyFont="1" applyFill="1" applyBorder="1"/>
    <xf numFmtId="1" fontId="23" fillId="2" borderId="5" xfId="0" applyNumberFormat="1" applyFont="1" applyFill="1" applyBorder="1"/>
    <xf numFmtId="0" fontId="23" fillId="2" borderId="4" xfId="0" applyFont="1" applyFill="1" applyBorder="1" applyAlignment="1">
      <alignment wrapText="1"/>
    </xf>
    <xf numFmtId="0" fontId="0" fillId="2" borderId="28" xfId="0" applyFill="1" applyBorder="1"/>
    <xf numFmtId="9" fontId="0" fillId="2" borderId="39" xfId="1" applyFont="1" applyFill="1" applyBorder="1"/>
    <xf numFmtId="0" fontId="26" fillId="0" borderId="0" xfId="0" applyFont="1"/>
    <xf numFmtId="0" fontId="8" fillId="0" borderId="0" xfId="0" applyFont="1" applyBorder="1"/>
    <xf numFmtId="9" fontId="4" fillId="2" borderId="19" xfId="1" applyFont="1" applyFill="1" applyBorder="1"/>
    <xf numFmtId="9" fontId="10" fillId="8" borderId="18" xfId="0" applyNumberFormat="1" applyFont="1" applyFill="1" applyBorder="1"/>
    <xf numFmtId="165" fontId="4" fillId="0" borderId="24" xfId="1" applyNumberFormat="1" applyFont="1" applyFill="1" applyBorder="1"/>
    <xf numFmtId="165" fontId="4" fillId="0" borderId="0" xfId="1" applyNumberFormat="1" applyFont="1" applyFill="1" applyBorder="1"/>
    <xf numFmtId="165" fontId="4" fillId="2" borderId="0" xfId="0" applyNumberFormat="1" applyFont="1" applyFill="1" applyBorder="1"/>
    <xf numFmtId="165" fontId="4" fillId="0" borderId="0" xfId="0" applyNumberFormat="1" applyFont="1" applyFill="1" applyBorder="1"/>
    <xf numFmtId="165" fontId="15" fillId="0" borderId="14" xfId="1" applyNumberFormat="1" applyFont="1" applyFill="1" applyBorder="1"/>
    <xf numFmtId="165" fontId="4" fillId="2" borderId="14" xfId="1" applyNumberFormat="1" applyFont="1" applyFill="1" applyBorder="1"/>
    <xf numFmtId="165" fontId="0" fillId="2" borderId="2" xfId="1" applyNumberFormat="1" applyFont="1" applyFill="1" applyBorder="1"/>
    <xf numFmtId="165" fontId="4" fillId="2" borderId="44" xfId="1" applyNumberFormat="1" applyFont="1" applyFill="1" applyBorder="1"/>
    <xf numFmtId="165" fontId="15" fillId="2" borderId="14" xfId="1" applyNumberFormat="1" applyFont="1" applyFill="1" applyBorder="1"/>
    <xf numFmtId="165" fontId="15" fillId="2" borderId="19" xfId="1" applyNumberFormat="1" applyFont="1" applyFill="1" applyBorder="1"/>
    <xf numFmtId="165" fontId="4" fillId="0" borderId="14" xfId="1" applyNumberFormat="1" applyFont="1" applyFill="1" applyBorder="1"/>
    <xf numFmtId="0" fontId="0" fillId="0" borderId="25" xfId="0" applyFill="1" applyBorder="1" applyAlignment="1">
      <alignment wrapText="1"/>
    </xf>
    <xf numFmtId="3" fontId="0" fillId="0" borderId="0" xfId="0" applyNumberFormat="1" applyFont="1" applyFill="1" applyBorder="1"/>
    <xf numFmtId="0" fontId="7" fillId="2" borderId="0" xfId="0" applyFont="1" applyFill="1" applyBorder="1" applyAlignment="1">
      <alignment horizontal="left" indent="1"/>
    </xf>
    <xf numFmtId="0" fontId="27" fillId="2" borderId="1" xfId="0" applyFont="1" applyFill="1" applyBorder="1"/>
    <xf numFmtId="0" fontId="8" fillId="2" borderId="4" xfId="0" applyFont="1" applyFill="1" applyBorder="1"/>
    <xf numFmtId="0" fontId="8" fillId="2" borderId="5" xfId="0" applyFont="1" applyFill="1" applyBorder="1"/>
    <xf numFmtId="0" fontId="8" fillId="2" borderId="6" xfId="0" applyFont="1" applyFill="1" applyBorder="1"/>
    <xf numFmtId="3" fontId="8" fillId="2" borderId="8" xfId="0" applyNumberFormat="1" applyFont="1" applyFill="1" applyBorder="1"/>
    <xf numFmtId="0" fontId="0" fillId="2" borderId="49" xfId="0" applyFill="1" applyBorder="1"/>
    <xf numFmtId="0" fontId="4" fillId="0" borderId="29" xfId="0" applyFont="1" applyFill="1" applyBorder="1" applyAlignment="1">
      <alignment vertical="top" wrapText="1"/>
    </xf>
    <xf numFmtId="0" fontId="4" fillId="2" borderId="37" xfId="0" applyFont="1" applyFill="1" applyBorder="1" applyAlignment="1">
      <alignment vertical="top" wrapText="1"/>
    </xf>
    <xf numFmtId="3" fontId="28" fillId="0" borderId="37" xfId="0" applyNumberFormat="1" applyFont="1" applyFill="1" applyBorder="1" applyAlignment="1">
      <alignment vertical="top"/>
    </xf>
    <xf numFmtId="3" fontId="8" fillId="0" borderId="14" xfId="0" applyNumberFormat="1" applyFont="1" applyFill="1" applyBorder="1" applyAlignment="1">
      <alignment vertical="top"/>
    </xf>
    <xf numFmtId="0" fontId="8" fillId="2" borderId="0" xfId="0" applyFont="1" applyFill="1" applyBorder="1"/>
    <xf numFmtId="1" fontId="8" fillId="2" borderId="0" xfId="0" applyNumberFormat="1" applyFont="1" applyFill="1" applyBorder="1"/>
    <xf numFmtId="0" fontId="28" fillId="2" borderId="19" xfId="0" applyFont="1" applyFill="1" applyBorder="1" applyAlignment="1">
      <alignment horizontal="right"/>
    </xf>
    <xf numFmtId="0" fontId="27" fillId="2" borderId="42" xfId="0" applyFont="1" applyFill="1" applyBorder="1" applyAlignment="1">
      <alignment horizontal="right"/>
    </xf>
    <xf numFmtId="0" fontId="10" fillId="8" borderId="0" xfId="0" applyFont="1" applyFill="1"/>
    <xf numFmtId="0" fontId="4" fillId="2" borderId="11" xfId="0" applyFont="1" applyFill="1" applyBorder="1" applyAlignment="1">
      <alignment vertical="top"/>
    </xf>
    <xf numFmtId="0" fontId="15" fillId="8" borderId="0" xfId="0" applyFont="1" applyFill="1" applyBorder="1"/>
    <xf numFmtId="0" fontId="10" fillId="8" borderId="2" xfId="0" applyFont="1" applyFill="1" applyBorder="1"/>
    <xf numFmtId="0" fontId="0" fillId="2" borderId="0" xfId="0" applyFont="1" applyFill="1" applyBorder="1"/>
    <xf numFmtId="0" fontId="10" fillId="3" borderId="0" xfId="0" applyFont="1" applyFill="1" applyBorder="1"/>
    <xf numFmtId="0" fontId="29" fillId="8" borderId="20" xfId="0" applyFont="1" applyFill="1" applyBorder="1"/>
    <xf numFmtId="0" fontId="29" fillId="8" borderId="13" xfId="0" applyFont="1" applyFill="1" applyBorder="1"/>
    <xf numFmtId="0" fontId="29" fillId="3" borderId="13" xfId="0" applyFont="1" applyFill="1" applyBorder="1"/>
    <xf numFmtId="0" fontId="29" fillId="8" borderId="17" xfId="0" applyFont="1" applyFill="1" applyBorder="1"/>
    <xf numFmtId="0" fontId="4" fillId="2" borderId="28" xfId="0" applyFont="1" applyFill="1" applyBorder="1" applyAlignment="1">
      <alignment vertical="top"/>
    </xf>
    <xf numFmtId="167" fontId="0" fillId="0" borderId="0" xfId="0" applyNumberFormat="1"/>
    <xf numFmtId="165" fontId="15" fillId="8" borderId="0" xfId="0" applyNumberFormat="1" applyFont="1" applyFill="1" applyBorder="1"/>
    <xf numFmtId="0" fontId="10" fillId="8" borderId="14" xfId="0" applyFont="1" applyFill="1" applyBorder="1"/>
    <xf numFmtId="2" fontId="10" fillId="0" borderId="0" xfId="0" applyNumberFormat="1" applyFont="1" applyBorder="1"/>
    <xf numFmtId="165" fontId="15" fillId="0" borderId="0" xfId="1" applyNumberFormat="1" applyFont="1" applyBorder="1"/>
    <xf numFmtId="0" fontId="10" fillId="8" borderId="7" xfId="0" applyFont="1" applyFill="1" applyBorder="1"/>
    <xf numFmtId="165" fontId="10" fillId="8" borderId="7" xfId="0" applyNumberFormat="1" applyFont="1" applyFill="1" applyBorder="1"/>
    <xf numFmtId="165" fontId="15" fillId="8" borderId="7" xfId="0" applyNumberFormat="1" applyFont="1" applyFill="1" applyBorder="1"/>
    <xf numFmtId="0" fontId="10" fillId="8" borderId="16" xfId="0" applyFont="1" applyFill="1" applyBorder="1"/>
    <xf numFmtId="165" fontId="0" fillId="2" borderId="7" xfId="0" applyNumberFormat="1" applyFill="1" applyBorder="1"/>
    <xf numFmtId="165" fontId="4" fillId="2" borderId="7" xfId="0" applyNumberFormat="1" applyFont="1" applyFill="1" applyBorder="1"/>
    <xf numFmtId="0" fontId="0" fillId="2" borderId="16" xfId="0" applyFill="1" applyBorder="1"/>
    <xf numFmtId="0" fontId="29" fillId="8" borderId="15" xfId="0" applyFont="1" applyFill="1" applyBorder="1"/>
    <xf numFmtId="165" fontId="10" fillId="0" borderId="0" xfId="0" applyNumberFormat="1" applyFont="1" applyBorder="1"/>
    <xf numFmtId="0" fontId="4" fillId="2" borderId="0" xfId="0" applyFont="1" applyFill="1" applyBorder="1" applyAlignment="1">
      <alignment wrapText="1"/>
    </xf>
    <xf numFmtId="165" fontId="0" fillId="0" borderId="2" xfId="0" applyNumberFormat="1" applyFill="1" applyBorder="1"/>
    <xf numFmtId="0" fontId="0" fillId="5" borderId="25" xfId="0" applyFill="1" applyBorder="1"/>
    <xf numFmtId="0" fontId="9" fillId="2" borderId="17" xfId="0" applyFont="1" applyFill="1" applyBorder="1"/>
    <xf numFmtId="0" fontId="9" fillId="2" borderId="10" xfId="0" applyFont="1" applyFill="1" applyBorder="1"/>
    <xf numFmtId="0" fontId="0" fillId="2" borderId="1" xfId="0" applyFill="1" applyBorder="1"/>
    <xf numFmtId="166" fontId="10" fillId="0" borderId="4" xfId="0" applyNumberFormat="1" applyFont="1" applyFill="1" applyBorder="1" applyAlignment="1">
      <alignment horizontal="left" vertical="top"/>
    </xf>
    <xf numFmtId="166" fontId="0" fillId="0" borderId="4" xfId="0" applyNumberFormat="1" applyFill="1" applyBorder="1" applyAlignment="1">
      <alignment horizontal="left" vertical="top"/>
    </xf>
    <xf numFmtId="166" fontId="0" fillId="0" borderId="6" xfId="0" applyNumberFormat="1" applyFill="1" applyBorder="1" applyAlignment="1">
      <alignment horizontal="left" vertical="top"/>
    </xf>
    <xf numFmtId="0" fontId="0" fillId="2" borderId="0" xfId="0" applyFill="1" applyAlignment="1">
      <alignment vertical="top"/>
    </xf>
    <xf numFmtId="2" fontId="0" fillId="0" borderId="5" xfId="0" applyNumberFormat="1" applyFill="1" applyBorder="1" applyAlignment="1">
      <alignment vertical="top"/>
    </xf>
    <xf numFmtId="0" fontId="0" fillId="0" borderId="5" xfId="0" applyFill="1" applyBorder="1" applyAlignment="1">
      <alignment vertical="top"/>
    </xf>
    <xf numFmtId="0" fontId="0" fillId="0" borderId="8" xfId="0" applyFill="1" applyBorder="1" applyAlignment="1">
      <alignment vertical="top"/>
    </xf>
    <xf numFmtId="0" fontId="10" fillId="0" borderId="0" xfId="0" applyFont="1" applyBorder="1"/>
    <xf numFmtId="0" fontId="30" fillId="0" borderId="0" xfId="0" applyFont="1"/>
    <xf numFmtId="2" fontId="0" fillId="2" borderId="0" xfId="1" applyNumberFormat="1" applyFont="1" applyFill="1" applyBorder="1"/>
    <xf numFmtId="0" fontId="0" fillId="2" borderId="24" xfId="0" applyFill="1" applyBorder="1" applyAlignment="1">
      <alignment wrapText="1"/>
    </xf>
    <xf numFmtId="165" fontId="8" fillId="2" borderId="23" xfId="0" applyNumberFormat="1" applyFont="1" applyFill="1" applyBorder="1"/>
    <xf numFmtId="0" fontId="4" fillId="0" borderId="21" xfId="0" applyFont="1" applyFill="1" applyBorder="1"/>
    <xf numFmtId="0" fontId="4" fillId="2" borderId="7" xfId="0" applyFont="1" applyFill="1" applyBorder="1"/>
    <xf numFmtId="0" fontId="4" fillId="2" borderId="7" xfId="0" applyFont="1" applyFill="1" applyBorder="1" applyAlignment="1">
      <alignment horizontal="left"/>
    </xf>
    <xf numFmtId="0" fontId="4" fillId="2" borderId="8" xfId="0" applyFont="1" applyFill="1" applyBorder="1"/>
    <xf numFmtId="0" fontId="0" fillId="2" borderId="21" xfId="0" applyFont="1" applyFill="1" applyBorder="1"/>
    <xf numFmtId="0" fontId="8" fillId="2" borderId="33" xfId="0" quotePrefix="1" applyFont="1" applyFill="1" applyBorder="1"/>
    <xf numFmtId="0" fontId="8" fillId="2" borderId="33" xfId="0" applyFont="1" applyFill="1" applyBorder="1"/>
    <xf numFmtId="0" fontId="8" fillId="2" borderId="7" xfId="0" applyFont="1" applyFill="1" applyBorder="1" applyAlignment="1">
      <alignment horizontal="left"/>
    </xf>
    <xf numFmtId="0" fontId="4" fillId="2" borderId="51" xfId="0" applyFont="1" applyFill="1" applyBorder="1"/>
    <xf numFmtId="0" fontId="0" fillId="2" borderId="33" xfId="0" applyFill="1" applyBorder="1"/>
    <xf numFmtId="0" fontId="14" fillId="2" borderId="53" xfId="0" quotePrefix="1" applyFont="1" applyFill="1" applyBorder="1"/>
    <xf numFmtId="0" fontId="8" fillId="2" borderId="54" xfId="0" applyFont="1" applyFill="1" applyBorder="1"/>
    <xf numFmtId="0" fontId="0" fillId="2" borderId="43" xfId="0" applyFill="1" applyBorder="1" applyAlignment="1"/>
    <xf numFmtId="0" fontId="0" fillId="2" borderId="11" xfId="0" applyFill="1" applyBorder="1" applyAlignment="1"/>
    <xf numFmtId="0" fontId="4" fillId="2" borderId="13" xfId="0" applyFont="1" applyFill="1" applyBorder="1" applyAlignment="1">
      <alignment wrapText="1"/>
    </xf>
    <xf numFmtId="0" fontId="8" fillId="2" borderId="3" xfId="0" applyFont="1" applyFill="1" applyBorder="1" applyAlignment="1">
      <alignment horizontal="left"/>
    </xf>
    <xf numFmtId="0" fontId="8" fillId="8" borderId="6" xfId="0" applyFont="1" applyFill="1" applyBorder="1" applyAlignment="1">
      <alignment horizontal="left"/>
    </xf>
    <xf numFmtId="0" fontId="0" fillId="2" borderId="12" xfId="0" applyFill="1" applyBorder="1" applyAlignment="1"/>
    <xf numFmtId="0" fontId="14" fillId="2" borderId="4" xfId="0" applyFont="1" applyFill="1" applyBorder="1" applyAlignment="1">
      <alignment vertical="center" wrapText="1"/>
    </xf>
    <xf numFmtId="0" fontId="14" fillId="2" borderId="0" xfId="0" applyFont="1" applyFill="1" applyBorder="1" applyAlignment="1">
      <alignment vertical="center" wrapText="1"/>
    </xf>
    <xf numFmtId="2" fontId="14" fillId="2" borderId="14" xfId="0" applyNumberFormat="1" applyFont="1" applyFill="1" applyBorder="1" applyAlignment="1">
      <alignment vertical="center" wrapText="1"/>
    </xf>
    <xf numFmtId="0" fontId="4" fillId="2" borderId="1" xfId="0" applyFont="1" applyFill="1" applyBorder="1" applyAlignment="1"/>
    <xf numFmtId="0" fontId="0" fillId="2" borderId="2" xfId="0" applyFill="1" applyBorder="1" applyAlignment="1"/>
    <xf numFmtId="0" fontId="0" fillId="2" borderId="3" xfId="0" applyFill="1" applyBorder="1" applyAlignment="1"/>
    <xf numFmtId="2" fontId="0" fillId="2" borderId="0" xfId="0" applyNumberFormat="1" applyFill="1" applyBorder="1"/>
    <xf numFmtId="0" fontId="0" fillId="2" borderId="4" xfId="0" applyFill="1" applyBorder="1" applyAlignment="1"/>
    <xf numFmtId="0" fontId="0" fillId="2" borderId="0" xfId="0" applyFill="1" applyBorder="1" applyAlignment="1"/>
    <xf numFmtId="0" fontId="0" fillId="2" borderId="4" xfId="0" applyFill="1" applyBorder="1" applyAlignment="1">
      <alignment horizontal="left"/>
    </xf>
    <xf numFmtId="0" fontId="4" fillId="2" borderId="4" xfId="0" applyFont="1" applyFill="1" applyBorder="1" applyAlignment="1">
      <alignment vertical="top" wrapText="1"/>
    </xf>
    <xf numFmtId="0" fontId="0" fillId="0" borderId="4" xfId="0" applyFill="1" applyBorder="1"/>
    <xf numFmtId="0" fontId="0" fillId="2" borderId="48" xfId="0" applyFill="1" applyBorder="1"/>
    <xf numFmtId="0" fontId="8" fillId="8" borderId="1" xfId="0" applyFont="1" applyFill="1" applyBorder="1" applyAlignment="1">
      <alignment horizontal="left"/>
    </xf>
    <xf numFmtId="0" fontId="28" fillId="2" borderId="4" xfId="0" applyFont="1" applyFill="1" applyBorder="1" applyAlignment="1">
      <alignment vertical="top" wrapText="1"/>
    </xf>
    <xf numFmtId="2" fontId="8" fillId="2" borderId="14" xfId="0" applyNumberFormat="1" applyFont="1" applyFill="1" applyBorder="1"/>
    <xf numFmtId="2" fontId="8" fillId="2" borderId="0" xfId="0" applyNumberFormat="1" applyFont="1" applyFill="1"/>
    <xf numFmtId="0" fontId="8" fillId="2" borderId="48" xfId="0" applyFont="1" applyFill="1" applyBorder="1"/>
    <xf numFmtId="0" fontId="8" fillId="2" borderId="18" xfId="0" applyFont="1" applyFill="1" applyBorder="1"/>
    <xf numFmtId="2" fontId="8" fillId="2" borderId="19" xfId="1" applyNumberFormat="1" applyFont="1" applyFill="1" applyBorder="1"/>
    <xf numFmtId="0" fontId="31" fillId="2" borderId="0" xfId="0" applyFont="1" applyFill="1"/>
    <xf numFmtId="164" fontId="0" fillId="0" borderId="0" xfId="0" applyNumberFormat="1" applyFill="1" applyBorder="1"/>
    <xf numFmtId="164" fontId="0" fillId="2" borderId="0" xfId="0" applyNumberFormat="1" applyFill="1"/>
    <xf numFmtId="164" fontId="0" fillId="2" borderId="0" xfId="0" applyNumberFormat="1" applyFill="1" applyBorder="1"/>
    <xf numFmtId="164" fontId="0" fillId="2" borderId="2" xfId="0" applyNumberFormat="1" applyFill="1" applyBorder="1"/>
    <xf numFmtId="164" fontId="0" fillId="2" borderId="7" xfId="0" applyNumberFormat="1" applyFill="1" applyBorder="1"/>
    <xf numFmtId="2" fontId="8" fillId="2" borderId="0" xfId="0" applyNumberFormat="1" applyFont="1" applyFill="1" applyBorder="1"/>
    <xf numFmtId="2" fontId="14" fillId="2" borderId="14" xfId="1" applyNumberFormat="1" applyFont="1" applyFill="1" applyBorder="1"/>
    <xf numFmtId="2" fontId="8" fillId="2" borderId="2" xfId="0" applyNumberFormat="1" applyFont="1" applyFill="1" applyBorder="1"/>
    <xf numFmtId="2" fontId="14" fillId="2" borderId="44" xfId="1" applyNumberFormat="1" applyFont="1" applyFill="1" applyBorder="1"/>
    <xf numFmtId="2" fontId="8" fillId="2" borderId="7" xfId="0" applyNumberFormat="1" applyFont="1" applyFill="1" applyBorder="1"/>
    <xf numFmtId="2" fontId="14" fillId="2" borderId="16" xfId="1" applyNumberFormat="1" applyFont="1" applyFill="1" applyBorder="1"/>
    <xf numFmtId="165" fontId="8" fillId="2" borderId="4" xfId="1" applyNumberFormat="1" applyFont="1" applyFill="1" applyBorder="1"/>
    <xf numFmtId="165" fontId="8" fillId="2" borderId="1" xfId="1" applyNumberFormat="1" applyFont="1" applyFill="1" applyBorder="1"/>
    <xf numFmtId="165" fontId="8" fillId="2" borderId="6" xfId="1" applyNumberFormat="1" applyFont="1" applyFill="1" applyBorder="1"/>
    <xf numFmtId="165" fontId="28" fillId="2" borderId="4" xfId="1" applyNumberFormat="1" applyFont="1" applyFill="1" applyBorder="1"/>
    <xf numFmtId="166" fontId="10" fillId="0" borderId="4" xfId="0" applyNumberFormat="1" applyFont="1" applyBorder="1" applyAlignment="1">
      <alignment horizontal="left" vertical="center"/>
    </xf>
    <xf numFmtId="0" fontId="10" fillId="0" borderId="0" xfId="0" applyFont="1" applyAlignment="1">
      <alignment wrapText="1"/>
    </xf>
    <xf numFmtId="0" fontId="4" fillId="0" borderId="4" xfId="0" applyFont="1" applyFill="1" applyBorder="1"/>
    <xf numFmtId="0" fontId="0" fillId="10" borderId="45" xfId="0" applyFill="1" applyBorder="1" applyAlignment="1">
      <alignment horizontal="center"/>
    </xf>
    <xf numFmtId="3" fontId="0" fillId="2" borderId="45" xfId="0" applyNumberFormat="1" applyFill="1" applyBorder="1"/>
    <xf numFmtId="3" fontId="0" fillId="2" borderId="23" xfId="0" applyNumberFormat="1" applyFill="1" applyBorder="1"/>
    <xf numFmtId="3" fontId="1" fillId="2" borderId="0" xfId="1" applyNumberFormat="1" applyFont="1" applyFill="1" applyBorder="1"/>
    <xf numFmtId="3" fontId="8" fillId="2" borderId="0" xfId="1" applyNumberFormat="1" applyFont="1" applyFill="1" applyBorder="1"/>
    <xf numFmtId="0" fontId="0" fillId="2" borderId="0" xfId="0" applyFont="1" applyFill="1" applyBorder="1" applyAlignment="1">
      <alignment wrapText="1"/>
    </xf>
    <xf numFmtId="0" fontId="0" fillId="2" borderId="0" xfId="0" applyFill="1" applyBorder="1" applyAlignment="1">
      <alignment horizontal="left" indent="2"/>
    </xf>
    <xf numFmtId="9" fontId="0" fillId="10" borderId="23" xfId="1" applyFont="1" applyFill="1" applyBorder="1" applyAlignment="1">
      <alignment horizontal="center"/>
    </xf>
    <xf numFmtId="0" fontId="0" fillId="10" borderId="23" xfId="0" applyFill="1" applyBorder="1" applyAlignment="1">
      <alignment horizontal="center"/>
    </xf>
    <xf numFmtId="0" fontId="0" fillId="2" borderId="22" xfId="0" applyFill="1" applyBorder="1" applyAlignment="1">
      <alignment wrapText="1"/>
    </xf>
    <xf numFmtId="3" fontId="0" fillId="0" borderId="0" xfId="0" applyNumberFormat="1" applyFont="1" applyFill="1" applyBorder="1" applyAlignment="1">
      <alignment horizontal="right"/>
    </xf>
    <xf numFmtId="3" fontId="0" fillId="0" borderId="14" xfId="0" applyNumberFormat="1" applyFont="1" applyFill="1" applyBorder="1"/>
    <xf numFmtId="3" fontId="0" fillId="2" borderId="0" xfId="0" applyNumberFormat="1" applyFont="1" applyFill="1" applyBorder="1"/>
    <xf numFmtId="3" fontId="0" fillId="2" borderId="14" xfId="0" applyNumberFormat="1" applyFont="1" applyFill="1" applyBorder="1"/>
    <xf numFmtId="3" fontId="0" fillId="2" borderId="2" xfId="0" applyNumberFormat="1" applyFont="1" applyFill="1" applyBorder="1"/>
    <xf numFmtId="3" fontId="0" fillId="2" borderId="44" xfId="0" applyNumberFormat="1" applyFont="1" applyFill="1" applyBorder="1"/>
    <xf numFmtId="3" fontId="0" fillId="2" borderId="7" xfId="0" applyNumberFormat="1" applyFont="1" applyFill="1" applyBorder="1"/>
    <xf numFmtId="3" fontId="0" fillId="2" borderId="16" xfId="0" applyNumberFormat="1" applyFont="1" applyFill="1" applyBorder="1"/>
    <xf numFmtId="3" fontId="0" fillId="0" borderId="14" xfId="0" applyNumberFormat="1" applyFont="1" applyFill="1" applyBorder="1" applyAlignment="1">
      <alignment horizontal="right"/>
    </xf>
    <xf numFmtId="3" fontId="4" fillId="2" borderId="18" xfId="0" applyNumberFormat="1" applyFont="1" applyFill="1" applyBorder="1"/>
    <xf numFmtId="3" fontId="4" fillId="2" borderId="19" xfId="0" applyNumberFormat="1" applyFont="1" applyFill="1" applyBorder="1"/>
    <xf numFmtId="49" fontId="0" fillId="2" borderId="0" xfId="0" applyNumberFormat="1" applyFill="1" applyAlignment="1">
      <alignment wrapText="1"/>
    </xf>
    <xf numFmtId="0" fontId="0" fillId="2" borderId="24" xfId="0" applyFont="1" applyFill="1" applyBorder="1"/>
    <xf numFmtId="0" fontId="0" fillId="2" borderId="20" xfId="0" applyFill="1" applyBorder="1"/>
    <xf numFmtId="3" fontId="0" fillId="2" borderId="0" xfId="0" applyNumberFormat="1" applyFont="1" applyFill="1" applyBorder="1" applyAlignment="1">
      <alignment vertical="top" wrapText="1"/>
    </xf>
    <xf numFmtId="3" fontId="0" fillId="2" borderId="14" xfId="0" applyNumberFormat="1" applyFont="1" applyFill="1" applyBorder="1" applyAlignment="1">
      <alignment vertical="top" wrapText="1"/>
    </xf>
    <xf numFmtId="3" fontId="0" fillId="14" borderId="23" xfId="0" applyNumberFormat="1" applyFill="1" applyBorder="1" applyAlignment="1">
      <alignment horizontal="center"/>
    </xf>
    <xf numFmtId="0" fontId="0" fillId="2" borderId="6" xfId="0" applyFill="1" applyBorder="1" applyAlignment="1">
      <alignment horizontal="left" vertical="top" wrapText="1"/>
    </xf>
    <xf numFmtId="0" fontId="0" fillId="2" borderId="8" xfId="0" applyFill="1" applyBorder="1" applyAlignment="1">
      <alignment horizontal="left" vertical="top" wrapText="1"/>
    </xf>
    <xf numFmtId="0" fontId="0" fillId="2" borderId="7" xfId="0" applyFill="1" applyBorder="1" applyAlignment="1">
      <alignment horizontal="left" vertical="top" wrapText="1"/>
    </xf>
    <xf numFmtId="0" fontId="0" fillId="2" borderId="6" xfId="0" applyFill="1" applyBorder="1" applyAlignment="1">
      <alignment horizontal="left"/>
    </xf>
    <xf numFmtId="0" fontId="0" fillId="0" borderId="7" xfId="0" applyBorder="1" applyAlignment="1">
      <alignment horizontal="left"/>
    </xf>
    <xf numFmtId="0" fontId="0" fillId="0" borderId="8" xfId="0" applyBorder="1" applyAlignment="1">
      <alignment horizontal="left"/>
    </xf>
    <xf numFmtId="0" fontId="4" fillId="0" borderId="14" xfId="0" applyFont="1" applyFill="1" applyBorder="1" applyAlignment="1">
      <alignment horizontal="center" wrapText="1"/>
    </xf>
  </cellXfs>
  <cellStyles count="1357">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6"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8" builtinId="9" hidden="1"/>
    <cellStyle name="Followed Hyperlink" xfId="909" builtinId="9" hidden="1"/>
    <cellStyle name="Followed Hyperlink" xfId="910" builtinId="9" hidden="1"/>
    <cellStyle name="Followed Hyperlink" xfId="911" builtinId="9" hidden="1"/>
    <cellStyle name="Followed Hyperlink" xfId="912" builtinId="9" hidden="1"/>
    <cellStyle name="Followed Hyperlink" xfId="913" builtinId="9" hidden="1"/>
    <cellStyle name="Followed Hyperlink" xfId="914" builtinId="9" hidden="1"/>
    <cellStyle name="Followed Hyperlink" xfId="915" builtinId="9" hidden="1"/>
    <cellStyle name="Followed Hyperlink" xfId="916" builtinId="9" hidden="1"/>
    <cellStyle name="Followed Hyperlink" xfId="917" builtinId="9" hidden="1"/>
    <cellStyle name="Followed Hyperlink" xfId="918" builtinId="9" hidden="1"/>
    <cellStyle name="Followed Hyperlink" xfId="919" builtinId="9" hidden="1"/>
    <cellStyle name="Followed Hyperlink" xfId="920" builtinId="9" hidden="1"/>
    <cellStyle name="Followed Hyperlink" xfId="921" builtinId="9" hidden="1"/>
    <cellStyle name="Followed Hyperlink" xfId="922" builtinId="9" hidden="1"/>
    <cellStyle name="Followed Hyperlink" xfId="923" builtinId="9" hidden="1"/>
    <cellStyle name="Followed Hyperlink" xfId="924" builtinId="9" hidden="1"/>
    <cellStyle name="Followed Hyperlink" xfId="925" builtinId="9" hidden="1"/>
    <cellStyle name="Followed Hyperlink" xfId="926" builtinId="9" hidden="1"/>
    <cellStyle name="Followed Hyperlink" xfId="927" builtinId="9" hidden="1"/>
    <cellStyle name="Followed Hyperlink" xfId="928" builtinId="9" hidden="1"/>
    <cellStyle name="Followed Hyperlink" xfId="929" builtinId="9" hidden="1"/>
    <cellStyle name="Followed Hyperlink" xfId="930" builtinId="9" hidden="1"/>
    <cellStyle name="Followed Hyperlink" xfId="931" builtinId="9" hidden="1"/>
    <cellStyle name="Followed Hyperlink" xfId="932" builtinId="9" hidden="1"/>
    <cellStyle name="Followed Hyperlink" xfId="933" builtinId="9" hidden="1"/>
    <cellStyle name="Followed Hyperlink" xfId="934" builtinId="9" hidden="1"/>
    <cellStyle name="Followed Hyperlink" xfId="935" builtinId="9" hidden="1"/>
    <cellStyle name="Followed Hyperlink" xfId="936" builtinId="9" hidden="1"/>
    <cellStyle name="Followed Hyperlink" xfId="937" builtinId="9" hidden="1"/>
    <cellStyle name="Followed Hyperlink" xfId="938" builtinId="9" hidden="1"/>
    <cellStyle name="Followed Hyperlink" xfId="939" builtinId="9" hidden="1"/>
    <cellStyle name="Followed Hyperlink" xfId="940" builtinId="9" hidden="1"/>
    <cellStyle name="Followed Hyperlink" xfId="941" builtinId="9" hidden="1"/>
    <cellStyle name="Followed Hyperlink" xfId="942" builtinId="9" hidden="1"/>
    <cellStyle name="Followed Hyperlink" xfId="943" builtinId="9" hidden="1"/>
    <cellStyle name="Followed Hyperlink" xfId="944" builtinId="9" hidden="1"/>
    <cellStyle name="Followed Hyperlink" xfId="945" builtinId="9" hidden="1"/>
    <cellStyle name="Followed Hyperlink" xfId="946" builtinId="9" hidden="1"/>
    <cellStyle name="Followed Hyperlink" xfId="947"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1" builtinId="9" hidden="1"/>
    <cellStyle name="Followed Hyperlink" xfId="992" builtinId="9" hidden="1"/>
    <cellStyle name="Followed Hyperlink" xfId="993" builtinId="9" hidden="1"/>
    <cellStyle name="Followed Hyperlink" xfId="994" builtinId="9" hidden="1"/>
    <cellStyle name="Followed Hyperlink" xfId="995" builtinId="9" hidden="1"/>
    <cellStyle name="Followed Hyperlink" xfId="996" builtinId="9" hidden="1"/>
    <cellStyle name="Followed Hyperlink" xfId="997" builtinId="9" hidden="1"/>
    <cellStyle name="Followed Hyperlink" xfId="998" builtinId="9" hidden="1"/>
    <cellStyle name="Followed Hyperlink" xfId="999" builtinId="9" hidden="1"/>
    <cellStyle name="Followed Hyperlink" xfId="1000" builtinId="9" hidden="1"/>
    <cellStyle name="Followed Hyperlink" xfId="1001" builtinId="9" hidden="1"/>
    <cellStyle name="Followed Hyperlink" xfId="1002" builtinId="9" hidden="1"/>
    <cellStyle name="Followed Hyperlink" xfId="1003" builtinId="9" hidden="1"/>
    <cellStyle name="Followed Hyperlink" xfId="1004" builtinId="9" hidden="1"/>
    <cellStyle name="Followed Hyperlink" xfId="1005" builtinId="9" hidden="1"/>
    <cellStyle name="Followed Hyperlink" xfId="1006" builtinId="9" hidden="1"/>
    <cellStyle name="Followed Hyperlink" xfId="1007" builtinId="9" hidden="1"/>
    <cellStyle name="Followed Hyperlink" xfId="1008" builtinId="9" hidden="1"/>
    <cellStyle name="Followed Hyperlink" xfId="1009" builtinId="9" hidden="1"/>
    <cellStyle name="Followed Hyperlink" xfId="1010" builtinId="9" hidden="1"/>
    <cellStyle name="Followed Hyperlink" xfId="1011"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Normal" xfId="0" builtinId="0"/>
    <cellStyle name="Percent" xfId="1" builtinId="5"/>
  </cellStyles>
  <dxfs count="15">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b/>
        <i val="0"/>
        <color auto="1"/>
      </font>
      <fill>
        <patternFill patternType="none">
          <fgColor indexed="64"/>
          <bgColor auto="1"/>
        </patternFill>
      </fill>
    </dxf>
    <dxf>
      <font>
        <color rgb="FF9C0006"/>
      </font>
      <fill>
        <patternFill>
          <bgColor rgb="FFFFC7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s>
  <tableStyles count="0" defaultTableStyle="TableStyleMedium9" defaultPivotStyle="PivotStyleMedium4"/>
</styleSheet>
</file>

<file path=xl/_rels/workbook.xml.rels><?xml version="1.0" encoding="UTF-8" standalone="yes"?>
<Relationships xmlns="http://schemas.openxmlformats.org/package/2006/relationships"><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30" Type="http://schemas.openxmlformats.org/officeDocument/2006/relationships/theme" Target="theme/theme1.xml"/><Relationship Id="rId31" Type="http://schemas.openxmlformats.org/officeDocument/2006/relationships/styles" Target="styles.xml"/><Relationship Id="rId32" Type="http://schemas.openxmlformats.org/officeDocument/2006/relationships/sharedStrings" Target="sharedStrings.xml"/><Relationship Id="rId9" Type="http://schemas.openxmlformats.org/officeDocument/2006/relationships/worksheet" Target="worksheets/sheet9.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33" Type="http://schemas.openxmlformats.org/officeDocument/2006/relationships/calcChain" Target="calcChain.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xdr:twoCellAnchor>
    <xdr:from>
      <xdr:col>10</xdr:col>
      <xdr:colOff>12700</xdr:colOff>
      <xdr:row>7</xdr:row>
      <xdr:rowOff>0</xdr:rowOff>
    </xdr:from>
    <xdr:to>
      <xdr:col>75</xdr:col>
      <xdr:colOff>0</xdr:colOff>
      <xdr:row>47</xdr:row>
      <xdr:rowOff>127000</xdr:rowOff>
    </xdr:to>
    <xdr:sp macro="" textlink="">
      <xdr:nvSpPr>
        <xdr:cNvPr id="52" name="L-Shape 51"/>
        <xdr:cNvSpPr/>
      </xdr:nvSpPr>
      <xdr:spPr>
        <a:xfrm>
          <a:off x="2171700" y="1663700"/>
          <a:ext cx="14020800" cy="7747000"/>
        </a:xfrm>
        <a:prstGeom prst="corner">
          <a:avLst>
            <a:gd name="adj1" fmla="val 9569"/>
            <a:gd name="adj2" fmla="val 25924"/>
          </a:avLst>
        </a:prstGeom>
        <a:solidFill>
          <a:srgbClr val="CDB236">
            <a:alpha val="51000"/>
          </a:srgbClr>
        </a:solidFill>
        <a:ln>
          <a:solidFill>
            <a:schemeClr val="accent2"/>
          </a:solidFill>
        </a:ln>
      </xdr:spPr>
      <xdr:style>
        <a:lnRef idx="1">
          <a:schemeClr val="accent1"/>
        </a:lnRef>
        <a:fillRef idx="3">
          <a:schemeClr val="accent1"/>
        </a:fillRef>
        <a:effectRef idx="2">
          <a:schemeClr val="accent1"/>
        </a:effectRef>
        <a:fontRef idx="minor">
          <a:schemeClr val="lt1"/>
        </a:fontRef>
      </xdr:style>
      <xdr:txBody>
        <a:bodyPr vertOverflow="clip" horzOverflow="clip" wrap="square" rtlCol="0" anchor="t"/>
        <a:lstStyle/>
        <a:p>
          <a:pPr algn="l"/>
          <a:endParaRPr lang="en-US" sz="2000" u="sng"/>
        </a:p>
      </xdr:txBody>
    </xdr:sp>
    <xdr:clientData/>
  </xdr:twoCellAnchor>
  <xdr:twoCellAnchor>
    <xdr:from>
      <xdr:col>67</xdr:col>
      <xdr:colOff>0</xdr:colOff>
      <xdr:row>7</xdr:row>
      <xdr:rowOff>0</xdr:rowOff>
    </xdr:from>
    <xdr:to>
      <xdr:col>75</xdr:col>
      <xdr:colOff>0</xdr:colOff>
      <xdr:row>42</xdr:row>
      <xdr:rowOff>114300</xdr:rowOff>
    </xdr:to>
    <xdr:sp macro="" textlink="">
      <xdr:nvSpPr>
        <xdr:cNvPr id="2" name="Rectangle 1"/>
        <xdr:cNvSpPr/>
      </xdr:nvSpPr>
      <xdr:spPr>
        <a:xfrm>
          <a:off x="14465300" y="1816100"/>
          <a:ext cx="1727200" cy="6781800"/>
        </a:xfrm>
        <a:prstGeom prst="rect">
          <a:avLst/>
        </a:prstGeom>
        <a:solidFill>
          <a:schemeClr val="accent2">
            <a:lumMod val="60000"/>
            <a:lumOff val="40000"/>
            <a:alpha val="51000"/>
          </a:schemeClr>
        </a:solidFill>
        <a:ln/>
      </xdr:spPr>
      <xdr:style>
        <a:lnRef idx="1">
          <a:schemeClr val="accent1"/>
        </a:lnRef>
        <a:fillRef idx="3">
          <a:schemeClr val="accent1"/>
        </a:fillRef>
        <a:effectRef idx="2">
          <a:schemeClr val="accent1"/>
        </a:effectRef>
        <a:fontRef idx="minor">
          <a:schemeClr val="lt1"/>
        </a:fontRef>
      </xdr:style>
      <xdr:txBody>
        <a:bodyPr wrap="square" anchor="t"/>
        <a:lstStyle/>
        <a:p>
          <a:pPr algn="ctr"/>
          <a:r>
            <a:rPr lang="en-US" sz="2000" u="sng"/>
            <a:t>Results</a:t>
          </a:r>
        </a:p>
      </xdr:txBody>
    </xdr:sp>
    <xdr:clientData/>
  </xdr:twoCellAnchor>
  <xdr:twoCellAnchor>
    <xdr:from>
      <xdr:col>21</xdr:col>
      <xdr:colOff>0</xdr:colOff>
      <xdr:row>7</xdr:row>
      <xdr:rowOff>0</xdr:rowOff>
    </xdr:from>
    <xdr:to>
      <xdr:col>65</xdr:col>
      <xdr:colOff>12700</xdr:colOff>
      <xdr:row>42</xdr:row>
      <xdr:rowOff>177800</xdr:rowOff>
    </xdr:to>
    <xdr:sp macro="" textlink="">
      <xdr:nvSpPr>
        <xdr:cNvPr id="3" name="Rectangle 2"/>
        <xdr:cNvSpPr/>
      </xdr:nvSpPr>
      <xdr:spPr>
        <a:xfrm>
          <a:off x="4533900" y="1816100"/>
          <a:ext cx="9512300" cy="6845300"/>
        </a:xfrm>
        <a:prstGeom prst="rect">
          <a:avLst/>
        </a:prstGeom>
        <a:solidFill>
          <a:schemeClr val="accent5">
            <a:lumMod val="60000"/>
            <a:lumOff val="40000"/>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Calculations</a:t>
          </a:r>
        </a:p>
      </xdr:txBody>
    </xdr:sp>
    <xdr:clientData/>
  </xdr:twoCellAnchor>
  <xdr:twoCellAnchor>
    <xdr:from>
      <xdr:col>10</xdr:col>
      <xdr:colOff>152400</xdr:colOff>
      <xdr:row>21</xdr:row>
      <xdr:rowOff>0</xdr:rowOff>
    </xdr:from>
    <xdr:to>
      <xdr:col>18</xdr:col>
      <xdr:colOff>152400</xdr:colOff>
      <xdr:row>42</xdr:row>
      <xdr:rowOff>114300</xdr:rowOff>
    </xdr:to>
    <xdr:sp macro="" textlink="">
      <xdr:nvSpPr>
        <xdr:cNvPr id="4" name="Rectangle 3"/>
        <xdr:cNvSpPr/>
      </xdr:nvSpPr>
      <xdr:spPr>
        <a:xfrm>
          <a:off x="2311400" y="4330700"/>
          <a:ext cx="1727200" cy="4114800"/>
        </a:xfrm>
        <a:prstGeom prst="rect">
          <a:avLst/>
        </a:prstGeom>
        <a:solidFill>
          <a:schemeClr val="bg2">
            <a:lumMod val="75000"/>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Assumptions</a:t>
          </a:r>
        </a:p>
      </xdr:txBody>
    </xdr:sp>
    <xdr:clientData/>
  </xdr:twoCellAnchor>
  <xdr:twoCellAnchor>
    <xdr:from>
      <xdr:col>1</xdr:col>
      <xdr:colOff>0</xdr:colOff>
      <xdr:row>24</xdr:row>
      <xdr:rowOff>88900</xdr:rowOff>
    </xdr:from>
    <xdr:to>
      <xdr:col>9</xdr:col>
      <xdr:colOff>0</xdr:colOff>
      <xdr:row>47</xdr:row>
      <xdr:rowOff>114300</xdr:rowOff>
    </xdr:to>
    <xdr:sp macro="" textlink="">
      <xdr:nvSpPr>
        <xdr:cNvPr id="5" name="Rectangle 4"/>
        <xdr:cNvSpPr/>
      </xdr:nvSpPr>
      <xdr:spPr>
        <a:xfrm>
          <a:off x="215900" y="4991100"/>
          <a:ext cx="1727200" cy="4406900"/>
        </a:xfrm>
        <a:prstGeom prst="rect">
          <a:avLst/>
        </a:prstGeom>
        <a:solidFill>
          <a:schemeClr val="accent3">
            <a:lumMod val="60000"/>
            <a:lumOff val="40000"/>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Sources</a:t>
          </a:r>
        </a:p>
      </xdr:txBody>
    </xdr:sp>
    <xdr:clientData/>
  </xdr:twoCellAnchor>
  <xdr:twoCellAnchor>
    <xdr:from>
      <xdr:col>1</xdr:col>
      <xdr:colOff>12700</xdr:colOff>
      <xdr:row>7</xdr:row>
      <xdr:rowOff>12700</xdr:rowOff>
    </xdr:from>
    <xdr:to>
      <xdr:col>9</xdr:col>
      <xdr:colOff>0</xdr:colOff>
      <xdr:row>23</xdr:row>
      <xdr:rowOff>0</xdr:rowOff>
    </xdr:to>
    <xdr:sp macro="" textlink="">
      <xdr:nvSpPr>
        <xdr:cNvPr id="6" name="Rectangle 5"/>
        <xdr:cNvSpPr/>
      </xdr:nvSpPr>
      <xdr:spPr>
        <a:xfrm>
          <a:off x="228600" y="1676400"/>
          <a:ext cx="1714500" cy="3035300"/>
        </a:xfrm>
        <a:prstGeom prst="rect">
          <a:avLst/>
        </a:prstGeom>
        <a:solidFill>
          <a:schemeClr val="accent3">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Research data</a:t>
          </a:r>
        </a:p>
      </xdr:txBody>
    </xdr:sp>
    <xdr:clientData/>
  </xdr:twoCellAnchor>
  <xdr:twoCellAnchor>
    <xdr:from>
      <xdr:col>2</xdr:col>
      <xdr:colOff>0</xdr:colOff>
      <xdr:row>14</xdr:row>
      <xdr:rowOff>50800</xdr:rowOff>
    </xdr:from>
    <xdr:to>
      <xdr:col>8</xdr:col>
      <xdr:colOff>0</xdr:colOff>
      <xdr:row>17</xdr:row>
      <xdr:rowOff>50800</xdr:rowOff>
    </xdr:to>
    <xdr:sp macro="" textlink="">
      <xdr:nvSpPr>
        <xdr:cNvPr id="7" name="Rectangle 6"/>
        <xdr:cNvSpPr/>
      </xdr:nvSpPr>
      <xdr:spPr>
        <a:xfrm>
          <a:off x="431800" y="32004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Corrected energy balance step 2</a:t>
          </a:r>
        </a:p>
      </xdr:txBody>
    </xdr:sp>
    <xdr:clientData/>
  </xdr:twoCellAnchor>
  <xdr:twoCellAnchor>
    <xdr:from>
      <xdr:col>77</xdr:col>
      <xdr:colOff>12700</xdr:colOff>
      <xdr:row>7</xdr:row>
      <xdr:rowOff>0</xdr:rowOff>
    </xdr:from>
    <xdr:to>
      <xdr:col>85</xdr:col>
      <xdr:colOff>12700</xdr:colOff>
      <xdr:row>47</xdr:row>
      <xdr:rowOff>139700</xdr:rowOff>
    </xdr:to>
    <xdr:sp macro="" textlink="">
      <xdr:nvSpPr>
        <xdr:cNvPr id="8" name="Rectangle 7"/>
        <xdr:cNvSpPr/>
      </xdr:nvSpPr>
      <xdr:spPr>
        <a:xfrm>
          <a:off x="16637000" y="1663700"/>
          <a:ext cx="1727200" cy="7759700"/>
        </a:xfrm>
        <a:prstGeom prst="rect">
          <a:avLst/>
        </a:prstGeom>
        <a:solidFill>
          <a:schemeClr val="accent4">
            <a:lumMod val="60000"/>
            <a:lumOff val="40000"/>
            <a:alpha val="51000"/>
          </a:schemeClr>
        </a:solidFill>
        <a:ln/>
      </xdr:spPr>
      <xdr:style>
        <a:lnRef idx="1">
          <a:schemeClr val="accent1"/>
        </a:lnRef>
        <a:fillRef idx="3">
          <a:schemeClr val="accent1"/>
        </a:fillRef>
        <a:effectRef idx="2">
          <a:schemeClr val="accent1"/>
        </a:effectRef>
        <a:fontRef idx="minor">
          <a:schemeClr val="lt1"/>
        </a:fontRef>
      </xdr:style>
      <xdr:txBody>
        <a:bodyPr wrap="square" anchor="t"/>
        <a:lstStyle/>
        <a:p>
          <a:pPr algn="ctr"/>
          <a:r>
            <a:rPr lang="en-US" sz="2000" u="sng"/>
            <a:t>Input Data</a:t>
          </a:r>
        </a:p>
      </xdr:txBody>
    </xdr:sp>
    <xdr:clientData/>
  </xdr:twoCellAnchor>
  <xdr:twoCellAnchor>
    <xdr:from>
      <xdr:col>20</xdr:col>
      <xdr:colOff>0</xdr:colOff>
      <xdr:row>7</xdr:row>
      <xdr:rowOff>0</xdr:rowOff>
    </xdr:from>
    <xdr:to>
      <xdr:col>20</xdr:col>
      <xdr:colOff>12700</xdr:colOff>
      <xdr:row>42</xdr:row>
      <xdr:rowOff>177800</xdr:rowOff>
    </xdr:to>
    <xdr:cxnSp macro="">
      <xdr:nvCxnSpPr>
        <xdr:cNvPr id="9" name="Straight Connector 8"/>
        <xdr:cNvCxnSpPr/>
      </xdr:nvCxnSpPr>
      <xdr:spPr>
        <a:xfrm>
          <a:off x="4318000" y="1816100"/>
          <a:ext cx="12700" cy="6845300"/>
        </a:xfrm>
        <a:prstGeom prst="line">
          <a:avLst/>
        </a:prstGeom>
        <a:ln>
          <a:solidFill>
            <a:schemeClr val="tx1"/>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101600</xdr:colOff>
      <xdr:row>27</xdr:row>
      <xdr:rowOff>76200</xdr:rowOff>
    </xdr:from>
    <xdr:to>
      <xdr:col>17</xdr:col>
      <xdr:colOff>101600</xdr:colOff>
      <xdr:row>32</xdr:row>
      <xdr:rowOff>50800</xdr:rowOff>
    </xdr:to>
    <xdr:sp macro="" textlink="">
      <xdr:nvSpPr>
        <xdr:cNvPr id="10" name="Rectangle 9"/>
        <xdr:cNvSpPr/>
      </xdr:nvSpPr>
      <xdr:spPr>
        <a:xfrm>
          <a:off x="2476500" y="5549900"/>
          <a:ext cx="1295400" cy="927100"/>
        </a:xfrm>
        <a:prstGeom prst="rect">
          <a:avLst/>
        </a:prstGeom>
        <a:ln/>
      </xdr:spPr>
      <xdr:style>
        <a:lnRef idx="2">
          <a:schemeClr val="dk1"/>
        </a:lnRef>
        <a:fillRef idx="1">
          <a:schemeClr val="lt1"/>
        </a:fillRef>
        <a:effectRef idx="0">
          <a:schemeClr val="dk1"/>
        </a:effectRef>
        <a:fontRef idx="minor">
          <a:schemeClr val="dk1"/>
        </a:fontRef>
      </xdr:style>
      <xdr:txBody>
        <a:bodyPr wrap="square" anchor="t"/>
        <a:lstStyle/>
        <a:p>
          <a:pPr algn="ctr"/>
          <a:r>
            <a:rPr lang="en-US"/>
            <a:t>Final demand for Space</a:t>
          </a:r>
          <a:r>
            <a:rPr lang="en-US" baseline="0"/>
            <a:t> H</a:t>
          </a:r>
          <a:r>
            <a:rPr lang="en-US"/>
            <a:t>eating, Space</a:t>
          </a:r>
          <a:r>
            <a:rPr lang="en-US" baseline="0"/>
            <a:t> Cooling, Lighting and Hot Water</a:t>
          </a:r>
          <a:endParaRPr lang="en-US"/>
        </a:p>
      </xdr:txBody>
    </xdr:sp>
    <xdr:clientData/>
  </xdr:twoCellAnchor>
  <xdr:twoCellAnchor>
    <xdr:from>
      <xdr:col>66</xdr:col>
      <xdr:colOff>0</xdr:colOff>
      <xdr:row>7</xdr:row>
      <xdr:rowOff>0</xdr:rowOff>
    </xdr:from>
    <xdr:to>
      <xdr:col>66</xdr:col>
      <xdr:colOff>0</xdr:colOff>
      <xdr:row>43</xdr:row>
      <xdr:rowOff>0</xdr:rowOff>
    </xdr:to>
    <xdr:cxnSp macro="">
      <xdr:nvCxnSpPr>
        <xdr:cNvPr id="11" name="Straight Connector 10"/>
        <xdr:cNvCxnSpPr/>
      </xdr:nvCxnSpPr>
      <xdr:spPr>
        <a:xfrm>
          <a:off x="14249400" y="1816100"/>
          <a:ext cx="0" cy="6858000"/>
        </a:xfrm>
        <a:prstGeom prst="line">
          <a:avLst/>
        </a:prstGeom>
        <a:ln>
          <a:solidFill>
            <a:schemeClr val="tx1"/>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12700</xdr:colOff>
      <xdr:row>29</xdr:row>
      <xdr:rowOff>158750</xdr:rowOff>
    </xdr:from>
    <xdr:to>
      <xdr:col>11</xdr:col>
      <xdr:colOff>101600</xdr:colOff>
      <xdr:row>33</xdr:row>
      <xdr:rowOff>120650</xdr:rowOff>
    </xdr:to>
    <xdr:cxnSp macro="">
      <xdr:nvCxnSpPr>
        <xdr:cNvPr id="13" name="Straight Arrow Connector 278"/>
        <xdr:cNvCxnSpPr>
          <a:stCxn id="49" idx="3"/>
          <a:endCxn id="10" idx="1"/>
        </xdr:cNvCxnSpPr>
      </xdr:nvCxnSpPr>
      <xdr:spPr>
        <a:xfrm flipV="1">
          <a:off x="1739900" y="6013450"/>
          <a:ext cx="736600" cy="723900"/>
        </a:xfrm>
        <a:prstGeom prst="bentConnector3">
          <a:avLst>
            <a:gd name="adj1" fmla="val 50000"/>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68</xdr:col>
      <xdr:colOff>25400</xdr:colOff>
      <xdr:row>34</xdr:row>
      <xdr:rowOff>152400</xdr:rowOff>
    </xdr:from>
    <xdr:to>
      <xdr:col>74</xdr:col>
      <xdr:colOff>25400</xdr:colOff>
      <xdr:row>38</xdr:row>
      <xdr:rowOff>152400</xdr:rowOff>
    </xdr:to>
    <xdr:sp macro="" textlink="">
      <xdr:nvSpPr>
        <xdr:cNvPr id="14" name="Rectangle 13"/>
        <xdr:cNvSpPr/>
      </xdr:nvSpPr>
      <xdr:spPr>
        <a:xfrm>
          <a:off x="14706600" y="6959600"/>
          <a:ext cx="1295400" cy="762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Technology shares</a:t>
          </a:r>
          <a:endParaRPr lang="en-US" baseline="0"/>
        </a:p>
      </xdr:txBody>
    </xdr:sp>
    <xdr:clientData/>
  </xdr:twoCellAnchor>
  <xdr:twoCellAnchor>
    <xdr:from>
      <xdr:col>74</xdr:col>
      <xdr:colOff>25400</xdr:colOff>
      <xdr:row>36</xdr:row>
      <xdr:rowOff>152400</xdr:rowOff>
    </xdr:from>
    <xdr:to>
      <xdr:col>78</xdr:col>
      <xdr:colOff>0</xdr:colOff>
      <xdr:row>36</xdr:row>
      <xdr:rowOff>152400</xdr:rowOff>
    </xdr:to>
    <xdr:cxnSp macro="">
      <xdr:nvCxnSpPr>
        <xdr:cNvPr id="15" name="Elbow Connector 195"/>
        <xdr:cNvCxnSpPr>
          <a:stCxn id="14" idx="3"/>
          <a:endCxn id="26" idx="1"/>
        </xdr:cNvCxnSpPr>
      </xdr:nvCxnSpPr>
      <xdr:spPr>
        <a:xfrm>
          <a:off x="16002000" y="7340600"/>
          <a:ext cx="838200" cy="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71</xdr:col>
      <xdr:colOff>0</xdr:colOff>
      <xdr:row>42</xdr:row>
      <xdr:rowOff>114300</xdr:rowOff>
    </xdr:from>
    <xdr:to>
      <xdr:col>71</xdr:col>
      <xdr:colOff>12700</xdr:colOff>
      <xdr:row>44</xdr:row>
      <xdr:rowOff>63500</xdr:rowOff>
    </xdr:to>
    <xdr:cxnSp macro="">
      <xdr:nvCxnSpPr>
        <xdr:cNvPr id="17" name="Elbow Connector 195"/>
        <xdr:cNvCxnSpPr>
          <a:stCxn id="2" idx="2"/>
        </xdr:cNvCxnSpPr>
      </xdr:nvCxnSpPr>
      <xdr:spPr>
        <a:xfrm>
          <a:off x="15328900" y="8445500"/>
          <a:ext cx="12700" cy="330200"/>
        </a:xfrm>
        <a:prstGeom prst="straightConnector1">
          <a:avLst/>
        </a:prstGeom>
        <a:ln w="19050" cmpd="sng">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86</xdr:col>
      <xdr:colOff>0</xdr:colOff>
      <xdr:row>7</xdr:row>
      <xdr:rowOff>0</xdr:rowOff>
    </xdr:from>
    <xdr:to>
      <xdr:col>86</xdr:col>
      <xdr:colOff>0</xdr:colOff>
      <xdr:row>42</xdr:row>
      <xdr:rowOff>101600</xdr:rowOff>
    </xdr:to>
    <xdr:cxnSp macro="">
      <xdr:nvCxnSpPr>
        <xdr:cNvPr id="18" name="Straight Connector 17"/>
        <xdr:cNvCxnSpPr/>
      </xdr:nvCxnSpPr>
      <xdr:spPr>
        <a:xfrm>
          <a:off x="18567400" y="1816100"/>
          <a:ext cx="0" cy="6769100"/>
        </a:xfrm>
        <a:prstGeom prst="line">
          <a:avLst/>
        </a:prstGeom>
        <a:ln>
          <a:solidFill>
            <a:schemeClr val="accent2"/>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152400</xdr:colOff>
      <xdr:row>35</xdr:row>
      <xdr:rowOff>63500</xdr:rowOff>
    </xdr:from>
    <xdr:to>
      <xdr:col>17</xdr:col>
      <xdr:colOff>152400</xdr:colOff>
      <xdr:row>38</xdr:row>
      <xdr:rowOff>63500</xdr:rowOff>
    </xdr:to>
    <xdr:sp macro="" textlink="">
      <xdr:nvSpPr>
        <xdr:cNvPr id="19" name="Rectangle 18"/>
        <xdr:cNvSpPr/>
      </xdr:nvSpPr>
      <xdr:spPr>
        <a:xfrm>
          <a:off x="2527300" y="70612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Technology split of useful</a:t>
          </a:r>
          <a:r>
            <a:rPr lang="en-US" baseline="0"/>
            <a:t> demand</a:t>
          </a:r>
          <a:endParaRPr lang="en-US"/>
        </a:p>
      </xdr:txBody>
    </xdr:sp>
    <xdr:clientData/>
  </xdr:twoCellAnchor>
  <xdr:twoCellAnchor>
    <xdr:from>
      <xdr:col>8</xdr:col>
      <xdr:colOff>12700</xdr:colOff>
      <xdr:row>33</xdr:row>
      <xdr:rowOff>120650</xdr:rowOff>
    </xdr:from>
    <xdr:to>
      <xdr:col>11</xdr:col>
      <xdr:colOff>152400</xdr:colOff>
      <xdr:row>36</xdr:row>
      <xdr:rowOff>158750</xdr:rowOff>
    </xdr:to>
    <xdr:cxnSp macro="">
      <xdr:nvCxnSpPr>
        <xdr:cNvPr id="20" name="Straight Arrow Connector 278"/>
        <xdr:cNvCxnSpPr>
          <a:stCxn id="49" idx="3"/>
          <a:endCxn id="19" idx="1"/>
        </xdr:cNvCxnSpPr>
      </xdr:nvCxnSpPr>
      <xdr:spPr>
        <a:xfrm>
          <a:off x="1739900" y="6737350"/>
          <a:ext cx="787400" cy="609600"/>
        </a:xfrm>
        <a:prstGeom prst="bentConnector3">
          <a:avLst>
            <a:gd name="adj1" fmla="val 50000"/>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17</xdr:col>
      <xdr:colOff>152400</xdr:colOff>
      <xdr:row>36</xdr:row>
      <xdr:rowOff>146050</xdr:rowOff>
    </xdr:from>
    <xdr:to>
      <xdr:col>42</xdr:col>
      <xdr:colOff>101600</xdr:colOff>
      <xdr:row>36</xdr:row>
      <xdr:rowOff>158750</xdr:rowOff>
    </xdr:to>
    <xdr:cxnSp macro="">
      <xdr:nvCxnSpPr>
        <xdr:cNvPr id="21" name="Elbow Connector 195"/>
        <xdr:cNvCxnSpPr>
          <a:stCxn id="19" idx="3"/>
          <a:endCxn id="48" idx="1"/>
        </xdr:cNvCxnSpPr>
      </xdr:nvCxnSpPr>
      <xdr:spPr>
        <a:xfrm flipV="1">
          <a:off x="3822700" y="7334250"/>
          <a:ext cx="5346700" cy="1270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68</xdr:col>
      <xdr:colOff>63500</xdr:colOff>
      <xdr:row>28</xdr:row>
      <xdr:rowOff>50800</xdr:rowOff>
    </xdr:from>
    <xdr:to>
      <xdr:col>74</xdr:col>
      <xdr:colOff>63500</xdr:colOff>
      <xdr:row>31</xdr:row>
      <xdr:rowOff>50800</xdr:rowOff>
    </xdr:to>
    <xdr:sp macro="" textlink="">
      <xdr:nvSpPr>
        <xdr:cNvPr id="22" name="Rectangle 21"/>
        <xdr:cNvSpPr/>
      </xdr:nvSpPr>
      <xdr:spPr>
        <a:xfrm>
          <a:off x="14744700" y="57150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Application shares</a:t>
          </a:r>
        </a:p>
      </xdr:txBody>
    </xdr:sp>
    <xdr:clientData/>
  </xdr:twoCellAnchor>
  <xdr:twoCellAnchor>
    <xdr:from>
      <xdr:col>8</xdr:col>
      <xdr:colOff>0</xdr:colOff>
      <xdr:row>15</xdr:row>
      <xdr:rowOff>146050</xdr:rowOff>
    </xdr:from>
    <xdr:to>
      <xdr:col>29</xdr:col>
      <xdr:colOff>76200</xdr:colOff>
      <xdr:row>15</xdr:row>
      <xdr:rowOff>158750</xdr:rowOff>
    </xdr:to>
    <xdr:cxnSp macro="">
      <xdr:nvCxnSpPr>
        <xdr:cNvPr id="24" name="Elbow Connector 23"/>
        <xdr:cNvCxnSpPr>
          <a:stCxn id="7" idx="3"/>
          <a:endCxn id="62" idx="1"/>
        </xdr:cNvCxnSpPr>
      </xdr:nvCxnSpPr>
      <xdr:spPr>
        <a:xfrm>
          <a:off x="1727200" y="3333750"/>
          <a:ext cx="4610100" cy="12700"/>
        </a:xfrm>
        <a:prstGeom prst="straightConnector1">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78</xdr:col>
      <xdr:colOff>0</xdr:colOff>
      <xdr:row>34</xdr:row>
      <xdr:rowOff>152400</xdr:rowOff>
    </xdr:from>
    <xdr:to>
      <xdr:col>84</xdr:col>
      <xdr:colOff>0</xdr:colOff>
      <xdr:row>38</xdr:row>
      <xdr:rowOff>152400</xdr:rowOff>
    </xdr:to>
    <xdr:sp macro="" textlink="">
      <xdr:nvSpPr>
        <xdr:cNvPr id="26" name="Rectangle 25"/>
        <xdr:cNvSpPr/>
      </xdr:nvSpPr>
      <xdr:spPr>
        <a:xfrm>
          <a:off x="16840200" y="6959600"/>
          <a:ext cx="1295400" cy="762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csv's</a:t>
          </a:r>
        </a:p>
      </xdr:txBody>
    </xdr:sp>
    <xdr:clientData/>
  </xdr:twoCellAnchor>
  <xdr:twoCellAnchor>
    <xdr:from>
      <xdr:col>74</xdr:col>
      <xdr:colOff>63500</xdr:colOff>
      <xdr:row>29</xdr:row>
      <xdr:rowOff>146050</xdr:rowOff>
    </xdr:from>
    <xdr:to>
      <xdr:col>78</xdr:col>
      <xdr:colOff>63500</xdr:colOff>
      <xdr:row>29</xdr:row>
      <xdr:rowOff>146050</xdr:rowOff>
    </xdr:to>
    <xdr:cxnSp macro="">
      <xdr:nvCxnSpPr>
        <xdr:cNvPr id="27" name="Elbow Connector 195"/>
        <xdr:cNvCxnSpPr>
          <a:stCxn id="22" idx="3"/>
          <a:endCxn id="28" idx="1"/>
        </xdr:cNvCxnSpPr>
      </xdr:nvCxnSpPr>
      <xdr:spPr>
        <a:xfrm>
          <a:off x="16040100" y="6000750"/>
          <a:ext cx="863600" cy="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78</xdr:col>
      <xdr:colOff>63500</xdr:colOff>
      <xdr:row>28</xdr:row>
      <xdr:rowOff>50800</xdr:rowOff>
    </xdr:from>
    <xdr:to>
      <xdr:col>84</xdr:col>
      <xdr:colOff>63500</xdr:colOff>
      <xdr:row>31</xdr:row>
      <xdr:rowOff>50800</xdr:rowOff>
    </xdr:to>
    <xdr:sp macro="" textlink="">
      <xdr:nvSpPr>
        <xdr:cNvPr id="28" name="Rectangle 27"/>
        <xdr:cNvSpPr/>
      </xdr:nvSpPr>
      <xdr:spPr>
        <a:xfrm>
          <a:off x="16903700" y="57150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csv's</a:t>
          </a:r>
        </a:p>
      </xdr:txBody>
    </xdr:sp>
    <xdr:clientData/>
  </xdr:twoCellAnchor>
  <xdr:twoCellAnchor>
    <xdr:from>
      <xdr:col>2</xdr:col>
      <xdr:colOff>0</xdr:colOff>
      <xdr:row>10</xdr:row>
      <xdr:rowOff>50800</xdr:rowOff>
    </xdr:from>
    <xdr:to>
      <xdr:col>8</xdr:col>
      <xdr:colOff>0</xdr:colOff>
      <xdr:row>13</xdr:row>
      <xdr:rowOff>50800</xdr:rowOff>
    </xdr:to>
    <xdr:sp macro="" textlink="">
      <xdr:nvSpPr>
        <xdr:cNvPr id="33" name="Rectangle 32"/>
        <xdr:cNvSpPr/>
      </xdr:nvSpPr>
      <xdr:spPr>
        <a:xfrm>
          <a:off x="431800" y="24384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Technological</a:t>
          </a:r>
          <a:r>
            <a:rPr lang="en-US" baseline="0"/>
            <a:t> specifications</a:t>
          </a:r>
          <a:endParaRPr lang="en-US"/>
        </a:p>
      </xdr:txBody>
    </xdr:sp>
    <xdr:clientData/>
  </xdr:twoCellAnchor>
  <xdr:twoCellAnchor>
    <xdr:from>
      <xdr:col>8</xdr:col>
      <xdr:colOff>0</xdr:colOff>
      <xdr:row>11</xdr:row>
      <xdr:rowOff>146050</xdr:rowOff>
    </xdr:from>
    <xdr:to>
      <xdr:col>45</xdr:col>
      <xdr:colOff>101600</xdr:colOff>
      <xdr:row>35</xdr:row>
      <xdr:rowOff>50800</xdr:rowOff>
    </xdr:to>
    <xdr:cxnSp macro="">
      <xdr:nvCxnSpPr>
        <xdr:cNvPr id="34" name="Elbow Connector 33"/>
        <xdr:cNvCxnSpPr>
          <a:stCxn id="33" idx="3"/>
          <a:endCxn id="48" idx="0"/>
        </xdr:cNvCxnSpPr>
      </xdr:nvCxnSpPr>
      <xdr:spPr>
        <a:xfrm>
          <a:off x="1727200" y="2571750"/>
          <a:ext cx="8089900" cy="4476750"/>
        </a:xfrm>
        <a:prstGeom prst="bentConnector2">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55</xdr:col>
      <xdr:colOff>114300</xdr:colOff>
      <xdr:row>26</xdr:row>
      <xdr:rowOff>165100</xdr:rowOff>
    </xdr:from>
    <xdr:to>
      <xdr:col>61</xdr:col>
      <xdr:colOff>114300</xdr:colOff>
      <xdr:row>32</xdr:row>
      <xdr:rowOff>114300</xdr:rowOff>
    </xdr:to>
    <xdr:sp macro="" textlink="">
      <xdr:nvSpPr>
        <xdr:cNvPr id="35" name="Rectangle 34"/>
        <xdr:cNvSpPr/>
      </xdr:nvSpPr>
      <xdr:spPr>
        <a:xfrm>
          <a:off x="11988800" y="5448300"/>
          <a:ext cx="1295400" cy="10922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Final demand per energy carrier</a:t>
          </a:r>
        </a:p>
      </xdr:txBody>
    </xdr:sp>
    <xdr:clientData/>
  </xdr:twoCellAnchor>
  <xdr:twoCellAnchor>
    <xdr:from>
      <xdr:col>48</xdr:col>
      <xdr:colOff>101600</xdr:colOff>
      <xdr:row>36</xdr:row>
      <xdr:rowOff>146050</xdr:rowOff>
    </xdr:from>
    <xdr:to>
      <xdr:col>68</xdr:col>
      <xdr:colOff>25400</xdr:colOff>
      <xdr:row>36</xdr:row>
      <xdr:rowOff>152400</xdr:rowOff>
    </xdr:to>
    <xdr:cxnSp macro="">
      <xdr:nvCxnSpPr>
        <xdr:cNvPr id="43" name="Elbow Connector 195"/>
        <xdr:cNvCxnSpPr>
          <a:stCxn id="48" idx="3"/>
          <a:endCxn id="14" idx="1"/>
        </xdr:cNvCxnSpPr>
      </xdr:nvCxnSpPr>
      <xdr:spPr>
        <a:xfrm>
          <a:off x="10464800" y="7334250"/>
          <a:ext cx="4241800" cy="6350"/>
        </a:xfrm>
        <a:prstGeom prst="straightConnector1">
          <a:avLst/>
        </a:prstGeom>
        <a:ln>
          <a:tailEnd type="arrow"/>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29</xdr:col>
      <xdr:colOff>76200</xdr:colOff>
      <xdr:row>14</xdr:row>
      <xdr:rowOff>63500</xdr:rowOff>
    </xdr:from>
    <xdr:to>
      <xdr:col>35</xdr:col>
      <xdr:colOff>76200</xdr:colOff>
      <xdr:row>17</xdr:row>
      <xdr:rowOff>63500</xdr:rowOff>
    </xdr:to>
    <xdr:sp macro="" textlink="">
      <xdr:nvSpPr>
        <xdr:cNvPr id="62" name="Rectangle 61"/>
        <xdr:cNvSpPr/>
      </xdr:nvSpPr>
      <xdr:spPr>
        <a:xfrm>
          <a:off x="6337300" y="30607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Fuel</a:t>
          </a:r>
          <a:r>
            <a:rPr lang="en-US" baseline="0"/>
            <a:t> Aggregation</a:t>
          </a:r>
          <a:endParaRPr lang="en-US"/>
        </a:p>
      </xdr:txBody>
    </xdr:sp>
    <xdr:clientData/>
  </xdr:twoCellAnchor>
  <xdr:twoCellAnchor>
    <xdr:from>
      <xdr:col>35</xdr:col>
      <xdr:colOff>76200</xdr:colOff>
      <xdr:row>15</xdr:row>
      <xdr:rowOff>158750</xdr:rowOff>
    </xdr:from>
    <xdr:to>
      <xdr:col>58</xdr:col>
      <xdr:colOff>114300</xdr:colOff>
      <xdr:row>26</xdr:row>
      <xdr:rowOff>165100</xdr:rowOff>
    </xdr:to>
    <xdr:cxnSp macro="">
      <xdr:nvCxnSpPr>
        <xdr:cNvPr id="64" name="Elbow Connector 23"/>
        <xdr:cNvCxnSpPr>
          <a:stCxn id="62" idx="3"/>
          <a:endCxn id="35" idx="0"/>
        </xdr:cNvCxnSpPr>
      </xdr:nvCxnSpPr>
      <xdr:spPr>
        <a:xfrm>
          <a:off x="7632700" y="3346450"/>
          <a:ext cx="5003800" cy="2101850"/>
        </a:xfrm>
        <a:prstGeom prst="bentConnector2">
          <a:avLst/>
        </a:prstGeom>
        <a:ln>
          <a:tailEnd type="arrow"/>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42</xdr:col>
      <xdr:colOff>101600</xdr:colOff>
      <xdr:row>35</xdr:row>
      <xdr:rowOff>50800</xdr:rowOff>
    </xdr:from>
    <xdr:to>
      <xdr:col>48</xdr:col>
      <xdr:colOff>101600</xdr:colOff>
      <xdr:row>38</xdr:row>
      <xdr:rowOff>50800</xdr:rowOff>
    </xdr:to>
    <xdr:sp macro="" textlink="">
      <xdr:nvSpPr>
        <xdr:cNvPr id="48" name="Rectangle 47"/>
        <xdr:cNvSpPr/>
      </xdr:nvSpPr>
      <xdr:spPr>
        <a:xfrm>
          <a:off x="9169400" y="70485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Technology split final demand</a:t>
          </a:r>
        </a:p>
      </xdr:txBody>
    </xdr:sp>
    <xdr:clientData/>
  </xdr:twoCellAnchor>
  <xdr:twoCellAnchor>
    <xdr:from>
      <xdr:col>61</xdr:col>
      <xdr:colOff>114300</xdr:colOff>
      <xdr:row>29</xdr:row>
      <xdr:rowOff>139700</xdr:rowOff>
    </xdr:from>
    <xdr:to>
      <xdr:col>68</xdr:col>
      <xdr:colOff>63500</xdr:colOff>
      <xdr:row>29</xdr:row>
      <xdr:rowOff>146050</xdr:rowOff>
    </xdr:to>
    <xdr:cxnSp macro="">
      <xdr:nvCxnSpPr>
        <xdr:cNvPr id="51" name="Elbow Connector 195"/>
        <xdr:cNvCxnSpPr>
          <a:stCxn id="35" idx="3"/>
          <a:endCxn id="22" idx="1"/>
        </xdr:cNvCxnSpPr>
      </xdr:nvCxnSpPr>
      <xdr:spPr>
        <a:xfrm>
          <a:off x="13284200" y="5994400"/>
          <a:ext cx="1460500" cy="6350"/>
        </a:xfrm>
        <a:prstGeom prst="straightConnector1">
          <a:avLst/>
        </a:prstGeom>
        <a:ln w="19050" cmpd="sng">
          <a:tailEnd type="arrow"/>
        </a:ln>
      </xdr:spPr>
      <xdr:style>
        <a:lnRef idx="3">
          <a:schemeClr val="dk1"/>
        </a:lnRef>
        <a:fillRef idx="0">
          <a:schemeClr val="dk1"/>
        </a:fillRef>
        <a:effectRef idx="2">
          <a:schemeClr val="dk1"/>
        </a:effectRef>
        <a:fontRef idx="minor">
          <a:schemeClr val="tx1"/>
        </a:fontRef>
      </xdr:style>
    </xdr:cxnSp>
    <xdr:clientData/>
  </xdr:twoCellAnchor>
  <xdr:twoCellAnchor>
    <xdr:from>
      <xdr:col>17</xdr:col>
      <xdr:colOff>101600</xdr:colOff>
      <xdr:row>29</xdr:row>
      <xdr:rowOff>139700</xdr:rowOff>
    </xdr:from>
    <xdr:to>
      <xdr:col>55</xdr:col>
      <xdr:colOff>114300</xdr:colOff>
      <xdr:row>29</xdr:row>
      <xdr:rowOff>158750</xdr:rowOff>
    </xdr:to>
    <xdr:cxnSp macro="">
      <xdr:nvCxnSpPr>
        <xdr:cNvPr id="100" name="Elbow Connector 71"/>
        <xdr:cNvCxnSpPr>
          <a:stCxn id="10" idx="3"/>
          <a:endCxn id="35" idx="1"/>
        </xdr:cNvCxnSpPr>
      </xdr:nvCxnSpPr>
      <xdr:spPr>
        <a:xfrm flipV="1">
          <a:off x="3771900" y="5994400"/>
          <a:ext cx="8216900" cy="1905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2</xdr:col>
      <xdr:colOff>12700</xdr:colOff>
      <xdr:row>32</xdr:row>
      <xdr:rowOff>25400</xdr:rowOff>
    </xdr:from>
    <xdr:to>
      <xdr:col>8</xdr:col>
      <xdr:colOff>12700</xdr:colOff>
      <xdr:row>35</xdr:row>
      <xdr:rowOff>25400</xdr:rowOff>
    </xdr:to>
    <xdr:sp macro="" textlink="">
      <xdr:nvSpPr>
        <xdr:cNvPr id="49" name="Rectangle 48"/>
        <xdr:cNvSpPr/>
      </xdr:nvSpPr>
      <xdr:spPr>
        <a:xfrm>
          <a:off x="444500" y="64516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Resdicene</a:t>
          </a:r>
          <a:r>
            <a:rPr lang="en-US" baseline="0"/>
            <a:t> Source analysis</a:t>
          </a:r>
          <a:endParaRPr lang="en-US"/>
        </a:p>
      </xdr:txBody>
    </xdr:sp>
    <xdr:clientData/>
  </xdr:twoCellAnchor>
  <xdr:twoCellAnchor>
    <xdr:from>
      <xdr:col>48</xdr:col>
      <xdr:colOff>101600</xdr:colOff>
      <xdr:row>32</xdr:row>
      <xdr:rowOff>114300</xdr:rowOff>
    </xdr:from>
    <xdr:to>
      <xdr:col>58</xdr:col>
      <xdr:colOff>114300</xdr:colOff>
      <xdr:row>36</xdr:row>
      <xdr:rowOff>146050</xdr:rowOff>
    </xdr:to>
    <xdr:cxnSp macro="">
      <xdr:nvCxnSpPr>
        <xdr:cNvPr id="57" name="Straight Arrow Connector 278"/>
        <xdr:cNvCxnSpPr>
          <a:stCxn id="48" idx="3"/>
          <a:endCxn id="35" idx="2"/>
        </xdr:cNvCxnSpPr>
      </xdr:nvCxnSpPr>
      <xdr:spPr>
        <a:xfrm flipV="1">
          <a:off x="10464800" y="6540500"/>
          <a:ext cx="2171700" cy="793750"/>
        </a:xfrm>
        <a:prstGeom prst="bentConnector2">
          <a:avLst/>
        </a:prstGeom>
        <a:ln>
          <a:tailEnd type="arrow"/>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29</xdr:col>
      <xdr:colOff>63500</xdr:colOff>
      <xdr:row>21</xdr:row>
      <xdr:rowOff>177800</xdr:rowOff>
    </xdr:from>
    <xdr:to>
      <xdr:col>35</xdr:col>
      <xdr:colOff>63500</xdr:colOff>
      <xdr:row>25</xdr:row>
      <xdr:rowOff>50800</xdr:rowOff>
    </xdr:to>
    <xdr:sp macro="" textlink="">
      <xdr:nvSpPr>
        <xdr:cNvPr id="90" name="Rectangle 89"/>
        <xdr:cNvSpPr/>
      </xdr:nvSpPr>
      <xdr:spPr>
        <a:xfrm>
          <a:off x="6324600" y="4508500"/>
          <a:ext cx="1295400" cy="635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Final demand extracted from EB</a:t>
          </a:r>
        </a:p>
      </xdr:txBody>
    </xdr:sp>
    <xdr:clientData/>
  </xdr:twoCellAnchor>
  <xdr:twoCellAnchor>
    <xdr:from>
      <xdr:col>32</xdr:col>
      <xdr:colOff>63500</xdr:colOff>
      <xdr:row>17</xdr:row>
      <xdr:rowOff>63500</xdr:rowOff>
    </xdr:from>
    <xdr:to>
      <xdr:col>32</xdr:col>
      <xdr:colOff>76200</xdr:colOff>
      <xdr:row>21</xdr:row>
      <xdr:rowOff>177800</xdr:rowOff>
    </xdr:to>
    <xdr:cxnSp macro="">
      <xdr:nvCxnSpPr>
        <xdr:cNvPr id="91" name="Elbow Connector 23"/>
        <xdr:cNvCxnSpPr>
          <a:stCxn id="62" idx="2"/>
          <a:endCxn id="90" idx="0"/>
        </xdr:cNvCxnSpPr>
      </xdr:nvCxnSpPr>
      <xdr:spPr>
        <a:xfrm flipH="1">
          <a:off x="6972300" y="3632200"/>
          <a:ext cx="12700" cy="876300"/>
        </a:xfrm>
        <a:prstGeom prst="straightConnector1">
          <a:avLst/>
        </a:prstGeom>
        <a:ln>
          <a:tailEnd type="arrow"/>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32</xdr:col>
      <xdr:colOff>63500</xdr:colOff>
      <xdr:row>25</xdr:row>
      <xdr:rowOff>50800</xdr:rowOff>
    </xdr:from>
    <xdr:to>
      <xdr:col>42</xdr:col>
      <xdr:colOff>101600</xdr:colOff>
      <xdr:row>36</xdr:row>
      <xdr:rowOff>146050</xdr:rowOff>
    </xdr:to>
    <xdr:cxnSp macro="">
      <xdr:nvCxnSpPr>
        <xdr:cNvPr id="95" name="Elbow Connector 23"/>
        <xdr:cNvCxnSpPr>
          <a:stCxn id="90" idx="2"/>
          <a:endCxn id="48" idx="1"/>
        </xdr:cNvCxnSpPr>
      </xdr:nvCxnSpPr>
      <xdr:spPr>
        <a:xfrm rot="16200000" flipH="1">
          <a:off x="6975475" y="5140325"/>
          <a:ext cx="2190750" cy="2197100"/>
        </a:xfrm>
        <a:prstGeom prst="bentConnector2">
          <a:avLst/>
        </a:prstGeom>
        <a:ln>
          <a:tailEnd type="arrow"/>
        </a:ln>
      </xdr:spPr>
      <xdr:style>
        <a:lnRef idx="2">
          <a:schemeClr val="accent4"/>
        </a:lnRef>
        <a:fillRef idx="0">
          <a:schemeClr val="accent4"/>
        </a:fillRef>
        <a:effectRef idx="1">
          <a:schemeClr val="accent4"/>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10</xdr:col>
          <xdr:colOff>76200</xdr:colOff>
          <xdr:row>2</xdr:row>
          <xdr:rowOff>38100</xdr:rowOff>
        </xdr:from>
        <xdr:to>
          <xdr:col>12</xdr:col>
          <xdr:colOff>1206500</xdr:colOff>
          <xdr:row>3</xdr:row>
          <xdr:rowOff>0</xdr:rowOff>
        </xdr:to>
        <xdr:sp macro="" textlink="">
          <xdr:nvSpPr>
            <xdr:cNvPr id="11281" name="import_data" hidden="1">
              <a:extLst>
                <a:ext uri="{63B3BB69-23CF-44E3-9099-C40C66FF867C}">
                  <a14:compatExt spid="_x0000_s11281"/>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import data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10</xdr:col>
          <xdr:colOff>114300</xdr:colOff>
          <xdr:row>4</xdr:row>
          <xdr:rowOff>228600</xdr:rowOff>
        </xdr:from>
        <xdr:to>
          <xdr:col>12</xdr:col>
          <xdr:colOff>1244600</xdr:colOff>
          <xdr:row>4</xdr:row>
          <xdr:rowOff>444500</xdr:rowOff>
        </xdr:to>
        <xdr:sp macro="" textlink="">
          <xdr:nvSpPr>
            <xdr:cNvPr id="11282" name="export_data" hidden="1">
              <a:extLst>
                <a:ext uri="{63B3BB69-23CF-44E3-9099-C40C66FF867C}">
                  <a14:compatExt spid="_x0000_s11282"/>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export to 'data/…/ouput' folder</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10</xdr:col>
          <xdr:colOff>2247900</xdr:colOff>
          <xdr:row>3</xdr:row>
          <xdr:rowOff>88900</xdr:rowOff>
        </xdr:from>
        <xdr:to>
          <xdr:col>12</xdr:col>
          <xdr:colOff>1219200</xdr:colOff>
          <xdr:row>4</xdr:row>
          <xdr:rowOff>114300</xdr:rowOff>
        </xdr:to>
        <xdr:sp macro="" textlink="">
          <xdr:nvSpPr>
            <xdr:cNvPr id="11283" name="select_dashboard" hidden="1">
              <a:extLst>
                <a:ext uri="{63B3BB69-23CF-44E3-9099-C40C66FF867C}">
                  <a14:compatExt spid="_x0000_s11283"/>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optional: load different Dashbord values</a:t>
              </a:r>
            </a:p>
          </xdr:txBody>
        </xdr:sp>
        <xdr:clientData fPrintsWithSheet="0"/>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ctrlProp" Target="../ctrlProps/ctrlProp1.xml"/><Relationship Id="rId4" Type="http://schemas.openxmlformats.org/officeDocument/2006/relationships/ctrlProp" Target="../ctrlProps/ctrlProp2.xml"/><Relationship Id="rId5" Type="http://schemas.openxmlformats.org/officeDocument/2006/relationships/ctrlProp" Target="../ctrlProps/ctrlProp3.xml"/><Relationship Id="rId6" Type="http://schemas.openxmlformats.org/officeDocument/2006/relationships/comments" Target="../comments1.xml"/><Relationship Id="rId1" Type="http://schemas.openxmlformats.org/officeDocument/2006/relationships/drawing" Target="../drawings/drawing2.xml"/><Relationship Id="rId2"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tabColor theme="2"/>
  </sheetPr>
  <dimension ref="B2:D39"/>
  <sheetViews>
    <sheetView workbookViewId="0">
      <selection activeCell="C8" sqref="C8"/>
    </sheetView>
  </sheetViews>
  <sheetFormatPr baseColWidth="10" defaultRowHeight="15" x14ac:dyDescent="0"/>
  <cols>
    <col min="1" max="1" width="10.83203125" style="1"/>
    <col min="2" max="2" width="14" style="1" customWidth="1"/>
    <col min="3" max="3" width="44" style="1" customWidth="1"/>
    <col min="4" max="4" width="9.33203125" style="1" customWidth="1"/>
    <col min="5" max="16384" width="10.83203125" style="1"/>
  </cols>
  <sheetData>
    <row r="2" spans="2:4" ht="20">
      <c r="B2" s="2" t="s">
        <v>252</v>
      </c>
    </row>
    <row r="4" spans="2:4">
      <c r="B4" s="3" t="s">
        <v>1</v>
      </c>
      <c r="C4" s="4" t="s">
        <v>20</v>
      </c>
      <c r="D4" s="5"/>
    </row>
    <row r="5" spans="2:4">
      <c r="B5" s="6" t="s">
        <v>2</v>
      </c>
      <c r="C5" s="26">
        <f>MAX(Changelog!D:D)</f>
        <v>1.36</v>
      </c>
      <c r="D5" s="7"/>
    </row>
    <row r="6" spans="2:4">
      <c r="B6" s="6" t="s">
        <v>338</v>
      </c>
      <c r="C6" s="26">
        <f>Dashboard!E11</f>
        <v>0</v>
      </c>
      <c r="D6" s="7"/>
    </row>
    <row r="7" spans="2:4">
      <c r="B7" s="6" t="s">
        <v>339</v>
      </c>
      <c r="C7" s="198">
        <f>Dashboard!E12</f>
        <v>0</v>
      </c>
      <c r="D7" s="7"/>
    </row>
    <row r="8" spans="2:4">
      <c r="B8" s="6" t="s">
        <v>3</v>
      </c>
      <c r="C8" s="206">
        <f>MAX(Changelog!B:B)</f>
        <v>41782</v>
      </c>
      <c r="D8" s="7"/>
    </row>
    <row r="9" spans="2:4">
      <c r="B9" s="6" t="s">
        <v>4</v>
      </c>
      <c r="C9" s="8" t="s">
        <v>21</v>
      </c>
      <c r="D9" s="7"/>
    </row>
    <row r="10" spans="2:4">
      <c r="B10" s="9" t="s">
        <v>22</v>
      </c>
      <c r="C10" s="10" t="s">
        <v>5</v>
      </c>
      <c r="D10" s="11"/>
    </row>
    <row r="12" spans="2:4">
      <c r="B12" s="3" t="s">
        <v>9</v>
      </c>
      <c r="C12" s="4"/>
      <c r="D12" s="5"/>
    </row>
    <row r="13" spans="2:4">
      <c r="B13" s="21"/>
      <c r="C13" s="8"/>
      <c r="D13" s="7"/>
    </row>
    <row r="14" spans="2:4">
      <c r="B14" s="21" t="s">
        <v>10</v>
      </c>
      <c r="C14" s="22" t="s">
        <v>11</v>
      </c>
      <c r="D14" s="7"/>
    </row>
    <row r="15" spans="2:4" ht="16" thickBot="1">
      <c r="B15" s="21"/>
      <c r="C15" s="15" t="s">
        <v>12</v>
      </c>
      <c r="D15" s="7"/>
    </row>
    <row r="16" spans="2:4" ht="16" thickBot="1">
      <c r="B16" s="21"/>
      <c r="C16" s="23" t="s">
        <v>13</v>
      </c>
      <c r="D16" s="7"/>
    </row>
    <row r="17" spans="2:4">
      <c r="B17" s="21"/>
      <c r="C17" s="8" t="s">
        <v>14</v>
      </c>
      <c r="D17" s="7"/>
    </row>
    <row r="18" spans="2:4">
      <c r="B18" s="21"/>
      <c r="C18" s="8"/>
      <c r="D18" s="7"/>
    </row>
    <row r="19" spans="2:4">
      <c r="B19" s="21" t="s">
        <v>15</v>
      </c>
      <c r="C19" s="24" t="s">
        <v>292</v>
      </c>
      <c r="D19" s="7"/>
    </row>
    <row r="20" spans="2:4">
      <c r="B20" s="21"/>
      <c r="C20" s="161" t="s">
        <v>18</v>
      </c>
      <c r="D20" s="7"/>
    </row>
    <row r="21" spans="2:4">
      <c r="B21" s="21"/>
      <c r="C21" s="162" t="s">
        <v>293</v>
      </c>
      <c r="D21" s="7"/>
    </row>
    <row r="22" spans="2:4">
      <c r="B22" s="21"/>
      <c r="C22" s="163" t="s">
        <v>30</v>
      </c>
      <c r="D22" s="7"/>
    </row>
    <row r="23" spans="2:4">
      <c r="B23" s="19"/>
      <c r="C23" s="25" t="s">
        <v>16</v>
      </c>
      <c r="D23" s="7"/>
    </row>
    <row r="24" spans="2:4">
      <c r="B24" s="19"/>
      <c r="C24" s="164" t="s">
        <v>294</v>
      </c>
      <c r="D24" s="7"/>
    </row>
    <row r="25" spans="2:4">
      <c r="B25" s="19"/>
      <c r="C25" s="165" t="s">
        <v>17</v>
      </c>
      <c r="D25" s="7"/>
    </row>
    <row r="26" spans="2:4">
      <c r="B26" s="19"/>
      <c r="C26" s="124" t="s">
        <v>332</v>
      </c>
      <c r="D26" s="7"/>
    </row>
    <row r="27" spans="2:4">
      <c r="B27" s="20"/>
      <c r="C27" s="212"/>
      <c r="D27" s="11"/>
    </row>
    <row r="29" spans="2:4">
      <c r="B29" s="3" t="s">
        <v>19</v>
      </c>
      <c r="C29" s="4"/>
      <c r="D29" s="5"/>
    </row>
    <row r="30" spans="2:4">
      <c r="B30" s="19"/>
      <c r="C30" s="8"/>
      <c r="D30" s="7"/>
    </row>
    <row r="31" spans="2:4">
      <c r="B31" s="19"/>
      <c r="C31" s="8"/>
      <c r="D31" s="7"/>
    </row>
    <row r="32" spans="2:4">
      <c r="B32" s="19"/>
      <c r="C32" s="8"/>
      <c r="D32" s="7"/>
    </row>
    <row r="33" spans="2:4">
      <c r="B33" s="19"/>
      <c r="C33" s="8"/>
      <c r="D33" s="7"/>
    </row>
    <row r="34" spans="2:4">
      <c r="B34" s="19"/>
      <c r="C34" s="8"/>
      <c r="D34" s="7"/>
    </row>
    <row r="35" spans="2:4">
      <c r="B35" s="19"/>
      <c r="C35" s="8"/>
      <c r="D35" s="7"/>
    </row>
    <row r="36" spans="2:4">
      <c r="B36" s="19"/>
      <c r="C36" s="8"/>
      <c r="D36" s="7"/>
    </row>
    <row r="37" spans="2:4">
      <c r="B37" s="19"/>
      <c r="C37" s="8"/>
      <c r="D37" s="7"/>
    </row>
    <row r="38" spans="2:4">
      <c r="B38" s="19"/>
      <c r="C38" s="8"/>
      <c r="D38" s="7"/>
    </row>
    <row r="39" spans="2:4">
      <c r="B39" s="20"/>
      <c r="C39" s="10"/>
      <c r="D39" s="11"/>
    </row>
  </sheetData>
  <pageMargins left="0.75" right="0.75" top="1" bottom="1" header="0.5" footer="0.5"/>
  <pageSetup paperSize="9" orientation="portrait" horizontalDpi="4294967292" verticalDpi="4294967292"/>
  <ignoredErrors>
    <ignoredError sqref="C5 C8" emptyCellReference="1"/>
  </ignoredError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tabColor theme="2"/>
  </sheetPr>
  <dimension ref="B2:E50"/>
  <sheetViews>
    <sheetView topLeftCell="A26" workbookViewId="0">
      <selection activeCell="B44" sqref="B44"/>
    </sheetView>
  </sheetViews>
  <sheetFormatPr baseColWidth="10" defaultRowHeight="15" x14ac:dyDescent="0"/>
  <cols>
    <col min="1" max="1" width="10.83203125" style="1"/>
    <col min="2" max="2" width="17.6640625" style="1" bestFit="1" customWidth="1"/>
    <col min="3" max="3" width="73" style="1" customWidth="1"/>
    <col min="4" max="4" width="9.33203125" style="1" customWidth="1"/>
    <col min="5" max="16384" width="10.83203125" style="1"/>
  </cols>
  <sheetData>
    <row r="2" spans="2:5" ht="20">
      <c r="B2" s="2" t="s">
        <v>0</v>
      </c>
    </row>
    <row r="4" spans="2:5">
      <c r="B4" s="12" t="s">
        <v>3</v>
      </c>
      <c r="C4" s="13" t="s">
        <v>6</v>
      </c>
      <c r="D4" s="14" t="s">
        <v>7</v>
      </c>
    </row>
    <row r="5" spans="2:5">
      <c r="B5" s="6"/>
      <c r="C5" s="15"/>
      <c r="D5" s="16"/>
    </row>
    <row r="6" spans="2:5">
      <c r="B6" s="304">
        <v>41450</v>
      </c>
      <c r="C6" s="17" t="s">
        <v>8</v>
      </c>
      <c r="D6" s="308">
        <v>1</v>
      </c>
      <c r="E6" s="307"/>
    </row>
    <row r="7" spans="2:5">
      <c r="B7" s="305">
        <v>41452</v>
      </c>
      <c r="C7" s="17" t="s">
        <v>245</v>
      </c>
      <c r="D7" s="309">
        <v>1.01</v>
      </c>
      <c r="E7" s="307"/>
    </row>
    <row r="8" spans="2:5">
      <c r="B8" s="305">
        <v>41457</v>
      </c>
      <c r="C8" s="17" t="s">
        <v>246</v>
      </c>
      <c r="D8" s="309">
        <v>1.02</v>
      </c>
      <c r="E8" s="307"/>
    </row>
    <row r="9" spans="2:5">
      <c r="B9" s="305">
        <v>41457</v>
      </c>
      <c r="C9" s="17" t="s">
        <v>258</v>
      </c>
      <c r="D9" s="309">
        <v>1.03</v>
      </c>
      <c r="E9" s="307"/>
    </row>
    <row r="10" spans="2:5">
      <c r="B10" s="305">
        <v>41458</v>
      </c>
      <c r="C10" s="17" t="s">
        <v>280</v>
      </c>
      <c r="D10" s="309">
        <v>1.04</v>
      </c>
      <c r="E10" s="307"/>
    </row>
    <row r="11" spans="2:5">
      <c r="B11" s="305">
        <v>41459</v>
      </c>
      <c r="C11" s="17" t="s">
        <v>285</v>
      </c>
      <c r="D11" s="309">
        <v>1.05</v>
      </c>
      <c r="E11" s="307"/>
    </row>
    <row r="12" spans="2:5">
      <c r="B12" s="305">
        <v>41460</v>
      </c>
      <c r="C12" s="17" t="s">
        <v>289</v>
      </c>
      <c r="D12" s="309">
        <v>1.06</v>
      </c>
      <c r="E12" s="307"/>
    </row>
    <row r="13" spans="2:5">
      <c r="B13" s="305">
        <v>41463</v>
      </c>
      <c r="C13" s="17" t="s">
        <v>296</v>
      </c>
      <c r="D13" s="309">
        <v>1.07</v>
      </c>
      <c r="E13" s="307"/>
    </row>
    <row r="14" spans="2:5">
      <c r="B14" s="305">
        <v>41464</v>
      </c>
      <c r="C14" s="17" t="s">
        <v>303</v>
      </c>
      <c r="D14" s="309">
        <v>1.08</v>
      </c>
      <c r="E14" s="307"/>
    </row>
    <row r="15" spans="2:5" ht="30">
      <c r="B15" s="305">
        <v>41464</v>
      </c>
      <c r="C15" s="39" t="s">
        <v>304</v>
      </c>
      <c r="D15" s="309">
        <v>1.0900000000000001</v>
      </c>
      <c r="E15" s="307"/>
    </row>
    <row r="16" spans="2:5">
      <c r="B16" s="305">
        <v>41465</v>
      </c>
      <c r="C16" s="17" t="s">
        <v>308</v>
      </c>
      <c r="D16" s="308">
        <v>1.1000000000000001</v>
      </c>
      <c r="E16" s="307"/>
    </row>
    <row r="17" spans="2:5">
      <c r="B17" s="305">
        <v>41465</v>
      </c>
      <c r="C17" s="39" t="s">
        <v>323</v>
      </c>
      <c r="D17" s="309">
        <v>1.1100000000000001</v>
      </c>
      <c r="E17" s="307"/>
    </row>
    <row r="18" spans="2:5">
      <c r="B18" s="305">
        <v>41467</v>
      </c>
      <c r="C18" s="17" t="s">
        <v>324</v>
      </c>
      <c r="D18" s="309">
        <v>1.1200000000000001</v>
      </c>
      <c r="E18" s="307"/>
    </row>
    <row r="19" spans="2:5" ht="30">
      <c r="B19" s="305">
        <v>41470</v>
      </c>
      <c r="C19" s="39" t="s">
        <v>337</v>
      </c>
      <c r="D19" s="309">
        <v>1.1299999999999999</v>
      </c>
      <c r="E19" s="307"/>
    </row>
    <row r="20" spans="2:5">
      <c r="B20" s="305">
        <v>41472</v>
      </c>
      <c r="C20" s="17" t="s">
        <v>353</v>
      </c>
      <c r="D20" s="309">
        <v>1.1499999999999999</v>
      </c>
      <c r="E20" s="307"/>
    </row>
    <row r="21" spans="2:5">
      <c r="B21" s="305">
        <v>41481</v>
      </c>
      <c r="C21" s="39" t="s">
        <v>354</v>
      </c>
      <c r="D21" s="309">
        <v>1.1599999999999999</v>
      </c>
      <c r="E21" s="307"/>
    </row>
    <row r="22" spans="2:5">
      <c r="B22" s="305">
        <v>41484</v>
      </c>
      <c r="C22" s="39" t="s">
        <v>371</v>
      </c>
      <c r="D22" s="309">
        <v>1.17</v>
      </c>
      <c r="E22" s="307"/>
    </row>
    <row r="23" spans="2:5">
      <c r="B23" s="305">
        <v>41485</v>
      </c>
      <c r="C23" s="39" t="s">
        <v>415</v>
      </c>
      <c r="D23" s="309">
        <v>1.18</v>
      </c>
      <c r="E23" s="307"/>
    </row>
    <row r="24" spans="2:5">
      <c r="B24" s="305">
        <v>41485</v>
      </c>
      <c r="C24" s="39" t="s">
        <v>417</v>
      </c>
      <c r="D24" s="309">
        <v>1.18</v>
      </c>
      <c r="E24" s="307"/>
    </row>
    <row r="25" spans="2:5">
      <c r="B25" s="305">
        <v>41486</v>
      </c>
      <c r="C25" s="39" t="s">
        <v>418</v>
      </c>
      <c r="D25" s="309">
        <v>1.19</v>
      </c>
      <c r="E25" s="307"/>
    </row>
    <row r="26" spans="2:5">
      <c r="B26" s="305">
        <v>41487</v>
      </c>
      <c r="C26" s="39" t="s">
        <v>419</v>
      </c>
      <c r="D26" s="309">
        <v>1.19</v>
      </c>
      <c r="E26" s="307"/>
    </row>
    <row r="27" spans="2:5">
      <c r="B27" s="305">
        <v>41499</v>
      </c>
      <c r="C27" s="39" t="s">
        <v>456</v>
      </c>
      <c r="D27" s="308">
        <v>1.2</v>
      </c>
      <c r="E27" s="307"/>
    </row>
    <row r="28" spans="2:5">
      <c r="B28" s="305">
        <v>41500</v>
      </c>
      <c r="C28" s="39" t="s">
        <v>456</v>
      </c>
      <c r="D28" s="309">
        <v>1.21</v>
      </c>
      <c r="E28" s="307"/>
    </row>
    <row r="29" spans="2:5">
      <c r="B29" s="305">
        <v>41500</v>
      </c>
      <c r="C29" s="39" t="s">
        <v>456</v>
      </c>
      <c r="D29" s="308">
        <v>1.22</v>
      </c>
      <c r="E29" s="307"/>
    </row>
    <row r="30" spans="2:5" ht="30">
      <c r="B30" s="305">
        <v>41502</v>
      </c>
      <c r="C30" s="39" t="s">
        <v>490</v>
      </c>
      <c r="D30" s="308">
        <v>1.23</v>
      </c>
      <c r="E30" s="307"/>
    </row>
    <row r="31" spans="2:5" ht="135">
      <c r="B31" s="305">
        <v>41505</v>
      </c>
      <c r="C31" s="39" t="s">
        <v>509</v>
      </c>
      <c r="D31" s="308">
        <v>1.24</v>
      </c>
      <c r="E31" s="307"/>
    </row>
    <row r="32" spans="2:5">
      <c r="B32" s="305">
        <v>41506</v>
      </c>
      <c r="C32" s="39" t="s">
        <v>511</v>
      </c>
      <c r="D32" s="308">
        <v>1.25</v>
      </c>
      <c r="E32" s="307"/>
    </row>
    <row r="33" spans="2:5">
      <c r="B33" s="305">
        <v>41507</v>
      </c>
      <c r="C33" s="39" t="s">
        <v>512</v>
      </c>
      <c r="D33" s="308">
        <v>1.26</v>
      </c>
      <c r="E33" s="307"/>
    </row>
    <row r="34" spans="2:5">
      <c r="B34" s="305">
        <v>41509</v>
      </c>
      <c r="C34" s="39" t="s">
        <v>513</v>
      </c>
      <c r="D34" s="308">
        <v>1.27</v>
      </c>
      <c r="E34" s="307"/>
    </row>
    <row r="35" spans="2:5">
      <c r="B35" s="305">
        <v>41509</v>
      </c>
      <c r="C35" s="39" t="s">
        <v>535</v>
      </c>
      <c r="D35" s="308">
        <v>1.28</v>
      </c>
      <c r="E35" s="307"/>
    </row>
    <row r="36" spans="2:5">
      <c r="B36" s="305" t="s">
        <v>542</v>
      </c>
      <c r="C36" s="39" t="s">
        <v>542</v>
      </c>
      <c r="D36" s="308">
        <v>1.29</v>
      </c>
      <c r="E36" s="307"/>
    </row>
    <row r="37" spans="2:5">
      <c r="B37" s="305">
        <v>41534</v>
      </c>
      <c r="C37" s="39" t="s">
        <v>569</v>
      </c>
      <c r="D37" s="308">
        <v>1.3</v>
      </c>
      <c r="E37" s="307"/>
    </row>
    <row r="38" spans="2:5" ht="30">
      <c r="B38" s="305">
        <v>41542</v>
      </c>
      <c r="C38" s="39" t="s">
        <v>570</v>
      </c>
      <c r="D38" s="308">
        <v>1.31</v>
      </c>
      <c r="E38" s="307"/>
    </row>
    <row r="39" spans="2:5">
      <c r="B39" s="370">
        <v>41562</v>
      </c>
      <c r="C39" s="371" t="s">
        <v>571</v>
      </c>
      <c r="D39" s="308">
        <v>1.32</v>
      </c>
      <c r="E39" s="307"/>
    </row>
    <row r="40" spans="2:5">
      <c r="B40" s="370">
        <v>41578</v>
      </c>
      <c r="C40" s="39" t="s">
        <v>599</v>
      </c>
      <c r="D40" s="308">
        <v>1.33</v>
      </c>
      <c r="E40" s="307"/>
    </row>
    <row r="41" spans="2:5" ht="30">
      <c r="B41" s="370">
        <v>41578</v>
      </c>
      <c r="C41" s="39" t="s">
        <v>600</v>
      </c>
      <c r="D41" s="308">
        <v>1.34</v>
      </c>
      <c r="E41" s="307"/>
    </row>
    <row r="42" spans="2:5">
      <c r="B42" s="370">
        <v>41782</v>
      </c>
      <c r="C42" s="39" t="s">
        <v>605</v>
      </c>
      <c r="D42" s="308">
        <v>1.35</v>
      </c>
      <c r="E42" s="307"/>
    </row>
    <row r="43" spans="2:5">
      <c r="B43" s="370">
        <v>41782</v>
      </c>
      <c r="C43" s="39" t="s">
        <v>606</v>
      </c>
      <c r="D43" s="308">
        <v>1.36</v>
      </c>
      <c r="E43" s="307"/>
    </row>
    <row r="44" spans="2:5">
      <c r="B44" s="370"/>
      <c r="C44" s="39"/>
      <c r="D44" s="308"/>
      <c r="E44" s="307"/>
    </row>
    <row r="45" spans="2:5">
      <c r="B45" s="305"/>
      <c r="C45" s="39"/>
      <c r="D45" s="308"/>
      <c r="E45" s="307"/>
    </row>
    <row r="46" spans="2:5">
      <c r="B46" s="306"/>
      <c r="C46" s="45"/>
      <c r="D46" s="310"/>
      <c r="E46" s="307"/>
    </row>
    <row r="47" spans="2:5">
      <c r="B47" s="307"/>
      <c r="D47" s="307"/>
      <c r="E47" s="307"/>
    </row>
    <row r="48" spans="2:5">
      <c r="B48" s="307"/>
      <c r="D48" s="307"/>
      <c r="E48" s="307"/>
    </row>
    <row r="49" spans="2:2">
      <c r="B49" s="307"/>
    </row>
    <row r="50" spans="2:2">
      <c r="B50" s="307"/>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2"/>
  </sheetPr>
  <dimension ref="B2:C36"/>
  <sheetViews>
    <sheetView workbookViewId="0">
      <selection activeCell="C46" sqref="C46"/>
    </sheetView>
  </sheetViews>
  <sheetFormatPr baseColWidth="10" defaultRowHeight="15" x14ac:dyDescent="0"/>
  <cols>
    <col min="1" max="1" width="10.83203125" style="1"/>
    <col min="2" max="2" width="28.33203125" style="1" bestFit="1" customWidth="1"/>
    <col min="3" max="3" width="136.1640625" style="1" bestFit="1" customWidth="1"/>
    <col min="4" max="16384" width="10.83203125" style="1"/>
  </cols>
  <sheetData>
    <row r="2" spans="2:3" ht="20">
      <c r="B2" s="2" t="s">
        <v>23</v>
      </c>
    </row>
    <row r="4" spans="2:3">
      <c r="B4" s="111" t="s">
        <v>24</v>
      </c>
      <c r="C4" s="14" t="s">
        <v>25</v>
      </c>
    </row>
    <row r="5" spans="2:3">
      <c r="B5" s="54"/>
      <c r="C5" s="16"/>
    </row>
    <row r="6" spans="2:3" ht="28" customHeight="1">
      <c r="B6" s="125" t="s">
        <v>252</v>
      </c>
      <c r="C6" s="127" t="s">
        <v>254</v>
      </c>
    </row>
    <row r="7" spans="2:3" ht="28" customHeight="1">
      <c r="B7" s="125" t="s">
        <v>0</v>
      </c>
      <c r="C7" s="18" t="s">
        <v>255</v>
      </c>
    </row>
    <row r="8" spans="2:3" ht="28" customHeight="1">
      <c r="B8" s="125" t="s">
        <v>23</v>
      </c>
      <c r="C8" s="61" t="s">
        <v>26</v>
      </c>
    </row>
    <row r="9" spans="2:3" ht="28" customHeight="1">
      <c r="B9" s="125" t="s">
        <v>27</v>
      </c>
      <c r="C9" s="61" t="s">
        <v>90</v>
      </c>
    </row>
    <row r="10" spans="2:3" ht="28" customHeight="1">
      <c r="B10" s="125" t="s">
        <v>253</v>
      </c>
      <c r="C10" s="61" t="s">
        <v>250</v>
      </c>
    </row>
    <row r="11" spans="2:3" ht="28" customHeight="1">
      <c r="B11" s="125" t="s">
        <v>28</v>
      </c>
      <c r="C11" s="61" t="s">
        <v>29</v>
      </c>
    </row>
    <row r="12" spans="2:3" ht="28" customHeight="1">
      <c r="B12" s="173" t="s">
        <v>30</v>
      </c>
      <c r="C12" s="61" t="s">
        <v>31</v>
      </c>
    </row>
    <row r="13" spans="2:3" ht="28" customHeight="1">
      <c r="B13" s="177" t="s">
        <v>457</v>
      </c>
      <c r="C13" s="61" t="s">
        <v>321</v>
      </c>
    </row>
    <row r="14" spans="2:3" ht="28" customHeight="1">
      <c r="B14" s="177" t="s">
        <v>238</v>
      </c>
      <c r="C14" s="61" t="s">
        <v>297</v>
      </c>
    </row>
    <row r="15" spans="2:3" ht="28" customHeight="1">
      <c r="B15" s="300" t="s">
        <v>497</v>
      </c>
      <c r="C15" s="61" t="s">
        <v>347</v>
      </c>
    </row>
    <row r="16" spans="2:3" ht="28" customHeight="1">
      <c r="B16" s="300" t="s">
        <v>498</v>
      </c>
      <c r="C16" s="61" t="s">
        <v>345</v>
      </c>
    </row>
    <row r="17" spans="2:3" ht="28" customHeight="1">
      <c r="B17" s="126" t="s">
        <v>230</v>
      </c>
      <c r="C17" s="61" t="s">
        <v>348</v>
      </c>
    </row>
    <row r="18" spans="2:3" ht="28" customHeight="1">
      <c r="B18" s="126" t="s">
        <v>500</v>
      </c>
      <c r="C18" s="61" t="s">
        <v>319</v>
      </c>
    </row>
    <row r="19" spans="2:3" ht="28" customHeight="1">
      <c r="B19" s="174" t="s">
        <v>317</v>
      </c>
      <c r="C19" s="61" t="s">
        <v>423</v>
      </c>
    </row>
    <row r="20" spans="2:3" ht="28" customHeight="1">
      <c r="B20" s="174" t="s">
        <v>283</v>
      </c>
      <c r="C20" s="61" t="s">
        <v>284</v>
      </c>
    </row>
    <row r="21" spans="2:3" ht="28" customHeight="1">
      <c r="B21" s="176" t="s">
        <v>318</v>
      </c>
      <c r="C21" s="61" t="s">
        <v>320</v>
      </c>
    </row>
    <row r="22" spans="2:3" ht="28" customHeight="1">
      <c r="B22" s="178" t="s">
        <v>437</v>
      </c>
      <c r="C22" s="256" t="s">
        <v>436</v>
      </c>
    </row>
    <row r="23" spans="2:3" ht="28" customHeight="1">
      <c r="B23" s="178" t="s">
        <v>438</v>
      </c>
      <c r="C23" s="256" t="s">
        <v>436</v>
      </c>
    </row>
    <row r="24" spans="2:3" ht="28" customHeight="1">
      <c r="B24" s="178" t="s">
        <v>439</v>
      </c>
      <c r="C24" s="256" t="s">
        <v>436</v>
      </c>
    </row>
    <row r="25" spans="2:3" ht="28" customHeight="1">
      <c r="B25" s="178" t="s">
        <v>440</v>
      </c>
      <c r="C25" s="256" t="s">
        <v>436</v>
      </c>
    </row>
    <row r="26" spans="2:3" ht="28" customHeight="1">
      <c r="B26" s="178" t="s">
        <v>441</v>
      </c>
      <c r="C26" s="256" t="s">
        <v>436</v>
      </c>
    </row>
    <row r="27" spans="2:3" ht="28" customHeight="1">
      <c r="B27" s="178" t="s">
        <v>442</v>
      </c>
      <c r="C27" s="256" t="s">
        <v>436</v>
      </c>
    </row>
    <row r="28" spans="2:3" ht="28" customHeight="1">
      <c r="B28" s="178" t="s">
        <v>443</v>
      </c>
      <c r="C28" s="256" t="s">
        <v>436</v>
      </c>
    </row>
    <row r="29" spans="2:3" ht="28" customHeight="1">
      <c r="B29" s="178" t="s">
        <v>444</v>
      </c>
      <c r="C29" s="256" t="s">
        <v>436</v>
      </c>
    </row>
    <row r="30" spans="2:3" ht="28" customHeight="1">
      <c r="B30" s="178" t="s">
        <v>445</v>
      </c>
      <c r="C30" s="256" t="s">
        <v>501</v>
      </c>
    </row>
    <row r="31" spans="2:3" ht="28" customHeight="1">
      <c r="B31" s="178" t="s">
        <v>446</v>
      </c>
      <c r="C31" s="256" t="s">
        <v>502</v>
      </c>
    </row>
    <row r="32" spans="2:3" ht="28" customHeight="1">
      <c r="B32" s="178" t="s">
        <v>447</v>
      </c>
      <c r="C32" s="256" t="s">
        <v>502</v>
      </c>
    </row>
    <row r="33" spans="2:3" ht="28" customHeight="1">
      <c r="B33" s="178" t="s">
        <v>448</v>
      </c>
      <c r="C33" s="256" t="s">
        <v>502</v>
      </c>
    </row>
    <row r="34" spans="2:3" ht="28" customHeight="1">
      <c r="B34" s="178" t="s">
        <v>449</v>
      </c>
      <c r="C34" s="256" t="s">
        <v>502</v>
      </c>
    </row>
    <row r="35" spans="2:3" ht="28" customHeight="1"/>
    <row r="36" spans="2:3" ht="28" customHeight="1"/>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2"/>
  </sheetPr>
  <dimension ref="B2:B20"/>
  <sheetViews>
    <sheetView workbookViewId="0"/>
  </sheetViews>
  <sheetFormatPr baseColWidth="10" defaultRowHeight="15" x14ac:dyDescent="0"/>
  <cols>
    <col min="1" max="1" width="10.83203125" style="1"/>
    <col min="2" max="2" width="143.83203125" style="1" bestFit="1" customWidth="1"/>
    <col min="3" max="16384" width="10.83203125" style="1"/>
  </cols>
  <sheetData>
    <row r="2" spans="2:2" ht="20">
      <c r="B2" s="2" t="s">
        <v>27</v>
      </c>
    </row>
    <row r="4" spans="2:2">
      <c r="B4" s="111" t="s">
        <v>35</v>
      </c>
    </row>
    <row r="5" spans="2:2">
      <c r="B5" s="64"/>
    </row>
    <row r="6" spans="2:2" ht="75">
      <c r="B6" s="113" t="s">
        <v>604</v>
      </c>
    </row>
    <row r="7" spans="2:2">
      <c r="B7" s="128"/>
    </row>
    <row r="8" spans="2:2">
      <c r="B8" s="129" t="s">
        <v>256</v>
      </c>
    </row>
    <row r="9" spans="2:2">
      <c r="B9" s="130"/>
    </row>
    <row r="10" spans="2:2">
      <c r="B10" s="131" t="s">
        <v>450</v>
      </c>
    </row>
    <row r="11" spans="2:2">
      <c r="B11" s="55" t="s">
        <v>451</v>
      </c>
    </row>
    <row r="12" spans="2:2">
      <c r="B12" s="55" t="s">
        <v>452</v>
      </c>
    </row>
    <row r="13" spans="2:2">
      <c r="B13" s="55" t="s">
        <v>453</v>
      </c>
    </row>
    <row r="14" spans="2:2">
      <c r="B14" s="131" t="s">
        <v>454</v>
      </c>
    </row>
    <row r="15" spans="2:2">
      <c r="B15" s="131" t="s">
        <v>455</v>
      </c>
    </row>
    <row r="16" spans="2:2">
      <c r="B16" s="57"/>
    </row>
    <row r="18" spans="2:2">
      <c r="B18" s="111" t="s">
        <v>34</v>
      </c>
    </row>
    <row r="19" spans="2:2">
      <c r="B19" s="64"/>
    </row>
    <row r="20" spans="2:2" ht="105">
      <c r="B20" s="112" t="s">
        <v>257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tabColor theme="2"/>
  </sheetPr>
  <dimension ref="B2:CB8"/>
  <sheetViews>
    <sheetView workbookViewId="0">
      <selection activeCell="AP54" sqref="AP54"/>
    </sheetView>
  </sheetViews>
  <sheetFormatPr baseColWidth="10" defaultColWidth="2.83203125" defaultRowHeight="15" x14ac:dyDescent="0"/>
  <cols>
    <col min="1" max="16384" width="2.83203125" style="1"/>
  </cols>
  <sheetData>
    <row r="2" spans="2:80" ht="30">
      <c r="B2" s="117" t="s">
        <v>251</v>
      </c>
      <c r="C2" s="114"/>
      <c r="D2" s="114"/>
      <c r="E2" s="114"/>
      <c r="F2" s="114"/>
      <c r="G2" s="114"/>
      <c r="H2" s="114"/>
      <c r="I2" s="114"/>
      <c r="J2" s="114"/>
      <c r="K2" s="114"/>
      <c r="L2" s="114"/>
      <c r="M2" s="114"/>
      <c r="N2" s="114"/>
      <c r="O2" s="114"/>
      <c r="P2" s="114"/>
      <c r="Q2" s="114"/>
      <c r="R2" s="114"/>
      <c r="S2" s="114"/>
      <c r="T2" s="114"/>
      <c r="U2" s="114"/>
      <c r="V2" s="114"/>
      <c r="W2" s="114"/>
      <c r="X2" s="114"/>
      <c r="Y2" s="114"/>
      <c r="Z2" s="114"/>
      <c r="AA2" s="114"/>
      <c r="AB2" s="114"/>
      <c r="AC2" s="114"/>
      <c r="AD2" s="114"/>
      <c r="AE2" s="114"/>
      <c r="AF2" s="114"/>
      <c r="AG2" s="114"/>
      <c r="AH2" s="114"/>
      <c r="AI2" s="114"/>
      <c r="AJ2" s="114"/>
      <c r="AK2" s="114"/>
      <c r="AL2" s="114"/>
      <c r="AM2" s="114"/>
      <c r="AN2" s="114"/>
      <c r="AO2" s="114"/>
      <c r="AP2" s="114"/>
      <c r="AQ2" s="114"/>
      <c r="AR2" s="114"/>
      <c r="AS2" s="114"/>
      <c r="AT2" s="114"/>
      <c r="AU2" s="114"/>
      <c r="AV2" s="114"/>
      <c r="AW2" s="114"/>
      <c r="AX2" s="114"/>
      <c r="AY2" s="114"/>
      <c r="AZ2" s="114"/>
      <c r="BA2" s="114"/>
      <c r="BB2" s="114"/>
      <c r="BC2" s="114"/>
      <c r="BD2" s="114"/>
      <c r="BE2" s="114"/>
      <c r="BF2" s="114"/>
      <c r="BG2" s="114"/>
      <c r="BH2" s="114"/>
      <c r="BI2" s="114"/>
      <c r="BJ2" s="114"/>
      <c r="BK2" s="114"/>
      <c r="BL2" s="114"/>
      <c r="BM2" s="114"/>
      <c r="BN2" s="114"/>
      <c r="BO2" s="114"/>
      <c r="BP2" s="114"/>
      <c r="BQ2" s="114"/>
      <c r="BR2" s="114"/>
      <c r="BS2" s="114"/>
      <c r="BT2" s="114"/>
      <c r="BU2" s="114"/>
      <c r="BV2" s="114"/>
    </row>
    <row r="3" spans="2:80" ht="18" customHeight="1">
      <c r="B3" s="118" t="s">
        <v>95</v>
      </c>
      <c r="C3" s="119"/>
      <c r="D3" s="119"/>
      <c r="E3" s="119"/>
      <c r="F3" s="119"/>
      <c r="G3" s="119"/>
      <c r="H3" s="119"/>
      <c r="I3" s="119"/>
      <c r="J3" s="119"/>
      <c r="K3" s="119"/>
      <c r="L3" s="119"/>
      <c r="M3" s="119"/>
      <c r="N3" s="119"/>
      <c r="O3" s="119"/>
      <c r="P3" s="120"/>
      <c r="Q3" s="114"/>
      <c r="R3" s="114"/>
      <c r="S3" s="114"/>
      <c r="T3" s="114"/>
      <c r="U3" s="114"/>
      <c r="V3" s="114"/>
      <c r="W3" s="114"/>
      <c r="X3" s="114"/>
      <c r="Y3" s="114"/>
      <c r="Z3" s="114"/>
      <c r="AA3" s="114"/>
      <c r="AB3" s="114"/>
      <c r="AC3" s="114"/>
      <c r="AD3" s="114"/>
      <c r="AE3" s="114"/>
      <c r="AF3" s="114"/>
      <c r="AG3" s="114"/>
      <c r="AH3" s="114"/>
      <c r="AI3" s="114"/>
      <c r="AJ3" s="114"/>
      <c r="AK3" s="114"/>
      <c r="AL3" s="114"/>
      <c r="AM3" s="114"/>
      <c r="AN3" s="114"/>
      <c r="AO3" s="114"/>
      <c r="AP3" s="114"/>
      <c r="AQ3" s="114"/>
      <c r="AR3" s="114"/>
      <c r="AS3" s="114"/>
      <c r="AT3" s="114"/>
      <c r="AU3" s="114"/>
      <c r="AV3" s="114"/>
      <c r="AW3" s="114"/>
      <c r="AX3" s="114"/>
      <c r="AY3" s="114"/>
      <c r="AZ3" s="114"/>
      <c r="BA3" s="114"/>
      <c r="BB3" s="114"/>
      <c r="BC3" s="114"/>
      <c r="BD3" s="114"/>
      <c r="BE3" s="114"/>
      <c r="BF3" s="114"/>
      <c r="BG3" s="114"/>
      <c r="BH3" s="114"/>
      <c r="BI3" s="114"/>
      <c r="BJ3" s="114"/>
      <c r="BK3" s="114"/>
      <c r="BL3" s="114"/>
      <c r="BM3" s="114"/>
      <c r="BN3" s="114"/>
      <c r="BO3" s="114"/>
      <c r="BP3" s="114"/>
      <c r="BQ3" s="114"/>
      <c r="BR3" s="114"/>
      <c r="BS3" s="114"/>
      <c r="BT3" s="114"/>
      <c r="BU3" s="114"/>
      <c r="BV3" s="114"/>
    </row>
    <row r="4" spans="2:80" ht="15" customHeight="1">
      <c r="B4" s="121" t="s">
        <v>250</v>
      </c>
      <c r="C4" s="122"/>
      <c r="D4" s="122"/>
      <c r="E4" s="122"/>
      <c r="F4" s="122"/>
      <c r="G4" s="122"/>
      <c r="H4" s="122"/>
      <c r="I4" s="122"/>
      <c r="J4" s="122"/>
      <c r="K4" s="122"/>
      <c r="L4" s="122"/>
      <c r="M4" s="122"/>
      <c r="N4" s="122"/>
      <c r="O4" s="122"/>
      <c r="P4" s="123"/>
      <c r="Q4" s="115"/>
      <c r="R4" s="115"/>
      <c r="S4" s="115"/>
      <c r="T4" s="115"/>
      <c r="U4" s="115"/>
      <c r="V4" s="115"/>
      <c r="W4" s="115"/>
      <c r="X4" s="115"/>
      <c r="Y4" s="115"/>
      <c r="Z4" s="115"/>
      <c r="AA4" s="115"/>
      <c r="AB4" s="115"/>
      <c r="AC4" s="115"/>
      <c r="AD4" s="115"/>
      <c r="AE4" s="115"/>
      <c r="AF4" s="115"/>
      <c r="AG4" s="115"/>
      <c r="AH4" s="115"/>
      <c r="AI4" s="115"/>
      <c r="AJ4" s="115"/>
      <c r="AK4" s="115"/>
      <c r="AL4" s="115"/>
      <c r="AM4" s="115"/>
      <c r="AN4" s="115"/>
      <c r="AO4" s="115"/>
      <c r="AP4" s="115"/>
      <c r="AQ4" s="115"/>
      <c r="AR4" s="115"/>
      <c r="AS4" s="115"/>
      <c r="AT4" s="115"/>
      <c r="AU4" s="115"/>
      <c r="AV4" s="115"/>
      <c r="AW4" s="115"/>
      <c r="AX4" s="115"/>
      <c r="AY4" s="115"/>
      <c r="AZ4" s="115"/>
      <c r="BA4" s="115"/>
      <c r="BB4" s="115"/>
      <c r="BC4" s="115"/>
      <c r="BD4" s="115"/>
      <c r="BE4" s="115"/>
      <c r="BF4" s="115"/>
      <c r="BG4" s="115"/>
      <c r="BH4" s="115"/>
      <c r="BI4" s="115"/>
      <c r="BJ4" s="115"/>
      <c r="BK4" s="115"/>
      <c r="BL4" s="115"/>
      <c r="BM4" s="115"/>
      <c r="BN4" s="115"/>
      <c r="BO4" s="115"/>
      <c r="BP4" s="115"/>
      <c r="BQ4" s="115"/>
      <c r="BR4" s="115"/>
      <c r="BS4" s="115"/>
      <c r="BT4" s="115"/>
      <c r="BU4" s="115"/>
      <c r="BV4" s="115"/>
    </row>
    <row r="5" spans="2:80" ht="15" customHeight="1">
      <c r="Q5" s="116"/>
      <c r="R5" s="116"/>
      <c r="S5" s="116"/>
      <c r="T5" s="116"/>
      <c r="U5" s="116"/>
      <c r="V5" s="116"/>
      <c r="W5" s="116"/>
      <c r="X5" s="116"/>
      <c r="Y5" s="116"/>
      <c r="Z5" s="116"/>
      <c r="AA5" s="116"/>
      <c r="AB5" s="116"/>
      <c r="AC5" s="116"/>
      <c r="AD5" s="116"/>
      <c r="AE5" s="116"/>
      <c r="AF5" s="116"/>
      <c r="AG5" s="116"/>
      <c r="AH5" s="116"/>
      <c r="AI5" s="116"/>
      <c r="AJ5" s="116"/>
      <c r="AK5" s="116"/>
      <c r="AL5" s="116"/>
      <c r="AM5" s="116"/>
      <c r="AN5" s="116"/>
      <c r="AO5" s="116"/>
      <c r="AP5" s="116"/>
      <c r="AQ5" s="116"/>
      <c r="AR5" s="116"/>
      <c r="AS5" s="116"/>
      <c r="AT5" s="116"/>
      <c r="AU5" s="116"/>
      <c r="AV5" s="116"/>
      <c r="AW5" s="116"/>
      <c r="AX5" s="116"/>
      <c r="AY5" s="116"/>
      <c r="AZ5" s="116"/>
      <c r="BA5" s="116"/>
      <c r="BB5" s="116"/>
      <c r="BC5" s="116"/>
      <c r="BD5" s="116"/>
      <c r="BE5" s="116"/>
      <c r="BF5" s="116"/>
      <c r="BG5" s="116"/>
      <c r="BH5" s="116"/>
      <c r="BI5" s="116"/>
      <c r="BJ5" s="116"/>
      <c r="BK5" s="116"/>
      <c r="BL5" s="116"/>
      <c r="BM5" s="116"/>
      <c r="BN5" s="116"/>
      <c r="BO5" s="116"/>
      <c r="BP5" s="116"/>
      <c r="BQ5" s="116"/>
      <c r="BR5" s="116"/>
      <c r="BS5" s="116"/>
      <c r="BT5" s="116"/>
      <c r="BU5" s="116"/>
      <c r="BV5" s="116"/>
    </row>
    <row r="6" spans="2:80" ht="23">
      <c r="B6" s="116"/>
      <c r="C6" s="132" t="s">
        <v>247</v>
      </c>
      <c r="D6" s="116"/>
      <c r="E6" s="116"/>
      <c r="F6" s="116"/>
      <c r="G6" s="116"/>
      <c r="H6" s="116"/>
      <c r="I6" s="116"/>
      <c r="J6" s="116"/>
      <c r="K6" s="116"/>
      <c r="L6" s="116"/>
      <c r="M6" s="116"/>
      <c r="N6" s="116"/>
      <c r="O6" s="116"/>
      <c r="P6" s="116"/>
      <c r="Q6" s="116"/>
      <c r="R6" s="116"/>
      <c r="S6" s="116"/>
      <c r="T6" s="116"/>
      <c r="U6" s="116"/>
      <c r="V6" s="116"/>
      <c r="W6" s="116"/>
      <c r="X6" s="116"/>
      <c r="Y6" s="116"/>
      <c r="Z6" s="116"/>
      <c r="AA6" s="116"/>
      <c r="AB6" s="116"/>
      <c r="AC6" s="116"/>
      <c r="AD6" s="116"/>
      <c r="AE6" s="116"/>
      <c r="AF6" s="116"/>
      <c r="AG6" s="116"/>
      <c r="AH6" s="116"/>
      <c r="AI6" s="116"/>
      <c r="AJ6" s="116"/>
      <c r="AK6" s="116"/>
      <c r="AM6" s="116"/>
      <c r="AN6" s="132" t="s">
        <v>248</v>
      </c>
      <c r="AO6" s="116"/>
      <c r="AP6" s="116"/>
      <c r="AQ6" s="116"/>
      <c r="AR6" s="116"/>
      <c r="AS6" s="116"/>
      <c r="AT6" s="116"/>
      <c r="AU6" s="116"/>
      <c r="AV6" s="116"/>
      <c r="AW6" s="116"/>
      <c r="AX6" s="116"/>
      <c r="AY6" s="116"/>
      <c r="AZ6" s="116"/>
      <c r="BA6" s="116"/>
      <c r="BB6" s="116"/>
      <c r="BC6" s="116"/>
      <c r="BD6" s="116"/>
      <c r="BE6" s="116"/>
      <c r="BF6" s="116"/>
      <c r="BG6" s="116"/>
      <c r="BH6" s="116"/>
      <c r="BI6" s="116"/>
      <c r="BJ6" s="116"/>
      <c r="BK6" s="116"/>
      <c r="BL6" s="116"/>
      <c r="BM6" s="116"/>
      <c r="BN6" s="116"/>
      <c r="BO6" s="116"/>
      <c r="BP6" s="116"/>
      <c r="BR6" s="116"/>
      <c r="BS6" s="116"/>
      <c r="BT6" s="116"/>
      <c r="BU6" s="132" t="s">
        <v>249</v>
      </c>
    </row>
    <row r="8" spans="2:80">
      <c r="CB8" s="107"/>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tabColor theme="2"/>
  </sheetPr>
  <dimension ref="B2:D133"/>
  <sheetViews>
    <sheetView topLeftCell="A59" workbookViewId="0">
      <selection activeCell="B75" sqref="B75"/>
    </sheetView>
  </sheetViews>
  <sheetFormatPr baseColWidth="10" defaultRowHeight="15" x14ac:dyDescent="0"/>
  <cols>
    <col min="1" max="1" width="10.83203125" style="1"/>
    <col min="2" max="2" width="25.5" style="1" customWidth="1"/>
    <col min="3" max="3" width="77.83203125" style="1" customWidth="1"/>
    <col min="4" max="4" width="78.33203125" style="1" customWidth="1"/>
    <col min="5" max="16384" width="10.83203125" style="1"/>
  </cols>
  <sheetData>
    <row r="2" spans="2:4" ht="20">
      <c r="B2" s="2" t="s">
        <v>28</v>
      </c>
      <c r="C2" s="2"/>
    </row>
    <row r="4" spans="2:4">
      <c r="B4" s="3" t="s">
        <v>95</v>
      </c>
      <c r="C4" s="5"/>
    </row>
    <row r="5" spans="2:4" ht="90" customHeight="1">
      <c r="B5" s="400" t="s">
        <v>340</v>
      </c>
      <c r="C5" s="401"/>
    </row>
    <row r="6" spans="2:4" ht="16" thickBot="1"/>
    <row r="7" spans="2:4">
      <c r="B7" s="27" t="s">
        <v>36</v>
      </c>
      <c r="C7" s="28"/>
      <c r="D7" s="29"/>
    </row>
    <row r="8" spans="2:4">
      <c r="B8" s="30"/>
      <c r="C8" s="8"/>
      <c r="D8" s="31"/>
    </row>
    <row r="9" spans="2:4">
      <c r="B9" s="32" t="s">
        <v>37</v>
      </c>
      <c r="C9" s="33" t="s">
        <v>38</v>
      </c>
      <c r="D9" s="34" t="s">
        <v>39</v>
      </c>
    </row>
    <row r="10" spans="2:4">
      <c r="B10" s="96" t="s">
        <v>40</v>
      </c>
      <c r="C10" s="15"/>
      <c r="D10" s="36"/>
    </row>
    <row r="11" spans="2:4" ht="90">
      <c r="B11" s="30"/>
      <c r="C11" s="39" t="s">
        <v>325</v>
      </c>
      <c r="D11" s="41"/>
    </row>
    <row r="12" spans="2:4" ht="45">
      <c r="B12" s="30"/>
      <c r="C12" s="39" t="s">
        <v>322</v>
      </c>
      <c r="D12" s="41"/>
    </row>
    <row r="13" spans="2:4" ht="30">
      <c r="B13" s="38"/>
      <c r="C13" s="97" t="s">
        <v>326</v>
      </c>
      <c r="D13" s="40"/>
    </row>
    <row r="14" spans="2:4">
      <c r="B14" s="38"/>
      <c r="C14" s="97" t="s">
        <v>237</v>
      </c>
      <c r="D14" s="40"/>
    </row>
    <row r="15" spans="2:4" ht="47" customHeight="1">
      <c r="B15" s="38"/>
      <c r="C15" s="97" t="s">
        <v>416</v>
      </c>
      <c r="D15" s="40"/>
    </row>
    <row r="16" spans="2:4" ht="47" customHeight="1">
      <c r="B16" s="38"/>
      <c r="C16" s="97" t="s">
        <v>506</v>
      </c>
      <c r="D16" s="40"/>
    </row>
    <row r="17" spans="2:4" ht="14" customHeight="1">
      <c r="B17" s="38"/>
      <c r="C17" t="s">
        <v>406</v>
      </c>
      <c r="D17" s="40" t="s">
        <v>510</v>
      </c>
    </row>
    <row r="18" spans="2:4" ht="14" customHeight="1">
      <c r="B18" s="38"/>
      <c r="C18" t="s">
        <v>404</v>
      </c>
      <c r="D18" s="40" t="s">
        <v>510</v>
      </c>
    </row>
    <row r="19" spans="2:4" ht="16" thickBot="1">
      <c r="B19" s="47"/>
      <c r="C19" s="140"/>
      <c r="D19" s="141"/>
    </row>
    <row r="20" spans="2:4" s="8" customFormat="1" ht="16" thickBot="1">
      <c r="C20" s="98"/>
      <c r="D20" s="99"/>
    </row>
    <row r="21" spans="2:4">
      <c r="B21" s="27" t="s">
        <v>239</v>
      </c>
      <c r="C21" s="28"/>
      <c r="D21" s="29"/>
    </row>
    <row r="22" spans="2:4">
      <c r="B22" s="30"/>
      <c r="C22" s="8"/>
      <c r="D22" s="31"/>
    </row>
    <row r="23" spans="2:4">
      <c r="B23" s="32" t="s">
        <v>37</v>
      </c>
      <c r="C23" s="33" t="s">
        <v>38</v>
      </c>
      <c r="D23" s="34" t="s">
        <v>259</v>
      </c>
    </row>
    <row r="24" spans="2:4">
      <c r="B24" s="37" t="s">
        <v>102</v>
      </c>
      <c r="C24" s="15"/>
      <c r="D24" s="36"/>
    </row>
    <row r="25" spans="2:4">
      <c r="B25" s="38"/>
      <c r="C25" s="44" t="s">
        <v>260</v>
      </c>
      <c r="D25" s="40" t="s">
        <v>263</v>
      </c>
    </row>
    <row r="26" spans="2:4">
      <c r="B26" s="38"/>
      <c r="C26" s="44" t="s">
        <v>261</v>
      </c>
      <c r="D26" s="40" t="s">
        <v>263</v>
      </c>
    </row>
    <row r="27" spans="2:4">
      <c r="B27" s="38"/>
      <c r="C27" s="44" t="s">
        <v>262</v>
      </c>
      <c r="D27" s="40" t="s">
        <v>263</v>
      </c>
    </row>
    <row r="28" spans="2:4">
      <c r="B28" s="38"/>
      <c r="C28" s="139"/>
      <c r="D28" s="133"/>
    </row>
    <row r="29" spans="2:4">
      <c r="B29" s="134" t="s">
        <v>92</v>
      </c>
      <c r="C29" s="138"/>
      <c r="D29" s="135"/>
    </row>
    <row r="30" spans="2:4">
      <c r="B30" s="30"/>
      <c r="C30" s="17" t="s">
        <v>111</v>
      </c>
      <c r="D30" s="42" t="s">
        <v>264</v>
      </c>
    </row>
    <row r="31" spans="2:4">
      <c r="B31" s="37"/>
      <c r="C31" s="17" t="s">
        <v>107</v>
      </c>
      <c r="D31" s="42" t="s">
        <v>264</v>
      </c>
    </row>
    <row r="32" spans="2:4">
      <c r="B32" s="30"/>
      <c r="C32" s="17" t="s">
        <v>109</v>
      </c>
      <c r="D32" s="42" t="s">
        <v>264</v>
      </c>
    </row>
    <row r="33" spans="2:4">
      <c r="B33" s="30"/>
      <c r="C33" s="17" t="s">
        <v>112</v>
      </c>
      <c r="D33" s="42" t="s">
        <v>264</v>
      </c>
    </row>
    <row r="34" spans="2:4">
      <c r="B34" s="30"/>
      <c r="C34" s="17" t="s">
        <v>110</v>
      </c>
      <c r="D34" s="42" t="s">
        <v>264</v>
      </c>
    </row>
    <row r="35" spans="2:4">
      <c r="B35" s="30"/>
      <c r="C35" s="17" t="s">
        <v>108</v>
      </c>
      <c r="D35" s="42" t="s">
        <v>264</v>
      </c>
    </row>
    <row r="36" spans="2:4">
      <c r="B36" s="30"/>
      <c r="C36" s="8"/>
      <c r="D36" s="31"/>
    </row>
    <row r="37" spans="2:4">
      <c r="B37" s="49" t="s">
        <v>105</v>
      </c>
      <c r="C37" s="4"/>
      <c r="D37" s="136"/>
    </row>
    <row r="38" spans="2:4">
      <c r="B38" s="30"/>
      <c r="C38" s="137" t="s">
        <v>113</v>
      </c>
      <c r="D38" s="42" t="s">
        <v>264</v>
      </c>
    </row>
    <row r="39" spans="2:4">
      <c r="B39" s="30"/>
      <c r="C39" s="17" t="s">
        <v>114</v>
      </c>
      <c r="D39" s="42" t="s">
        <v>264</v>
      </c>
    </row>
    <row r="40" spans="2:4">
      <c r="B40" s="30"/>
      <c r="C40" s="137" t="s">
        <v>115</v>
      </c>
      <c r="D40" s="42" t="s">
        <v>264</v>
      </c>
    </row>
    <row r="41" spans="2:4">
      <c r="B41" s="30"/>
      <c r="C41" s="8"/>
      <c r="D41" s="31"/>
    </row>
    <row r="42" spans="2:4">
      <c r="B42" s="49" t="s">
        <v>91</v>
      </c>
      <c r="C42" s="4"/>
      <c r="D42" s="136"/>
    </row>
    <row r="43" spans="2:4">
      <c r="B43" s="30"/>
      <c r="C43" s="137" t="s">
        <v>233</v>
      </c>
      <c r="D43" s="42" t="s">
        <v>264</v>
      </c>
    </row>
    <row r="44" spans="2:4">
      <c r="B44" s="30"/>
      <c r="C44" s="17" t="s">
        <v>234</v>
      </c>
      <c r="D44" s="42" t="s">
        <v>264</v>
      </c>
    </row>
    <row r="45" spans="2:4">
      <c r="B45" s="30"/>
      <c r="C45" s="17" t="s">
        <v>334</v>
      </c>
      <c r="D45" s="42" t="s">
        <v>264</v>
      </c>
    </row>
    <row r="46" spans="2:4">
      <c r="B46" s="30"/>
      <c r="C46" s="17" t="s">
        <v>235</v>
      </c>
      <c r="D46" s="42" t="s">
        <v>264</v>
      </c>
    </row>
    <row r="47" spans="2:4">
      <c r="B47" s="30"/>
      <c r="C47" s="17" t="s">
        <v>236</v>
      </c>
      <c r="D47" s="42" t="s">
        <v>264</v>
      </c>
    </row>
    <row r="48" spans="2:4">
      <c r="B48" s="30"/>
      <c r="C48" s="8"/>
      <c r="D48" s="31"/>
    </row>
    <row r="49" spans="2:4">
      <c r="B49" s="49" t="s">
        <v>93</v>
      </c>
      <c r="C49" s="4"/>
      <c r="D49" s="136"/>
    </row>
    <row r="50" spans="2:4">
      <c r="B50" s="37"/>
      <c r="C50" s="137" t="s">
        <v>116</v>
      </c>
      <c r="D50" s="42" t="s">
        <v>264</v>
      </c>
    </row>
    <row r="51" spans="2:4">
      <c r="B51" s="30"/>
      <c r="C51" s="137" t="s">
        <v>117</v>
      </c>
      <c r="D51" s="42" t="s">
        <v>264</v>
      </c>
    </row>
    <row r="52" spans="2:4">
      <c r="B52" s="30"/>
      <c r="C52" s="137" t="s">
        <v>118</v>
      </c>
      <c r="D52" s="42" t="s">
        <v>264</v>
      </c>
    </row>
    <row r="53" spans="2:4">
      <c r="B53" s="30"/>
      <c r="C53" s="137" t="s">
        <v>119</v>
      </c>
      <c r="D53" s="42" t="s">
        <v>264</v>
      </c>
    </row>
    <row r="54" spans="2:4" ht="16" thickBot="1">
      <c r="B54" s="47"/>
      <c r="C54" s="102"/>
      <c r="D54" s="103"/>
    </row>
    <row r="55" spans="2:4" ht="16" thickBot="1"/>
    <row r="56" spans="2:4">
      <c r="B56" s="27" t="s">
        <v>266</v>
      </c>
      <c r="C56" s="29"/>
    </row>
    <row r="57" spans="2:4">
      <c r="B57" s="30"/>
      <c r="C57" s="31"/>
    </row>
    <row r="58" spans="2:4">
      <c r="B58" s="32" t="s">
        <v>534</v>
      </c>
      <c r="C58" s="142" t="s">
        <v>267</v>
      </c>
    </row>
    <row r="59" spans="2:4">
      <c r="B59" s="35"/>
      <c r="C59" s="36"/>
    </row>
    <row r="60" spans="2:4">
      <c r="B60" s="37" t="s">
        <v>268</v>
      </c>
      <c r="C60" s="42" t="s">
        <v>41</v>
      </c>
    </row>
    <row r="61" spans="2:4">
      <c r="B61" s="30"/>
      <c r="C61" s="42" t="s">
        <v>42</v>
      </c>
    </row>
    <row r="62" spans="2:4">
      <c r="B62" s="30"/>
      <c r="C62" s="42" t="s">
        <v>43</v>
      </c>
    </row>
    <row r="63" spans="2:4">
      <c r="B63" s="30"/>
      <c r="C63" s="42" t="s">
        <v>44</v>
      </c>
    </row>
    <row r="64" spans="2:4">
      <c r="B64" s="30"/>
      <c r="C64" s="42" t="s">
        <v>45</v>
      </c>
    </row>
    <row r="65" spans="2:3">
      <c r="B65" s="30"/>
      <c r="C65" s="42" t="s">
        <v>46</v>
      </c>
    </row>
    <row r="66" spans="2:3">
      <c r="B66" s="30"/>
      <c r="C66" s="143" t="s">
        <v>47</v>
      </c>
    </row>
    <row r="67" spans="2:3">
      <c r="B67" s="50"/>
      <c r="C67" s="143" t="s">
        <v>57</v>
      </c>
    </row>
    <row r="68" spans="2:3">
      <c r="B68" s="30"/>
      <c r="C68" s="42" t="s">
        <v>48</v>
      </c>
    </row>
    <row r="69" spans="2:3">
      <c r="B69" s="30"/>
      <c r="C69" s="42" t="s">
        <v>49</v>
      </c>
    </row>
    <row r="70" spans="2:3">
      <c r="B70" s="30"/>
      <c r="C70" s="42" t="s">
        <v>50</v>
      </c>
    </row>
    <row r="71" spans="2:3">
      <c r="B71" s="30"/>
      <c r="C71" s="42" t="s">
        <v>51</v>
      </c>
    </row>
    <row r="72" spans="2:3">
      <c r="B72" s="30"/>
      <c r="C72" s="42" t="s">
        <v>52</v>
      </c>
    </row>
    <row r="73" spans="2:3">
      <c r="B73" s="43"/>
      <c r="C73" s="46"/>
    </row>
    <row r="74" spans="2:3">
      <c r="B74" s="37" t="s">
        <v>601</v>
      </c>
      <c r="C74" s="42" t="s">
        <v>269</v>
      </c>
    </row>
    <row r="75" spans="2:3">
      <c r="B75" s="37"/>
      <c r="C75" s="42" t="s">
        <v>84</v>
      </c>
    </row>
    <row r="76" spans="2:3">
      <c r="B76" s="144"/>
      <c r="C76" s="46"/>
    </row>
    <row r="77" spans="2:3">
      <c r="B77" s="37" t="s">
        <v>270</v>
      </c>
      <c r="C77" s="42" t="s">
        <v>58</v>
      </c>
    </row>
    <row r="78" spans="2:3">
      <c r="B78" s="37"/>
      <c r="C78" s="42" t="s">
        <v>59</v>
      </c>
    </row>
    <row r="79" spans="2:3">
      <c r="B79" s="30"/>
      <c r="C79" s="42" t="s">
        <v>60</v>
      </c>
    </row>
    <row r="80" spans="2:3">
      <c r="B80" s="30"/>
      <c r="C80" s="42" t="s">
        <v>61</v>
      </c>
    </row>
    <row r="81" spans="2:3">
      <c r="B81" s="30"/>
      <c r="C81" s="42" t="s">
        <v>62</v>
      </c>
    </row>
    <row r="82" spans="2:3">
      <c r="B82" s="30"/>
      <c r="C82" s="42" t="s">
        <v>63</v>
      </c>
    </row>
    <row r="83" spans="2:3">
      <c r="B83" s="30"/>
      <c r="C83" s="42" t="s">
        <v>64</v>
      </c>
    </row>
    <row r="84" spans="2:3">
      <c r="B84" s="30"/>
      <c r="C84" s="42" t="s">
        <v>65</v>
      </c>
    </row>
    <row r="85" spans="2:3">
      <c r="B85" s="30"/>
      <c r="C85" s="42" t="s">
        <v>66</v>
      </c>
    </row>
    <row r="86" spans="2:3">
      <c r="B86" s="30"/>
      <c r="C86" s="42" t="s">
        <v>67</v>
      </c>
    </row>
    <row r="87" spans="2:3">
      <c r="B87" s="30"/>
      <c r="C87" s="42" t="s">
        <v>68</v>
      </c>
    </row>
    <row r="88" spans="2:3">
      <c r="B88" s="30"/>
      <c r="C88" s="42" t="s">
        <v>69</v>
      </c>
    </row>
    <row r="89" spans="2:3">
      <c r="B89" s="30"/>
      <c r="C89" s="42" t="s">
        <v>70</v>
      </c>
    </row>
    <row r="90" spans="2:3">
      <c r="B90" s="30"/>
      <c r="C90" s="42" t="s">
        <v>71</v>
      </c>
    </row>
    <row r="91" spans="2:3">
      <c r="B91" s="30"/>
      <c r="C91" s="42" t="s">
        <v>72</v>
      </c>
    </row>
    <row r="92" spans="2:3">
      <c r="B92" s="30"/>
      <c r="C92" s="42" t="s">
        <v>73</v>
      </c>
    </row>
    <row r="93" spans="2:3">
      <c r="B93" s="30"/>
      <c r="C93" s="42" t="s">
        <v>74</v>
      </c>
    </row>
    <row r="94" spans="2:3">
      <c r="B94" s="30"/>
      <c r="C94" s="42" t="s">
        <v>75</v>
      </c>
    </row>
    <row r="95" spans="2:3">
      <c r="B95" s="30"/>
      <c r="C95" s="42" t="s">
        <v>76</v>
      </c>
    </row>
    <row r="96" spans="2:3">
      <c r="B96" s="30"/>
      <c r="C96" s="42" t="s">
        <v>77</v>
      </c>
    </row>
    <row r="97" spans="2:3">
      <c r="B97" s="30"/>
      <c r="C97" s="42" t="s">
        <v>78</v>
      </c>
    </row>
    <row r="98" spans="2:3">
      <c r="B98" s="30"/>
      <c r="C98" s="42" t="s">
        <v>79</v>
      </c>
    </row>
    <row r="99" spans="2:3">
      <c r="B99" s="30"/>
      <c r="C99" s="42" t="s">
        <v>80</v>
      </c>
    </row>
    <row r="100" spans="2:3">
      <c r="B100" s="43"/>
      <c r="C100" s="46"/>
    </row>
    <row r="101" spans="2:3">
      <c r="B101" s="37" t="s">
        <v>271</v>
      </c>
      <c r="C101" s="42" t="s">
        <v>88</v>
      </c>
    </row>
    <row r="102" spans="2:3">
      <c r="B102" s="30"/>
      <c r="C102" s="42" t="s">
        <v>89</v>
      </c>
    </row>
    <row r="103" spans="2:3">
      <c r="B103" s="30"/>
      <c r="C103" s="42"/>
    </row>
    <row r="104" spans="2:3">
      <c r="B104" s="49" t="s">
        <v>281</v>
      </c>
      <c r="C104" s="149" t="s">
        <v>281</v>
      </c>
    </row>
    <row r="105" spans="2:3">
      <c r="B105" s="37"/>
      <c r="C105" s="42"/>
    </row>
    <row r="106" spans="2:3">
      <c r="B106" s="49" t="s">
        <v>152</v>
      </c>
      <c r="C106" s="149" t="s">
        <v>152</v>
      </c>
    </row>
    <row r="107" spans="2:3">
      <c r="B107" s="37"/>
      <c r="C107" s="42"/>
    </row>
    <row r="108" spans="2:3">
      <c r="B108" s="49" t="s">
        <v>151</v>
      </c>
      <c r="C108" s="149" t="s">
        <v>151</v>
      </c>
    </row>
    <row r="109" spans="2:3">
      <c r="B109" s="144"/>
      <c r="C109" s="46"/>
    </row>
    <row r="110" spans="2:3">
      <c r="B110" s="50" t="s">
        <v>94</v>
      </c>
      <c r="C110" s="42" t="s">
        <v>53</v>
      </c>
    </row>
    <row r="111" spans="2:3">
      <c r="B111" s="30"/>
      <c r="C111" s="42" t="s">
        <v>54</v>
      </c>
    </row>
    <row r="112" spans="2:3">
      <c r="B112" s="30"/>
      <c r="C112" s="42" t="s">
        <v>55</v>
      </c>
    </row>
    <row r="113" spans="2:3">
      <c r="B113" s="30"/>
      <c r="C113" s="42" t="s">
        <v>56</v>
      </c>
    </row>
    <row r="114" spans="2:3">
      <c r="B114" s="37"/>
      <c r="C114" s="42" t="s">
        <v>81</v>
      </c>
    </row>
    <row r="115" spans="2:3">
      <c r="B115" s="37"/>
      <c r="C115" s="42" t="s">
        <v>82</v>
      </c>
    </row>
    <row r="116" spans="2:3">
      <c r="B116" s="37"/>
      <c r="C116" s="42" t="s">
        <v>83</v>
      </c>
    </row>
    <row r="117" spans="2:3">
      <c r="B117" s="37"/>
      <c r="C117" s="42" t="s">
        <v>84</v>
      </c>
    </row>
    <row r="118" spans="2:3">
      <c r="B118" s="37"/>
      <c r="C118" s="42" t="s">
        <v>85</v>
      </c>
    </row>
    <row r="119" spans="2:3">
      <c r="B119" s="37"/>
      <c r="C119" s="42" t="s">
        <v>86</v>
      </c>
    </row>
    <row r="120" spans="2:3">
      <c r="B120" s="37"/>
      <c r="C120" s="42" t="s">
        <v>87</v>
      </c>
    </row>
    <row r="121" spans="2:3">
      <c r="B121" s="30"/>
      <c r="C121" s="42" t="s">
        <v>141</v>
      </c>
    </row>
    <row r="122" spans="2:3">
      <c r="B122" s="30"/>
      <c r="C122" s="42" t="s">
        <v>144</v>
      </c>
    </row>
    <row r="123" spans="2:3">
      <c r="B123" s="30"/>
      <c r="C123" s="42" t="s">
        <v>145</v>
      </c>
    </row>
    <row r="124" spans="2:3">
      <c r="B124" s="37"/>
      <c r="C124" s="42" t="s">
        <v>146</v>
      </c>
    </row>
    <row r="125" spans="2:3">
      <c r="B125" s="37"/>
      <c r="C125" s="42" t="s">
        <v>282</v>
      </c>
    </row>
    <row r="126" spans="2:3">
      <c r="B126" s="37"/>
      <c r="C126" s="42" t="s">
        <v>149</v>
      </c>
    </row>
    <row r="127" spans="2:3">
      <c r="B127" s="37"/>
      <c r="C127" s="42" t="s">
        <v>150</v>
      </c>
    </row>
    <row r="128" spans="2:3">
      <c r="B128" s="37"/>
      <c r="C128" s="42" t="s">
        <v>142</v>
      </c>
    </row>
    <row r="129" spans="2:3">
      <c r="B129" s="37"/>
      <c r="C129" s="42" t="s">
        <v>143</v>
      </c>
    </row>
    <row r="130" spans="2:3">
      <c r="B130" s="30"/>
      <c r="C130" s="41" t="s">
        <v>33</v>
      </c>
    </row>
    <row r="131" spans="2:3" ht="16" thickBot="1">
      <c r="B131" s="47"/>
      <c r="C131" s="51"/>
    </row>
    <row r="133" spans="2:3">
      <c r="B133" s="1" t="s">
        <v>295</v>
      </c>
      <c r="C133" s="1">
        <v>3.6</v>
      </c>
    </row>
  </sheetData>
  <mergeCells count="1">
    <mergeCell ref="B5:C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enableFormatConditionsCalculation="0">
    <tabColor rgb="FFFFFF00"/>
  </sheetPr>
  <dimension ref="B2:S67"/>
  <sheetViews>
    <sheetView workbookViewId="0"/>
  </sheetViews>
  <sheetFormatPr baseColWidth="10" defaultRowHeight="15" x14ac:dyDescent="0"/>
  <cols>
    <col min="1" max="1" width="10.83203125" style="1"/>
    <col min="2" max="2" width="17.1640625" style="1" customWidth="1"/>
    <col min="3" max="3" width="67.1640625" style="1" customWidth="1"/>
    <col min="4" max="4" width="5.33203125" style="1" customWidth="1"/>
    <col min="5" max="5" width="11.1640625" style="1" customWidth="1"/>
    <col min="6" max="6" width="2.6640625" style="1" customWidth="1"/>
    <col min="7" max="7" width="31.6640625" style="226" customWidth="1"/>
    <col min="8" max="8" width="3.33203125" style="226" customWidth="1"/>
    <col min="9" max="9" width="32.5" style="1" customWidth="1"/>
    <col min="10" max="10" width="4.33203125" style="1" customWidth="1"/>
    <col min="11" max="11" width="61" style="1" bestFit="1" customWidth="1"/>
    <col min="12" max="12" width="9.1640625" style="1" customWidth="1"/>
    <col min="13" max="13" width="110" style="1" customWidth="1"/>
    <col min="14" max="14" width="10.83203125" style="1"/>
    <col min="15" max="15" width="55" style="1" bestFit="1" customWidth="1"/>
    <col min="16" max="16" width="12.1640625" style="1" bestFit="1" customWidth="1"/>
    <col min="17" max="16384" width="10.83203125" style="1"/>
  </cols>
  <sheetData>
    <row r="2" spans="2:16" ht="20">
      <c r="B2" s="2" t="s">
        <v>30</v>
      </c>
      <c r="K2" s="207" t="s">
        <v>422</v>
      </c>
      <c r="L2" s="13"/>
      <c r="M2" s="5"/>
    </row>
    <row r="3" spans="2:16" ht="20">
      <c r="B3" s="2"/>
      <c r="K3" s="209"/>
      <c r="L3" s="8"/>
      <c r="M3" s="7"/>
    </row>
    <row r="4" spans="2:16">
      <c r="B4" s="52" t="s">
        <v>95</v>
      </c>
      <c r="C4" s="4"/>
      <c r="D4" s="4"/>
      <c r="E4" s="5"/>
      <c r="K4" s="210"/>
      <c r="L4" s="8"/>
      <c r="M4" s="7"/>
    </row>
    <row r="5" spans="2:16" ht="45" customHeight="1">
      <c r="B5" s="400" t="s">
        <v>327</v>
      </c>
      <c r="C5" s="402"/>
      <c r="D5" s="402"/>
      <c r="E5" s="401"/>
      <c r="K5" s="208"/>
      <c r="L5" s="10"/>
      <c r="M5" s="11"/>
    </row>
    <row r="6" spans="2:16" ht="16" thickBot="1"/>
    <row r="7" spans="2:16">
      <c r="B7" s="27" t="s">
        <v>28</v>
      </c>
      <c r="C7" s="53"/>
      <c r="D7" s="53"/>
      <c r="E7" s="53"/>
      <c r="F7" s="53"/>
      <c r="G7" s="227"/>
      <c r="H7" s="227"/>
      <c r="I7" s="53"/>
      <c r="J7" s="239"/>
      <c r="K7" s="159" t="s">
        <v>96</v>
      </c>
      <c r="L7" s="53"/>
      <c r="M7" s="29"/>
      <c r="O7" s="231"/>
      <c r="P7" s="232"/>
    </row>
    <row r="8" spans="2:16">
      <c r="B8" s="30"/>
      <c r="C8" s="8"/>
      <c r="D8" s="8"/>
      <c r="E8" s="8"/>
      <c r="F8" s="8"/>
      <c r="G8" s="224"/>
      <c r="H8" s="224"/>
      <c r="I8" s="8"/>
      <c r="J8" s="7"/>
      <c r="K8" s="19"/>
      <c r="L8" s="8"/>
      <c r="M8" s="31"/>
      <c r="O8" s="233"/>
      <c r="P8" s="234"/>
    </row>
    <row r="9" spans="2:16">
      <c r="B9" s="32" t="s">
        <v>97</v>
      </c>
      <c r="C9" s="33" t="s">
        <v>38</v>
      </c>
      <c r="D9" s="33" t="s">
        <v>99</v>
      </c>
      <c r="E9" s="33" t="s">
        <v>98</v>
      </c>
      <c r="F9" s="33"/>
      <c r="G9" s="33" t="s">
        <v>541</v>
      </c>
      <c r="H9" s="33"/>
      <c r="I9" s="33" t="s">
        <v>39</v>
      </c>
      <c r="J9" s="33"/>
      <c r="K9" s="316" t="s">
        <v>100</v>
      </c>
      <c r="L9" s="54" t="s">
        <v>101</v>
      </c>
      <c r="M9" s="142" t="s">
        <v>95</v>
      </c>
      <c r="O9" s="235" t="s">
        <v>432</v>
      </c>
      <c r="P9" s="236" t="s">
        <v>433</v>
      </c>
    </row>
    <row r="10" spans="2:16">
      <c r="B10" s="37" t="s">
        <v>40</v>
      </c>
      <c r="C10" s="15"/>
      <c r="D10" s="15"/>
      <c r="E10" s="15"/>
      <c r="F10" s="15"/>
      <c r="G10" s="228"/>
      <c r="H10" s="228"/>
      <c r="I10" s="15"/>
      <c r="J10" s="16"/>
      <c r="K10" s="372" t="s">
        <v>573</v>
      </c>
      <c r="L10" s="373" t="b">
        <f>IF(COUNTIF(P:P,0)+COUNTIF(P:P,FALSE)=0,TRUE,FALSE)</f>
        <v>0</v>
      </c>
      <c r="M10" s="65"/>
      <c r="O10" s="231"/>
      <c r="P10" s="232"/>
    </row>
    <row r="11" spans="2:16">
      <c r="B11" s="35"/>
      <c r="C11" s="60" t="s">
        <v>338</v>
      </c>
      <c r="D11" s="60"/>
      <c r="E11" s="311"/>
      <c r="F11" s="15"/>
      <c r="G11" s="230" t="s">
        <v>434</v>
      </c>
      <c r="H11" s="228"/>
      <c r="I11" s="15"/>
      <c r="J11" s="16"/>
      <c r="K11" s="64" t="s">
        <v>291</v>
      </c>
      <c r="L11" s="381" t="b">
        <f>IF(COUNTBLANK(E11:E60)-COUNTBLANK(C11:C60)=3,TRUE,FALSE)</f>
        <v>0</v>
      </c>
      <c r="M11" s="65"/>
      <c r="O11" s="233" t="s">
        <v>434</v>
      </c>
      <c r="P11" s="234">
        <f>IF(L11=TRUE,1,0)</f>
        <v>0</v>
      </c>
    </row>
    <row r="12" spans="2:16">
      <c r="B12" s="35"/>
      <c r="C12" s="60" t="s">
        <v>421</v>
      </c>
      <c r="D12" s="60"/>
      <c r="E12" s="311"/>
      <c r="F12" s="15"/>
      <c r="G12" s="230" t="s">
        <v>435</v>
      </c>
      <c r="H12" s="228"/>
      <c r="I12" s="15"/>
      <c r="J12" s="16"/>
      <c r="K12" s="66"/>
      <c r="L12" s="155"/>
      <c r="M12" s="65"/>
      <c r="O12" s="233" t="s">
        <v>435</v>
      </c>
      <c r="P12" s="234"/>
    </row>
    <row r="13" spans="2:16">
      <c r="B13" s="35"/>
      <c r="C13" s="15"/>
      <c r="D13" s="15"/>
      <c r="E13" s="15"/>
      <c r="F13" s="15"/>
      <c r="G13" s="228"/>
      <c r="H13" s="228"/>
      <c r="I13" s="15"/>
      <c r="J13" s="16"/>
      <c r="K13" s="394"/>
      <c r="L13" s="155"/>
      <c r="M13" s="395"/>
      <c r="O13" s="233"/>
      <c r="P13" s="7"/>
    </row>
    <row r="14" spans="2:16">
      <c r="B14" s="35"/>
      <c r="C14" s="15"/>
      <c r="D14" s="15"/>
      <c r="E14" s="15"/>
      <c r="F14" s="15"/>
      <c r="G14" s="228"/>
      <c r="H14" s="228"/>
      <c r="I14" s="15"/>
      <c r="J14" s="16"/>
      <c r="K14" s="64" t="s">
        <v>594</v>
      </c>
      <c r="L14" s="155"/>
      <c r="M14" s="65"/>
      <c r="O14" s="233"/>
      <c r="P14" s="234"/>
    </row>
    <row r="15" spans="2:16" ht="15" customHeight="1">
      <c r="B15" s="35"/>
      <c r="C15" s="15"/>
      <c r="D15" s="15"/>
      <c r="E15" s="15"/>
      <c r="F15" s="15"/>
      <c r="G15" s="228"/>
      <c r="H15" s="228"/>
      <c r="I15" s="15"/>
      <c r="J15" s="16"/>
      <c r="K15" s="55" t="s">
        <v>597</v>
      </c>
      <c r="L15" s="380" t="e">
        <f>IF('Final demand per energy carrier'!E42&lt;0,FALSE,TRUE)</f>
        <v>#DIV/0!</v>
      </c>
      <c r="M15" s="314" t="e">
        <f>IF(L15=TRUE," ","The demand for coal in 'other appliances' is negative. Have a look at the 'Final demand per energy carrier' sheet. Please correct the application and/or technology splits in the dashboard. ")</f>
        <v>#DIV/0!</v>
      </c>
      <c r="O15" s="233"/>
      <c r="P15" s="234" t="e">
        <f>IF(L15=TRUE,1,0)</f>
        <v>#DIV/0!</v>
      </c>
    </row>
    <row r="16" spans="2:16">
      <c r="B16" s="35"/>
      <c r="C16" s="15"/>
      <c r="D16" s="15"/>
      <c r="E16" s="15"/>
      <c r="F16" s="15"/>
      <c r="G16" s="228"/>
      <c r="H16" s="228"/>
      <c r="I16" s="15"/>
      <c r="J16" s="16"/>
      <c r="K16" s="55" t="s">
        <v>596</v>
      </c>
      <c r="L16" s="380" t="e">
        <f>IF('Final demand per energy carrier'!F42&lt;0,FALSE,TRUE)</f>
        <v>#DIV/0!</v>
      </c>
      <c r="M16" s="314" t="e">
        <f>IF(L16=TRUE," ","The demand for network gas in 'other appliances' is negative. Have a look at the 'Final demand per energy carrier' sheet. Please correct the application and/or technology splits in the dashboard. ")</f>
        <v>#DIV/0!</v>
      </c>
      <c r="O16" s="233"/>
      <c r="P16" s="234" t="e">
        <f>IF(L16=TRUE,1,0)</f>
        <v>#DIV/0!</v>
      </c>
    </row>
    <row r="17" spans="2:16">
      <c r="B17" s="35"/>
      <c r="C17" s="15"/>
      <c r="D17" s="15"/>
      <c r="E17" s="15"/>
      <c r="F17" s="15"/>
      <c r="G17" s="228"/>
      <c r="H17" s="228"/>
      <c r="I17" s="15"/>
      <c r="J17" s="16"/>
      <c r="K17" s="55" t="s">
        <v>598</v>
      </c>
      <c r="L17" s="380" t="e">
        <f>IF('Final demand per energy carrier'!G42&lt;0,FALSE,TRUE)</f>
        <v>#DIV/0!</v>
      </c>
      <c r="M17" s="314" t="e">
        <f>IF(L17=TRUE," ","The demand for oil in 'other appliances' is negative. Have a look at the 'Final demand per energy carrier' sheet. Please correct the application and/or technology splits in the dashboard. ")</f>
        <v>#DIV/0!</v>
      </c>
      <c r="O17" s="233"/>
      <c r="P17" s="234" t="e">
        <f>IF(L17=TRUE,1,0)</f>
        <v>#DIV/0!</v>
      </c>
    </row>
    <row r="18" spans="2:16">
      <c r="B18" s="35"/>
      <c r="C18" s="15"/>
      <c r="D18" s="15"/>
      <c r="E18" s="15"/>
      <c r="F18" s="15"/>
      <c r="G18" s="228"/>
      <c r="H18" s="228"/>
      <c r="I18" s="15"/>
      <c r="J18" s="16"/>
      <c r="K18" s="55"/>
      <c r="L18" s="21"/>
      <c r="M18" s="65"/>
      <c r="O18" s="233"/>
      <c r="P18" s="234"/>
    </row>
    <row r="19" spans="2:16">
      <c r="B19" s="32"/>
      <c r="C19" s="317"/>
      <c r="D19" s="317"/>
      <c r="E19" s="317"/>
      <c r="F19" s="317"/>
      <c r="G19" s="318"/>
      <c r="H19" s="318"/>
      <c r="I19" s="317"/>
      <c r="J19" s="319"/>
      <c r="K19" s="320" t="s">
        <v>590</v>
      </c>
      <c r="L19" s="399" t="b">
        <f>IF('Fuel aggregation'!J11=0,TRUE,'Fuel aggregation'!J11)</f>
        <v>1</v>
      </c>
      <c r="M19" s="382" t="str">
        <f>IF(L19=TRUE," ","(TJ) There are energy flows related to the services sector that cannot be processed by the ETM. If the amount of disregarded energy is relatively large, consider contacting Quintel Intelligence. Have a look at the fuel aggregation sheet.")</f>
        <v xml:space="preserve"> </v>
      </c>
      <c r="O19" s="233"/>
      <c r="P19" s="234"/>
    </row>
    <row r="20" spans="2:16">
      <c r="B20" s="37" t="s">
        <v>102</v>
      </c>
      <c r="C20" s="8"/>
      <c r="D20" s="8"/>
      <c r="E20" s="59"/>
      <c r="F20" s="225"/>
      <c r="G20" s="230"/>
      <c r="H20" s="230"/>
      <c r="I20" s="8"/>
      <c r="J20" s="8"/>
      <c r="K20" s="55"/>
      <c r="L20" s="374"/>
      <c r="M20" s="56"/>
      <c r="O20" s="233"/>
      <c r="P20" s="234"/>
    </row>
    <row r="21" spans="2:16">
      <c r="B21" s="37"/>
      <c r="C21" s="8" t="s">
        <v>425</v>
      </c>
      <c r="D21" s="8" t="s">
        <v>428</v>
      </c>
      <c r="E21" s="213">
        <f>Final_demand_residences</f>
        <v>0</v>
      </c>
      <c r="F21" s="225"/>
      <c r="G21" s="230"/>
      <c r="H21" s="230"/>
      <c r="I21" s="8" t="s">
        <v>574</v>
      </c>
      <c r="J21" s="8"/>
      <c r="K21" s="55"/>
      <c r="L21" s="375"/>
      <c r="M21" s="56"/>
      <c r="O21" s="233"/>
      <c r="P21" s="234"/>
    </row>
    <row r="22" spans="2:16" ht="16" thickBot="1">
      <c r="B22" s="37"/>
      <c r="C22" s="8"/>
      <c r="D22" s="8"/>
      <c r="E22" s="214"/>
      <c r="F22" s="225"/>
      <c r="G22" s="230"/>
      <c r="H22" s="230"/>
      <c r="I22" s="8"/>
      <c r="J22" s="8"/>
      <c r="K22" s="55"/>
      <c r="L22" s="375"/>
      <c r="M22" s="56"/>
      <c r="O22" s="233"/>
      <c r="P22" s="234"/>
    </row>
    <row r="23" spans="2:16" ht="16" thickBot="1">
      <c r="B23" s="37"/>
      <c r="C23" s="8" t="s">
        <v>103</v>
      </c>
      <c r="D23" s="8" t="s">
        <v>428</v>
      </c>
      <c r="E23" s="215"/>
      <c r="F23" s="230"/>
      <c r="G23" s="230" t="s">
        <v>429</v>
      </c>
      <c r="H23" s="230"/>
      <c r="I23" s="23"/>
      <c r="J23" s="7"/>
      <c r="K23" s="7"/>
      <c r="L23" s="375"/>
      <c r="M23" s="56"/>
      <c r="O23" s="233" t="s">
        <v>514</v>
      </c>
      <c r="P23" s="234"/>
    </row>
    <row r="24" spans="2:16" ht="16" thickBot="1">
      <c r="B24" s="37"/>
      <c r="C24" s="8" t="s">
        <v>106</v>
      </c>
      <c r="D24" s="8" t="s">
        <v>428</v>
      </c>
      <c r="E24" s="216"/>
      <c r="F24" s="230"/>
      <c r="G24" s="230" t="s">
        <v>430</v>
      </c>
      <c r="H24" s="230"/>
      <c r="I24" s="23"/>
      <c r="J24" s="7"/>
      <c r="K24" s="7"/>
      <c r="L24" s="375"/>
      <c r="M24" s="56"/>
      <c r="O24" s="233" t="s">
        <v>515</v>
      </c>
      <c r="P24" s="234"/>
    </row>
    <row r="25" spans="2:16" ht="16" thickBot="1">
      <c r="B25" s="37"/>
      <c r="C25" s="8" t="s">
        <v>104</v>
      </c>
      <c r="D25" s="8" t="s">
        <v>428</v>
      </c>
      <c r="E25" s="216"/>
      <c r="F25" s="230"/>
      <c r="G25" s="230" t="s">
        <v>431</v>
      </c>
      <c r="H25" s="230"/>
      <c r="I25" s="23"/>
      <c r="J25" s="7"/>
      <c r="K25" s="7"/>
      <c r="L25" s="375"/>
      <c r="M25" s="56"/>
      <c r="O25" s="233" t="s">
        <v>516</v>
      </c>
      <c r="P25" s="234"/>
    </row>
    <row r="26" spans="2:16">
      <c r="B26" s="37"/>
      <c r="C26" s="8"/>
      <c r="D26" s="8"/>
      <c r="E26" s="217"/>
      <c r="F26" s="225"/>
      <c r="G26" s="230"/>
      <c r="H26" s="230"/>
      <c r="I26" s="8"/>
      <c r="J26" s="8"/>
      <c r="K26" s="55"/>
      <c r="L26" s="375"/>
      <c r="M26" s="56"/>
      <c r="O26" s="233"/>
      <c r="P26" s="234"/>
    </row>
    <row r="27" spans="2:16">
      <c r="B27" s="37"/>
      <c r="C27" s="8" t="s">
        <v>278</v>
      </c>
      <c r="D27" s="8" t="s">
        <v>428</v>
      </c>
      <c r="E27" s="376" t="e">
        <f>'Final demand per energy carrier'!J41</f>
        <v>#DIV/0!</v>
      </c>
      <c r="F27" s="225"/>
      <c r="G27" s="230"/>
      <c r="H27" s="230"/>
      <c r="I27" s="8"/>
      <c r="J27" s="8"/>
      <c r="K27" s="64" t="s">
        <v>587</v>
      </c>
      <c r="L27" s="380" t="e">
        <f>IF(E27&gt;0,TRUE,E27)</f>
        <v>#DIV/0!</v>
      </c>
      <c r="M27" s="56" t="e">
        <f>IF(L27=TRUE," ","Please adjust your final demands for space heating, space cooling and lighting, or alter the technology shares below.")</f>
        <v>#DIV/0!</v>
      </c>
      <c r="O27" s="233"/>
      <c r="P27" s="234" t="e">
        <f>IF(L27=TRUE,1,0)</f>
        <v>#DIV/0!</v>
      </c>
    </row>
    <row r="28" spans="2:16">
      <c r="B28" s="37"/>
      <c r="C28" s="8" t="s">
        <v>589</v>
      </c>
      <c r="D28" s="8" t="s">
        <v>428</v>
      </c>
      <c r="E28" s="377" t="e">
        <f>SUM('Final demand per energy carrier'!E42:G42)</f>
        <v>#DIV/0!</v>
      </c>
      <c r="F28" s="225"/>
      <c r="G28" s="230"/>
      <c r="H28" s="230"/>
      <c r="I28" s="8"/>
      <c r="J28" s="8"/>
      <c r="K28" s="64" t="s">
        <v>588</v>
      </c>
      <c r="L28" s="380" t="e">
        <f>IF(E28&gt;0,TRUE,E28)</f>
        <v>#DIV/0!</v>
      </c>
      <c r="M28" s="56" t="e">
        <f>IF(L28=TRUE," ","Please adjust your final demands for space heating, space cooling and/or lighting.")</f>
        <v>#DIV/0!</v>
      </c>
      <c r="O28" s="233"/>
      <c r="P28" s="234" t="e">
        <f>IF(L28=TRUE,1,0)</f>
        <v>#DIV/0!</v>
      </c>
    </row>
    <row r="29" spans="2:16">
      <c r="B29" s="144"/>
      <c r="C29" s="10"/>
      <c r="D29" s="10"/>
      <c r="E29" s="59"/>
      <c r="F29" s="10"/>
      <c r="G29" s="211"/>
      <c r="H29" s="211"/>
      <c r="I29" s="10"/>
      <c r="J29" s="10"/>
      <c r="K29" s="57"/>
      <c r="L29" s="57"/>
      <c r="M29" s="58"/>
      <c r="O29" s="233"/>
      <c r="P29" s="234"/>
    </row>
    <row r="30" spans="2:16" ht="16" customHeight="1">
      <c r="B30" s="37" t="s">
        <v>92</v>
      </c>
      <c r="C30" s="8"/>
      <c r="D30" s="8"/>
      <c r="E30" s="175"/>
      <c r="F30" s="8"/>
      <c r="G30" s="224"/>
      <c r="H30" s="224"/>
      <c r="I30" s="8"/>
      <c r="J30" s="8"/>
      <c r="K30" s="64" t="s">
        <v>240</v>
      </c>
      <c r="L30" s="380">
        <f>IF(SUM(E40:E45)=1,TRUE,SUM(E40:E45))</f>
        <v>0</v>
      </c>
      <c r="M30" s="56" t="str">
        <f>IF(L30=TRUE," ","If this check is red please adjust the percentages of heat delivered by the technologies to the left.")</f>
        <v>If this check is red please adjust the percentages of heat delivered by the technologies to the left.</v>
      </c>
      <c r="O30" s="233"/>
      <c r="P30" s="234">
        <f>IF(L30=TRUE,1,0)</f>
        <v>0</v>
      </c>
    </row>
    <row r="31" spans="2:16" ht="16" customHeight="1">
      <c r="B31" s="37"/>
      <c r="C31" s="8" t="s">
        <v>537</v>
      </c>
      <c r="D31" s="8"/>
      <c r="E31" s="376">
        <f>Final_demand_space_heating</f>
        <v>0</v>
      </c>
      <c r="F31" s="8"/>
      <c r="G31" s="224"/>
      <c r="H31" s="224"/>
      <c r="I31" s="8"/>
      <c r="J31" s="8"/>
      <c r="K31" s="55"/>
      <c r="L31" s="315"/>
      <c r="M31" s="314"/>
      <c r="O31" s="233"/>
      <c r="P31" s="234"/>
    </row>
    <row r="32" spans="2:16" ht="16" customHeight="1">
      <c r="B32" s="37"/>
      <c r="C32" s="8"/>
      <c r="D32" s="8"/>
      <c r="E32" s="376"/>
      <c r="F32" s="8"/>
      <c r="G32" s="224"/>
      <c r="H32" s="224"/>
      <c r="I32" s="8"/>
      <c r="J32" s="8"/>
      <c r="K32" s="55"/>
      <c r="L32" s="315"/>
      <c r="M32" s="314"/>
      <c r="O32" s="233"/>
      <c r="P32" s="234"/>
    </row>
    <row r="33" spans="2:19">
      <c r="B33" s="37"/>
      <c r="C33" s="379" t="s">
        <v>538</v>
      </c>
      <c r="D33" s="8"/>
      <c r="E33" s="376">
        <f>'Final demand extracted from EB'!D13</f>
        <v>0</v>
      </c>
      <c r="F33" s="8"/>
      <c r="G33" s="224"/>
      <c r="H33" s="224"/>
      <c r="I33" s="8" t="s">
        <v>583</v>
      </c>
      <c r="J33" s="8"/>
      <c r="K33" s="55"/>
      <c r="L33" s="156"/>
      <c r="M33" s="56"/>
      <c r="O33" s="233"/>
      <c r="P33" s="234"/>
    </row>
    <row r="34" spans="2:19">
      <c r="B34" s="37"/>
      <c r="C34" s="379" t="s">
        <v>539</v>
      </c>
      <c r="D34" s="8"/>
      <c r="E34" s="376">
        <f>'Final demand extracted from EB'!D9</f>
        <v>0</v>
      </c>
      <c r="F34" s="8"/>
      <c r="G34" s="224"/>
      <c r="H34" s="224"/>
      <c r="I34" s="8" t="s">
        <v>583</v>
      </c>
      <c r="J34" s="8"/>
      <c r="K34" s="55"/>
      <c r="L34" s="156"/>
      <c r="M34" s="56"/>
      <c r="O34" s="233"/>
      <c r="P34" s="234"/>
    </row>
    <row r="35" spans="2:19">
      <c r="B35" s="37"/>
      <c r="C35" s="379" t="s">
        <v>540</v>
      </c>
      <c r="D35" s="8"/>
      <c r="E35" s="376">
        <f>'Final demand extracted from EB'!D17</f>
        <v>0</v>
      </c>
      <c r="F35" s="8"/>
      <c r="G35" s="224"/>
      <c r="H35" s="224"/>
      <c r="I35" s="8" t="s">
        <v>583</v>
      </c>
      <c r="J35" s="8"/>
      <c r="K35" s="55"/>
      <c r="L35" s="156"/>
      <c r="M35" s="56"/>
      <c r="O35" s="233"/>
      <c r="P35" s="234"/>
    </row>
    <row r="36" spans="2:19">
      <c r="B36" s="37"/>
      <c r="C36" s="8"/>
      <c r="D36" s="8"/>
      <c r="E36" s="376"/>
      <c r="F36" s="8"/>
      <c r="G36" s="224"/>
      <c r="H36" s="224"/>
      <c r="I36" s="8"/>
      <c r="J36" s="8"/>
      <c r="K36" s="55"/>
      <c r="L36" s="156"/>
      <c r="M36" s="56"/>
      <c r="O36" s="233"/>
      <c r="P36" s="234"/>
    </row>
    <row r="37" spans="2:19" ht="30">
      <c r="B37" s="37"/>
      <c r="C37" s="378" t="s">
        <v>576</v>
      </c>
      <c r="D37" s="8"/>
      <c r="E37" s="376">
        <f>E31-SUM(E33:E35)</f>
        <v>0</v>
      </c>
      <c r="F37" s="8"/>
      <c r="G37" s="224"/>
      <c r="H37" s="224"/>
      <c r="I37" s="8"/>
      <c r="J37" s="8"/>
      <c r="K37" s="55"/>
      <c r="L37" s="156"/>
      <c r="M37" s="56"/>
      <c r="O37" s="233"/>
      <c r="P37" s="234"/>
    </row>
    <row r="38" spans="2:19">
      <c r="B38" s="37"/>
      <c r="C38" s="378"/>
      <c r="D38" s="8"/>
      <c r="E38" s="313"/>
      <c r="F38" s="8"/>
      <c r="G38" s="224"/>
      <c r="H38" s="224"/>
      <c r="I38" s="8"/>
      <c r="J38" s="8"/>
      <c r="K38" s="55"/>
      <c r="L38" s="156"/>
      <c r="M38" s="56"/>
      <c r="O38" s="233"/>
      <c r="P38" s="234"/>
    </row>
    <row r="39" spans="2:19" ht="16" thickBot="1">
      <c r="B39" s="37"/>
      <c r="C39" s="8" t="s">
        <v>575</v>
      </c>
      <c r="D39" s="8"/>
      <c r="E39" s="59"/>
      <c r="F39" s="8"/>
      <c r="G39" s="224"/>
      <c r="H39" s="224"/>
      <c r="I39" s="8"/>
      <c r="J39" s="8"/>
      <c r="K39" s="55"/>
      <c r="L39" s="156"/>
      <c r="M39" s="56"/>
      <c r="O39" s="233"/>
      <c r="P39" s="234"/>
    </row>
    <row r="40" spans="2:19" ht="16" thickBot="1">
      <c r="B40" s="37"/>
      <c r="C40" s="379" t="s">
        <v>577</v>
      </c>
      <c r="D40" s="8"/>
      <c r="E40" s="171"/>
      <c r="F40" s="8"/>
      <c r="G40" s="224"/>
      <c r="H40" s="224"/>
      <c r="I40" s="23"/>
      <c r="J40" s="8"/>
      <c r="K40" s="55"/>
      <c r="L40" s="156"/>
      <c r="M40" s="314"/>
      <c r="O40" s="233" t="s">
        <v>517</v>
      </c>
      <c r="P40" s="234"/>
    </row>
    <row r="41" spans="2:19" ht="16" thickBot="1">
      <c r="B41" s="37"/>
      <c r="C41" s="379" t="s">
        <v>578</v>
      </c>
      <c r="D41" s="8"/>
      <c r="E41" s="171"/>
      <c r="F41" s="8"/>
      <c r="G41" s="224"/>
      <c r="H41" s="224"/>
      <c r="I41" s="23"/>
      <c r="J41" s="8"/>
      <c r="K41" s="55"/>
      <c r="L41" s="156"/>
      <c r="M41" s="314"/>
      <c r="O41" s="233" t="s">
        <v>533</v>
      </c>
      <c r="P41" s="234"/>
      <c r="S41" s="312"/>
    </row>
    <row r="42" spans="2:19" ht="16" thickBot="1">
      <c r="B42" s="37"/>
      <c r="C42" s="379" t="s">
        <v>579</v>
      </c>
      <c r="D42" s="8"/>
      <c r="E42" s="171"/>
      <c r="F42" s="8"/>
      <c r="G42" s="224"/>
      <c r="H42" s="224"/>
      <c r="I42" s="23"/>
      <c r="J42" s="8"/>
      <c r="K42" s="55"/>
      <c r="L42" s="156"/>
      <c r="M42" s="314"/>
      <c r="O42" s="233" t="s">
        <v>518</v>
      </c>
      <c r="P42" s="234"/>
    </row>
    <row r="43" spans="2:19" ht="16" thickBot="1">
      <c r="B43" s="37"/>
      <c r="C43" s="379" t="s">
        <v>580</v>
      </c>
      <c r="D43" s="8"/>
      <c r="E43" s="171"/>
      <c r="F43" s="8"/>
      <c r="G43" s="224"/>
      <c r="H43" s="224"/>
      <c r="I43" s="23"/>
      <c r="J43" s="8"/>
      <c r="K43" s="55"/>
      <c r="L43" s="156"/>
      <c r="M43" s="56"/>
      <c r="O43" s="233" t="s">
        <v>519</v>
      </c>
      <c r="P43" s="234"/>
    </row>
    <row r="44" spans="2:19" ht="16" thickBot="1">
      <c r="B44" s="37"/>
      <c r="C44" s="379" t="s">
        <v>581</v>
      </c>
      <c r="D44" s="8"/>
      <c r="E44" s="171"/>
      <c r="F44" s="8"/>
      <c r="G44" s="224"/>
      <c r="H44" s="224"/>
      <c r="I44" s="23"/>
      <c r="J44" s="8"/>
      <c r="K44" s="55"/>
      <c r="L44" s="157"/>
      <c r="M44" s="56"/>
      <c r="O44" s="233" t="s">
        <v>520</v>
      </c>
      <c r="P44" s="234"/>
    </row>
    <row r="45" spans="2:19" ht="16" thickBot="1">
      <c r="B45" s="37"/>
      <c r="C45" s="379" t="s">
        <v>582</v>
      </c>
      <c r="D45" s="8"/>
      <c r="E45" s="171"/>
      <c r="F45" s="8"/>
      <c r="G45" s="224"/>
      <c r="H45" s="224"/>
      <c r="I45" s="23"/>
      <c r="J45" s="8"/>
      <c r="K45" s="55"/>
      <c r="L45" s="156"/>
      <c r="M45" s="56"/>
      <c r="O45" s="233" t="s">
        <v>536</v>
      </c>
      <c r="P45" s="234"/>
      <c r="R45" s="312"/>
    </row>
    <row r="46" spans="2:19">
      <c r="B46" s="144"/>
      <c r="C46" s="10"/>
      <c r="D46" s="10"/>
      <c r="E46" s="59"/>
      <c r="F46" s="10"/>
      <c r="G46" s="211"/>
      <c r="H46" s="211"/>
      <c r="I46" s="10"/>
      <c r="J46" s="10"/>
      <c r="K46" s="57"/>
      <c r="L46" s="158"/>
      <c r="M46" s="58"/>
      <c r="O46" s="233"/>
      <c r="P46" s="237"/>
    </row>
    <row r="47" spans="2:19">
      <c r="B47" s="37" t="s">
        <v>105</v>
      </c>
      <c r="C47" s="60"/>
      <c r="D47" s="60"/>
      <c r="E47" s="175"/>
      <c r="F47" s="8"/>
      <c r="G47" s="224"/>
      <c r="H47" s="224"/>
      <c r="I47" s="8"/>
      <c r="J47" s="8"/>
      <c r="K47" s="64" t="s">
        <v>240</v>
      </c>
      <c r="L47" s="380">
        <f>IF(SUM(E49:E51)=1,TRUE,SUM(E49:E51))</f>
        <v>0</v>
      </c>
      <c r="M47" s="56" t="str">
        <f>IF(L47=TRUE," ","If this check is red please adjust the percentages of heat delivered by the technologies to the left.")</f>
        <v>If this check is red please adjust the percentages of heat delivered by the technologies to the left.</v>
      </c>
      <c r="O47" s="233"/>
      <c r="P47" s="234">
        <f>IF(L47=TRUE,1,0)</f>
        <v>0</v>
      </c>
    </row>
    <row r="48" spans="2:19" ht="16" thickBot="1">
      <c r="B48" s="37"/>
      <c r="C48" s="60" t="s">
        <v>584</v>
      </c>
      <c r="D48" s="60"/>
      <c r="E48" s="63"/>
      <c r="F48" s="8"/>
      <c r="G48" s="224"/>
      <c r="H48" s="224"/>
      <c r="I48" s="8"/>
      <c r="J48" s="8"/>
      <c r="K48" s="64"/>
      <c r="L48" s="156"/>
      <c r="M48" s="56"/>
      <c r="O48" s="233"/>
      <c r="P48" s="234"/>
    </row>
    <row r="49" spans="2:18" ht="16" thickBot="1">
      <c r="B49" s="37"/>
      <c r="C49" s="379" t="s">
        <v>579</v>
      </c>
      <c r="D49" s="8"/>
      <c r="E49" s="191"/>
      <c r="F49" s="8"/>
      <c r="G49" s="224"/>
      <c r="H49" s="224"/>
      <c r="I49" s="23"/>
      <c r="J49" s="8"/>
      <c r="K49" s="55"/>
      <c r="L49" s="156"/>
      <c r="M49" s="56"/>
      <c r="O49" s="233" t="s">
        <v>521</v>
      </c>
      <c r="P49" s="237"/>
      <c r="R49" s="312"/>
    </row>
    <row r="50" spans="2:18" ht="16" thickBot="1">
      <c r="B50" s="37"/>
      <c r="C50" s="379" t="s">
        <v>578</v>
      </c>
      <c r="D50" s="8"/>
      <c r="E50" s="171"/>
      <c r="F50" s="8"/>
      <c r="G50" s="224"/>
      <c r="H50" s="224"/>
      <c r="I50" s="23"/>
      <c r="J50" s="8"/>
      <c r="K50" s="55"/>
      <c r="L50" s="156"/>
      <c r="M50" s="56"/>
      <c r="O50" s="233" t="s">
        <v>522</v>
      </c>
      <c r="P50" s="237"/>
    </row>
    <row r="51" spans="2:18" ht="16" thickBot="1">
      <c r="B51" s="37"/>
      <c r="C51" s="379" t="s">
        <v>133</v>
      </c>
      <c r="D51" s="60"/>
      <c r="E51" s="191"/>
      <c r="F51" s="8"/>
      <c r="G51" s="224"/>
      <c r="H51" s="224"/>
      <c r="I51" s="23"/>
      <c r="J51" s="8"/>
      <c r="K51" s="55"/>
      <c r="L51" s="156"/>
      <c r="M51" s="56"/>
      <c r="O51" s="233" t="s">
        <v>523</v>
      </c>
      <c r="P51" s="237"/>
    </row>
    <row r="52" spans="2:18">
      <c r="B52" s="144"/>
      <c r="C52" s="10"/>
      <c r="D52" s="10"/>
      <c r="E52" s="59"/>
      <c r="F52" s="10"/>
      <c r="G52" s="211"/>
      <c r="H52" s="211"/>
      <c r="I52" s="10"/>
      <c r="J52" s="10"/>
      <c r="K52" s="57"/>
      <c r="L52" s="158"/>
      <c r="M52" s="58"/>
      <c r="O52" s="233"/>
      <c r="P52" s="237"/>
    </row>
    <row r="53" spans="2:18">
      <c r="B53" s="37" t="s">
        <v>91</v>
      </c>
      <c r="C53" s="8"/>
      <c r="D53" s="8"/>
      <c r="E53" s="175"/>
      <c r="F53" s="8"/>
      <c r="G53" s="224"/>
      <c r="H53" s="224"/>
      <c r="I53" s="8"/>
      <c r="J53" s="8"/>
      <c r="K53" s="64" t="s">
        <v>240</v>
      </c>
      <c r="L53" s="380">
        <f>IF(SUM(E55:E59)=1,TRUE,SUM(E55:E59))</f>
        <v>0</v>
      </c>
      <c r="M53" s="56" t="str">
        <f>IF(L53=TRUE," ","If this check is red please adjust the percentages of heat delivered by the technologies to the left.")</f>
        <v>If this check is red please adjust the percentages of heat delivered by the technologies to the left.</v>
      </c>
      <c r="O53" s="238"/>
      <c r="P53" s="234">
        <f>IF(L53=TRUE,1,0)</f>
        <v>0</v>
      </c>
    </row>
    <row r="54" spans="2:18">
      <c r="B54" s="37"/>
      <c r="C54" s="8" t="s">
        <v>585</v>
      </c>
      <c r="D54" s="8"/>
      <c r="E54" s="59"/>
      <c r="F54" s="8"/>
      <c r="G54" s="224"/>
      <c r="H54" s="224"/>
      <c r="I54" s="8"/>
      <c r="J54" s="8"/>
      <c r="K54" s="64"/>
      <c r="L54" s="55"/>
      <c r="M54" s="56"/>
      <c r="O54" s="238"/>
      <c r="P54" s="234"/>
    </row>
    <row r="55" spans="2:18">
      <c r="B55" s="37"/>
      <c r="C55" s="379" t="s">
        <v>134</v>
      </c>
      <c r="D55" s="8"/>
      <c r="E55" s="172">
        <v>0</v>
      </c>
      <c r="F55" s="8"/>
      <c r="G55" s="224"/>
      <c r="H55" s="224"/>
      <c r="I55" s="8"/>
      <c r="J55" s="8"/>
      <c r="K55" s="55"/>
      <c r="L55" s="55"/>
      <c r="M55" s="56"/>
      <c r="O55" s="233" t="s">
        <v>524</v>
      </c>
      <c r="P55" s="237"/>
    </row>
    <row r="56" spans="2:18" ht="16" thickBot="1">
      <c r="B56" s="37"/>
      <c r="C56" s="379" t="s">
        <v>135</v>
      </c>
      <c r="D56" s="8"/>
      <c r="E56" s="172">
        <v>0</v>
      </c>
      <c r="F56" s="8"/>
      <c r="G56" s="224"/>
      <c r="H56" s="224"/>
      <c r="I56" s="8"/>
      <c r="J56" s="8"/>
      <c r="K56" s="55"/>
      <c r="L56" s="55"/>
      <c r="M56" s="56"/>
      <c r="O56" s="233" t="s">
        <v>525</v>
      </c>
      <c r="P56" s="7"/>
    </row>
    <row r="57" spans="2:18" ht="16" thickBot="1">
      <c r="B57" s="37"/>
      <c r="C57" s="379" t="s">
        <v>335</v>
      </c>
      <c r="D57" s="8"/>
      <c r="E57" s="171"/>
      <c r="F57" s="8"/>
      <c r="G57" s="224"/>
      <c r="H57" s="224"/>
      <c r="I57" s="23"/>
      <c r="J57" s="8"/>
      <c r="K57" s="55"/>
      <c r="L57" s="55"/>
      <c r="M57" s="56"/>
      <c r="O57" s="233" t="s">
        <v>526</v>
      </c>
      <c r="P57" s="7"/>
    </row>
    <row r="58" spans="2:18" ht="16" thickBot="1">
      <c r="B58" s="37"/>
      <c r="C58" s="379" t="s">
        <v>336</v>
      </c>
      <c r="D58" s="8"/>
      <c r="E58" s="171"/>
      <c r="F58" s="8"/>
      <c r="G58" s="224"/>
      <c r="H58" s="224"/>
      <c r="I58" s="23"/>
      <c r="J58" s="8"/>
      <c r="K58" s="55"/>
      <c r="L58" s="55"/>
      <c r="M58" s="56"/>
      <c r="O58" s="233" t="s">
        <v>527</v>
      </c>
      <c r="P58" s="7"/>
    </row>
    <row r="59" spans="2:18" ht="16" thickBot="1">
      <c r="B59" s="37"/>
      <c r="C59" s="379" t="s">
        <v>586</v>
      </c>
      <c r="D59" s="8"/>
      <c r="E59" s="171"/>
      <c r="F59" s="8"/>
      <c r="G59" s="224"/>
      <c r="H59" s="224"/>
      <c r="I59" s="23"/>
      <c r="J59" s="8"/>
      <c r="K59" s="55"/>
      <c r="L59" s="55"/>
      <c r="M59" s="56"/>
      <c r="O59" s="233" t="s">
        <v>528</v>
      </c>
      <c r="P59" s="7"/>
    </row>
    <row r="60" spans="2:18" ht="16" thickBot="1">
      <c r="B60" s="301"/>
      <c r="C60" s="102"/>
      <c r="D60" s="102"/>
      <c r="E60" s="240"/>
      <c r="F60" s="102"/>
      <c r="G60" s="229"/>
      <c r="H60" s="229"/>
      <c r="I60" s="102"/>
      <c r="J60" s="102"/>
      <c r="K60" s="160"/>
      <c r="L60" s="160"/>
      <c r="M60" s="150"/>
      <c r="O60" s="20"/>
      <c r="P60" s="11"/>
    </row>
    <row r="61" spans="2:18">
      <c r="B61" s="302" t="s">
        <v>505</v>
      </c>
      <c r="C61" s="53"/>
      <c r="D61" s="53"/>
      <c r="E61" s="53"/>
      <c r="F61" s="53"/>
      <c r="G61" s="227"/>
      <c r="H61" s="227"/>
      <c r="I61" s="53"/>
      <c r="J61" s="53"/>
      <c r="K61" s="53"/>
      <c r="L61" s="53"/>
      <c r="M61" s="29"/>
      <c r="O61" s="303"/>
      <c r="P61" s="5"/>
    </row>
    <row r="62" spans="2:18">
      <c r="B62" s="30"/>
      <c r="C62" s="8" t="s">
        <v>503</v>
      </c>
      <c r="D62" s="8"/>
      <c r="E62" s="172">
        <v>1</v>
      </c>
      <c r="F62" s="8"/>
      <c r="G62" s="224"/>
      <c r="I62" s="8"/>
      <c r="J62" s="8"/>
      <c r="K62" s="8"/>
      <c r="L62" s="8"/>
      <c r="M62" s="31"/>
      <c r="O62" s="233" t="s">
        <v>529</v>
      </c>
      <c r="P62" s="7"/>
    </row>
    <row r="63" spans="2:18">
      <c r="B63" s="30"/>
      <c r="C63" s="8" t="s">
        <v>504</v>
      </c>
      <c r="D63" s="8"/>
      <c r="E63" s="172">
        <v>0</v>
      </c>
      <c r="F63" s="8"/>
      <c r="G63" s="224"/>
      <c r="I63" s="8"/>
      <c r="J63" s="8"/>
      <c r="K63" s="8"/>
      <c r="L63" s="8"/>
      <c r="M63" s="31"/>
      <c r="O63" s="233" t="s">
        <v>530</v>
      </c>
      <c r="P63" s="7"/>
    </row>
    <row r="64" spans="2:18">
      <c r="B64" s="30"/>
      <c r="C64" s="8"/>
      <c r="D64" s="8"/>
      <c r="E64" s="172"/>
      <c r="F64" s="8"/>
      <c r="G64" s="224"/>
      <c r="I64" s="8"/>
      <c r="J64" s="8"/>
      <c r="K64" s="8"/>
      <c r="L64" s="8"/>
      <c r="M64" s="31"/>
      <c r="O64" s="233"/>
      <c r="P64" s="7"/>
    </row>
    <row r="65" spans="2:16">
      <c r="B65" s="30"/>
      <c r="C65" s="8" t="s">
        <v>507</v>
      </c>
      <c r="D65" s="8"/>
      <c r="E65" s="172">
        <v>3.9E-2</v>
      </c>
      <c r="F65" s="8"/>
      <c r="G65" s="224"/>
      <c r="I65" s="8"/>
      <c r="J65" s="8"/>
      <c r="K65" s="8"/>
      <c r="L65" s="8"/>
      <c r="M65" s="31"/>
      <c r="O65" s="233" t="s">
        <v>531</v>
      </c>
      <c r="P65" s="7"/>
    </row>
    <row r="66" spans="2:16">
      <c r="B66" s="30"/>
      <c r="C66" s="8" t="s">
        <v>508</v>
      </c>
      <c r="D66" s="8"/>
      <c r="E66" s="172">
        <v>5.2999999999999999E-2</v>
      </c>
      <c r="F66" s="8"/>
      <c r="G66" s="224"/>
      <c r="I66" s="8"/>
      <c r="J66" s="8"/>
      <c r="K66" s="8"/>
      <c r="L66" s="8"/>
      <c r="M66" s="31"/>
      <c r="O66" s="233" t="s">
        <v>532</v>
      </c>
      <c r="P66" s="7"/>
    </row>
    <row r="67" spans="2:16" ht="16" thickBot="1">
      <c r="B67" s="47"/>
      <c r="C67" s="102"/>
      <c r="D67" s="102"/>
      <c r="E67" s="102"/>
      <c r="F67" s="102"/>
      <c r="G67" s="229"/>
      <c r="H67" s="229"/>
      <c r="I67" s="102"/>
      <c r="J67" s="102"/>
      <c r="K67" s="102"/>
      <c r="L67" s="102"/>
      <c r="M67" s="103"/>
      <c r="O67" s="20"/>
      <c r="P67" s="11"/>
    </row>
  </sheetData>
  <mergeCells count="1">
    <mergeCell ref="B5:E5"/>
  </mergeCells>
  <conditionalFormatting sqref="L10">
    <cfRule type="cellIs" dxfId="14" priority="14" operator="equal">
      <formula>TRUE</formula>
    </cfRule>
  </conditionalFormatting>
  <conditionalFormatting sqref="L11">
    <cfRule type="cellIs" dxfId="13" priority="5" operator="equal">
      <formula>TRUE</formula>
    </cfRule>
  </conditionalFormatting>
  <conditionalFormatting sqref="L30">
    <cfRule type="cellIs" dxfId="12" priority="10" operator="equal">
      <formula>TRUE</formula>
    </cfRule>
  </conditionalFormatting>
  <conditionalFormatting sqref="L47">
    <cfRule type="cellIs" dxfId="11" priority="9" operator="equal">
      <formula>TRUE</formula>
    </cfRule>
  </conditionalFormatting>
  <conditionalFormatting sqref="L53">
    <cfRule type="cellIs" dxfId="10" priority="8" operator="equal">
      <formula>TRUE</formula>
    </cfRule>
  </conditionalFormatting>
  <conditionalFormatting sqref="L27">
    <cfRule type="cellIs" dxfId="9" priority="7" operator="equal">
      <formula>TRUE</formula>
    </cfRule>
  </conditionalFormatting>
  <conditionalFormatting sqref="L28">
    <cfRule type="cellIs" dxfId="8" priority="6" operator="equal">
      <formula>TRUE</formula>
    </cfRule>
  </conditionalFormatting>
  <conditionalFormatting sqref="L15:L17">
    <cfRule type="cellIs" dxfId="7" priority="2" operator="equal">
      <formula>TRUE</formula>
    </cfRule>
  </conditionalFormatting>
  <conditionalFormatting sqref="L19">
    <cfRule type="cellIs" dxfId="6" priority="1" operator="equal">
      <formula>TRUE</formula>
    </cfRule>
  </conditionalFormatting>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11281" r:id="rId3" name="import_data">
              <controlPr defaultSize="0" print="0" autoFill="0" autoPict="0">
                <anchor moveWithCells="1" sizeWithCells="1">
                  <from>
                    <xdr:col>10</xdr:col>
                    <xdr:colOff>76200</xdr:colOff>
                    <xdr:row>2</xdr:row>
                    <xdr:rowOff>38100</xdr:rowOff>
                  </from>
                  <to>
                    <xdr:col>12</xdr:col>
                    <xdr:colOff>1206500</xdr:colOff>
                    <xdr:row>3</xdr:row>
                    <xdr:rowOff>0</xdr:rowOff>
                  </to>
                </anchor>
              </controlPr>
            </control>
          </mc:Choice>
          <mc:Fallback/>
        </mc:AlternateContent>
        <mc:AlternateContent xmlns:mc="http://schemas.openxmlformats.org/markup-compatibility/2006">
          <mc:Choice Requires="x14">
            <control shapeId="11282" r:id="rId4" name="export_data">
              <controlPr defaultSize="0" print="0" autoFill="0" autoPict="0">
                <anchor moveWithCells="1" sizeWithCells="1">
                  <from>
                    <xdr:col>10</xdr:col>
                    <xdr:colOff>114300</xdr:colOff>
                    <xdr:row>4</xdr:row>
                    <xdr:rowOff>228600</xdr:rowOff>
                  </from>
                  <to>
                    <xdr:col>12</xdr:col>
                    <xdr:colOff>1244600</xdr:colOff>
                    <xdr:row>4</xdr:row>
                    <xdr:rowOff>444500</xdr:rowOff>
                  </to>
                </anchor>
              </controlPr>
            </control>
          </mc:Choice>
          <mc:Fallback/>
        </mc:AlternateContent>
        <mc:AlternateContent xmlns:mc="http://schemas.openxmlformats.org/markup-compatibility/2006">
          <mc:Choice Requires="x14">
            <control shapeId="11283" r:id="rId5" name="select_dashboard">
              <controlPr defaultSize="0" print="0" autoFill="0" autoPict="0">
                <anchor moveWithCells="1" sizeWithCells="1">
                  <from>
                    <xdr:col>10</xdr:col>
                    <xdr:colOff>2247900</xdr:colOff>
                    <xdr:row>3</xdr:row>
                    <xdr:rowOff>88900</xdr:rowOff>
                  </from>
                  <to>
                    <xdr:col>12</xdr:col>
                    <xdr:colOff>1219200</xdr:colOff>
                    <xdr:row>4</xdr:row>
                    <xdr:rowOff>114300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enableFormatConditionsCalculation="0">
    <tabColor theme="6" tint="0.39997558519241921"/>
  </sheetPr>
  <dimension ref="B2:BO101"/>
  <sheetViews>
    <sheetView workbookViewId="0">
      <pane xSplit="2" ySplit="7" topLeftCell="C8" activePane="bottomRight" state="frozen"/>
      <selection pane="topRight" activeCell="C1" sqref="C1"/>
      <selection pane="bottomLeft" activeCell="A9" sqref="A9"/>
      <selection pane="bottomRight"/>
    </sheetView>
  </sheetViews>
  <sheetFormatPr baseColWidth="10" defaultRowHeight="15" x14ac:dyDescent="0"/>
  <cols>
    <col min="1" max="1" width="10.83203125" style="1"/>
    <col min="2" max="2" width="53.83203125" style="1" bestFit="1" customWidth="1"/>
    <col min="3" max="67" width="13.6640625" style="1" customWidth="1"/>
    <col min="68" max="16384" width="10.83203125" style="1"/>
  </cols>
  <sheetData>
    <row r="2" spans="2:67" ht="20">
      <c r="B2" s="2" t="s">
        <v>457</v>
      </c>
    </row>
    <row r="3" spans="2:67" ht="15" customHeight="1">
      <c r="B3" s="2"/>
    </row>
    <row r="4" spans="2:67" ht="15" customHeight="1">
      <c r="B4" s="129" t="s">
        <v>95</v>
      </c>
      <c r="C4" s="8"/>
      <c r="D4" s="8"/>
      <c r="E4" s="8"/>
      <c r="F4" s="8"/>
      <c r="G4" s="8"/>
      <c r="H4" s="8"/>
    </row>
    <row r="5" spans="2:67" ht="60" customHeight="1">
      <c r="B5" s="200" t="s">
        <v>331</v>
      </c>
      <c r="C5" s="199"/>
      <c r="D5" s="199"/>
      <c r="E5" s="199"/>
      <c r="F5" s="199"/>
      <c r="G5" s="199"/>
      <c r="H5" s="199"/>
    </row>
    <row r="6" spans="2:67" ht="15" customHeight="1" thickBot="1"/>
    <row r="7" spans="2:67" ht="30" customHeight="1">
      <c r="B7" s="77" t="s">
        <v>139</v>
      </c>
      <c r="C7" s="78" t="s">
        <v>41</v>
      </c>
      <c r="D7" s="78" t="s">
        <v>42</v>
      </c>
      <c r="E7" s="78" t="s">
        <v>43</v>
      </c>
      <c r="F7" s="78" t="s">
        <v>44</v>
      </c>
      <c r="G7" s="78" t="s">
        <v>45</v>
      </c>
      <c r="H7" s="78" t="s">
        <v>46</v>
      </c>
      <c r="I7" s="78" t="s">
        <v>57</v>
      </c>
      <c r="J7" s="78" t="s">
        <v>48</v>
      </c>
      <c r="K7" s="78" t="s">
        <v>49</v>
      </c>
      <c r="L7" s="78" t="s">
        <v>50</v>
      </c>
      <c r="M7" s="78" t="s">
        <v>51</v>
      </c>
      <c r="N7" s="78" t="s">
        <v>52</v>
      </c>
      <c r="O7" s="78" t="s">
        <v>53</v>
      </c>
      <c r="P7" s="78" t="s">
        <v>54</v>
      </c>
      <c r="Q7" s="78" t="s">
        <v>55</v>
      </c>
      <c r="R7" s="78" t="s">
        <v>56</v>
      </c>
      <c r="S7" s="78" t="s">
        <v>47</v>
      </c>
      <c r="T7" s="78" t="s">
        <v>140</v>
      </c>
      <c r="U7" s="78" t="s">
        <v>58</v>
      </c>
      <c r="V7" s="78" t="s">
        <v>59</v>
      </c>
      <c r="W7" s="78" t="s">
        <v>60</v>
      </c>
      <c r="X7" s="78" t="s">
        <v>61</v>
      </c>
      <c r="Y7" s="78" t="s">
        <v>62</v>
      </c>
      <c r="Z7" s="78" t="s">
        <v>63</v>
      </c>
      <c r="AA7" s="78" t="s">
        <v>64</v>
      </c>
      <c r="AB7" s="78" t="s">
        <v>65</v>
      </c>
      <c r="AC7" s="78" t="s">
        <v>66</v>
      </c>
      <c r="AD7" s="78" t="s">
        <v>67</v>
      </c>
      <c r="AE7" s="78" t="s">
        <v>68</v>
      </c>
      <c r="AF7" s="78" t="s">
        <v>69</v>
      </c>
      <c r="AG7" s="78" t="s">
        <v>70</v>
      </c>
      <c r="AH7" s="78" t="s">
        <v>71</v>
      </c>
      <c r="AI7" s="78" t="s">
        <v>72</v>
      </c>
      <c r="AJ7" s="78" t="s">
        <v>73</v>
      </c>
      <c r="AK7" s="78" t="s">
        <v>74</v>
      </c>
      <c r="AL7" s="78" t="s">
        <v>75</v>
      </c>
      <c r="AM7" s="78" t="s">
        <v>76</v>
      </c>
      <c r="AN7" s="78" t="s">
        <v>77</v>
      </c>
      <c r="AO7" s="78" t="s">
        <v>78</v>
      </c>
      <c r="AP7" s="78" t="s">
        <v>79</v>
      </c>
      <c r="AQ7" s="78" t="s">
        <v>80</v>
      </c>
      <c r="AR7" s="78" t="s">
        <v>82</v>
      </c>
      <c r="AS7" s="78" t="s">
        <v>81</v>
      </c>
      <c r="AT7" s="78" t="s">
        <v>83</v>
      </c>
      <c r="AU7" s="78" t="s">
        <v>88</v>
      </c>
      <c r="AV7" s="78" t="s">
        <v>84</v>
      </c>
      <c r="AW7" s="78" t="s">
        <v>85</v>
      </c>
      <c r="AX7" s="78" t="s">
        <v>86</v>
      </c>
      <c r="AY7" s="78" t="s">
        <v>87</v>
      </c>
      <c r="AZ7" s="78" t="s">
        <v>89</v>
      </c>
      <c r="BA7" s="78" t="s">
        <v>141</v>
      </c>
      <c r="BB7" s="78" t="s">
        <v>142</v>
      </c>
      <c r="BC7" s="78" t="s">
        <v>143</v>
      </c>
      <c r="BD7" s="78" t="s">
        <v>144</v>
      </c>
      <c r="BE7" s="78" t="s">
        <v>145</v>
      </c>
      <c r="BF7" s="78" t="s">
        <v>146</v>
      </c>
      <c r="BG7" s="78" t="s">
        <v>147</v>
      </c>
      <c r="BH7" s="78" t="s">
        <v>148</v>
      </c>
      <c r="BI7" s="78" t="s">
        <v>149</v>
      </c>
      <c r="BJ7" s="78" t="s">
        <v>150</v>
      </c>
      <c r="BK7" s="78" t="s">
        <v>33</v>
      </c>
      <c r="BL7" s="78" t="s">
        <v>151</v>
      </c>
      <c r="BM7" s="78" t="s">
        <v>152</v>
      </c>
      <c r="BN7" s="79" t="s">
        <v>137</v>
      </c>
      <c r="BO7" s="80" t="s">
        <v>153</v>
      </c>
    </row>
    <row r="8" spans="2:67">
      <c r="B8" s="81" t="s">
        <v>154</v>
      </c>
      <c r="C8" s="82"/>
      <c r="D8" s="82"/>
      <c r="E8" s="82"/>
      <c r="F8" s="82"/>
      <c r="G8" s="82"/>
      <c r="H8" s="82"/>
      <c r="I8" s="82"/>
      <c r="J8" s="82"/>
      <c r="K8" s="82"/>
      <c r="L8" s="82"/>
      <c r="M8" s="82"/>
      <c r="N8" s="82"/>
      <c r="O8" s="82"/>
      <c r="P8" s="82"/>
      <c r="Q8" s="82"/>
      <c r="R8" s="82"/>
      <c r="S8" s="82"/>
      <c r="T8" s="82"/>
      <c r="U8" s="82"/>
      <c r="V8" s="82"/>
      <c r="W8" s="82"/>
      <c r="X8" s="82"/>
      <c r="Y8" s="82"/>
      <c r="Z8" s="82"/>
      <c r="AA8" s="82"/>
      <c r="AB8" s="82"/>
      <c r="AC8" s="82"/>
      <c r="AD8" s="82"/>
      <c r="AE8" s="82"/>
      <c r="AF8" s="82"/>
      <c r="AG8" s="82"/>
      <c r="AH8" s="82"/>
      <c r="AI8" s="82"/>
      <c r="AJ8" s="82"/>
      <c r="AK8" s="82"/>
      <c r="AL8" s="82"/>
      <c r="AM8" s="82"/>
      <c r="AN8" s="82"/>
      <c r="AO8" s="82"/>
      <c r="AP8" s="82"/>
      <c r="AQ8" s="82"/>
      <c r="AR8" s="82"/>
      <c r="AS8" s="82"/>
      <c r="AT8" s="82"/>
      <c r="AU8" s="82"/>
      <c r="AV8" s="82"/>
      <c r="AW8" s="82"/>
      <c r="AX8" s="82"/>
      <c r="AY8" s="82"/>
      <c r="AZ8" s="82"/>
      <c r="BA8" s="82"/>
      <c r="BB8" s="82"/>
      <c r="BC8" s="82"/>
      <c r="BD8" s="82"/>
      <c r="BE8" s="82"/>
      <c r="BF8" s="82"/>
      <c r="BG8" s="82"/>
      <c r="BH8" s="82"/>
      <c r="BI8" s="82"/>
      <c r="BJ8" s="82"/>
      <c r="BK8" s="82"/>
      <c r="BL8" s="82"/>
      <c r="BM8" s="82"/>
      <c r="BN8" s="61"/>
      <c r="BO8" s="83"/>
    </row>
    <row r="9" spans="2:67">
      <c r="B9" s="84" t="s">
        <v>155</v>
      </c>
      <c r="C9" s="17"/>
      <c r="D9" s="17"/>
      <c r="E9" s="17"/>
      <c r="F9" s="17"/>
      <c r="G9" s="17"/>
      <c r="H9" s="17"/>
      <c r="I9" s="17"/>
      <c r="J9" s="17"/>
      <c r="K9" s="17"/>
      <c r="L9" s="17"/>
      <c r="M9" s="17"/>
      <c r="N9" s="17"/>
      <c r="O9" s="17"/>
      <c r="P9" s="17"/>
      <c r="Q9" s="17"/>
      <c r="R9" s="17"/>
      <c r="S9" s="17"/>
      <c r="T9" s="17"/>
      <c r="U9" s="17"/>
      <c r="V9" s="17"/>
      <c r="W9" s="17"/>
      <c r="X9" s="17"/>
      <c r="Y9" s="17"/>
      <c r="Z9" s="17"/>
      <c r="AA9" s="17"/>
      <c r="AB9" s="17"/>
      <c r="AC9" s="17"/>
      <c r="AD9" s="17"/>
      <c r="AE9" s="17"/>
      <c r="AF9" s="17"/>
      <c r="AG9" s="17"/>
      <c r="AH9" s="17"/>
      <c r="AI9" s="17"/>
      <c r="AJ9" s="17"/>
      <c r="AK9" s="17"/>
      <c r="AL9" s="17"/>
      <c r="AM9" s="17"/>
      <c r="AN9" s="17"/>
      <c r="AO9" s="17"/>
      <c r="AP9" s="17"/>
      <c r="AQ9" s="17"/>
      <c r="AR9" s="17"/>
      <c r="AS9" s="17"/>
      <c r="AT9" s="17"/>
      <c r="AU9" s="17"/>
      <c r="AV9" s="17"/>
      <c r="AW9" s="17"/>
      <c r="AX9" s="17"/>
      <c r="AY9" s="17"/>
      <c r="AZ9" s="17"/>
      <c r="BA9" s="17"/>
      <c r="BB9" s="17"/>
      <c r="BC9" s="17"/>
      <c r="BD9" s="17"/>
      <c r="BE9" s="17"/>
      <c r="BF9" s="17"/>
      <c r="BG9" s="17"/>
      <c r="BH9" s="17"/>
      <c r="BI9" s="17"/>
      <c r="BJ9" s="17"/>
      <c r="BK9" s="17"/>
      <c r="BL9" s="17"/>
      <c r="BM9" s="17"/>
      <c r="BN9" s="62"/>
      <c r="BO9" s="42"/>
    </row>
    <row r="10" spans="2:67">
      <c r="B10" s="84" t="s">
        <v>156</v>
      </c>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7"/>
      <c r="AI10" s="17"/>
      <c r="AJ10" s="17"/>
      <c r="AK10" s="17"/>
      <c r="AL10" s="17"/>
      <c r="AM10" s="17"/>
      <c r="AN10" s="17"/>
      <c r="AO10" s="17"/>
      <c r="AP10" s="17"/>
      <c r="AQ10" s="17"/>
      <c r="AR10" s="17"/>
      <c r="AS10" s="17"/>
      <c r="AT10" s="17"/>
      <c r="AU10" s="17"/>
      <c r="AV10" s="17"/>
      <c r="AW10" s="17"/>
      <c r="AX10" s="17"/>
      <c r="AY10" s="17"/>
      <c r="AZ10" s="17"/>
      <c r="BA10" s="17"/>
      <c r="BB10" s="17"/>
      <c r="BC10" s="17"/>
      <c r="BD10" s="17"/>
      <c r="BE10" s="17"/>
      <c r="BF10" s="17"/>
      <c r="BG10" s="17"/>
      <c r="BH10" s="17"/>
      <c r="BI10" s="17"/>
      <c r="BJ10" s="17"/>
      <c r="BK10" s="17"/>
      <c r="BL10" s="17"/>
      <c r="BM10" s="17"/>
      <c r="BN10" s="62"/>
      <c r="BO10" s="42"/>
    </row>
    <row r="11" spans="2:67">
      <c r="B11" s="84" t="s">
        <v>157</v>
      </c>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c r="BK11" s="17"/>
      <c r="BL11" s="17"/>
      <c r="BM11" s="17"/>
      <c r="BN11" s="62"/>
      <c r="BO11" s="42"/>
    </row>
    <row r="12" spans="2:67">
      <c r="B12" s="84" t="s">
        <v>158</v>
      </c>
      <c r="C12" s="17"/>
      <c r="D12" s="17"/>
      <c r="E12" s="17"/>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7"/>
      <c r="BA12" s="17"/>
      <c r="BB12" s="17"/>
      <c r="BC12" s="17"/>
      <c r="BD12" s="17"/>
      <c r="BE12" s="17"/>
      <c r="BF12" s="17"/>
      <c r="BG12" s="17"/>
      <c r="BH12" s="17"/>
      <c r="BI12" s="17"/>
      <c r="BJ12" s="17"/>
      <c r="BK12" s="17"/>
      <c r="BL12" s="17"/>
      <c r="BM12" s="17"/>
      <c r="BN12" s="62"/>
      <c r="BO12" s="42"/>
    </row>
    <row r="13" spans="2:67">
      <c r="B13" s="84" t="s">
        <v>159</v>
      </c>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7"/>
      <c r="BN13" s="62"/>
      <c r="BO13" s="42"/>
    </row>
    <row r="14" spans="2:67" ht="16" thickBot="1">
      <c r="B14" s="84" t="s">
        <v>160</v>
      </c>
      <c r="C14" s="17"/>
      <c r="D14" s="17"/>
      <c r="E14" s="17"/>
      <c r="F14" s="17"/>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7"/>
      <c r="AU14" s="17"/>
      <c r="AV14" s="17"/>
      <c r="AW14" s="17"/>
      <c r="AX14" s="17"/>
      <c r="AY14" s="17"/>
      <c r="AZ14" s="17"/>
      <c r="BA14" s="17"/>
      <c r="BB14" s="17"/>
      <c r="BC14" s="17"/>
      <c r="BD14" s="17"/>
      <c r="BE14" s="17"/>
      <c r="BF14" s="17"/>
      <c r="BG14" s="17"/>
      <c r="BH14" s="17"/>
      <c r="BI14" s="17"/>
      <c r="BJ14" s="17"/>
      <c r="BK14" s="17"/>
      <c r="BL14" s="17"/>
      <c r="BM14" s="17"/>
      <c r="BN14" s="62"/>
      <c r="BO14" s="42"/>
    </row>
    <row r="15" spans="2:67" ht="16" thickBot="1">
      <c r="B15" s="85" t="s">
        <v>161</v>
      </c>
      <c r="C15" s="86"/>
      <c r="D15" s="86"/>
      <c r="E15" s="86"/>
      <c r="F15" s="86"/>
      <c r="G15" s="86"/>
      <c r="H15" s="86"/>
      <c r="I15" s="86"/>
      <c r="J15" s="86"/>
      <c r="K15" s="86"/>
      <c r="L15" s="86"/>
      <c r="M15" s="86"/>
      <c r="N15" s="86"/>
      <c r="O15" s="86"/>
      <c r="P15" s="86"/>
      <c r="Q15" s="86"/>
      <c r="R15" s="86"/>
      <c r="S15" s="86"/>
      <c r="T15" s="86"/>
      <c r="U15" s="86"/>
      <c r="V15" s="86"/>
      <c r="W15" s="86"/>
      <c r="X15" s="204"/>
      <c r="Y15" s="86"/>
      <c r="Z15" s="86"/>
      <c r="AA15" s="86"/>
      <c r="AB15" s="86"/>
      <c r="AC15" s="86"/>
      <c r="AD15" s="86"/>
      <c r="AE15" s="86"/>
      <c r="AF15" s="86"/>
      <c r="AG15" s="86"/>
      <c r="AH15" s="86"/>
      <c r="AI15" s="86"/>
      <c r="AJ15" s="86"/>
      <c r="AK15" s="86"/>
      <c r="AL15" s="86"/>
      <c r="AM15" s="86"/>
      <c r="AN15" s="86"/>
      <c r="AO15" s="86"/>
      <c r="AP15" s="86"/>
      <c r="AQ15" s="86"/>
      <c r="AR15" s="86"/>
      <c r="AS15" s="86"/>
      <c r="AT15" s="86"/>
      <c r="AU15" s="86"/>
      <c r="AV15" s="86"/>
      <c r="AW15" s="86"/>
      <c r="AX15" s="86"/>
      <c r="AY15" s="86"/>
      <c r="AZ15" s="86"/>
      <c r="BA15" s="86"/>
      <c r="BB15" s="86"/>
      <c r="BC15" s="86"/>
      <c r="BD15" s="86"/>
      <c r="BE15" s="86"/>
      <c r="BF15" s="86"/>
      <c r="BG15" s="86"/>
      <c r="BH15" s="86"/>
      <c r="BI15" s="86"/>
      <c r="BJ15" s="86"/>
      <c r="BK15" s="86"/>
      <c r="BL15" s="86"/>
      <c r="BM15" s="86"/>
      <c r="BN15" s="87"/>
      <c r="BO15" s="88"/>
    </row>
    <row r="16" spans="2:67">
      <c r="B16" s="84" t="s">
        <v>162</v>
      </c>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7"/>
      <c r="AV16" s="17"/>
      <c r="AW16" s="17"/>
      <c r="AX16" s="17"/>
      <c r="AY16" s="17"/>
      <c r="AZ16" s="17"/>
      <c r="BA16" s="17"/>
      <c r="BB16" s="17"/>
      <c r="BC16" s="17"/>
      <c r="BD16" s="17"/>
      <c r="BE16" s="17"/>
      <c r="BF16" s="17"/>
      <c r="BG16" s="17"/>
      <c r="BH16" s="17"/>
      <c r="BI16" s="17"/>
      <c r="BJ16" s="17"/>
      <c r="BK16" s="17"/>
      <c r="BL16" s="17"/>
      <c r="BM16" s="17"/>
      <c r="BN16" s="62"/>
      <c r="BO16" s="42"/>
    </row>
    <row r="17" spans="2:67" ht="16" thickBot="1">
      <c r="B17" s="84" t="s">
        <v>163</v>
      </c>
      <c r="C17" s="17"/>
      <c r="D17" s="17"/>
      <c r="E17" s="17"/>
      <c r="F17" s="17"/>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c r="BJ17" s="17"/>
      <c r="BK17" s="17"/>
      <c r="BL17" s="17"/>
      <c r="BM17" s="17"/>
      <c r="BN17" s="62"/>
      <c r="BO17" s="42"/>
    </row>
    <row r="18" spans="2:67" ht="16" thickBot="1">
      <c r="B18" s="85" t="s">
        <v>164</v>
      </c>
      <c r="C18" s="86"/>
      <c r="D18" s="86"/>
      <c r="E18" s="86"/>
      <c r="F18" s="86"/>
      <c r="G18" s="86"/>
      <c r="H18" s="86"/>
      <c r="I18" s="86"/>
      <c r="J18" s="86"/>
      <c r="K18" s="86"/>
      <c r="L18" s="86"/>
      <c r="M18" s="86"/>
      <c r="N18" s="86"/>
      <c r="O18" s="86"/>
      <c r="P18" s="86"/>
      <c r="Q18" s="86"/>
      <c r="R18" s="86"/>
      <c r="S18" s="86"/>
      <c r="T18" s="86"/>
      <c r="U18" s="86"/>
      <c r="V18" s="86"/>
      <c r="W18" s="86"/>
      <c r="X18" s="86"/>
      <c r="Y18" s="86"/>
      <c r="Z18" s="86"/>
      <c r="AA18" s="86"/>
      <c r="AB18" s="86"/>
      <c r="AC18" s="86"/>
      <c r="AD18" s="86"/>
      <c r="AE18" s="86"/>
      <c r="AF18" s="86"/>
      <c r="AG18" s="86"/>
      <c r="AH18" s="86"/>
      <c r="AI18" s="86"/>
      <c r="AJ18" s="86"/>
      <c r="AK18" s="86"/>
      <c r="AL18" s="86"/>
      <c r="AM18" s="86"/>
      <c r="AN18" s="86"/>
      <c r="AO18" s="86"/>
      <c r="AP18" s="86"/>
      <c r="AQ18" s="86"/>
      <c r="AR18" s="86"/>
      <c r="AS18" s="86"/>
      <c r="AT18" s="86"/>
      <c r="AU18" s="86"/>
      <c r="AV18" s="86"/>
      <c r="AW18" s="86"/>
      <c r="AX18" s="86"/>
      <c r="AY18" s="86"/>
      <c r="AZ18" s="86"/>
      <c r="BA18" s="86"/>
      <c r="BB18" s="86"/>
      <c r="BC18" s="86"/>
      <c r="BD18" s="86"/>
      <c r="BE18" s="86"/>
      <c r="BF18" s="86"/>
      <c r="BG18" s="86"/>
      <c r="BH18" s="86"/>
      <c r="BI18" s="86"/>
      <c r="BJ18" s="86"/>
      <c r="BK18" s="86"/>
      <c r="BL18" s="86"/>
      <c r="BM18" s="86"/>
      <c r="BN18" s="87"/>
      <c r="BO18" s="88"/>
    </row>
    <row r="19" spans="2:67">
      <c r="B19" s="84" t="s">
        <v>165</v>
      </c>
      <c r="C19" s="17"/>
      <c r="D19" s="17"/>
      <c r="E19" s="17"/>
      <c r="F19" s="17"/>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7"/>
      <c r="AS19" s="17"/>
      <c r="AT19" s="17"/>
      <c r="AU19" s="17"/>
      <c r="AV19" s="17"/>
      <c r="AW19" s="17"/>
      <c r="AX19" s="17"/>
      <c r="AY19" s="17"/>
      <c r="AZ19" s="17"/>
      <c r="BA19" s="17"/>
      <c r="BB19" s="17"/>
      <c r="BC19" s="17"/>
      <c r="BD19" s="17"/>
      <c r="BE19" s="17"/>
      <c r="BF19" s="17"/>
      <c r="BG19" s="17"/>
      <c r="BH19" s="17"/>
      <c r="BI19" s="17"/>
      <c r="BJ19" s="17"/>
      <c r="BK19" s="17"/>
      <c r="BL19" s="17"/>
      <c r="BM19" s="17"/>
      <c r="BN19" s="62"/>
      <c r="BO19" s="42"/>
    </row>
    <row r="20" spans="2:67">
      <c r="B20" s="84" t="s">
        <v>166</v>
      </c>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7"/>
      <c r="AV20" s="17"/>
      <c r="AW20" s="17"/>
      <c r="AX20" s="17"/>
      <c r="AY20" s="17"/>
      <c r="AZ20" s="17"/>
      <c r="BA20" s="17"/>
      <c r="BB20" s="17"/>
      <c r="BC20" s="17"/>
      <c r="BD20" s="17"/>
      <c r="BE20" s="17"/>
      <c r="BF20" s="17"/>
      <c r="BG20" s="17"/>
      <c r="BH20" s="17"/>
      <c r="BI20" s="17"/>
      <c r="BJ20" s="17"/>
      <c r="BK20" s="17"/>
      <c r="BL20" s="17"/>
      <c r="BM20" s="17"/>
      <c r="BN20" s="62"/>
      <c r="BO20" s="42"/>
    </row>
    <row r="21" spans="2:67">
      <c r="B21" s="84" t="s">
        <v>167</v>
      </c>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c r="BJ21" s="17"/>
      <c r="BK21" s="17"/>
      <c r="BL21" s="17"/>
      <c r="BM21" s="17"/>
      <c r="BN21" s="62"/>
      <c r="BO21" s="42"/>
    </row>
    <row r="22" spans="2:67">
      <c r="B22" s="84" t="s">
        <v>168</v>
      </c>
      <c r="C22" s="17"/>
      <c r="D22" s="17"/>
      <c r="E22" s="17"/>
      <c r="F22" s="17"/>
      <c r="G22" s="17"/>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7"/>
      <c r="AV22" s="17"/>
      <c r="AW22" s="17"/>
      <c r="AX22" s="17"/>
      <c r="AY22" s="17"/>
      <c r="AZ22" s="17"/>
      <c r="BA22" s="17"/>
      <c r="BB22" s="17"/>
      <c r="BC22" s="17"/>
      <c r="BD22" s="17"/>
      <c r="BE22" s="17"/>
      <c r="BF22" s="17"/>
      <c r="BG22" s="17"/>
      <c r="BH22" s="17"/>
      <c r="BI22" s="17"/>
      <c r="BJ22" s="17"/>
      <c r="BK22" s="17"/>
      <c r="BL22" s="17"/>
      <c r="BM22" s="17"/>
      <c r="BN22" s="62"/>
      <c r="BO22" s="42"/>
    </row>
    <row r="23" spans="2:67">
      <c r="B23" s="84" t="s">
        <v>169</v>
      </c>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c r="AW23" s="17"/>
      <c r="AX23" s="17"/>
      <c r="AY23" s="17"/>
      <c r="AZ23" s="17"/>
      <c r="BA23" s="17"/>
      <c r="BB23" s="17"/>
      <c r="BC23" s="17"/>
      <c r="BD23" s="17"/>
      <c r="BE23" s="17"/>
      <c r="BF23" s="17"/>
      <c r="BG23" s="17"/>
      <c r="BH23" s="17"/>
      <c r="BI23" s="17"/>
      <c r="BJ23" s="17"/>
      <c r="BK23" s="17"/>
      <c r="BL23" s="17"/>
      <c r="BM23" s="17"/>
      <c r="BN23" s="62"/>
      <c r="BO23" s="42"/>
    </row>
    <row r="24" spans="2:67">
      <c r="B24" s="89" t="s">
        <v>170</v>
      </c>
      <c r="C24" s="45"/>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5"/>
      <c r="AT24" s="45"/>
      <c r="AU24" s="45"/>
      <c r="AV24" s="45"/>
      <c r="AW24" s="45"/>
      <c r="AX24" s="45"/>
      <c r="AY24" s="45"/>
      <c r="AZ24" s="45"/>
      <c r="BA24" s="45"/>
      <c r="BB24" s="45"/>
      <c r="BC24" s="45"/>
      <c r="BD24" s="45"/>
      <c r="BE24" s="45"/>
      <c r="BF24" s="45"/>
      <c r="BG24" s="45"/>
      <c r="BH24" s="45"/>
      <c r="BI24" s="45"/>
      <c r="BJ24" s="45"/>
      <c r="BK24" s="45"/>
      <c r="BL24" s="45"/>
      <c r="BM24" s="45"/>
      <c r="BN24" s="90"/>
      <c r="BO24" s="46"/>
    </row>
    <row r="25" spans="2:67">
      <c r="B25" s="84" t="s">
        <v>171</v>
      </c>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62"/>
      <c r="BO25" s="42"/>
    </row>
    <row r="26" spans="2:67">
      <c r="B26" s="84" t="s">
        <v>172</v>
      </c>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7"/>
      <c r="AS26" s="17"/>
      <c r="AT26" s="17"/>
      <c r="AU26" s="17"/>
      <c r="AV26" s="17"/>
      <c r="AW26" s="17"/>
      <c r="AX26" s="17"/>
      <c r="AY26" s="17"/>
      <c r="AZ26" s="17"/>
      <c r="BA26" s="17"/>
      <c r="BB26" s="17"/>
      <c r="BC26" s="17"/>
      <c r="BD26" s="17"/>
      <c r="BE26" s="17"/>
      <c r="BF26" s="17"/>
      <c r="BG26" s="17"/>
      <c r="BH26" s="17"/>
      <c r="BI26" s="17"/>
      <c r="BJ26" s="17"/>
      <c r="BK26" s="17"/>
      <c r="BL26" s="17"/>
      <c r="BM26" s="17"/>
      <c r="BN26" s="62"/>
      <c r="BO26" s="42"/>
    </row>
    <row r="27" spans="2:67">
      <c r="B27" s="84" t="s">
        <v>173</v>
      </c>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c r="AS27" s="17"/>
      <c r="AT27" s="17"/>
      <c r="AU27" s="17"/>
      <c r="AV27" s="17"/>
      <c r="AW27" s="17"/>
      <c r="AX27" s="17"/>
      <c r="AY27" s="17"/>
      <c r="AZ27" s="17"/>
      <c r="BA27" s="17"/>
      <c r="BB27" s="17"/>
      <c r="BC27" s="17"/>
      <c r="BD27" s="17"/>
      <c r="BE27" s="17"/>
      <c r="BF27" s="17"/>
      <c r="BG27" s="17"/>
      <c r="BH27" s="17"/>
      <c r="BI27" s="17"/>
      <c r="BJ27" s="17"/>
      <c r="BK27" s="17"/>
      <c r="BL27" s="17"/>
      <c r="BM27" s="17"/>
      <c r="BN27" s="62"/>
      <c r="BO27" s="42"/>
    </row>
    <row r="28" spans="2:67">
      <c r="B28" s="84" t="s">
        <v>355</v>
      </c>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7"/>
      <c r="BA28" s="17"/>
      <c r="BB28" s="17"/>
      <c r="BC28" s="17"/>
      <c r="BD28" s="17"/>
      <c r="BE28" s="17"/>
      <c r="BF28" s="17"/>
      <c r="BG28" s="17"/>
      <c r="BH28" s="17"/>
      <c r="BI28" s="17"/>
      <c r="BJ28" s="17"/>
      <c r="BK28" s="17"/>
      <c r="BL28" s="17"/>
      <c r="BM28" s="17"/>
      <c r="BN28" s="62"/>
      <c r="BO28" s="42"/>
    </row>
    <row r="29" spans="2:67">
      <c r="B29" s="84" t="s">
        <v>356</v>
      </c>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c r="BM29" s="17"/>
      <c r="BN29" s="62"/>
      <c r="BO29" s="42"/>
    </row>
    <row r="30" spans="2:67">
      <c r="B30" s="84" t="s">
        <v>357</v>
      </c>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7"/>
      <c r="AH30" s="17"/>
      <c r="AI30" s="17"/>
      <c r="AJ30" s="17"/>
      <c r="AK30" s="17"/>
      <c r="AL30" s="17"/>
      <c r="AM30" s="17"/>
      <c r="AN30" s="17"/>
      <c r="AO30" s="17"/>
      <c r="AP30" s="17"/>
      <c r="AQ30" s="17"/>
      <c r="AR30" s="17"/>
      <c r="AS30" s="17"/>
      <c r="AT30" s="17"/>
      <c r="AU30" s="17"/>
      <c r="AV30" s="17"/>
      <c r="AW30" s="17"/>
      <c r="AX30" s="17"/>
      <c r="AY30" s="17"/>
      <c r="AZ30" s="17"/>
      <c r="BA30" s="17"/>
      <c r="BB30" s="17"/>
      <c r="BC30" s="17"/>
      <c r="BD30" s="17"/>
      <c r="BE30" s="17"/>
      <c r="BF30" s="17"/>
      <c r="BG30" s="17"/>
      <c r="BH30" s="17"/>
      <c r="BI30" s="17"/>
      <c r="BJ30" s="17"/>
      <c r="BK30" s="17"/>
      <c r="BL30" s="17"/>
      <c r="BM30" s="17"/>
      <c r="BN30" s="62"/>
      <c r="BO30" s="42"/>
    </row>
    <row r="31" spans="2:67">
      <c r="B31" s="84" t="s">
        <v>358</v>
      </c>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c r="AH31" s="17"/>
      <c r="AI31" s="17"/>
      <c r="AJ31" s="17"/>
      <c r="AK31" s="17"/>
      <c r="AL31" s="17"/>
      <c r="AM31" s="17"/>
      <c r="AN31" s="17"/>
      <c r="AO31" s="17"/>
      <c r="AP31" s="17"/>
      <c r="AQ31" s="17"/>
      <c r="AR31" s="17"/>
      <c r="AS31" s="17"/>
      <c r="AT31" s="17"/>
      <c r="AU31" s="17"/>
      <c r="AV31" s="17"/>
      <c r="AW31" s="17"/>
      <c r="AX31" s="17"/>
      <c r="AY31" s="17"/>
      <c r="AZ31" s="17"/>
      <c r="BA31" s="17"/>
      <c r="BB31" s="17"/>
      <c r="BC31" s="17"/>
      <c r="BD31" s="17"/>
      <c r="BE31" s="17"/>
      <c r="BF31" s="17"/>
      <c r="BG31" s="17"/>
      <c r="BH31" s="17"/>
      <c r="BI31" s="17"/>
      <c r="BJ31" s="17"/>
      <c r="BK31" s="17"/>
      <c r="BL31" s="17"/>
      <c r="BM31" s="17"/>
      <c r="BN31" s="62"/>
      <c r="BO31" s="42"/>
    </row>
    <row r="32" spans="2:67">
      <c r="B32" s="84" t="s">
        <v>359</v>
      </c>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c r="AH32" s="17"/>
      <c r="AI32" s="17"/>
      <c r="AJ32" s="17"/>
      <c r="AK32" s="17"/>
      <c r="AL32" s="17"/>
      <c r="AM32" s="17"/>
      <c r="AN32" s="17"/>
      <c r="AO32" s="17"/>
      <c r="AP32" s="17"/>
      <c r="AQ32" s="17"/>
      <c r="AR32" s="17"/>
      <c r="AS32" s="17"/>
      <c r="AT32" s="17"/>
      <c r="AU32" s="17"/>
      <c r="AV32" s="17"/>
      <c r="AW32" s="17"/>
      <c r="AX32" s="17"/>
      <c r="AY32" s="17"/>
      <c r="AZ32" s="17"/>
      <c r="BA32" s="17"/>
      <c r="BB32" s="17"/>
      <c r="BC32" s="17"/>
      <c r="BD32" s="17"/>
      <c r="BE32" s="17"/>
      <c r="BF32" s="17"/>
      <c r="BG32" s="17"/>
      <c r="BH32" s="17"/>
      <c r="BI32" s="17"/>
      <c r="BJ32" s="17"/>
      <c r="BK32" s="17"/>
      <c r="BL32" s="17"/>
      <c r="BM32" s="17"/>
      <c r="BN32" s="62"/>
      <c r="BO32" s="42"/>
    </row>
    <row r="33" spans="2:67">
      <c r="B33" s="84" t="s">
        <v>360</v>
      </c>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7"/>
      <c r="BN33" s="62"/>
      <c r="BO33" s="42"/>
    </row>
    <row r="34" spans="2:67">
      <c r="B34" s="84" t="s">
        <v>174</v>
      </c>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c r="BJ34" s="17"/>
      <c r="BK34" s="17"/>
      <c r="BL34" s="17"/>
      <c r="BM34" s="17"/>
      <c r="BN34" s="62"/>
      <c r="BO34" s="42"/>
    </row>
    <row r="35" spans="2:67">
      <c r="B35" s="84" t="s">
        <v>361</v>
      </c>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7"/>
      <c r="BL35" s="17"/>
      <c r="BM35" s="17"/>
      <c r="BN35" s="62"/>
      <c r="BO35" s="42"/>
    </row>
    <row r="36" spans="2:67">
      <c r="B36" s="84" t="s">
        <v>362</v>
      </c>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7"/>
      <c r="AV36" s="17"/>
      <c r="AW36" s="17"/>
      <c r="AX36" s="17"/>
      <c r="AY36" s="17"/>
      <c r="AZ36" s="17"/>
      <c r="BA36" s="17"/>
      <c r="BB36" s="17"/>
      <c r="BC36" s="17"/>
      <c r="BD36" s="17"/>
      <c r="BE36" s="17"/>
      <c r="BF36" s="17"/>
      <c r="BG36" s="17"/>
      <c r="BH36" s="17"/>
      <c r="BI36" s="17"/>
      <c r="BJ36" s="17"/>
      <c r="BK36" s="17"/>
      <c r="BL36" s="17"/>
      <c r="BM36" s="17"/>
      <c r="BN36" s="62"/>
      <c r="BO36" s="42"/>
    </row>
    <row r="37" spans="2:67">
      <c r="B37" s="84" t="s">
        <v>175</v>
      </c>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7"/>
      <c r="BN37" s="62"/>
      <c r="BO37" s="42"/>
    </row>
    <row r="38" spans="2:67">
      <c r="B38" s="84" t="s">
        <v>176</v>
      </c>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c r="AC38" s="17"/>
      <c r="AD38" s="17"/>
      <c r="AE38" s="17"/>
      <c r="AF38" s="17"/>
      <c r="AG38" s="17"/>
      <c r="AH38" s="17"/>
      <c r="AI38" s="17"/>
      <c r="AJ38" s="17"/>
      <c r="AK38" s="17"/>
      <c r="AL38" s="17"/>
      <c r="AM38" s="17"/>
      <c r="AN38" s="17"/>
      <c r="AO38" s="17"/>
      <c r="AP38" s="17"/>
      <c r="AQ38" s="17"/>
      <c r="AR38" s="17"/>
      <c r="AS38" s="17"/>
      <c r="AT38" s="17"/>
      <c r="AU38" s="17"/>
      <c r="AV38" s="17"/>
      <c r="AW38" s="17"/>
      <c r="AX38" s="17"/>
      <c r="AY38" s="17"/>
      <c r="AZ38" s="17"/>
      <c r="BA38" s="17"/>
      <c r="BB38" s="17"/>
      <c r="BC38" s="17"/>
      <c r="BD38" s="17"/>
      <c r="BE38" s="17"/>
      <c r="BF38" s="17"/>
      <c r="BG38" s="17"/>
      <c r="BH38" s="17"/>
      <c r="BI38" s="17"/>
      <c r="BJ38" s="17"/>
      <c r="BK38" s="17"/>
      <c r="BL38" s="17"/>
      <c r="BM38" s="17"/>
      <c r="BN38" s="62"/>
      <c r="BO38" s="42"/>
    </row>
    <row r="39" spans="2:67" ht="16" thickBot="1">
      <c r="B39" s="84" t="s">
        <v>177</v>
      </c>
      <c r="C39" s="17"/>
      <c r="D39" s="17"/>
      <c r="E39" s="17"/>
      <c r="F39" s="17"/>
      <c r="G39" s="17"/>
      <c r="H39" s="17"/>
      <c r="I39" s="17"/>
      <c r="J39" s="17"/>
      <c r="K39" s="17"/>
      <c r="L39" s="17"/>
      <c r="M39" s="17"/>
      <c r="N39" s="17"/>
      <c r="O39" s="17"/>
      <c r="P39" s="17"/>
      <c r="Q39" s="17"/>
      <c r="R39" s="17"/>
      <c r="S39" s="17"/>
      <c r="T39" s="17"/>
      <c r="U39" s="17"/>
      <c r="V39" s="17"/>
      <c r="W39" s="17"/>
      <c r="X39" s="17"/>
      <c r="Y39" s="17"/>
      <c r="Z39" s="17"/>
      <c r="AA39" s="17"/>
      <c r="AB39" s="17"/>
      <c r="AC39" s="17"/>
      <c r="AD39" s="17"/>
      <c r="AE39" s="17"/>
      <c r="AF39" s="17"/>
      <c r="AG39" s="17"/>
      <c r="AH39" s="17"/>
      <c r="AI39" s="17"/>
      <c r="AJ39" s="17"/>
      <c r="AK39" s="17"/>
      <c r="AL39" s="17"/>
      <c r="AM39" s="17"/>
      <c r="AN39" s="17"/>
      <c r="AO39" s="17"/>
      <c r="AP39" s="17"/>
      <c r="AQ39" s="17"/>
      <c r="AR39" s="17"/>
      <c r="AS39" s="17"/>
      <c r="AT39" s="17"/>
      <c r="AU39" s="17"/>
      <c r="AV39" s="17"/>
      <c r="AW39" s="17"/>
      <c r="AX39" s="17"/>
      <c r="AY39" s="17"/>
      <c r="AZ39" s="17"/>
      <c r="BA39" s="17"/>
      <c r="BB39" s="17"/>
      <c r="BC39" s="17"/>
      <c r="BD39" s="17"/>
      <c r="BE39" s="17"/>
      <c r="BF39" s="17"/>
      <c r="BG39" s="17"/>
      <c r="BH39" s="17"/>
      <c r="BI39" s="17"/>
      <c r="BJ39" s="17"/>
      <c r="BK39" s="17"/>
      <c r="BL39" s="17"/>
      <c r="BM39" s="17"/>
      <c r="BN39" s="62"/>
      <c r="BO39" s="42"/>
    </row>
    <row r="40" spans="2:67" ht="16" thickBot="1">
      <c r="B40" s="85" t="s">
        <v>178</v>
      </c>
      <c r="C40" s="86"/>
      <c r="D40" s="86"/>
      <c r="E40" s="86"/>
      <c r="F40" s="86"/>
      <c r="G40" s="86"/>
      <c r="H40" s="86"/>
      <c r="I40" s="86"/>
      <c r="J40" s="86"/>
      <c r="K40" s="86"/>
      <c r="L40" s="86"/>
      <c r="M40" s="86"/>
      <c r="N40" s="86"/>
      <c r="O40" s="86"/>
      <c r="P40" s="86"/>
      <c r="Q40" s="86"/>
      <c r="R40" s="86"/>
      <c r="S40" s="86"/>
      <c r="T40" s="86"/>
      <c r="U40" s="86"/>
      <c r="V40" s="86"/>
      <c r="W40" s="86"/>
      <c r="X40" s="86"/>
      <c r="Y40" s="86"/>
      <c r="Z40" s="86"/>
      <c r="AA40" s="86"/>
      <c r="AB40" s="86"/>
      <c r="AC40" s="86"/>
      <c r="AD40" s="86"/>
      <c r="AE40" s="86"/>
      <c r="AF40" s="86"/>
      <c r="AG40" s="86"/>
      <c r="AH40" s="86"/>
      <c r="AI40" s="86"/>
      <c r="AJ40" s="86"/>
      <c r="AK40" s="86"/>
      <c r="AL40" s="86"/>
      <c r="AM40" s="86"/>
      <c r="AN40" s="86"/>
      <c r="AO40" s="86"/>
      <c r="AP40" s="86"/>
      <c r="AQ40" s="86"/>
      <c r="AR40" s="86"/>
      <c r="AS40" s="86"/>
      <c r="AT40" s="86"/>
      <c r="AU40" s="86"/>
      <c r="AV40" s="86"/>
      <c r="AW40" s="86"/>
      <c r="AX40" s="86"/>
      <c r="AY40" s="86"/>
      <c r="AZ40" s="86"/>
      <c r="BA40" s="86"/>
      <c r="BB40" s="86"/>
      <c r="BC40" s="86"/>
      <c r="BD40" s="86"/>
      <c r="BE40" s="86"/>
      <c r="BF40" s="86"/>
      <c r="BG40" s="86"/>
      <c r="BH40" s="86"/>
      <c r="BI40" s="86"/>
      <c r="BJ40" s="86"/>
      <c r="BK40" s="86"/>
      <c r="BL40" s="86"/>
      <c r="BM40" s="86"/>
      <c r="BN40" s="87"/>
      <c r="BO40" s="88"/>
    </row>
    <row r="41" spans="2:67">
      <c r="B41" s="84" t="s">
        <v>179</v>
      </c>
      <c r="C41" s="17"/>
      <c r="D41" s="17"/>
      <c r="E41" s="17"/>
      <c r="F41" s="17"/>
      <c r="G41" s="17"/>
      <c r="H41" s="17"/>
      <c r="I41" s="17"/>
      <c r="J41" s="17"/>
      <c r="K41" s="17"/>
      <c r="L41" s="17"/>
      <c r="M41" s="17"/>
      <c r="N41" s="17"/>
      <c r="O41" s="17"/>
      <c r="P41" s="17"/>
      <c r="Q41" s="17"/>
      <c r="R41" s="17"/>
      <c r="S41" s="17"/>
      <c r="T41" s="17"/>
      <c r="U41" s="17"/>
      <c r="V41" s="17"/>
      <c r="W41" s="17"/>
      <c r="X41" s="17"/>
      <c r="Y41" s="17"/>
      <c r="Z41" s="17"/>
      <c r="AA41" s="17"/>
      <c r="AB41" s="17"/>
      <c r="AC41" s="17"/>
      <c r="AD41" s="17"/>
      <c r="AE41" s="17"/>
      <c r="AF41" s="17"/>
      <c r="AG41" s="17"/>
      <c r="AH41" s="17"/>
      <c r="AI41" s="17"/>
      <c r="AJ41" s="17"/>
      <c r="AK41" s="17"/>
      <c r="AL41" s="17"/>
      <c r="AM41" s="17"/>
      <c r="AN41" s="17"/>
      <c r="AO41" s="17"/>
      <c r="AP41" s="17"/>
      <c r="AQ41" s="17"/>
      <c r="AR41" s="17"/>
      <c r="AS41" s="17"/>
      <c r="AT41" s="17"/>
      <c r="AU41" s="17"/>
      <c r="AV41" s="17"/>
      <c r="AW41" s="17"/>
      <c r="AX41" s="17"/>
      <c r="AY41" s="17"/>
      <c r="AZ41" s="17"/>
      <c r="BA41" s="17"/>
      <c r="BB41" s="17"/>
      <c r="BC41" s="17"/>
      <c r="BD41" s="17"/>
      <c r="BE41" s="17"/>
      <c r="BF41" s="17"/>
      <c r="BG41" s="17"/>
      <c r="BH41" s="17"/>
      <c r="BI41" s="17"/>
      <c r="BJ41" s="17"/>
      <c r="BK41" s="17"/>
      <c r="BL41" s="17"/>
      <c r="BM41" s="17"/>
      <c r="BN41" s="62"/>
      <c r="BO41" s="42"/>
    </row>
    <row r="42" spans="2:67">
      <c r="B42" s="84" t="s">
        <v>180</v>
      </c>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7"/>
      <c r="BM42" s="17"/>
      <c r="BN42" s="62"/>
      <c r="BO42" s="42"/>
    </row>
    <row r="43" spans="2:67">
      <c r="B43" s="84" t="s">
        <v>363</v>
      </c>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17"/>
      <c r="AV43" s="17"/>
      <c r="AW43" s="17"/>
      <c r="AX43" s="17"/>
      <c r="AY43" s="17"/>
      <c r="AZ43" s="17"/>
      <c r="BA43" s="17"/>
      <c r="BB43" s="17"/>
      <c r="BC43" s="17"/>
      <c r="BD43" s="17"/>
      <c r="BE43" s="17"/>
      <c r="BF43" s="17"/>
      <c r="BG43" s="17"/>
      <c r="BH43" s="17"/>
      <c r="BI43" s="17"/>
      <c r="BJ43" s="17"/>
      <c r="BK43" s="17"/>
      <c r="BL43" s="17"/>
      <c r="BM43" s="17"/>
      <c r="BN43" s="62"/>
      <c r="BO43" s="42"/>
    </row>
    <row r="44" spans="2:67">
      <c r="B44" s="84" t="s">
        <v>364</v>
      </c>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c r="AW44" s="17"/>
      <c r="AX44" s="17"/>
      <c r="AY44" s="17"/>
      <c r="AZ44" s="17"/>
      <c r="BA44" s="17"/>
      <c r="BB44" s="17"/>
      <c r="BC44" s="17"/>
      <c r="BD44" s="17"/>
      <c r="BE44" s="17"/>
      <c r="BF44" s="17"/>
      <c r="BG44" s="17"/>
      <c r="BH44" s="17"/>
      <c r="BI44" s="17"/>
      <c r="BJ44" s="17"/>
      <c r="BK44" s="17"/>
      <c r="BL44" s="17"/>
      <c r="BM44" s="17"/>
      <c r="BN44" s="62"/>
      <c r="BO44" s="42"/>
    </row>
    <row r="45" spans="2:67">
      <c r="B45" s="84" t="s">
        <v>181</v>
      </c>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17"/>
      <c r="BH45" s="17"/>
      <c r="BI45" s="17"/>
      <c r="BJ45" s="17"/>
      <c r="BK45" s="17"/>
      <c r="BL45" s="17"/>
      <c r="BM45" s="17"/>
      <c r="BN45" s="62"/>
      <c r="BO45" s="42"/>
    </row>
    <row r="46" spans="2:67">
      <c r="B46" s="84" t="s">
        <v>365</v>
      </c>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c r="AC46" s="17"/>
      <c r="AD46" s="17"/>
      <c r="AE46" s="17"/>
      <c r="AF46" s="17"/>
      <c r="AG46" s="17"/>
      <c r="AH46" s="17"/>
      <c r="AI46" s="17"/>
      <c r="AJ46" s="17"/>
      <c r="AK46" s="17"/>
      <c r="AL46" s="17"/>
      <c r="AM46" s="17"/>
      <c r="AN46" s="17"/>
      <c r="AO46" s="17"/>
      <c r="AP46" s="17"/>
      <c r="AQ46" s="17"/>
      <c r="AR46" s="17"/>
      <c r="AS46" s="17"/>
      <c r="AT46" s="17"/>
      <c r="AU46" s="17"/>
      <c r="AV46" s="17"/>
      <c r="AW46" s="17"/>
      <c r="AX46" s="17"/>
      <c r="AY46" s="17"/>
      <c r="AZ46" s="17"/>
      <c r="BA46" s="17"/>
      <c r="BB46" s="17"/>
      <c r="BC46" s="17"/>
      <c r="BD46" s="17"/>
      <c r="BE46" s="17"/>
      <c r="BF46" s="17"/>
      <c r="BG46" s="17"/>
      <c r="BH46" s="17"/>
      <c r="BI46" s="17"/>
      <c r="BJ46" s="17"/>
      <c r="BK46" s="17"/>
      <c r="BL46" s="17"/>
      <c r="BM46" s="17"/>
      <c r="BN46" s="62"/>
      <c r="BO46" s="42"/>
    </row>
    <row r="47" spans="2:67">
      <c r="B47" s="84" t="s">
        <v>366</v>
      </c>
      <c r="C47" s="17"/>
      <c r="D47" s="17"/>
      <c r="E47" s="17"/>
      <c r="F47" s="17"/>
      <c r="G47" s="17"/>
      <c r="H47" s="17"/>
      <c r="I47" s="17"/>
      <c r="J47" s="17"/>
      <c r="K47" s="17"/>
      <c r="L47" s="17"/>
      <c r="M47" s="17"/>
      <c r="N47" s="17"/>
      <c r="O47" s="17"/>
      <c r="P47" s="17"/>
      <c r="Q47" s="17"/>
      <c r="R47" s="17"/>
      <c r="S47" s="17"/>
      <c r="T47" s="17"/>
      <c r="U47" s="17"/>
      <c r="V47" s="17"/>
      <c r="W47" s="17"/>
      <c r="X47" s="17"/>
      <c r="Y47" s="17"/>
      <c r="Z47" s="17"/>
      <c r="AA47" s="17"/>
      <c r="AB47" s="17"/>
      <c r="AC47" s="17"/>
      <c r="AD47" s="17"/>
      <c r="AE47" s="17"/>
      <c r="AF47" s="17"/>
      <c r="AG47" s="17"/>
      <c r="AH47" s="17"/>
      <c r="AI47" s="17"/>
      <c r="AJ47" s="17"/>
      <c r="AK47" s="17"/>
      <c r="AL47" s="17"/>
      <c r="AM47" s="17"/>
      <c r="AN47" s="17"/>
      <c r="AO47" s="17"/>
      <c r="AP47" s="17"/>
      <c r="AQ47" s="17"/>
      <c r="AR47" s="17"/>
      <c r="AS47" s="17"/>
      <c r="AT47" s="17"/>
      <c r="AU47" s="17"/>
      <c r="AV47" s="17"/>
      <c r="AW47" s="17"/>
      <c r="AX47" s="17"/>
      <c r="AY47" s="17"/>
      <c r="AZ47" s="17"/>
      <c r="BA47" s="17"/>
      <c r="BB47" s="17"/>
      <c r="BC47" s="17"/>
      <c r="BD47" s="17"/>
      <c r="BE47" s="17"/>
      <c r="BF47" s="17"/>
      <c r="BG47" s="17"/>
      <c r="BH47" s="17"/>
      <c r="BI47" s="17"/>
      <c r="BJ47" s="17"/>
      <c r="BK47" s="17"/>
      <c r="BL47" s="17"/>
      <c r="BM47" s="17"/>
      <c r="BN47" s="62"/>
      <c r="BO47" s="42"/>
    </row>
    <row r="48" spans="2:67">
      <c r="B48" s="84" t="s">
        <v>367</v>
      </c>
      <c r="C48" s="17"/>
      <c r="D48" s="17"/>
      <c r="E48" s="17"/>
      <c r="F48" s="17"/>
      <c r="G48" s="17"/>
      <c r="H48" s="17"/>
      <c r="I48" s="17"/>
      <c r="J48" s="17"/>
      <c r="K48" s="17"/>
      <c r="L48" s="17"/>
      <c r="M48" s="17"/>
      <c r="N48" s="17"/>
      <c r="O48" s="17"/>
      <c r="P48" s="17"/>
      <c r="Q48" s="17"/>
      <c r="R48" s="17"/>
      <c r="S48" s="17"/>
      <c r="T48" s="17"/>
      <c r="U48" s="17"/>
      <c r="V48" s="17"/>
      <c r="W48" s="17"/>
      <c r="X48" s="17"/>
      <c r="Y48" s="17"/>
      <c r="Z48" s="17"/>
      <c r="AA48" s="17"/>
      <c r="AB48" s="17"/>
      <c r="AC48" s="17"/>
      <c r="AD48" s="17"/>
      <c r="AE48" s="17"/>
      <c r="AF48" s="17"/>
      <c r="AG48" s="17"/>
      <c r="AH48" s="17"/>
      <c r="AI48" s="17"/>
      <c r="AJ48" s="17"/>
      <c r="AK48" s="17"/>
      <c r="AL48" s="17"/>
      <c r="AM48" s="17"/>
      <c r="AN48" s="17"/>
      <c r="AO48" s="17"/>
      <c r="AP48" s="17"/>
      <c r="AQ48" s="17"/>
      <c r="AR48" s="17"/>
      <c r="AS48" s="17"/>
      <c r="AT48" s="17"/>
      <c r="AU48" s="17"/>
      <c r="AV48" s="17"/>
      <c r="AW48" s="17"/>
      <c r="AX48" s="17"/>
      <c r="AY48" s="17"/>
      <c r="AZ48" s="17"/>
      <c r="BA48" s="17"/>
      <c r="BB48" s="17"/>
      <c r="BC48" s="17"/>
      <c r="BD48" s="17"/>
      <c r="BE48" s="17"/>
      <c r="BF48" s="17"/>
      <c r="BG48" s="17"/>
      <c r="BH48" s="17"/>
      <c r="BI48" s="17"/>
      <c r="BJ48" s="17"/>
      <c r="BK48" s="17"/>
      <c r="BL48" s="17"/>
      <c r="BM48" s="17"/>
      <c r="BN48" s="62"/>
      <c r="BO48" s="42"/>
    </row>
    <row r="49" spans="2:67">
      <c r="B49" s="84" t="s">
        <v>368</v>
      </c>
      <c r="C49" s="17"/>
      <c r="D49" s="17"/>
      <c r="E49" s="17"/>
      <c r="F49" s="17"/>
      <c r="G49" s="17"/>
      <c r="H49" s="17"/>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7"/>
      <c r="AW49" s="17"/>
      <c r="AX49" s="17"/>
      <c r="AY49" s="17"/>
      <c r="AZ49" s="17"/>
      <c r="BA49" s="17"/>
      <c r="BB49" s="17"/>
      <c r="BC49" s="17"/>
      <c r="BD49" s="17"/>
      <c r="BE49" s="17"/>
      <c r="BF49" s="17"/>
      <c r="BG49" s="17"/>
      <c r="BH49" s="17"/>
      <c r="BI49" s="17"/>
      <c r="BJ49" s="17"/>
      <c r="BK49" s="17"/>
      <c r="BL49" s="17"/>
      <c r="BM49" s="17"/>
      <c r="BN49" s="62"/>
      <c r="BO49" s="42"/>
    </row>
    <row r="50" spans="2:67">
      <c r="B50" s="84" t="s">
        <v>369</v>
      </c>
      <c r="C50" s="17"/>
      <c r="D50" s="17"/>
      <c r="E50" s="17"/>
      <c r="F50" s="17"/>
      <c r="G50" s="17"/>
      <c r="H50" s="17"/>
      <c r="I50" s="17"/>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7"/>
      <c r="AI50" s="17"/>
      <c r="AJ50" s="17"/>
      <c r="AK50" s="17"/>
      <c r="AL50" s="17"/>
      <c r="AM50" s="17"/>
      <c r="AN50" s="17"/>
      <c r="AO50" s="17"/>
      <c r="AP50" s="17"/>
      <c r="AQ50" s="17"/>
      <c r="AR50" s="17"/>
      <c r="AS50" s="17"/>
      <c r="AT50" s="17"/>
      <c r="AU50" s="17"/>
      <c r="AV50" s="17"/>
      <c r="AW50" s="17"/>
      <c r="AX50" s="17"/>
      <c r="AY50" s="17"/>
      <c r="AZ50" s="17"/>
      <c r="BA50" s="17"/>
      <c r="BB50" s="17"/>
      <c r="BC50" s="17"/>
      <c r="BD50" s="17"/>
      <c r="BE50" s="17"/>
      <c r="BF50" s="17"/>
      <c r="BG50" s="17"/>
      <c r="BH50" s="17"/>
      <c r="BI50" s="17"/>
      <c r="BJ50" s="17"/>
      <c r="BK50" s="17"/>
      <c r="BL50" s="17"/>
      <c r="BM50" s="17"/>
      <c r="BN50" s="62"/>
      <c r="BO50" s="42"/>
    </row>
    <row r="51" spans="2:67">
      <c r="B51" s="84" t="s">
        <v>182</v>
      </c>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7"/>
      <c r="AX51" s="17"/>
      <c r="AY51" s="17"/>
      <c r="AZ51" s="17"/>
      <c r="BA51" s="17"/>
      <c r="BB51" s="17"/>
      <c r="BC51" s="17"/>
      <c r="BD51" s="17"/>
      <c r="BE51" s="17"/>
      <c r="BF51" s="17"/>
      <c r="BG51" s="17"/>
      <c r="BH51" s="17"/>
      <c r="BI51" s="17"/>
      <c r="BJ51" s="17"/>
      <c r="BK51" s="17"/>
      <c r="BL51" s="17"/>
      <c r="BM51" s="17"/>
      <c r="BN51" s="62"/>
      <c r="BO51" s="42"/>
    </row>
    <row r="52" spans="2:67">
      <c r="B52" s="84" t="s">
        <v>370</v>
      </c>
      <c r="C52" s="17"/>
      <c r="D52" s="17"/>
      <c r="E52" s="17"/>
      <c r="F52" s="17"/>
      <c r="G52" s="17"/>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7"/>
      <c r="AI52" s="17"/>
      <c r="AJ52" s="17"/>
      <c r="AK52" s="17"/>
      <c r="AL52" s="17"/>
      <c r="AM52" s="17"/>
      <c r="AN52" s="17"/>
      <c r="AO52" s="17"/>
      <c r="AP52" s="17"/>
      <c r="AQ52" s="17"/>
      <c r="AR52" s="17"/>
      <c r="AS52" s="17"/>
      <c r="AT52" s="17"/>
      <c r="AU52" s="17"/>
      <c r="AV52" s="17"/>
      <c r="AW52" s="17"/>
      <c r="AX52" s="17"/>
      <c r="AY52" s="17"/>
      <c r="AZ52" s="17"/>
      <c r="BA52" s="17"/>
      <c r="BB52" s="17"/>
      <c r="BC52" s="17"/>
      <c r="BD52" s="17"/>
      <c r="BE52" s="17"/>
      <c r="BF52" s="17"/>
      <c r="BG52" s="17"/>
      <c r="BH52" s="17"/>
      <c r="BI52" s="17"/>
      <c r="BJ52" s="17"/>
      <c r="BK52" s="17"/>
      <c r="BL52" s="17"/>
      <c r="BM52" s="17"/>
      <c r="BN52" s="62"/>
      <c r="BO52" s="42"/>
    </row>
    <row r="53" spans="2:67">
      <c r="B53" s="84" t="s">
        <v>183</v>
      </c>
      <c r="C53" s="17"/>
      <c r="D53" s="17"/>
      <c r="E53" s="17"/>
      <c r="F53" s="17"/>
      <c r="G53" s="17"/>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c r="AY53" s="17"/>
      <c r="AZ53" s="17"/>
      <c r="BA53" s="17"/>
      <c r="BB53" s="17"/>
      <c r="BC53" s="17"/>
      <c r="BD53" s="17"/>
      <c r="BE53" s="17"/>
      <c r="BF53" s="17"/>
      <c r="BG53" s="17"/>
      <c r="BH53" s="17"/>
      <c r="BI53" s="17"/>
      <c r="BJ53" s="17"/>
      <c r="BK53" s="17"/>
      <c r="BL53" s="17"/>
      <c r="BM53" s="17"/>
      <c r="BN53" s="62"/>
      <c r="BO53" s="42"/>
    </row>
    <row r="54" spans="2:67">
      <c r="B54" s="84" t="s">
        <v>184</v>
      </c>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c r="AY54" s="17"/>
      <c r="AZ54" s="17"/>
      <c r="BA54" s="17"/>
      <c r="BB54" s="17"/>
      <c r="BC54" s="17"/>
      <c r="BD54" s="17"/>
      <c r="BE54" s="17"/>
      <c r="BF54" s="17"/>
      <c r="BG54" s="17"/>
      <c r="BH54" s="17"/>
      <c r="BI54" s="17"/>
      <c r="BJ54" s="17"/>
      <c r="BK54" s="17"/>
      <c r="BL54" s="17"/>
      <c r="BM54" s="17"/>
      <c r="BN54" s="62"/>
      <c r="BO54" s="42"/>
    </row>
    <row r="55" spans="2:67">
      <c r="B55" s="84" t="s">
        <v>185</v>
      </c>
      <c r="C55" s="17"/>
      <c r="D55" s="17"/>
      <c r="E55" s="17"/>
      <c r="F55" s="17"/>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c r="AX55" s="17"/>
      <c r="AY55" s="17"/>
      <c r="AZ55" s="17"/>
      <c r="BA55" s="17"/>
      <c r="BB55" s="17"/>
      <c r="BC55" s="17"/>
      <c r="BD55" s="17"/>
      <c r="BE55" s="17"/>
      <c r="BF55" s="17"/>
      <c r="BG55" s="17"/>
      <c r="BH55" s="17"/>
      <c r="BI55" s="17"/>
      <c r="BJ55" s="17"/>
      <c r="BK55" s="17"/>
      <c r="BL55" s="17"/>
      <c r="BM55" s="17"/>
      <c r="BN55" s="62"/>
      <c r="BO55" s="42"/>
    </row>
    <row r="56" spans="2:67">
      <c r="B56" s="84" t="s">
        <v>176</v>
      </c>
      <c r="C56" s="17"/>
      <c r="D56" s="17"/>
      <c r="E56" s="17"/>
      <c r="F56" s="17"/>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17"/>
      <c r="AS56" s="17"/>
      <c r="AT56" s="17"/>
      <c r="AU56" s="17"/>
      <c r="AV56" s="17"/>
      <c r="AW56" s="17"/>
      <c r="AX56" s="17"/>
      <c r="AY56" s="17"/>
      <c r="AZ56" s="17"/>
      <c r="BA56" s="17"/>
      <c r="BB56" s="17"/>
      <c r="BC56" s="17"/>
      <c r="BD56" s="17"/>
      <c r="BE56" s="17"/>
      <c r="BF56" s="17"/>
      <c r="BG56" s="17"/>
      <c r="BH56" s="17"/>
      <c r="BI56" s="17"/>
      <c r="BJ56" s="17"/>
      <c r="BK56" s="17"/>
      <c r="BL56" s="17"/>
      <c r="BM56" s="17"/>
      <c r="BN56" s="62"/>
      <c r="BO56" s="42"/>
    </row>
    <row r="57" spans="2:67">
      <c r="B57" s="84" t="s">
        <v>186</v>
      </c>
      <c r="C57" s="17"/>
      <c r="D57" s="17"/>
      <c r="E57" s="17"/>
      <c r="F57" s="17"/>
      <c r="G57" s="17"/>
      <c r="H57" s="17"/>
      <c r="I57" s="17"/>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c r="AX57" s="17"/>
      <c r="AY57" s="17"/>
      <c r="AZ57" s="17"/>
      <c r="BA57" s="17"/>
      <c r="BB57" s="17"/>
      <c r="BC57" s="17"/>
      <c r="BD57" s="17"/>
      <c r="BE57" s="17"/>
      <c r="BF57" s="17"/>
      <c r="BG57" s="17"/>
      <c r="BH57" s="17"/>
      <c r="BI57" s="17"/>
      <c r="BJ57" s="17"/>
      <c r="BK57" s="17"/>
      <c r="BL57" s="17"/>
      <c r="BM57" s="17"/>
      <c r="BN57" s="62"/>
      <c r="BO57" s="42"/>
    </row>
    <row r="58" spans="2:67" ht="16" thickBot="1">
      <c r="B58" s="84" t="s">
        <v>187</v>
      </c>
      <c r="C58" s="17"/>
      <c r="D58" s="17"/>
      <c r="E58" s="17"/>
      <c r="F58" s="17"/>
      <c r="G58" s="17"/>
      <c r="H58" s="17"/>
      <c r="I58" s="17"/>
      <c r="J58" s="17"/>
      <c r="K58" s="17"/>
      <c r="L58" s="17"/>
      <c r="M58" s="17"/>
      <c r="N58" s="17"/>
      <c r="O58" s="17"/>
      <c r="P58" s="17"/>
      <c r="Q58" s="17"/>
      <c r="R58" s="17"/>
      <c r="S58" s="17"/>
      <c r="T58" s="17"/>
      <c r="U58" s="17"/>
      <c r="V58" s="17"/>
      <c r="W58" s="17"/>
      <c r="X58" s="17"/>
      <c r="Y58" s="17"/>
      <c r="Z58" s="17"/>
      <c r="AA58" s="17"/>
      <c r="AB58" s="17"/>
      <c r="AC58" s="17"/>
      <c r="AD58" s="17"/>
      <c r="AE58" s="17"/>
      <c r="AF58" s="17"/>
      <c r="AG58" s="17"/>
      <c r="AH58" s="17"/>
      <c r="AI58" s="17"/>
      <c r="AJ58" s="17"/>
      <c r="AK58" s="17"/>
      <c r="AL58" s="17"/>
      <c r="AM58" s="17"/>
      <c r="AN58" s="17"/>
      <c r="AO58" s="17"/>
      <c r="AP58" s="17"/>
      <c r="AQ58" s="17"/>
      <c r="AR58" s="17"/>
      <c r="AS58" s="17"/>
      <c r="AT58" s="17"/>
      <c r="AU58" s="17"/>
      <c r="AV58" s="17"/>
      <c r="AW58" s="17"/>
      <c r="AX58" s="17"/>
      <c r="AY58" s="17"/>
      <c r="AZ58" s="17"/>
      <c r="BA58" s="17"/>
      <c r="BB58" s="17"/>
      <c r="BC58" s="17"/>
      <c r="BD58" s="17"/>
      <c r="BE58" s="17"/>
      <c r="BF58" s="17"/>
      <c r="BG58" s="17"/>
      <c r="BH58" s="17"/>
      <c r="BI58" s="17"/>
      <c r="BJ58" s="17"/>
      <c r="BK58" s="17"/>
      <c r="BL58" s="17"/>
      <c r="BM58" s="17"/>
      <c r="BN58" s="62"/>
      <c r="BO58" s="42"/>
    </row>
    <row r="59" spans="2:67" ht="16" thickBot="1">
      <c r="B59" s="85" t="s">
        <v>188</v>
      </c>
      <c r="C59" s="86"/>
      <c r="D59" s="86"/>
      <c r="E59" s="86"/>
      <c r="F59" s="86"/>
      <c r="G59" s="86"/>
      <c r="H59" s="86"/>
      <c r="I59" s="86"/>
      <c r="J59" s="86"/>
      <c r="K59" s="86"/>
      <c r="L59" s="86"/>
      <c r="M59" s="86"/>
      <c r="N59" s="86"/>
      <c r="O59" s="86"/>
      <c r="P59" s="86"/>
      <c r="Q59" s="86"/>
      <c r="R59" s="86"/>
      <c r="S59" s="86"/>
      <c r="T59" s="86"/>
      <c r="U59" s="86"/>
      <c r="V59" s="86"/>
      <c r="W59" s="86"/>
      <c r="X59" s="86"/>
      <c r="Y59" s="86"/>
      <c r="Z59" s="86"/>
      <c r="AA59" s="86"/>
      <c r="AB59" s="86"/>
      <c r="AC59" s="86"/>
      <c r="AD59" s="86"/>
      <c r="AE59" s="86"/>
      <c r="AF59" s="86"/>
      <c r="AG59" s="86"/>
      <c r="AH59" s="86"/>
      <c r="AI59" s="86"/>
      <c r="AJ59" s="86"/>
      <c r="AK59" s="86"/>
      <c r="AL59" s="86"/>
      <c r="AM59" s="86"/>
      <c r="AN59" s="86"/>
      <c r="AO59" s="86"/>
      <c r="AP59" s="86"/>
      <c r="AQ59" s="86"/>
      <c r="AR59" s="86"/>
      <c r="AS59" s="86"/>
      <c r="AT59" s="86"/>
      <c r="AU59" s="86"/>
      <c r="AV59" s="86"/>
      <c r="AW59" s="86"/>
      <c r="AX59" s="86"/>
      <c r="AY59" s="86"/>
      <c r="AZ59" s="86"/>
      <c r="BA59" s="86"/>
      <c r="BB59" s="86"/>
      <c r="BC59" s="86"/>
      <c r="BD59" s="86"/>
      <c r="BE59" s="86"/>
      <c r="BF59" s="86"/>
      <c r="BG59" s="86"/>
      <c r="BH59" s="86"/>
      <c r="BI59" s="86"/>
      <c r="BJ59" s="86"/>
      <c r="BK59" s="86"/>
      <c r="BL59" s="86"/>
      <c r="BM59" s="86"/>
      <c r="BN59" s="87"/>
      <c r="BO59" s="88"/>
    </row>
    <row r="60" spans="2:67" ht="16" thickBot="1">
      <c r="B60" s="85" t="s">
        <v>32</v>
      </c>
      <c r="C60" s="86"/>
      <c r="D60" s="86"/>
      <c r="E60" s="86"/>
      <c r="F60" s="86"/>
      <c r="G60" s="86"/>
      <c r="H60" s="86"/>
      <c r="I60" s="86"/>
      <c r="J60" s="86"/>
      <c r="K60" s="86"/>
      <c r="L60" s="86"/>
      <c r="M60" s="86"/>
      <c r="N60" s="86"/>
      <c r="O60" s="86"/>
      <c r="P60" s="86"/>
      <c r="Q60" s="86"/>
      <c r="R60" s="86"/>
      <c r="S60" s="86"/>
      <c r="T60" s="86"/>
      <c r="U60" s="86"/>
      <c r="V60" s="86"/>
      <c r="W60" s="86"/>
      <c r="X60" s="86"/>
      <c r="Y60" s="86"/>
      <c r="Z60" s="86"/>
      <c r="AA60" s="86"/>
      <c r="AB60" s="86"/>
      <c r="AC60" s="86"/>
      <c r="AD60" s="86"/>
      <c r="AE60" s="86"/>
      <c r="AF60" s="86"/>
      <c r="AG60" s="86"/>
      <c r="AH60" s="86"/>
      <c r="AI60" s="86"/>
      <c r="AJ60" s="86"/>
      <c r="AK60" s="86"/>
      <c r="AL60" s="86"/>
      <c r="AM60" s="86"/>
      <c r="AN60" s="86"/>
      <c r="AO60" s="86"/>
      <c r="AP60" s="86"/>
      <c r="AQ60" s="86"/>
      <c r="AR60" s="86"/>
      <c r="AS60" s="86"/>
      <c r="AT60" s="86"/>
      <c r="AU60" s="86"/>
      <c r="AV60" s="86"/>
      <c r="AW60" s="86"/>
      <c r="AX60" s="86"/>
      <c r="AY60" s="86"/>
      <c r="AZ60" s="86"/>
      <c r="BA60" s="86"/>
      <c r="BB60" s="86"/>
      <c r="BC60" s="86"/>
      <c r="BD60" s="86"/>
      <c r="BE60" s="86"/>
      <c r="BF60" s="86"/>
      <c r="BG60" s="86"/>
      <c r="BH60" s="86"/>
      <c r="BI60" s="86"/>
      <c r="BJ60" s="86"/>
      <c r="BK60" s="86"/>
      <c r="BL60" s="86"/>
      <c r="BM60" s="86"/>
      <c r="BN60" s="87"/>
      <c r="BO60" s="88"/>
    </row>
    <row r="61" spans="2:67">
      <c r="B61" s="84" t="s">
        <v>189</v>
      </c>
      <c r="C61" s="17"/>
      <c r="D61" s="17"/>
      <c r="E61" s="17"/>
      <c r="F61" s="17"/>
      <c r="G61" s="17"/>
      <c r="H61" s="17"/>
      <c r="I61" s="17"/>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c r="AM61" s="17"/>
      <c r="AN61" s="17"/>
      <c r="AO61" s="17"/>
      <c r="AP61" s="17"/>
      <c r="AQ61" s="17"/>
      <c r="AR61" s="17"/>
      <c r="AS61" s="17"/>
      <c r="AT61" s="17"/>
      <c r="AU61" s="17"/>
      <c r="AV61" s="17"/>
      <c r="AW61" s="17"/>
      <c r="AX61" s="17"/>
      <c r="AY61" s="17"/>
      <c r="AZ61" s="17"/>
      <c r="BA61" s="17"/>
      <c r="BB61" s="17"/>
      <c r="BC61" s="17"/>
      <c r="BD61" s="17"/>
      <c r="BE61" s="17"/>
      <c r="BF61" s="17"/>
      <c r="BG61" s="17"/>
      <c r="BH61" s="17"/>
      <c r="BI61" s="17"/>
      <c r="BJ61" s="17"/>
      <c r="BK61" s="17"/>
      <c r="BL61" s="17"/>
      <c r="BM61" s="17"/>
      <c r="BN61" s="62"/>
      <c r="BO61" s="42"/>
    </row>
    <row r="62" spans="2:67">
      <c r="B62" s="84" t="s">
        <v>190</v>
      </c>
      <c r="C62" s="17"/>
      <c r="D62" s="17"/>
      <c r="E62" s="17"/>
      <c r="F62" s="17"/>
      <c r="G62" s="17"/>
      <c r="H62" s="17"/>
      <c r="I62" s="17"/>
      <c r="J62" s="17"/>
      <c r="K62" s="17"/>
      <c r="L62" s="17"/>
      <c r="M62" s="17"/>
      <c r="N62" s="17"/>
      <c r="O62" s="17"/>
      <c r="P62" s="17"/>
      <c r="Q62" s="17"/>
      <c r="R62" s="17"/>
      <c r="S62" s="17"/>
      <c r="T62" s="17"/>
      <c r="U62" s="17"/>
      <c r="V62" s="17"/>
      <c r="W62" s="17"/>
      <c r="X62" s="17"/>
      <c r="Y62" s="17"/>
      <c r="Z62" s="17"/>
      <c r="AA62" s="17"/>
      <c r="AB62" s="17"/>
      <c r="AC62" s="17"/>
      <c r="AD62" s="17"/>
      <c r="AE62" s="17"/>
      <c r="AF62" s="17"/>
      <c r="AG62" s="17"/>
      <c r="AH62" s="17"/>
      <c r="AI62" s="17"/>
      <c r="AJ62" s="17"/>
      <c r="AK62" s="17"/>
      <c r="AL62" s="17"/>
      <c r="AM62" s="17"/>
      <c r="AN62" s="17"/>
      <c r="AO62" s="17"/>
      <c r="AP62" s="17"/>
      <c r="AQ62" s="17"/>
      <c r="AR62" s="17"/>
      <c r="AS62" s="17"/>
      <c r="AT62" s="17"/>
      <c r="AU62" s="17"/>
      <c r="AV62" s="17"/>
      <c r="AW62" s="17"/>
      <c r="AX62" s="17"/>
      <c r="AY62" s="17"/>
      <c r="AZ62" s="17"/>
      <c r="BA62" s="17"/>
      <c r="BB62" s="17"/>
      <c r="BC62" s="17"/>
      <c r="BD62" s="17"/>
      <c r="BE62" s="17"/>
      <c r="BF62" s="17"/>
      <c r="BG62" s="17"/>
      <c r="BH62" s="17"/>
      <c r="BI62" s="17"/>
      <c r="BJ62" s="17"/>
      <c r="BK62" s="17"/>
      <c r="BL62" s="17"/>
      <c r="BM62" s="17"/>
      <c r="BN62" s="62"/>
      <c r="BO62" s="42"/>
    </row>
    <row r="63" spans="2:67">
      <c r="B63" s="84" t="s">
        <v>191</v>
      </c>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17"/>
      <c r="AW63" s="17"/>
      <c r="AX63" s="17"/>
      <c r="AY63" s="17"/>
      <c r="AZ63" s="17"/>
      <c r="BA63" s="17"/>
      <c r="BB63" s="17"/>
      <c r="BC63" s="17"/>
      <c r="BD63" s="17"/>
      <c r="BE63" s="17"/>
      <c r="BF63" s="17"/>
      <c r="BG63" s="17"/>
      <c r="BH63" s="17"/>
      <c r="BI63" s="17"/>
      <c r="BJ63" s="17"/>
      <c r="BK63" s="17"/>
      <c r="BL63" s="17"/>
      <c r="BM63" s="17"/>
      <c r="BN63" s="62"/>
      <c r="BO63" s="42"/>
    </row>
    <row r="64" spans="2:67">
      <c r="B64" s="84" t="s">
        <v>192</v>
      </c>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c r="AM64" s="17"/>
      <c r="AN64" s="17"/>
      <c r="AO64" s="17"/>
      <c r="AP64" s="17"/>
      <c r="AQ64" s="17"/>
      <c r="AR64" s="17"/>
      <c r="AS64" s="17"/>
      <c r="AT64" s="17"/>
      <c r="AU64" s="17"/>
      <c r="AV64" s="17"/>
      <c r="AW64" s="17"/>
      <c r="AX64" s="17"/>
      <c r="AY64" s="17"/>
      <c r="AZ64" s="17"/>
      <c r="BA64" s="17"/>
      <c r="BB64" s="17"/>
      <c r="BC64" s="17"/>
      <c r="BD64" s="17"/>
      <c r="BE64" s="17"/>
      <c r="BF64" s="17"/>
      <c r="BG64" s="17"/>
      <c r="BH64" s="17"/>
      <c r="BI64" s="17"/>
      <c r="BJ64" s="17"/>
      <c r="BK64" s="17"/>
      <c r="BL64" s="17"/>
      <c r="BM64" s="17"/>
      <c r="BN64" s="62"/>
      <c r="BO64" s="42"/>
    </row>
    <row r="65" spans="2:67">
      <c r="B65" s="84" t="s">
        <v>193</v>
      </c>
      <c r="C65" s="17"/>
      <c r="D65" s="17"/>
      <c r="E65" s="17"/>
      <c r="F65" s="17"/>
      <c r="G65" s="17"/>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c r="AU65" s="17"/>
      <c r="AV65" s="17"/>
      <c r="AW65" s="17"/>
      <c r="AX65" s="17"/>
      <c r="AY65" s="17"/>
      <c r="AZ65" s="17"/>
      <c r="BA65" s="17"/>
      <c r="BB65" s="17"/>
      <c r="BC65" s="17"/>
      <c r="BD65" s="17"/>
      <c r="BE65" s="17"/>
      <c r="BF65" s="17"/>
      <c r="BG65" s="17"/>
      <c r="BH65" s="17"/>
      <c r="BI65" s="17"/>
      <c r="BJ65" s="17"/>
      <c r="BK65" s="17"/>
      <c r="BL65" s="17"/>
      <c r="BM65" s="17"/>
      <c r="BN65" s="62"/>
      <c r="BO65" s="42"/>
    </row>
    <row r="66" spans="2:67">
      <c r="B66" s="84" t="s">
        <v>194</v>
      </c>
      <c r="C66" s="17"/>
      <c r="D66" s="17"/>
      <c r="E66" s="17"/>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7"/>
      <c r="AG66" s="17"/>
      <c r="AH66" s="17"/>
      <c r="AI66" s="17"/>
      <c r="AJ66" s="17"/>
      <c r="AK66" s="17"/>
      <c r="AL66" s="17"/>
      <c r="AM66" s="17"/>
      <c r="AN66" s="17"/>
      <c r="AO66" s="17"/>
      <c r="AP66" s="17"/>
      <c r="AQ66" s="17"/>
      <c r="AR66" s="17"/>
      <c r="AS66" s="17"/>
      <c r="AT66" s="17"/>
      <c r="AU66" s="17"/>
      <c r="AV66" s="17"/>
      <c r="AW66" s="17"/>
      <c r="AX66" s="17"/>
      <c r="AY66" s="17"/>
      <c r="AZ66" s="17"/>
      <c r="BA66" s="17"/>
      <c r="BB66" s="17"/>
      <c r="BC66" s="17"/>
      <c r="BD66" s="17"/>
      <c r="BE66" s="17"/>
      <c r="BF66" s="17"/>
      <c r="BG66" s="17"/>
      <c r="BH66" s="17"/>
      <c r="BI66" s="17"/>
      <c r="BJ66" s="17"/>
      <c r="BK66" s="17"/>
      <c r="BL66" s="17"/>
      <c r="BM66" s="17"/>
      <c r="BN66" s="62"/>
      <c r="BO66" s="42"/>
    </row>
    <row r="67" spans="2:67">
      <c r="B67" s="84" t="s">
        <v>195</v>
      </c>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c r="AF67" s="17"/>
      <c r="AG67" s="17"/>
      <c r="AH67" s="17"/>
      <c r="AI67" s="17"/>
      <c r="AJ67" s="17"/>
      <c r="AK67" s="17"/>
      <c r="AL67" s="17"/>
      <c r="AM67" s="17"/>
      <c r="AN67" s="17"/>
      <c r="AO67" s="17"/>
      <c r="AP67" s="17"/>
      <c r="AQ67" s="17"/>
      <c r="AR67" s="17"/>
      <c r="AS67" s="17"/>
      <c r="AT67" s="17"/>
      <c r="AU67" s="17"/>
      <c r="AV67" s="17"/>
      <c r="AW67" s="17"/>
      <c r="AX67" s="17"/>
      <c r="AY67" s="17"/>
      <c r="AZ67" s="17"/>
      <c r="BA67" s="17"/>
      <c r="BB67" s="17"/>
      <c r="BC67" s="17"/>
      <c r="BD67" s="17"/>
      <c r="BE67" s="17"/>
      <c r="BF67" s="17"/>
      <c r="BG67" s="17"/>
      <c r="BH67" s="17"/>
      <c r="BI67" s="17"/>
      <c r="BJ67" s="17"/>
      <c r="BK67" s="17"/>
      <c r="BL67" s="17"/>
      <c r="BM67" s="17"/>
      <c r="BN67" s="62"/>
      <c r="BO67" s="42"/>
    </row>
    <row r="68" spans="2:67">
      <c r="B68" s="84" t="s">
        <v>196</v>
      </c>
      <c r="C68" s="17"/>
      <c r="D68" s="17"/>
      <c r="E68" s="17"/>
      <c r="F68" s="17"/>
      <c r="G68" s="17"/>
      <c r="H68" s="17"/>
      <c r="I68" s="17"/>
      <c r="J68" s="17"/>
      <c r="K68" s="17"/>
      <c r="L68" s="17"/>
      <c r="M68" s="17"/>
      <c r="N68" s="17"/>
      <c r="O68" s="17"/>
      <c r="P68" s="17"/>
      <c r="Q68" s="17"/>
      <c r="R68" s="17"/>
      <c r="S68" s="17"/>
      <c r="T68" s="17"/>
      <c r="U68" s="17"/>
      <c r="V68" s="17"/>
      <c r="W68" s="17"/>
      <c r="X68" s="17"/>
      <c r="Y68" s="17"/>
      <c r="Z68" s="17"/>
      <c r="AA68" s="17"/>
      <c r="AB68" s="17"/>
      <c r="AC68" s="17"/>
      <c r="AD68" s="17"/>
      <c r="AE68" s="17"/>
      <c r="AF68" s="17"/>
      <c r="AG68" s="17"/>
      <c r="AH68" s="17"/>
      <c r="AI68" s="17"/>
      <c r="AJ68" s="17"/>
      <c r="AK68" s="17"/>
      <c r="AL68" s="17"/>
      <c r="AM68" s="17"/>
      <c r="AN68" s="17"/>
      <c r="AO68" s="17"/>
      <c r="AP68" s="17"/>
      <c r="AQ68" s="17"/>
      <c r="AR68" s="17"/>
      <c r="AS68" s="17"/>
      <c r="AT68" s="17"/>
      <c r="AU68" s="17"/>
      <c r="AV68" s="17"/>
      <c r="AW68" s="17"/>
      <c r="AX68" s="17"/>
      <c r="AY68" s="17"/>
      <c r="AZ68" s="17"/>
      <c r="BA68" s="17"/>
      <c r="BB68" s="17"/>
      <c r="BC68" s="17"/>
      <c r="BD68" s="17"/>
      <c r="BE68" s="17"/>
      <c r="BF68" s="17"/>
      <c r="BG68" s="17"/>
      <c r="BH68" s="17"/>
      <c r="BI68" s="17"/>
      <c r="BJ68" s="17"/>
      <c r="BK68" s="17"/>
      <c r="BL68" s="17"/>
      <c r="BM68" s="17"/>
      <c r="BN68" s="62"/>
      <c r="BO68" s="42"/>
    </row>
    <row r="69" spans="2:67">
      <c r="B69" s="84" t="s">
        <v>197</v>
      </c>
      <c r="C69" s="17"/>
      <c r="D69" s="17"/>
      <c r="E69" s="17"/>
      <c r="F69" s="17"/>
      <c r="G69" s="17"/>
      <c r="H69" s="17"/>
      <c r="I69" s="17"/>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V69" s="17"/>
      <c r="AW69" s="17"/>
      <c r="AX69" s="17"/>
      <c r="AY69" s="17"/>
      <c r="AZ69" s="17"/>
      <c r="BA69" s="17"/>
      <c r="BB69" s="17"/>
      <c r="BC69" s="17"/>
      <c r="BD69" s="17"/>
      <c r="BE69" s="17"/>
      <c r="BF69" s="17"/>
      <c r="BG69" s="17"/>
      <c r="BH69" s="17"/>
      <c r="BI69" s="17"/>
      <c r="BJ69" s="17"/>
      <c r="BK69" s="17"/>
      <c r="BL69" s="17"/>
      <c r="BM69" s="17"/>
      <c r="BN69" s="62"/>
      <c r="BO69" s="42"/>
    </row>
    <row r="70" spans="2:67">
      <c r="B70" s="84" t="s">
        <v>198</v>
      </c>
      <c r="C70" s="17"/>
      <c r="D70" s="17"/>
      <c r="E70" s="17"/>
      <c r="F70" s="17"/>
      <c r="G70" s="17"/>
      <c r="H70" s="17"/>
      <c r="I70" s="17"/>
      <c r="J70" s="17"/>
      <c r="K70" s="17"/>
      <c r="L70" s="17"/>
      <c r="M70" s="17"/>
      <c r="N70" s="17"/>
      <c r="O70" s="17"/>
      <c r="P70" s="17"/>
      <c r="Q70" s="17"/>
      <c r="R70" s="17"/>
      <c r="S70" s="17"/>
      <c r="T70" s="17"/>
      <c r="U70" s="17"/>
      <c r="V70" s="17"/>
      <c r="W70" s="17"/>
      <c r="X70" s="17"/>
      <c r="Y70" s="17"/>
      <c r="Z70" s="17"/>
      <c r="AA70" s="17"/>
      <c r="AB70" s="17"/>
      <c r="AC70" s="17"/>
      <c r="AD70" s="17"/>
      <c r="AE70" s="17"/>
      <c r="AF70" s="17"/>
      <c r="AG70" s="17"/>
      <c r="AH70" s="17"/>
      <c r="AI70" s="17"/>
      <c r="AJ70" s="17"/>
      <c r="AK70" s="17"/>
      <c r="AL70" s="17"/>
      <c r="AM70" s="17"/>
      <c r="AN70" s="17"/>
      <c r="AO70" s="17"/>
      <c r="AP70" s="17"/>
      <c r="AQ70" s="17"/>
      <c r="AR70" s="17"/>
      <c r="AS70" s="17"/>
      <c r="AT70" s="17"/>
      <c r="AU70" s="17"/>
      <c r="AV70" s="17"/>
      <c r="AW70" s="17"/>
      <c r="AX70" s="17"/>
      <c r="AY70" s="17"/>
      <c r="AZ70" s="17"/>
      <c r="BA70" s="17"/>
      <c r="BB70" s="17"/>
      <c r="BC70" s="17"/>
      <c r="BD70" s="17"/>
      <c r="BE70" s="17"/>
      <c r="BF70" s="17"/>
      <c r="BG70" s="17"/>
      <c r="BH70" s="17"/>
      <c r="BI70" s="17"/>
      <c r="BJ70" s="17"/>
      <c r="BK70" s="17"/>
      <c r="BL70" s="17"/>
      <c r="BM70" s="17"/>
      <c r="BN70" s="62"/>
      <c r="BO70" s="42"/>
    </row>
    <row r="71" spans="2:67">
      <c r="B71" s="84" t="s">
        <v>199</v>
      </c>
      <c r="C71" s="17"/>
      <c r="D71" s="17"/>
      <c r="E71" s="17"/>
      <c r="F71" s="17"/>
      <c r="G71" s="17"/>
      <c r="H71" s="17"/>
      <c r="I71" s="17"/>
      <c r="J71" s="17"/>
      <c r="K71" s="17"/>
      <c r="L71" s="17"/>
      <c r="M71" s="17"/>
      <c r="N71" s="17"/>
      <c r="O71" s="17"/>
      <c r="P71" s="17"/>
      <c r="Q71" s="17"/>
      <c r="R71" s="17"/>
      <c r="S71" s="17"/>
      <c r="T71" s="17"/>
      <c r="U71" s="17"/>
      <c r="V71" s="17"/>
      <c r="W71" s="17"/>
      <c r="X71" s="17"/>
      <c r="Y71" s="17"/>
      <c r="Z71" s="17"/>
      <c r="AA71" s="17"/>
      <c r="AB71" s="17"/>
      <c r="AC71" s="17"/>
      <c r="AD71" s="17"/>
      <c r="AE71" s="17"/>
      <c r="AF71" s="17"/>
      <c r="AG71" s="17"/>
      <c r="AH71" s="17"/>
      <c r="AI71" s="17"/>
      <c r="AJ71" s="17"/>
      <c r="AK71" s="17"/>
      <c r="AL71" s="17"/>
      <c r="AM71" s="17"/>
      <c r="AN71" s="17"/>
      <c r="AO71" s="17"/>
      <c r="AP71" s="17"/>
      <c r="AQ71" s="17"/>
      <c r="AR71" s="17"/>
      <c r="AS71" s="17"/>
      <c r="AT71" s="17"/>
      <c r="AU71" s="17"/>
      <c r="AV71" s="17"/>
      <c r="AW71" s="17"/>
      <c r="AX71" s="17"/>
      <c r="AY71" s="17"/>
      <c r="AZ71" s="17"/>
      <c r="BA71" s="17"/>
      <c r="BB71" s="17"/>
      <c r="BC71" s="17"/>
      <c r="BD71" s="17"/>
      <c r="BE71" s="17"/>
      <c r="BF71" s="17"/>
      <c r="BG71" s="17"/>
      <c r="BH71" s="17"/>
      <c r="BI71" s="17"/>
      <c r="BJ71" s="17"/>
      <c r="BK71" s="17"/>
      <c r="BL71" s="17"/>
      <c r="BM71" s="17"/>
      <c r="BN71" s="62"/>
      <c r="BO71" s="42"/>
    </row>
    <row r="72" spans="2:67">
      <c r="B72" s="84" t="s">
        <v>200</v>
      </c>
      <c r="C72" s="17"/>
      <c r="D72" s="17"/>
      <c r="E72" s="17"/>
      <c r="F72" s="17"/>
      <c r="G72" s="17"/>
      <c r="H72" s="17"/>
      <c r="I72" s="17"/>
      <c r="J72" s="17"/>
      <c r="K72" s="17"/>
      <c r="L72" s="17"/>
      <c r="M72" s="17"/>
      <c r="N72" s="17"/>
      <c r="O72" s="17"/>
      <c r="P72" s="17"/>
      <c r="Q72" s="17"/>
      <c r="R72" s="17"/>
      <c r="S72" s="17"/>
      <c r="T72" s="17"/>
      <c r="U72" s="17"/>
      <c r="V72" s="17"/>
      <c r="W72" s="17"/>
      <c r="X72" s="17"/>
      <c r="Y72" s="17"/>
      <c r="Z72" s="17"/>
      <c r="AA72" s="17"/>
      <c r="AB72" s="17"/>
      <c r="AC72" s="17"/>
      <c r="AD72" s="17"/>
      <c r="AE72" s="17"/>
      <c r="AF72" s="17"/>
      <c r="AG72" s="17"/>
      <c r="AH72" s="17"/>
      <c r="AI72" s="17"/>
      <c r="AJ72" s="17"/>
      <c r="AK72" s="17"/>
      <c r="AL72" s="17"/>
      <c r="AM72" s="17"/>
      <c r="AN72" s="17"/>
      <c r="AO72" s="17"/>
      <c r="AP72" s="17"/>
      <c r="AQ72" s="17"/>
      <c r="AR72" s="17"/>
      <c r="AS72" s="17"/>
      <c r="AT72" s="17"/>
      <c r="AU72" s="17"/>
      <c r="AV72" s="17"/>
      <c r="AW72" s="17"/>
      <c r="AX72" s="17"/>
      <c r="AY72" s="17"/>
      <c r="AZ72" s="17"/>
      <c r="BA72" s="17"/>
      <c r="BB72" s="17"/>
      <c r="BC72" s="17"/>
      <c r="BD72" s="17"/>
      <c r="BE72" s="17"/>
      <c r="BF72" s="17"/>
      <c r="BG72" s="17"/>
      <c r="BH72" s="17"/>
      <c r="BI72" s="17"/>
      <c r="BJ72" s="17"/>
      <c r="BK72" s="17"/>
      <c r="BL72" s="17"/>
      <c r="BM72" s="17"/>
      <c r="BN72" s="62"/>
      <c r="BO72" s="42"/>
    </row>
    <row r="73" spans="2:67" ht="16" thickBot="1">
      <c r="B73" s="84" t="s">
        <v>201</v>
      </c>
      <c r="C73" s="17"/>
      <c r="D73" s="17"/>
      <c r="E73" s="17"/>
      <c r="F73" s="17"/>
      <c r="G73" s="17"/>
      <c r="H73" s="17"/>
      <c r="I73" s="17"/>
      <c r="J73" s="17"/>
      <c r="K73" s="17"/>
      <c r="L73" s="17"/>
      <c r="M73" s="17"/>
      <c r="N73" s="17"/>
      <c r="O73" s="17"/>
      <c r="P73" s="17"/>
      <c r="Q73" s="17"/>
      <c r="R73" s="17"/>
      <c r="S73" s="17"/>
      <c r="T73" s="17"/>
      <c r="U73" s="17"/>
      <c r="V73" s="17"/>
      <c r="W73" s="17"/>
      <c r="X73" s="17"/>
      <c r="Y73" s="17"/>
      <c r="Z73" s="17"/>
      <c r="AA73" s="17"/>
      <c r="AB73" s="17"/>
      <c r="AC73" s="17"/>
      <c r="AD73" s="17"/>
      <c r="AE73" s="17"/>
      <c r="AF73" s="17"/>
      <c r="AG73" s="17"/>
      <c r="AH73" s="17"/>
      <c r="AI73" s="17"/>
      <c r="AJ73" s="17"/>
      <c r="AK73" s="17"/>
      <c r="AL73" s="17"/>
      <c r="AM73" s="17"/>
      <c r="AN73" s="17"/>
      <c r="AO73" s="17"/>
      <c r="AP73" s="17"/>
      <c r="AQ73" s="17"/>
      <c r="AR73" s="17"/>
      <c r="AS73" s="17"/>
      <c r="AT73" s="17"/>
      <c r="AU73" s="17"/>
      <c r="AV73" s="17"/>
      <c r="AW73" s="17"/>
      <c r="AX73" s="17"/>
      <c r="AY73" s="17"/>
      <c r="AZ73" s="17"/>
      <c r="BA73" s="17"/>
      <c r="BB73" s="17"/>
      <c r="BC73" s="17"/>
      <c r="BD73" s="17"/>
      <c r="BE73" s="17"/>
      <c r="BF73" s="17"/>
      <c r="BG73" s="17"/>
      <c r="BH73" s="17"/>
      <c r="BI73" s="17"/>
      <c r="BJ73" s="17"/>
      <c r="BK73" s="17"/>
      <c r="BL73" s="17"/>
      <c r="BM73" s="17"/>
      <c r="BN73" s="62"/>
      <c r="BO73" s="42"/>
    </row>
    <row r="74" spans="2:67" ht="16" thickBot="1">
      <c r="B74" s="85" t="s">
        <v>202</v>
      </c>
      <c r="C74" s="86"/>
      <c r="D74" s="86"/>
      <c r="E74" s="86"/>
      <c r="F74" s="86"/>
      <c r="G74" s="86"/>
      <c r="H74" s="86"/>
      <c r="I74" s="86"/>
      <c r="J74" s="86"/>
      <c r="K74" s="86"/>
      <c r="L74" s="86"/>
      <c r="M74" s="86"/>
      <c r="N74" s="86"/>
      <c r="O74" s="86"/>
      <c r="P74" s="86"/>
      <c r="Q74" s="86"/>
      <c r="R74" s="86"/>
      <c r="S74" s="86"/>
      <c r="T74" s="86"/>
      <c r="U74" s="86"/>
      <c r="V74" s="86"/>
      <c r="W74" s="86"/>
      <c r="X74" s="86"/>
      <c r="Y74" s="86"/>
      <c r="Z74" s="86"/>
      <c r="AA74" s="86"/>
      <c r="AB74" s="86"/>
      <c r="AC74" s="86"/>
      <c r="AD74" s="86"/>
      <c r="AE74" s="86"/>
      <c r="AF74" s="86"/>
      <c r="AG74" s="86"/>
      <c r="AH74" s="86"/>
      <c r="AI74" s="86"/>
      <c r="AJ74" s="86"/>
      <c r="AK74" s="86"/>
      <c r="AL74" s="86"/>
      <c r="AM74" s="86"/>
      <c r="AN74" s="86"/>
      <c r="AO74" s="86"/>
      <c r="AP74" s="86"/>
      <c r="AQ74" s="86"/>
      <c r="AR74" s="86"/>
      <c r="AS74" s="86"/>
      <c r="AT74" s="86"/>
      <c r="AU74" s="86"/>
      <c r="AV74" s="86"/>
      <c r="AW74" s="86"/>
      <c r="AX74" s="86"/>
      <c r="AY74" s="86"/>
      <c r="AZ74" s="86"/>
      <c r="BA74" s="86"/>
      <c r="BB74" s="86"/>
      <c r="BC74" s="86"/>
      <c r="BD74" s="86"/>
      <c r="BE74" s="86"/>
      <c r="BF74" s="86"/>
      <c r="BG74" s="86"/>
      <c r="BH74" s="86"/>
      <c r="BI74" s="86"/>
      <c r="BJ74" s="86"/>
      <c r="BK74" s="86"/>
      <c r="BL74" s="86"/>
      <c r="BM74" s="86"/>
      <c r="BN74" s="87"/>
      <c r="BO74" s="88"/>
    </row>
    <row r="75" spans="2:67">
      <c r="B75" s="84" t="s">
        <v>203</v>
      </c>
      <c r="C75" s="17"/>
      <c r="D75" s="17"/>
      <c r="E75" s="17"/>
      <c r="F75" s="17"/>
      <c r="G75" s="17"/>
      <c r="H75" s="17"/>
      <c r="I75" s="17"/>
      <c r="J75" s="17"/>
      <c r="K75" s="17"/>
      <c r="L75" s="17"/>
      <c r="M75" s="17"/>
      <c r="N75" s="17"/>
      <c r="O75" s="17"/>
      <c r="P75" s="17"/>
      <c r="Q75" s="17"/>
      <c r="R75" s="17"/>
      <c r="S75" s="17"/>
      <c r="T75" s="17"/>
      <c r="U75" s="17"/>
      <c r="V75" s="17"/>
      <c r="W75" s="17"/>
      <c r="X75" s="17"/>
      <c r="Y75" s="17"/>
      <c r="Z75" s="17"/>
      <c r="AA75" s="17"/>
      <c r="AB75" s="17"/>
      <c r="AC75" s="17"/>
      <c r="AD75" s="17"/>
      <c r="AE75" s="17"/>
      <c r="AF75" s="17"/>
      <c r="AG75" s="17"/>
      <c r="AH75" s="17"/>
      <c r="AI75" s="17"/>
      <c r="AJ75" s="17"/>
      <c r="AK75" s="17"/>
      <c r="AL75" s="17"/>
      <c r="AM75" s="17"/>
      <c r="AN75" s="17"/>
      <c r="AO75" s="17"/>
      <c r="AP75" s="17"/>
      <c r="AQ75" s="17"/>
      <c r="AR75" s="17"/>
      <c r="AS75" s="17"/>
      <c r="AT75" s="17"/>
      <c r="AU75" s="17"/>
      <c r="AV75" s="17"/>
      <c r="AW75" s="17"/>
      <c r="AX75" s="17"/>
      <c r="AY75" s="17"/>
      <c r="AZ75" s="17"/>
      <c r="BA75" s="17"/>
      <c r="BB75" s="17"/>
      <c r="BC75" s="17"/>
      <c r="BD75" s="17"/>
      <c r="BE75" s="17"/>
      <c r="BF75" s="17"/>
      <c r="BG75" s="17"/>
      <c r="BH75" s="17"/>
      <c r="BI75" s="17"/>
      <c r="BJ75" s="17"/>
      <c r="BK75" s="17"/>
      <c r="BL75" s="17"/>
      <c r="BM75" s="17"/>
      <c r="BN75" s="62"/>
      <c r="BO75" s="42"/>
    </row>
    <row r="76" spans="2:67">
      <c r="B76" s="84" t="s">
        <v>204</v>
      </c>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7"/>
      <c r="AS76" s="17"/>
      <c r="AT76" s="17"/>
      <c r="AU76" s="17"/>
      <c r="AV76" s="17"/>
      <c r="AW76" s="17"/>
      <c r="AX76" s="17"/>
      <c r="AY76" s="17"/>
      <c r="AZ76" s="17"/>
      <c r="BA76" s="17"/>
      <c r="BB76" s="17"/>
      <c r="BC76" s="17"/>
      <c r="BD76" s="17"/>
      <c r="BE76" s="17"/>
      <c r="BF76" s="17"/>
      <c r="BG76" s="17"/>
      <c r="BH76" s="17"/>
      <c r="BI76" s="17"/>
      <c r="BJ76" s="17"/>
      <c r="BK76" s="17"/>
      <c r="BL76" s="17"/>
      <c r="BM76" s="17"/>
      <c r="BN76" s="62"/>
      <c r="BO76" s="42"/>
    </row>
    <row r="77" spans="2:67">
      <c r="B77" s="84" t="s">
        <v>205</v>
      </c>
      <c r="C77" s="17"/>
      <c r="D77" s="17"/>
      <c r="E77" s="17"/>
      <c r="F77" s="17"/>
      <c r="G77" s="17"/>
      <c r="H77" s="17"/>
      <c r="I77" s="17"/>
      <c r="J77" s="17"/>
      <c r="K77" s="17"/>
      <c r="L77" s="17"/>
      <c r="M77" s="17"/>
      <c r="N77" s="17"/>
      <c r="O77" s="17"/>
      <c r="P77" s="17"/>
      <c r="Q77" s="17"/>
      <c r="R77" s="17"/>
      <c r="S77" s="17"/>
      <c r="T77" s="17"/>
      <c r="U77" s="17"/>
      <c r="V77" s="17"/>
      <c r="W77" s="17"/>
      <c r="X77" s="17"/>
      <c r="Y77" s="17"/>
      <c r="Z77" s="17"/>
      <c r="AA77" s="17"/>
      <c r="AB77" s="17"/>
      <c r="AC77" s="17"/>
      <c r="AD77" s="17"/>
      <c r="AE77" s="17"/>
      <c r="AF77" s="17"/>
      <c r="AG77" s="17"/>
      <c r="AH77" s="17"/>
      <c r="AI77" s="17"/>
      <c r="AJ77" s="17"/>
      <c r="AK77" s="17"/>
      <c r="AL77" s="17"/>
      <c r="AM77" s="17"/>
      <c r="AN77" s="17"/>
      <c r="AO77" s="17"/>
      <c r="AP77" s="17"/>
      <c r="AQ77" s="17"/>
      <c r="AR77" s="17"/>
      <c r="AS77" s="17"/>
      <c r="AT77" s="17"/>
      <c r="AU77" s="17"/>
      <c r="AV77" s="17"/>
      <c r="AW77" s="17"/>
      <c r="AX77" s="17"/>
      <c r="AY77" s="17"/>
      <c r="AZ77" s="17"/>
      <c r="BA77" s="17"/>
      <c r="BB77" s="17"/>
      <c r="BC77" s="17"/>
      <c r="BD77" s="17"/>
      <c r="BE77" s="17"/>
      <c r="BF77" s="17"/>
      <c r="BG77" s="17"/>
      <c r="BH77" s="17"/>
      <c r="BI77" s="17"/>
      <c r="BJ77" s="17"/>
      <c r="BK77" s="17"/>
      <c r="BL77" s="17"/>
      <c r="BM77" s="17"/>
      <c r="BN77" s="62"/>
      <c r="BO77" s="42"/>
    </row>
    <row r="78" spans="2:67">
      <c r="B78" s="84" t="s">
        <v>206</v>
      </c>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c r="AC78" s="17"/>
      <c r="AD78" s="17"/>
      <c r="AE78" s="17"/>
      <c r="AF78" s="17"/>
      <c r="AG78" s="17"/>
      <c r="AH78" s="17"/>
      <c r="AI78" s="17"/>
      <c r="AJ78" s="17"/>
      <c r="AK78" s="17"/>
      <c r="AL78" s="17"/>
      <c r="AM78" s="17"/>
      <c r="AN78" s="17"/>
      <c r="AO78" s="17"/>
      <c r="AP78" s="17"/>
      <c r="AQ78" s="17"/>
      <c r="AR78" s="17"/>
      <c r="AS78" s="17"/>
      <c r="AT78" s="17"/>
      <c r="AU78" s="17"/>
      <c r="AV78" s="17"/>
      <c r="AW78" s="17"/>
      <c r="AX78" s="17"/>
      <c r="AY78" s="17"/>
      <c r="AZ78" s="17"/>
      <c r="BA78" s="17"/>
      <c r="BB78" s="17"/>
      <c r="BC78" s="17"/>
      <c r="BD78" s="17"/>
      <c r="BE78" s="17"/>
      <c r="BF78" s="17"/>
      <c r="BG78" s="17"/>
      <c r="BH78" s="17"/>
      <c r="BI78" s="17"/>
      <c r="BJ78" s="17"/>
      <c r="BK78" s="17"/>
      <c r="BL78" s="17"/>
      <c r="BM78" s="17"/>
      <c r="BN78" s="62"/>
      <c r="BO78" s="42"/>
    </row>
    <row r="79" spans="2:67">
      <c r="B79" s="84" t="s">
        <v>207</v>
      </c>
      <c r="C79" s="17"/>
      <c r="D79" s="17"/>
      <c r="E79" s="17"/>
      <c r="F79" s="17"/>
      <c r="G79" s="17"/>
      <c r="H79" s="17"/>
      <c r="I79" s="17"/>
      <c r="J79" s="17"/>
      <c r="K79" s="17"/>
      <c r="L79" s="17"/>
      <c r="M79" s="17"/>
      <c r="N79" s="17"/>
      <c r="O79" s="17"/>
      <c r="P79" s="17"/>
      <c r="Q79" s="17"/>
      <c r="R79" s="17"/>
      <c r="S79" s="17"/>
      <c r="T79" s="17"/>
      <c r="U79" s="17"/>
      <c r="V79" s="17"/>
      <c r="W79" s="17"/>
      <c r="X79" s="17"/>
      <c r="Y79" s="17"/>
      <c r="Z79" s="17"/>
      <c r="AA79" s="17"/>
      <c r="AB79" s="17"/>
      <c r="AC79" s="17"/>
      <c r="AD79" s="17"/>
      <c r="AE79" s="17"/>
      <c r="AF79" s="17"/>
      <c r="AG79" s="17"/>
      <c r="AH79" s="17"/>
      <c r="AI79" s="17"/>
      <c r="AJ79" s="17"/>
      <c r="AK79" s="17"/>
      <c r="AL79" s="17"/>
      <c r="AM79" s="17"/>
      <c r="AN79" s="17"/>
      <c r="AO79" s="17"/>
      <c r="AP79" s="17"/>
      <c r="AQ79" s="17"/>
      <c r="AR79" s="17"/>
      <c r="AS79" s="17"/>
      <c r="AT79" s="17"/>
      <c r="AU79" s="17"/>
      <c r="AV79" s="17"/>
      <c r="AW79" s="17"/>
      <c r="AX79" s="17"/>
      <c r="AY79" s="17"/>
      <c r="AZ79" s="17"/>
      <c r="BA79" s="17"/>
      <c r="BB79" s="17"/>
      <c r="BC79" s="17"/>
      <c r="BD79" s="17"/>
      <c r="BE79" s="17"/>
      <c r="BF79" s="17"/>
      <c r="BG79" s="17"/>
      <c r="BH79" s="17"/>
      <c r="BI79" s="17"/>
      <c r="BJ79" s="17"/>
      <c r="BK79" s="17"/>
      <c r="BL79" s="17"/>
      <c r="BM79" s="17"/>
      <c r="BN79" s="62"/>
      <c r="BO79" s="42"/>
    </row>
    <row r="80" spans="2:67" ht="16" thickBot="1">
      <c r="B80" s="84" t="s">
        <v>208</v>
      </c>
      <c r="C80" s="17"/>
      <c r="D80" s="17"/>
      <c r="E80" s="17"/>
      <c r="F80" s="17"/>
      <c r="G80" s="17"/>
      <c r="H80" s="17"/>
      <c r="I80" s="17"/>
      <c r="J80" s="17"/>
      <c r="K80" s="17"/>
      <c r="L80" s="17"/>
      <c r="M80" s="17"/>
      <c r="N80" s="17"/>
      <c r="O80" s="17"/>
      <c r="P80" s="17"/>
      <c r="Q80" s="17"/>
      <c r="R80" s="17"/>
      <c r="S80" s="17"/>
      <c r="T80" s="17"/>
      <c r="U80" s="17"/>
      <c r="V80" s="17"/>
      <c r="W80" s="17"/>
      <c r="X80" s="17"/>
      <c r="Y80" s="17"/>
      <c r="Z80" s="17"/>
      <c r="AA80" s="17"/>
      <c r="AB80" s="17"/>
      <c r="AC80" s="17"/>
      <c r="AD80" s="17"/>
      <c r="AE80" s="17"/>
      <c r="AF80" s="17"/>
      <c r="AG80" s="17"/>
      <c r="AH80" s="17"/>
      <c r="AI80" s="17"/>
      <c r="AJ80" s="17"/>
      <c r="AK80" s="17"/>
      <c r="AL80" s="17"/>
      <c r="AM80" s="17"/>
      <c r="AN80" s="17"/>
      <c r="AO80" s="17"/>
      <c r="AP80" s="17"/>
      <c r="AQ80" s="17"/>
      <c r="AR80" s="17"/>
      <c r="AS80" s="17"/>
      <c r="AT80" s="17"/>
      <c r="AU80" s="17"/>
      <c r="AV80" s="17"/>
      <c r="AW80" s="17"/>
      <c r="AX80" s="17"/>
      <c r="AY80" s="17"/>
      <c r="AZ80" s="17"/>
      <c r="BA80" s="17"/>
      <c r="BB80" s="17"/>
      <c r="BC80" s="17"/>
      <c r="BD80" s="17"/>
      <c r="BE80" s="17"/>
      <c r="BF80" s="17"/>
      <c r="BG80" s="17"/>
      <c r="BH80" s="17"/>
      <c r="BI80" s="17"/>
      <c r="BJ80" s="17"/>
      <c r="BK80" s="17"/>
      <c r="BL80" s="17"/>
      <c r="BM80" s="17"/>
      <c r="BN80" s="62"/>
      <c r="BO80" s="42"/>
    </row>
    <row r="81" spans="2:67" ht="16" thickBot="1">
      <c r="B81" s="85" t="s">
        <v>94</v>
      </c>
      <c r="C81" s="86"/>
      <c r="D81" s="86"/>
      <c r="E81" s="86"/>
      <c r="F81" s="86"/>
      <c r="G81" s="86"/>
      <c r="H81" s="86"/>
      <c r="I81" s="86"/>
      <c r="J81" s="86"/>
      <c r="K81" s="86"/>
      <c r="L81" s="86"/>
      <c r="M81" s="86"/>
      <c r="N81" s="86"/>
      <c r="O81" s="86"/>
      <c r="P81" s="86"/>
      <c r="Q81" s="86"/>
      <c r="R81" s="86"/>
      <c r="S81" s="86"/>
      <c r="T81" s="86"/>
      <c r="U81" s="86"/>
      <c r="V81" s="86"/>
      <c r="W81" s="86"/>
      <c r="X81" s="86"/>
      <c r="Y81" s="86"/>
      <c r="Z81" s="86"/>
      <c r="AA81" s="86"/>
      <c r="AB81" s="86"/>
      <c r="AC81" s="86"/>
      <c r="AD81" s="86"/>
      <c r="AE81" s="86"/>
      <c r="AF81" s="86"/>
      <c r="AG81" s="86"/>
      <c r="AH81" s="86"/>
      <c r="AI81" s="86"/>
      <c r="AJ81" s="86"/>
      <c r="AK81" s="86"/>
      <c r="AL81" s="86"/>
      <c r="AM81" s="86"/>
      <c r="AN81" s="86"/>
      <c r="AO81" s="86"/>
      <c r="AP81" s="86"/>
      <c r="AQ81" s="86"/>
      <c r="AR81" s="86"/>
      <c r="AS81" s="86"/>
      <c r="AT81" s="86"/>
      <c r="AU81" s="86"/>
      <c r="AV81" s="86"/>
      <c r="AW81" s="86"/>
      <c r="AX81" s="86"/>
      <c r="AY81" s="86"/>
      <c r="AZ81" s="86"/>
      <c r="BA81" s="86"/>
      <c r="BB81" s="86"/>
      <c r="BC81" s="86"/>
      <c r="BD81" s="86"/>
      <c r="BE81" s="86"/>
      <c r="BF81" s="86"/>
      <c r="BG81" s="86"/>
      <c r="BH81" s="86"/>
      <c r="BI81" s="86"/>
      <c r="BJ81" s="86"/>
      <c r="BK81" s="86"/>
      <c r="BL81" s="86"/>
      <c r="BM81" s="86"/>
      <c r="BN81" s="87"/>
      <c r="BO81" s="88"/>
    </row>
    <row r="82" spans="2:67">
      <c r="B82" s="84" t="s">
        <v>209</v>
      </c>
      <c r="C82" s="17"/>
      <c r="D82" s="17"/>
      <c r="E82" s="17"/>
      <c r="F82" s="17"/>
      <c r="G82" s="17"/>
      <c r="H82" s="17"/>
      <c r="I82" s="17"/>
      <c r="J82" s="17"/>
      <c r="K82" s="17"/>
      <c r="L82" s="17"/>
      <c r="M82" s="17"/>
      <c r="N82" s="17"/>
      <c r="O82" s="17"/>
      <c r="P82" s="17"/>
      <c r="Q82" s="17"/>
      <c r="R82" s="17"/>
      <c r="S82" s="17"/>
      <c r="T82" s="17"/>
      <c r="U82" s="17"/>
      <c r="V82" s="17"/>
      <c r="W82" s="17"/>
      <c r="X82" s="17"/>
      <c r="Y82" s="17"/>
      <c r="Z82" s="17"/>
      <c r="AA82" s="17"/>
      <c r="AB82" s="17"/>
      <c r="AC82" s="17"/>
      <c r="AD82" s="17"/>
      <c r="AE82" s="17"/>
      <c r="AF82" s="17"/>
      <c r="AG82" s="17"/>
      <c r="AH82" s="17"/>
      <c r="AI82" s="17"/>
      <c r="AJ82" s="17"/>
      <c r="AK82" s="17"/>
      <c r="AL82" s="17"/>
      <c r="AM82" s="17"/>
      <c r="AN82" s="17"/>
      <c r="AO82" s="17"/>
      <c r="AP82" s="17"/>
      <c r="AQ82" s="17"/>
      <c r="AR82" s="17"/>
      <c r="AS82" s="17"/>
      <c r="AT82" s="17"/>
      <c r="AU82" s="17"/>
      <c r="AV82" s="17"/>
      <c r="AW82" s="17"/>
      <c r="AX82" s="17"/>
      <c r="AY82" s="17"/>
      <c r="AZ82" s="17"/>
      <c r="BA82" s="17"/>
      <c r="BB82" s="17"/>
      <c r="BC82" s="17"/>
      <c r="BD82" s="17"/>
      <c r="BE82" s="17"/>
      <c r="BF82" s="17"/>
      <c r="BG82" s="17"/>
      <c r="BH82" s="17"/>
      <c r="BI82" s="17"/>
      <c r="BJ82" s="17"/>
      <c r="BK82" s="17"/>
      <c r="BL82" s="17"/>
      <c r="BM82" s="17"/>
      <c r="BN82" s="62"/>
      <c r="BO82" s="42"/>
    </row>
    <row r="83" spans="2:67">
      <c r="B83" s="84" t="s">
        <v>210</v>
      </c>
      <c r="C83"/>
      <c r="D83"/>
      <c r="E83"/>
      <c r="F83"/>
      <c r="G83"/>
      <c r="H83"/>
      <c r="I8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row>
    <row r="84" spans="2:67">
      <c r="B84" s="84" t="s">
        <v>211</v>
      </c>
      <c r="C84" s="17"/>
      <c r="D84" s="17"/>
      <c r="E84" s="17"/>
      <c r="F84" s="17"/>
      <c r="G84" s="17"/>
      <c r="H84" s="17"/>
      <c r="I84" s="17"/>
      <c r="J84" s="17"/>
      <c r="K84" s="17"/>
      <c r="L84" s="17"/>
      <c r="M84" s="17"/>
      <c r="N84" s="17"/>
      <c r="O84" s="17"/>
      <c r="P84" s="17"/>
      <c r="Q84" s="17"/>
      <c r="R84" s="17"/>
      <c r="S84" s="17"/>
      <c r="T84" s="17"/>
      <c r="U84" s="17"/>
      <c r="V84" s="17"/>
      <c r="W84" s="17"/>
      <c r="X84" s="17"/>
      <c r="Y84" s="17"/>
      <c r="Z84" s="17"/>
      <c r="AA84" s="17"/>
      <c r="AB84" s="17"/>
      <c r="AC84" s="17"/>
      <c r="AD84" s="17"/>
      <c r="AE84" s="17"/>
      <c r="AF84" s="17"/>
      <c r="AG84" s="17"/>
      <c r="AH84" s="17"/>
      <c r="AI84" s="17"/>
      <c r="AJ84" s="17"/>
      <c r="AK84" s="17"/>
      <c r="AL84" s="17"/>
      <c r="AM84" s="17"/>
      <c r="AN84" s="17"/>
      <c r="AO84" s="17"/>
      <c r="AP84" s="17"/>
      <c r="AQ84" s="17"/>
      <c r="AR84" s="17"/>
      <c r="AS84" s="17"/>
      <c r="AT84" s="17"/>
      <c r="AU84" s="17"/>
      <c r="AV84" s="17"/>
      <c r="AW84" s="17"/>
      <c r="AX84" s="17"/>
      <c r="AY84" s="17"/>
      <c r="AZ84" s="17"/>
      <c r="BA84" s="17"/>
      <c r="BB84" s="17"/>
      <c r="BC84" s="17"/>
      <c r="BD84" s="17"/>
      <c r="BE84" s="17"/>
      <c r="BF84" s="17"/>
      <c r="BG84" s="17"/>
      <c r="BH84" s="17"/>
      <c r="BI84" s="17"/>
      <c r="BJ84" s="17"/>
      <c r="BK84" s="17"/>
      <c r="BL84" s="17"/>
      <c r="BM84" s="17"/>
      <c r="BN84" s="62"/>
      <c r="BO84" s="42"/>
    </row>
    <row r="85" spans="2:67">
      <c r="B85" s="84" t="s">
        <v>212</v>
      </c>
      <c r="C85" s="17"/>
      <c r="D85" s="17"/>
      <c r="E85" s="17"/>
      <c r="F85" s="17"/>
      <c r="G85" s="17"/>
      <c r="H85" s="17"/>
      <c r="I85" s="17"/>
      <c r="J85" s="17"/>
      <c r="K85" s="17"/>
      <c r="L85" s="17"/>
      <c r="M85" s="17"/>
      <c r="N85" s="17"/>
      <c r="O85" s="17"/>
      <c r="P85" s="17"/>
      <c r="Q85" s="17"/>
      <c r="R85" s="17"/>
      <c r="S85" s="17"/>
      <c r="T85" s="17"/>
      <c r="U85" s="17"/>
      <c r="V85" s="17"/>
      <c r="W85" s="17"/>
      <c r="X85" s="17"/>
      <c r="Y85" s="17"/>
      <c r="Z85" s="17"/>
      <c r="AA85" s="17"/>
      <c r="AB85" s="17"/>
      <c r="AC85" s="17"/>
      <c r="AD85" s="17"/>
      <c r="AE85" s="17"/>
      <c r="AF85" s="17"/>
      <c r="AG85" s="17"/>
      <c r="AH85" s="17"/>
      <c r="AI85" s="17"/>
      <c r="AJ85" s="17"/>
      <c r="AK85" s="17"/>
      <c r="AL85" s="17"/>
      <c r="AM85" s="17"/>
      <c r="AN85" s="17"/>
      <c r="AO85" s="17"/>
      <c r="AP85" s="17"/>
      <c r="AQ85" s="17"/>
      <c r="AR85" s="17"/>
      <c r="AS85" s="17"/>
      <c r="AT85" s="17"/>
      <c r="AU85" s="17"/>
      <c r="AV85" s="17"/>
      <c r="AW85" s="17"/>
      <c r="AX85" s="17"/>
      <c r="AY85" s="17"/>
      <c r="AZ85" s="17"/>
      <c r="BA85" s="17"/>
      <c r="BB85" s="17"/>
      <c r="BC85" s="17"/>
      <c r="BD85" s="17"/>
      <c r="BE85" s="17"/>
      <c r="BF85" s="17"/>
      <c r="BG85" s="17"/>
      <c r="BH85" s="17"/>
      <c r="BI85" s="17"/>
      <c r="BJ85" s="17"/>
      <c r="BK85" s="17"/>
      <c r="BL85" s="17"/>
      <c r="BM85" s="17"/>
      <c r="BN85" s="62"/>
      <c r="BO85" s="42"/>
    </row>
    <row r="86" spans="2:67" ht="16" thickBot="1">
      <c r="B86" s="84" t="s">
        <v>213</v>
      </c>
      <c r="C86" s="17"/>
      <c r="D86" s="17"/>
      <c r="E86" s="17"/>
      <c r="F86" s="17"/>
      <c r="G86" s="17"/>
      <c r="H86" s="17"/>
      <c r="I86" s="17"/>
      <c r="J86" s="17"/>
      <c r="K86" s="17"/>
      <c r="L86" s="17"/>
      <c r="M86" s="17"/>
      <c r="N86" s="17"/>
      <c r="O86" s="17"/>
      <c r="P86" s="17"/>
      <c r="Q86" s="17"/>
      <c r="R86" s="17"/>
      <c r="S86" s="17"/>
      <c r="T86" s="17"/>
      <c r="U86" s="17"/>
      <c r="V86" s="17"/>
      <c r="W86" s="17"/>
      <c r="X86" s="17"/>
      <c r="Y86" s="17"/>
      <c r="Z86" s="17"/>
      <c r="AA86" s="17"/>
      <c r="AB86" s="17"/>
      <c r="AC86" s="17"/>
      <c r="AD86" s="17"/>
      <c r="AE86" s="17"/>
      <c r="AF86" s="17"/>
      <c r="AG86" s="17"/>
      <c r="AH86" s="17"/>
      <c r="AI86" s="17"/>
      <c r="AJ86" s="17"/>
      <c r="AK86" s="17"/>
      <c r="AL86" s="17"/>
      <c r="AM86" s="17"/>
      <c r="AN86" s="17"/>
      <c r="AO86" s="17"/>
      <c r="AP86" s="17"/>
      <c r="AQ86" s="17"/>
      <c r="AR86" s="17"/>
      <c r="AS86" s="17"/>
      <c r="AT86" s="17"/>
      <c r="AU86" s="17"/>
      <c r="AV86" s="17"/>
      <c r="AW86" s="17"/>
      <c r="AX86" s="17"/>
      <c r="AY86" s="17"/>
      <c r="AZ86" s="17"/>
      <c r="BA86" s="17"/>
      <c r="BB86" s="17"/>
      <c r="BC86" s="17"/>
      <c r="BD86" s="17"/>
      <c r="BE86" s="17"/>
      <c r="BF86" s="17"/>
      <c r="BG86" s="17"/>
      <c r="BH86" s="17"/>
      <c r="BI86" s="17"/>
      <c r="BJ86" s="17"/>
      <c r="BK86" s="17"/>
      <c r="BL86" s="17"/>
      <c r="BM86" s="17"/>
      <c r="BN86" s="62"/>
      <c r="BO86" s="42"/>
    </row>
    <row r="87" spans="2:67" ht="16" thickBot="1">
      <c r="B87" s="85" t="s">
        <v>214</v>
      </c>
      <c r="C87" s="86"/>
      <c r="D87" s="86"/>
      <c r="E87" s="86"/>
      <c r="F87" s="86"/>
      <c r="G87" s="86"/>
      <c r="H87" s="86"/>
      <c r="I87" s="86"/>
      <c r="J87" s="86"/>
      <c r="K87" s="86"/>
      <c r="L87" s="86"/>
      <c r="M87" s="86"/>
      <c r="N87" s="86"/>
      <c r="O87" s="86"/>
      <c r="P87" s="86"/>
      <c r="Q87" s="86"/>
      <c r="R87" s="86"/>
      <c r="S87" s="86"/>
      <c r="T87" s="86"/>
      <c r="U87" s="86"/>
      <c r="V87" s="86"/>
      <c r="W87" s="86"/>
      <c r="X87" s="86"/>
      <c r="Y87" s="86"/>
      <c r="Z87" s="86"/>
      <c r="AA87" s="86"/>
      <c r="AB87" s="86"/>
      <c r="AC87" s="86"/>
      <c r="AD87" s="86"/>
      <c r="AE87" s="86"/>
      <c r="AF87" s="86"/>
      <c r="AG87" s="86"/>
      <c r="AH87" s="86"/>
      <c r="AI87" s="86"/>
      <c r="AJ87" s="86"/>
      <c r="AK87" s="86"/>
      <c r="AL87" s="86"/>
      <c r="AM87" s="86"/>
      <c r="AN87" s="86"/>
      <c r="AO87" s="86"/>
      <c r="AP87" s="86"/>
      <c r="AQ87" s="86"/>
      <c r="AR87" s="86"/>
      <c r="AS87" s="86"/>
      <c r="AT87" s="86"/>
      <c r="AU87" s="86"/>
      <c r="AV87" s="86"/>
      <c r="AW87" s="86"/>
      <c r="AX87" s="86"/>
      <c r="AY87" s="86"/>
      <c r="AZ87" s="86"/>
      <c r="BA87" s="86"/>
      <c r="BB87" s="86"/>
      <c r="BC87" s="86"/>
      <c r="BD87" s="86"/>
      <c r="BE87" s="86"/>
      <c r="BF87" s="86"/>
      <c r="BG87" s="86"/>
      <c r="BH87" s="86"/>
      <c r="BI87" s="86"/>
      <c r="BJ87" s="86"/>
      <c r="BK87" s="86"/>
      <c r="BL87" s="86"/>
      <c r="BM87" s="86"/>
      <c r="BN87" s="87"/>
      <c r="BO87" s="88"/>
    </row>
    <row r="88" spans="2:67">
      <c r="B88" s="84" t="s">
        <v>215</v>
      </c>
      <c r="C88" s="17"/>
      <c r="D88" s="17"/>
      <c r="E88" s="17"/>
      <c r="F88" s="17"/>
      <c r="G88" s="17"/>
      <c r="H88" s="17"/>
      <c r="I88" s="17"/>
      <c r="J88" s="17"/>
      <c r="K88" s="17"/>
      <c r="L88" s="17"/>
      <c r="M88" s="17"/>
      <c r="N88" s="17"/>
      <c r="O88" s="17"/>
      <c r="P88" s="17"/>
      <c r="Q88" s="17"/>
      <c r="R88" s="17"/>
      <c r="S88" s="17"/>
      <c r="T88" s="17"/>
      <c r="U88" s="17"/>
      <c r="V88" s="17"/>
      <c r="W88" s="17"/>
      <c r="X88" s="17"/>
      <c r="Y88" s="17"/>
      <c r="Z88" s="17"/>
      <c r="AA88" s="17"/>
      <c r="AB88" s="17"/>
      <c r="AC88" s="17"/>
      <c r="AD88" s="17"/>
      <c r="AE88" s="17"/>
      <c r="AF88" s="17"/>
      <c r="AG88" s="17"/>
      <c r="AH88" s="17"/>
      <c r="AI88" s="17"/>
      <c r="AJ88" s="17"/>
      <c r="AK88" s="17"/>
      <c r="AL88" s="17"/>
      <c r="AM88" s="17"/>
      <c r="AN88" s="17"/>
      <c r="AO88" s="17"/>
      <c r="AP88" s="17"/>
      <c r="AQ88" s="17"/>
      <c r="AR88" s="17"/>
      <c r="AS88" s="17"/>
      <c r="AT88" s="17"/>
      <c r="AU88" s="17"/>
      <c r="AV88" s="17"/>
      <c r="AW88" s="17"/>
      <c r="AX88" s="17"/>
      <c r="AY88" s="17"/>
      <c r="AZ88" s="17"/>
      <c r="BA88" s="17"/>
      <c r="BB88" s="17"/>
      <c r="BC88" s="17"/>
      <c r="BD88" s="17"/>
      <c r="BE88" s="17"/>
      <c r="BF88" s="17"/>
      <c r="BG88" s="17"/>
      <c r="BH88" s="17"/>
      <c r="BI88" s="17"/>
      <c r="BJ88" s="17"/>
      <c r="BK88" s="17"/>
      <c r="BL88" s="17"/>
      <c r="BM88" s="17"/>
      <c r="BN88" s="62"/>
      <c r="BO88" s="42"/>
    </row>
    <row r="89" spans="2:67">
      <c r="B89" s="84" t="s">
        <v>216</v>
      </c>
      <c r="C89" s="17"/>
      <c r="D89" s="17"/>
      <c r="E89" s="17"/>
      <c r="F89" s="17"/>
      <c r="G89" s="17"/>
      <c r="H89" s="17"/>
      <c r="I89" s="17"/>
      <c r="J89" s="17"/>
      <c r="K89" s="17"/>
      <c r="L89" s="17"/>
      <c r="M89" s="17"/>
      <c r="N89" s="17"/>
      <c r="O89" s="17"/>
      <c r="P89" s="17"/>
      <c r="Q89" s="17"/>
      <c r="R89" s="17"/>
      <c r="S89" s="17"/>
      <c r="T89" s="17"/>
      <c r="U89" s="17"/>
      <c r="V89" s="17"/>
      <c r="W89" s="17"/>
      <c r="X89" s="17"/>
      <c r="Y89" s="17"/>
      <c r="Z89" s="17"/>
      <c r="AA89" s="17"/>
      <c r="AB89" s="17"/>
      <c r="AC89" s="17"/>
      <c r="AD89" s="17"/>
      <c r="AE89" s="17"/>
      <c r="AF89" s="17"/>
      <c r="AG89" s="17"/>
      <c r="AH89" s="17"/>
      <c r="AI89" s="17"/>
      <c r="AJ89" s="17"/>
      <c r="AK89" s="17"/>
      <c r="AL89" s="17"/>
      <c r="AM89" s="17"/>
      <c r="AN89" s="17"/>
      <c r="AO89" s="17"/>
      <c r="AP89" s="17"/>
      <c r="AQ89" s="17"/>
      <c r="AR89" s="17"/>
      <c r="AS89" s="17"/>
      <c r="AT89" s="17"/>
      <c r="AU89" s="17"/>
      <c r="AV89" s="17"/>
      <c r="AW89" s="17"/>
      <c r="AX89" s="17"/>
      <c r="AY89" s="17"/>
      <c r="AZ89" s="17"/>
      <c r="BA89" s="17"/>
      <c r="BB89" s="17"/>
      <c r="BC89" s="17"/>
      <c r="BD89" s="17"/>
      <c r="BE89" s="17"/>
      <c r="BF89" s="17"/>
      <c r="BG89" s="17"/>
      <c r="BH89" s="17"/>
      <c r="BI89" s="17"/>
      <c r="BJ89" s="17"/>
      <c r="BK89" s="17"/>
      <c r="BL89" s="17"/>
      <c r="BM89" s="17"/>
      <c r="BN89" s="62"/>
      <c r="BO89" s="42"/>
    </row>
    <row r="90" spans="2:67">
      <c r="B90" s="84" t="s">
        <v>217</v>
      </c>
      <c r="C90" s="17"/>
      <c r="D90" s="17"/>
      <c r="E90" s="17"/>
      <c r="F90" s="17"/>
      <c r="G90" s="17"/>
      <c r="H90" s="17"/>
      <c r="I90" s="17"/>
      <c r="J90" s="17"/>
      <c r="K90" s="17"/>
      <c r="L90" s="17"/>
      <c r="M90" s="17"/>
      <c r="N90" s="17"/>
      <c r="O90" s="17"/>
      <c r="P90" s="17"/>
      <c r="Q90" s="17"/>
      <c r="R90" s="17"/>
      <c r="S90" s="17"/>
      <c r="T90" s="17"/>
      <c r="U90" s="17"/>
      <c r="V90" s="17"/>
      <c r="W90" s="17"/>
      <c r="X90" s="17"/>
      <c r="Y90" s="17"/>
      <c r="Z90" s="17"/>
      <c r="AA90" s="17"/>
      <c r="AB90" s="17"/>
      <c r="AC90" s="17"/>
      <c r="AD90" s="17"/>
      <c r="AE90" s="17"/>
      <c r="AF90" s="17"/>
      <c r="AG90" s="17"/>
      <c r="AH90" s="17"/>
      <c r="AI90" s="17"/>
      <c r="AJ90" s="17"/>
      <c r="AK90" s="17"/>
      <c r="AL90" s="17"/>
      <c r="AM90" s="17"/>
      <c r="AN90" s="17"/>
      <c r="AO90" s="17"/>
      <c r="AP90" s="17"/>
      <c r="AQ90" s="17"/>
      <c r="AR90" s="17"/>
      <c r="AS90" s="17"/>
      <c r="AT90" s="17"/>
      <c r="AU90" s="17"/>
      <c r="AV90" s="17"/>
      <c r="AW90" s="17"/>
      <c r="AX90" s="17"/>
      <c r="AY90" s="17"/>
      <c r="AZ90" s="17"/>
      <c r="BA90" s="17"/>
      <c r="BB90" s="17"/>
      <c r="BC90" s="17"/>
      <c r="BD90" s="17"/>
      <c r="BE90" s="17"/>
      <c r="BF90" s="17"/>
      <c r="BG90" s="17"/>
      <c r="BH90" s="17"/>
      <c r="BI90" s="17"/>
      <c r="BJ90" s="17"/>
      <c r="BK90" s="17"/>
      <c r="BL90" s="17"/>
      <c r="BM90" s="17"/>
      <c r="BN90" s="62"/>
      <c r="BO90" s="42"/>
    </row>
    <row r="91" spans="2:67" ht="16" thickBot="1">
      <c r="B91" s="84" t="s">
        <v>218</v>
      </c>
      <c r="C91" s="17"/>
      <c r="D91" s="17"/>
      <c r="E91" s="17"/>
      <c r="F91" s="17"/>
      <c r="G91" s="17"/>
      <c r="H91" s="17"/>
      <c r="I91" s="17"/>
      <c r="J91" s="17"/>
      <c r="K91" s="17"/>
      <c r="L91" s="17"/>
      <c r="M91" s="17"/>
      <c r="N91" s="17"/>
      <c r="O91" s="17"/>
      <c r="P91" s="17"/>
      <c r="Q91" s="17"/>
      <c r="R91" s="17"/>
      <c r="S91" s="17"/>
      <c r="T91" s="17"/>
      <c r="U91" s="17"/>
      <c r="V91" s="17"/>
      <c r="W91" s="17"/>
      <c r="X91" s="17"/>
      <c r="Y91" s="17"/>
      <c r="Z91" s="17"/>
      <c r="AA91" s="17"/>
      <c r="AB91" s="17"/>
      <c r="AC91" s="17"/>
      <c r="AD91" s="17"/>
      <c r="AE91" s="17"/>
      <c r="AF91" s="17"/>
      <c r="AG91" s="17"/>
      <c r="AH91" s="17"/>
      <c r="AI91" s="17"/>
      <c r="AJ91" s="17"/>
      <c r="AK91" s="17"/>
      <c r="AL91" s="17"/>
      <c r="AM91" s="17"/>
      <c r="AN91" s="17"/>
      <c r="AO91" s="17"/>
      <c r="AP91" s="17"/>
      <c r="AQ91" s="17"/>
      <c r="AR91" s="17"/>
      <c r="AS91" s="17"/>
      <c r="AT91" s="17"/>
      <c r="AU91" s="17"/>
      <c r="AV91" s="17"/>
      <c r="AW91" s="17"/>
      <c r="AX91" s="17"/>
      <c r="AY91" s="17"/>
      <c r="AZ91" s="17"/>
      <c r="BA91" s="17"/>
      <c r="BB91" s="17"/>
      <c r="BC91" s="17"/>
      <c r="BD91" s="17"/>
      <c r="BE91" s="17"/>
      <c r="BF91" s="17"/>
      <c r="BG91" s="17"/>
      <c r="BH91" s="17"/>
      <c r="BI91" s="17"/>
      <c r="BJ91" s="17"/>
      <c r="BK91" s="17"/>
      <c r="BL91" s="17"/>
      <c r="BM91" s="17"/>
      <c r="BN91" s="62"/>
      <c r="BO91" s="42"/>
    </row>
    <row r="92" spans="2:67" ht="16" thickBot="1">
      <c r="B92" s="85" t="s">
        <v>219</v>
      </c>
      <c r="C92" s="86"/>
      <c r="D92" s="86"/>
      <c r="E92" s="86"/>
      <c r="F92" s="86"/>
      <c r="G92" s="86"/>
      <c r="H92" s="86"/>
      <c r="I92" s="86"/>
      <c r="J92" s="86"/>
      <c r="K92" s="86"/>
      <c r="L92" s="86"/>
      <c r="M92" s="86"/>
      <c r="N92" s="86"/>
      <c r="O92" s="86"/>
      <c r="P92" s="86"/>
      <c r="Q92" s="86"/>
      <c r="R92" s="86"/>
      <c r="S92" s="86"/>
      <c r="T92" s="86"/>
      <c r="U92" s="86"/>
      <c r="V92" s="86"/>
      <c r="W92" s="86"/>
      <c r="X92" s="86"/>
      <c r="Y92" s="86"/>
      <c r="Z92" s="86"/>
      <c r="AA92" s="86"/>
      <c r="AB92" s="86"/>
      <c r="AC92" s="86"/>
      <c r="AD92" s="86"/>
      <c r="AE92" s="86"/>
      <c r="AF92" s="86"/>
      <c r="AG92" s="86"/>
      <c r="AH92" s="86"/>
      <c r="AI92" s="86"/>
      <c r="AJ92" s="86"/>
      <c r="AK92" s="86"/>
      <c r="AL92" s="86"/>
      <c r="AM92" s="86"/>
      <c r="AN92" s="86"/>
      <c r="AO92" s="86"/>
      <c r="AP92" s="86"/>
      <c r="AQ92" s="86"/>
      <c r="AR92" s="86"/>
      <c r="AS92" s="86"/>
      <c r="AT92" s="86"/>
      <c r="AU92" s="86"/>
      <c r="AV92" s="86"/>
      <c r="AW92" s="86"/>
      <c r="AX92" s="86"/>
      <c r="AY92" s="86"/>
      <c r="AZ92" s="86"/>
      <c r="BA92" s="86"/>
      <c r="BB92" s="86"/>
      <c r="BC92" s="86"/>
      <c r="BD92" s="86"/>
      <c r="BE92" s="86"/>
      <c r="BF92" s="86"/>
      <c r="BG92" s="86"/>
      <c r="BH92" s="86"/>
      <c r="BI92" s="86"/>
      <c r="BJ92" s="86"/>
      <c r="BK92" s="86"/>
      <c r="BL92" s="86"/>
      <c r="BM92" s="86"/>
      <c r="BN92" s="87"/>
      <c r="BO92" s="88"/>
    </row>
    <row r="93" spans="2:67">
      <c r="B93" s="84" t="s">
        <v>220</v>
      </c>
      <c r="C93" s="17"/>
      <c r="D93" s="17"/>
      <c r="E93" s="17"/>
      <c r="F93" s="17"/>
      <c r="G93" s="17"/>
      <c r="H93" s="17"/>
      <c r="I93" s="17"/>
      <c r="J93" s="17"/>
      <c r="K93" s="17"/>
      <c r="L93" s="17"/>
      <c r="M93" s="17"/>
      <c r="N93" s="17"/>
      <c r="O93" s="17"/>
      <c r="P93" s="17"/>
      <c r="Q93" s="17"/>
      <c r="R93" s="17"/>
      <c r="S93" s="17"/>
      <c r="T93" s="17"/>
      <c r="U93" s="17"/>
      <c r="V93" s="17"/>
      <c r="W93" s="17"/>
      <c r="X93" s="17"/>
      <c r="Y93" s="17"/>
      <c r="Z93" s="17"/>
      <c r="AA93" s="17"/>
      <c r="AB93" s="17"/>
      <c r="AC93" s="17"/>
      <c r="AD93" s="17"/>
      <c r="AE93" s="17"/>
      <c r="AF93" s="17"/>
      <c r="AG93" s="17"/>
      <c r="AH93" s="17"/>
      <c r="AI93" s="17"/>
      <c r="AJ93" s="17"/>
      <c r="AK93" s="17"/>
      <c r="AL93" s="17"/>
      <c r="AM93" s="17"/>
      <c r="AN93" s="17"/>
      <c r="AO93" s="17"/>
      <c r="AP93" s="17"/>
      <c r="AQ93" s="17"/>
      <c r="AR93" s="17"/>
      <c r="AS93" s="17"/>
      <c r="AT93" s="17"/>
      <c r="AU93" s="17"/>
      <c r="AV93" s="17"/>
      <c r="AW93" s="17"/>
      <c r="AX93" s="17"/>
      <c r="AY93" s="17"/>
      <c r="AZ93" s="17"/>
      <c r="BA93" s="17"/>
      <c r="BB93" s="17"/>
      <c r="BC93" s="17"/>
      <c r="BD93" s="17"/>
      <c r="BE93" s="17"/>
      <c r="BF93" s="17"/>
      <c r="BG93" s="17"/>
      <c r="BH93" s="17"/>
      <c r="BI93" s="17"/>
      <c r="BJ93" s="17"/>
      <c r="BK93" s="17"/>
      <c r="BL93" s="17"/>
      <c r="BM93" s="17"/>
      <c r="BN93" s="62"/>
      <c r="BO93" s="42"/>
    </row>
    <row r="94" spans="2:67">
      <c r="B94" s="84" t="s">
        <v>221</v>
      </c>
      <c r="C94" s="17"/>
      <c r="D94" s="17"/>
      <c r="E94" s="17"/>
      <c r="F94" s="17"/>
      <c r="G94" s="17"/>
      <c r="H94" s="17"/>
      <c r="I94" s="17"/>
      <c r="J94" s="17"/>
      <c r="K94" s="17"/>
      <c r="L94" s="17"/>
      <c r="M94" s="17"/>
      <c r="N94" s="17"/>
      <c r="O94" s="17"/>
      <c r="P94" s="17"/>
      <c r="Q94" s="17"/>
      <c r="R94" s="17"/>
      <c r="S94" s="17"/>
      <c r="T94" s="17"/>
      <c r="U94" s="17"/>
      <c r="V94" s="17"/>
      <c r="W94" s="17"/>
      <c r="X94" s="17"/>
      <c r="Y94" s="17"/>
      <c r="Z94" s="17"/>
      <c r="AA94" s="17"/>
      <c r="AB94" s="17"/>
      <c r="AC94" s="17"/>
      <c r="AD94" s="17"/>
      <c r="AE94" s="17"/>
      <c r="AF94" s="17"/>
      <c r="AG94" s="17"/>
      <c r="AH94" s="17"/>
      <c r="AI94" s="17"/>
      <c r="AJ94" s="17"/>
      <c r="AK94" s="17"/>
      <c r="AL94" s="17"/>
      <c r="AM94" s="17"/>
      <c r="AN94" s="17"/>
      <c r="AO94" s="17"/>
      <c r="AP94" s="17"/>
      <c r="AQ94" s="17"/>
      <c r="AR94" s="17"/>
      <c r="AS94" s="17"/>
      <c r="AT94" s="17"/>
      <c r="AU94" s="17"/>
      <c r="AV94" s="17"/>
      <c r="AW94" s="17"/>
      <c r="AX94" s="17"/>
      <c r="AY94" s="17"/>
      <c r="AZ94" s="17"/>
      <c r="BA94" s="17"/>
      <c r="BB94" s="17"/>
      <c r="BC94" s="17"/>
      <c r="BD94" s="17"/>
      <c r="BE94" s="17"/>
      <c r="BF94" s="17"/>
      <c r="BG94" s="17"/>
      <c r="BH94" s="17"/>
      <c r="BI94" s="17"/>
      <c r="BJ94" s="17"/>
      <c r="BK94" s="17"/>
      <c r="BL94" s="17"/>
      <c r="BM94" s="17"/>
      <c r="BN94" s="62"/>
      <c r="BO94" s="42"/>
    </row>
    <row r="95" spans="2:67">
      <c r="B95" s="84" t="s">
        <v>222</v>
      </c>
      <c r="C95" s="17"/>
      <c r="D95" s="17"/>
      <c r="E95" s="17"/>
      <c r="F95" s="17"/>
      <c r="G95" s="17"/>
      <c r="H95" s="17"/>
      <c r="I95" s="17"/>
      <c r="J95" s="17"/>
      <c r="K95" s="17"/>
      <c r="L95" s="17"/>
      <c r="M95" s="17"/>
      <c r="N95" s="17"/>
      <c r="O95" s="17"/>
      <c r="P95" s="17"/>
      <c r="Q95" s="17"/>
      <c r="R95" s="17"/>
      <c r="S95" s="17"/>
      <c r="T95" s="17"/>
      <c r="U95" s="17"/>
      <c r="V95" s="17"/>
      <c r="W95" s="17"/>
      <c r="X95" s="17"/>
      <c r="Y95" s="17"/>
      <c r="Z95" s="17"/>
      <c r="AA95" s="17"/>
      <c r="AB95" s="17"/>
      <c r="AC95" s="17"/>
      <c r="AD95" s="17"/>
      <c r="AE95" s="17"/>
      <c r="AF95" s="17"/>
      <c r="AG95" s="17"/>
      <c r="AH95" s="17"/>
      <c r="AI95" s="17"/>
      <c r="AJ95" s="17"/>
      <c r="AK95" s="17"/>
      <c r="AL95" s="17"/>
      <c r="AM95" s="17"/>
      <c r="AN95" s="17"/>
      <c r="AO95" s="17"/>
      <c r="AP95" s="17"/>
      <c r="AQ95" s="17"/>
      <c r="AR95" s="17"/>
      <c r="AS95" s="17"/>
      <c r="AT95" s="17"/>
      <c r="AU95" s="17"/>
      <c r="AV95" s="17"/>
      <c r="AW95" s="17"/>
      <c r="AX95" s="17"/>
      <c r="AY95" s="17"/>
      <c r="AZ95" s="17"/>
      <c r="BA95" s="17"/>
      <c r="BB95" s="17"/>
      <c r="BC95" s="17"/>
      <c r="BD95" s="17"/>
      <c r="BE95" s="17"/>
      <c r="BF95" s="17"/>
      <c r="BG95" s="17"/>
      <c r="BH95" s="17"/>
      <c r="BI95" s="17"/>
      <c r="BJ95" s="17"/>
      <c r="BK95" s="17"/>
      <c r="BL95" s="17"/>
      <c r="BM95" s="17"/>
      <c r="BN95" s="62"/>
      <c r="BO95" s="42"/>
    </row>
    <row r="96" spans="2:67" ht="16" thickBot="1">
      <c r="B96" s="84" t="s">
        <v>223</v>
      </c>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7"/>
      <c r="AL96" s="17"/>
      <c r="AM96" s="17"/>
      <c r="AN96" s="17"/>
      <c r="AO96" s="17"/>
      <c r="AP96" s="17"/>
      <c r="AQ96" s="17"/>
      <c r="AR96" s="17"/>
      <c r="AS96" s="17"/>
      <c r="AT96" s="17"/>
      <c r="AU96" s="17"/>
      <c r="AV96" s="17"/>
      <c r="AW96" s="17"/>
      <c r="AX96" s="17"/>
      <c r="AY96" s="17"/>
      <c r="AZ96" s="17"/>
      <c r="BA96" s="17"/>
      <c r="BB96" s="17"/>
      <c r="BC96" s="17"/>
      <c r="BD96" s="17"/>
      <c r="BE96" s="17"/>
      <c r="BF96" s="17"/>
      <c r="BG96" s="17"/>
      <c r="BH96" s="17"/>
      <c r="BI96" s="17"/>
      <c r="BJ96" s="17"/>
      <c r="BK96" s="17"/>
      <c r="BL96" s="17"/>
      <c r="BM96" s="17"/>
      <c r="BN96" s="62"/>
      <c r="BO96" s="42"/>
    </row>
    <row r="97" spans="2:67" ht="16" thickBot="1">
      <c r="B97" s="85" t="s">
        <v>224</v>
      </c>
      <c r="C97" s="86"/>
      <c r="D97" s="86"/>
      <c r="E97" s="86"/>
      <c r="F97" s="86"/>
      <c r="G97" s="86"/>
      <c r="H97" s="86"/>
      <c r="I97" s="86"/>
      <c r="J97" s="86"/>
      <c r="K97" s="86"/>
      <c r="L97" s="86"/>
      <c r="M97" s="86"/>
      <c r="N97" s="86"/>
      <c r="O97" s="86"/>
      <c r="P97" s="86"/>
      <c r="Q97" s="86"/>
      <c r="R97" s="86"/>
      <c r="S97" s="86"/>
      <c r="T97" s="86"/>
      <c r="U97" s="86"/>
      <c r="V97" s="86"/>
      <c r="W97" s="86"/>
      <c r="X97" s="86"/>
      <c r="Y97" s="86"/>
      <c r="Z97" s="86"/>
      <c r="AA97" s="86"/>
      <c r="AB97" s="86"/>
      <c r="AC97" s="86"/>
      <c r="AD97" s="86"/>
      <c r="AE97" s="86"/>
      <c r="AF97" s="86"/>
      <c r="AG97" s="86"/>
      <c r="AH97" s="86"/>
      <c r="AI97" s="86"/>
      <c r="AJ97" s="86"/>
      <c r="AK97" s="86"/>
      <c r="AL97" s="86"/>
      <c r="AM97" s="86"/>
      <c r="AN97" s="86"/>
      <c r="AO97" s="86"/>
      <c r="AP97" s="86"/>
      <c r="AQ97" s="86"/>
      <c r="AR97" s="86"/>
      <c r="AS97" s="86"/>
      <c r="AT97" s="86"/>
      <c r="AU97" s="86"/>
      <c r="AV97" s="86"/>
      <c r="AW97" s="86"/>
      <c r="AX97" s="86"/>
      <c r="AY97" s="86"/>
      <c r="AZ97" s="86"/>
      <c r="BA97" s="86"/>
      <c r="BB97" s="86"/>
      <c r="BC97" s="86"/>
      <c r="BD97" s="86"/>
      <c r="BE97" s="86"/>
      <c r="BF97" s="86"/>
      <c r="BG97" s="86"/>
      <c r="BH97" s="86"/>
      <c r="BI97" s="86"/>
      <c r="BJ97" s="86"/>
      <c r="BK97" s="86"/>
      <c r="BL97" s="86"/>
      <c r="BM97" s="86"/>
      <c r="BN97" s="87"/>
      <c r="BO97" s="88"/>
    </row>
    <row r="98" spans="2:67">
      <c r="B98" s="84" t="s">
        <v>225</v>
      </c>
      <c r="C98" s="17"/>
      <c r="D98" s="17"/>
      <c r="E98" s="17"/>
      <c r="F98" s="17"/>
      <c r="G98" s="17"/>
      <c r="H98" s="17"/>
      <c r="I98" s="17"/>
      <c r="J98" s="17"/>
      <c r="K98" s="17"/>
      <c r="L98" s="17"/>
      <c r="M98" s="17"/>
      <c r="N98" s="17"/>
      <c r="O98" s="17"/>
      <c r="P98" s="17"/>
      <c r="Q98" s="17"/>
      <c r="R98" s="17"/>
      <c r="S98" s="17"/>
      <c r="T98" s="17"/>
      <c r="U98" s="17"/>
      <c r="V98" s="17"/>
      <c r="W98" s="17"/>
      <c r="X98" s="17"/>
      <c r="Y98" s="17"/>
      <c r="Z98" s="17"/>
      <c r="AA98" s="17"/>
      <c r="AB98" s="17"/>
      <c r="AC98" s="17"/>
      <c r="AD98" s="17"/>
      <c r="AE98" s="17"/>
      <c r="AF98" s="17"/>
      <c r="AG98" s="17"/>
      <c r="AH98" s="17"/>
      <c r="AI98" s="17"/>
      <c r="AJ98" s="17"/>
      <c r="AK98" s="17"/>
      <c r="AL98" s="17"/>
      <c r="AM98" s="17"/>
      <c r="AN98" s="17"/>
      <c r="AO98" s="17"/>
      <c r="AP98" s="17"/>
      <c r="AQ98" s="17"/>
      <c r="AR98" s="17"/>
      <c r="AS98" s="17"/>
      <c r="AT98" s="17"/>
      <c r="AU98" s="17"/>
      <c r="AV98" s="17"/>
      <c r="AW98" s="17"/>
      <c r="AX98" s="17"/>
      <c r="AY98" s="17"/>
      <c r="AZ98" s="17"/>
      <c r="BA98" s="17"/>
      <c r="BB98" s="17"/>
      <c r="BC98" s="17"/>
      <c r="BD98" s="17"/>
      <c r="BE98" s="17"/>
      <c r="BF98" s="17"/>
      <c r="BG98" s="17"/>
      <c r="BH98" s="17"/>
      <c r="BI98" s="17"/>
      <c r="BJ98" s="17"/>
      <c r="BK98" s="17"/>
      <c r="BL98" s="17"/>
      <c r="BM98" s="17"/>
      <c r="BN98" s="62"/>
      <c r="BO98" s="42"/>
    </row>
    <row r="99" spans="2:67">
      <c r="B99" s="84" t="s">
        <v>226</v>
      </c>
      <c r="C99" s="17"/>
      <c r="D99" s="17"/>
      <c r="E99" s="17"/>
      <c r="F99" s="17"/>
      <c r="G99" s="17"/>
      <c r="H99" s="17"/>
      <c r="I99" s="17"/>
      <c r="J99" s="17"/>
      <c r="K99" s="17"/>
      <c r="L99" s="17"/>
      <c r="M99" s="17"/>
      <c r="N99" s="17"/>
      <c r="O99" s="17"/>
      <c r="P99" s="17"/>
      <c r="Q99" s="17"/>
      <c r="R99" s="17"/>
      <c r="S99" s="17"/>
      <c r="T99" s="17"/>
      <c r="U99" s="17"/>
      <c r="V99" s="17"/>
      <c r="W99" s="17"/>
      <c r="X99" s="17"/>
      <c r="Y99" s="17"/>
      <c r="Z99" s="17"/>
      <c r="AA99" s="17"/>
      <c r="AB99" s="17"/>
      <c r="AC99" s="17"/>
      <c r="AD99" s="17"/>
      <c r="AE99" s="17"/>
      <c r="AF99" s="17"/>
      <c r="AG99" s="17"/>
      <c r="AH99" s="17"/>
      <c r="AI99" s="17"/>
      <c r="AJ99" s="17"/>
      <c r="AK99" s="17"/>
      <c r="AL99" s="17"/>
      <c r="AM99" s="17"/>
      <c r="AN99" s="17"/>
      <c r="AO99" s="17"/>
      <c r="AP99" s="17"/>
      <c r="AQ99" s="17"/>
      <c r="AR99" s="17"/>
      <c r="AS99" s="17"/>
      <c r="AT99" s="17"/>
      <c r="AU99" s="17"/>
      <c r="AV99" s="17"/>
      <c r="AW99" s="17"/>
      <c r="AX99" s="17"/>
      <c r="AY99" s="17"/>
      <c r="AZ99" s="17"/>
      <c r="BA99" s="17"/>
      <c r="BB99" s="17"/>
      <c r="BC99" s="17"/>
      <c r="BD99" s="17"/>
      <c r="BE99" s="17"/>
      <c r="BF99" s="17"/>
      <c r="BG99" s="17"/>
      <c r="BH99" s="17"/>
      <c r="BI99" s="17"/>
      <c r="BJ99" s="17"/>
      <c r="BK99" s="17"/>
      <c r="BL99" s="17"/>
      <c r="BM99" s="17"/>
      <c r="BN99" s="62"/>
      <c r="BO99" s="42"/>
    </row>
    <row r="100" spans="2:67">
      <c r="B100" s="84" t="s">
        <v>227</v>
      </c>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c r="AB100" s="17"/>
      <c r="AC100" s="17"/>
      <c r="AD100" s="17"/>
      <c r="AE100" s="17"/>
      <c r="AF100" s="17"/>
      <c r="AG100" s="17"/>
      <c r="AH100" s="17"/>
      <c r="AI100" s="17"/>
      <c r="AJ100" s="17"/>
      <c r="AK100" s="17"/>
      <c r="AL100" s="17"/>
      <c r="AM100" s="17"/>
      <c r="AN100" s="17"/>
      <c r="AO100" s="17"/>
      <c r="AP100" s="17"/>
      <c r="AQ100" s="17"/>
      <c r="AR100" s="17"/>
      <c r="AS100" s="17"/>
      <c r="AT100" s="17"/>
      <c r="AU100" s="17"/>
      <c r="AV100" s="17"/>
      <c r="AW100" s="17"/>
      <c r="AX100" s="17"/>
      <c r="AY100" s="17"/>
      <c r="AZ100" s="17"/>
      <c r="BA100" s="17"/>
      <c r="BB100" s="17"/>
      <c r="BC100" s="17"/>
      <c r="BD100" s="17"/>
      <c r="BE100" s="17"/>
      <c r="BF100" s="17"/>
      <c r="BG100" s="17"/>
      <c r="BH100" s="17"/>
      <c r="BI100" s="17"/>
      <c r="BJ100" s="17"/>
      <c r="BK100" s="17"/>
      <c r="BL100" s="17"/>
      <c r="BM100" s="17"/>
      <c r="BN100" s="62"/>
      <c r="BO100" s="42"/>
    </row>
    <row r="101" spans="2:67" ht="16" thickBot="1">
      <c r="B101" s="91" t="s">
        <v>228</v>
      </c>
      <c r="C101" s="48"/>
      <c r="D101" s="48"/>
      <c r="E101" s="48"/>
      <c r="F101" s="48"/>
      <c r="G101" s="48"/>
      <c r="H101" s="48"/>
      <c r="I101" s="48"/>
      <c r="J101" s="48"/>
      <c r="K101" s="48"/>
      <c r="L101" s="48"/>
      <c r="M101" s="48"/>
      <c r="N101" s="48"/>
      <c r="O101" s="48"/>
      <c r="P101" s="48"/>
      <c r="Q101" s="48"/>
      <c r="R101" s="48"/>
      <c r="S101" s="48"/>
      <c r="T101" s="48"/>
      <c r="U101" s="48"/>
      <c r="V101" s="48"/>
      <c r="W101" s="48"/>
      <c r="X101" s="48"/>
      <c r="Y101" s="48"/>
      <c r="Z101" s="48"/>
      <c r="AA101" s="48"/>
      <c r="AB101" s="48"/>
      <c r="AC101" s="48"/>
      <c r="AD101" s="48"/>
      <c r="AE101" s="48"/>
      <c r="AF101" s="48"/>
      <c r="AG101" s="48"/>
      <c r="AH101" s="48"/>
      <c r="AI101" s="48"/>
      <c r="AJ101" s="48"/>
      <c r="AK101" s="48"/>
      <c r="AL101" s="48"/>
      <c r="AM101" s="48"/>
      <c r="AN101" s="48"/>
      <c r="AO101" s="48"/>
      <c r="AP101" s="48"/>
      <c r="AQ101" s="48"/>
      <c r="AR101" s="48"/>
      <c r="AS101" s="48"/>
      <c r="AT101" s="48"/>
      <c r="AU101" s="48"/>
      <c r="AV101" s="48"/>
      <c r="AW101" s="48"/>
      <c r="AX101" s="48"/>
      <c r="AY101" s="48"/>
      <c r="AZ101" s="48"/>
      <c r="BA101" s="48"/>
      <c r="BB101" s="48"/>
      <c r="BC101" s="48"/>
      <c r="BD101" s="48"/>
      <c r="BE101" s="48"/>
      <c r="BF101" s="48"/>
      <c r="BG101" s="48"/>
      <c r="BH101" s="48"/>
      <c r="BI101" s="48"/>
      <c r="BJ101" s="48"/>
      <c r="BK101" s="48"/>
      <c r="BL101" s="48"/>
      <c r="BM101" s="48"/>
      <c r="BN101" s="92"/>
      <c r="BO101" s="51"/>
    </row>
  </sheetData>
  <pageMargins left="0.75" right="0.75" top="1" bottom="1" header="0.5" footer="0.5"/>
  <legacyDrawing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enableFormatConditionsCalculation="0">
    <tabColor theme="6" tint="0.39997558519241921"/>
  </sheetPr>
  <dimension ref="B2:M38"/>
  <sheetViews>
    <sheetView workbookViewId="0"/>
  </sheetViews>
  <sheetFormatPr baseColWidth="10" defaultRowHeight="15" x14ac:dyDescent="0"/>
  <cols>
    <col min="1" max="1" width="10.83203125" style="1"/>
    <col min="2" max="2" width="21.6640625" style="1" customWidth="1"/>
    <col min="3" max="3" width="34" style="1" bestFit="1" customWidth="1"/>
    <col min="4" max="4" width="34" style="1" hidden="1" customWidth="1"/>
    <col min="5" max="5" width="72.5" style="1" bestFit="1" customWidth="1"/>
    <col min="6" max="6" width="18.33203125" style="1" bestFit="1" customWidth="1"/>
    <col min="7" max="9" width="16.83203125" style="1" bestFit="1" customWidth="1"/>
    <col min="10" max="10" width="17.1640625" style="1" customWidth="1"/>
    <col min="11" max="11" width="17.1640625" style="1" bestFit="1" customWidth="1"/>
    <col min="12" max="12" width="16.6640625" style="153" bestFit="1" customWidth="1"/>
    <col min="13" max="13" width="20.83203125" style="1" bestFit="1" customWidth="1"/>
    <col min="14" max="16384" width="10.83203125" style="1"/>
  </cols>
  <sheetData>
    <row r="2" spans="2:13" ht="20">
      <c r="B2" s="67" t="s">
        <v>238</v>
      </c>
      <c r="C2" s="8"/>
      <c r="D2" s="8"/>
      <c r="E2" s="8"/>
      <c r="F2" s="8"/>
      <c r="G2" s="8"/>
      <c r="H2" s="8"/>
      <c r="I2" s="8"/>
    </row>
    <row r="4" spans="2:13">
      <c r="B4" s="337" t="s">
        <v>95</v>
      </c>
      <c r="C4" s="338"/>
      <c r="D4" s="338"/>
      <c r="E4" s="339"/>
      <c r="F4" s="341"/>
      <c r="G4" s="342"/>
      <c r="H4" s="342"/>
      <c r="I4" s="342"/>
      <c r="J4" s="342"/>
      <c r="K4" s="342"/>
      <c r="L4" s="340"/>
    </row>
    <row r="5" spans="2:13">
      <c r="B5" s="403" t="s">
        <v>568</v>
      </c>
      <c r="C5" s="404"/>
      <c r="D5" s="404"/>
      <c r="E5" s="405"/>
      <c r="F5" s="343"/>
      <c r="G5" s="224"/>
      <c r="H5" s="224"/>
      <c r="I5" s="224"/>
      <c r="J5" s="224"/>
      <c r="K5" s="224"/>
      <c r="L5" s="340"/>
    </row>
    <row r="6" spans="2:13" ht="16" thickBot="1">
      <c r="B6" s="8"/>
      <c r="C6" s="8"/>
      <c r="D6" s="8"/>
      <c r="E6" s="8"/>
      <c r="F6" s="8"/>
      <c r="G6" s="8"/>
      <c r="H6" s="8"/>
      <c r="I6" s="8"/>
    </row>
    <row r="7" spans="2:13">
      <c r="B7" s="324" t="s">
        <v>565</v>
      </c>
      <c r="C7" s="325"/>
      <c r="D7" s="325"/>
      <c r="E7" s="326" t="s">
        <v>566</v>
      </c>
      <c r="F7" s="322" t="s">
        <v>567</v>
      </c>
      <c r="G7" s="321"/>
      <c r="H7" s="322"/>
      <c r="I7" s="327"/>
      <c r="J7" s="328"/>
      <c r="K7" s="329"/>
      <c r="L7" s="333"/>
      <c r="M7" s="258" t="s">
        <v>458</v>
      </c>
    </row>
    <row r="8" spans="2:13" ht="30">
      <c r="B8" s="330" t="s">
        <v>341</v>
      </c>
      <c r="C8" s="298" t="s">
        <v>229</v>
      </c>
      <c r="D8" s="8"/>
      <c r="E8" s="347" t="s">
        <v>420</v>
      </c>
      <c r="F8" s="8" t="s">
        <v>543</v>
      </c>
      <c r="G8" s="8" t="s">
        <v>544</v>
      </c>
      <c r="H8" s="8" t="s">
        <v>544</v>
      </c>
      <c r="I8" s="331" t="s">
        <v>564</v>
      </c>
      <c r="J8" s="334" t="s">
        <v>232</v>
      </c>
      <c r="K8" s="335" t="s">
        <v>231</v>
      </c>
      <c r="L8" s="336" t="s">
        <v>288</v>
      </c>
    </row>
    <row r="9" spans="2:13" ht="15" customHeight="1">
      <c r="B9" s="43"/>
      <c r="C9" s="10"/>
      <c r="D9" s="74"/>
      <c r="E9" s="332"/>
      <c r="F9" s="323" t="s">
        <v>545</v>
      </c>
      <c r="G9" s="323" t="s">
        <v>546</v>
      </c>
      <c r="H9" s="323" t="s">
        <v>563</v>
      </c>
      <c r="I9" s="11" t="s">
        <v>547</v>
      </c>
      <c r="J9" s="20"/>
      <c r="K9" s="10"/>
      <c r="L9" s="295"/>
    </row>
    <row r="10" spans="2:13">
      <c r="B10" s="70"/>
      <c r="C10" s="72"/>
      <c r="D10" s="72"/>
      <c r="E10" s="344"/>
      <c r="F10" s="72"/>
      <c r="G10" s="72"/>
      <c r="H10" s="72"/>
      <c r="I10" s="72"/>
      <c r="J10" s="348"/>
      <c r="K10" s="269"/>
      <c r="L10" s="349"/>
    </row>
    <row r="11" spans="2:13">
      <c r="B11" s="50" t="s">
        <v>92</v>
      </c>
      <c r="C11" s="17" t="s">
        <v>123</v>
      </c>
      <c r="D11" s="17"/>
      <c r="E11" s="345" t="s">
        <v>548</v>
      </c>
      <c r="F11" s="355"/>
      <c r="G11" s="355" t="s">
        <v>572</v>
      </c>
      <c r="H11" s="355" t="s">
        <v>572</v>
      </c>
      <c r="I11" s="355" t="s">
        <v>572</v>
      </c>
      <c r="J11" s="366">
        <f>F11</f>
        <v>0</v>
      </c>
      <c r="K11" s="360"/>
      <c r="L11" s="361">
        <f>J11</f>
        <v>0</v>
      </c>
      <c r="M11" s="258" t="s">
        <v>463</v>
      </c>
    </row>
    <row r="12" spans="2:13">
      <c r="B12" s="73"/>
      <c r="C12" s="17" t="s">
        <v>125</v>
      </c>
      <c r="D12" s="17"/>
      <c r="E12" s="345" t="s">
        <v>549</v>
      </c>
      <c r="F12" s="355"/>
      <c r="G12" s="355"/>
      <c r="H12" s="355" t="s">
        <v>572</v>
      </c>
      <c r="I12" s="355" t="s">
        <v>572</v>
      </c>
      <c r="J12" s="366"/>
      <c r="K12" s="360" t="e">
        <f>1/G12</f>
        <v>#DIV/0!</v>
      </c>
      <c r="L12" s="361" t="e">
        <f>K12</f>
        <v>#DIV/0!</v>
      </c>
      <c r="M12" s="258" t="s">
        <v>466</v>
      </c>
    </row>
    <row r="13" spans="2:13">
      <c r="B13" s="73"/>
      <c r="C13" s="17" t="s">
        <v>124</v>
      </c>
      <c r="D13" s="17"/>
      <c r="E13" s="345" t="s">
        <v>550</v>
      </c>
      <c r="F13" s="355"/>
      <c r="G13" s="355" t="s">
        <v>572</v>
      </c>
      <c r="H13" s="355"/>
      <c r="I13" s="355" t="s">
        <v>572</v>
      </c>
      <c r="J13" s="366"/>
      <c r="K13" s="360" t="e">
        <f>1/H13</f>
        <v>#DIV/0!</v>
      </c>
      <c r="L13" s="361" t="e">
        <f>K13</f>
        <v>#DIV/0!</v>
      </c>
      <c r="M13" s="258" t="s">
        <v>482</v>
      </c>
    </row>
    <row r="14" spans="2:13">
      <c r="B14" s="73"/>
      <c r="C14" s="17" t="s">
        <v>126</v>
      </c>
      <c r="D14" s="17"/>
      <c r="E14" s="345" t="s">
        <v>551</v>
      </c>
      <c r="F14" s="355"/>
      <c r="G14" s="355" t="s">
        <v>572</v>
      </c>
      <c r="H14" s="355" t="s">
        <v>572</v>
      </c>
      <c r="I14" s="355" t="s">
        <v>572</v>
      </c>
      <c r="J14" s="366">
        <f>F14</f>
        <v>0</v>
      </c>
      <c r="K14" s="360"/>
      <c r="L14" s="361">
        <f t="shared" ref="L14" si="0">J14</f>
        <v>0</v>
      </c>
      <c r="M14" s="258" t="s">
        <v>462</v>
      </c>
    </row>
    <row r="15" spans="2:13">
      <c r="B15" s="73"/>
      <c r="C15" s="17" t="s">
        <v>128</v>
      </c>
      <c r="D15" s="17"/>
      <c r="E15" s="345" t="s">
        <v>552</v>
      </c>
      <c r="F15" s="355"/>
      <c r="G15" s="355" t="s">
        <v>572</v>
      </c>
      <c r="H15" s="355" t="s">
        <v>572</v>
      </c>
      <c r="I15" s="355" t="s">
        <v>572</v>
      </c>
      <c r="J15" s="366">
        <f>F15</f>
        <v>0</v>
      </c>
      <c r="K15" s="360"/>
      <c r="L15" s="361">
        <f>J15</f>
        <v>0</v>
      </c>
      <c r="M15" s="258" t="s">
        <v>465</v>
      </c>
    </row>
    <row r="16" spans="2:13">
      <c r="B16" s="73"/>
      <c r="C16" s="17" t="s">
        <v>129</v>
      </c>
      <c r="D16" s="17"/>
      <c r="E16" s="345" t="s">
        <v>553</v>
      </c>
      <c r="F16" s="355"/>
      <c r="G16" s="355" t="s">
        <v>572</v>
      </c>
      <c r="H16" s="355" t="s">
        <v>572</v>
      </c>
      <c r="I16" s="355" t="s">
        <v>572</v>
      </c>
      <c r="J16" s="366">
        <f>F16</f>
        <v>0</v>
      </c>
      <c r="K16" s="360"/>
      <c r="L16" s="361">
        <f>J16</f>
        <v>0</v>
      </c>
      <c r="M16" s="258" t="s">
        <v>464</v>
      </c>
    </row>
    <row r="17" spans="2:13">
      <c r="B17" s="73"/>
      <c r="E17" s="19"/>
      <c r="F17" s="356"/>
      <c r="G17" s="356"/>
      <c r="H17" s="356"/>
      <c r="I17" s="356"/>
      <c r="J17" s="366"/>
      <c r="K17" s="350"/>
      <c r="L17" s="350"/>
      <c r="M17" s="30"/>
    </row>
    <row r="18" spans="2:13">
      <c r="B18" s="73"/>
      <c r="C18" s="17" t="s">
        <v>127</v>
      </c>
      <c r="D18" s="17"/>
      <c r="E18" s="345" t="s">
        <v>554</v>
      </c>
      <c r="F18" s="355"/>
      <c r="G18" s="355" t="s">
        <v>572</v>
      </c>
      <c r="H18" s="355" t="s">
        <v>572</v>
      </c>
      <c r="I18" s="355" t="s">
        <v>572</v>
      </c>
      <c r="J18" s="366">
        <f>F18</f>
        <v>0</v>
      </c>
      <c r="K18" s="360"/>
      <c r="L18" s="361">
        <f>J18</f>
        <v>0</v>
      </c>
      <c r="M18" s="258" t="s">
        <v>459</v>
      </c>
    </row>
    <row r="19" spans="2:13">
      <c r="B19" s="73"/>
      <c r="C19" s="17" t="s">
        <v>130</v>
      </c>
      <c r="D19" s="17"/>
      <c r="E19" s="345" t="s">
        <v>555</v>
      </c>
      <c r="F19" s="355"/>
      <c r="G19" s="355" t="s">
        <v>572</v>
      </c>
      <c r="H19" s="355" t="s">
        <v>572</v>
      </c>
      <c r="I19" s="355" t="s">
        <v>572</v>
      </c>
      <c r="J19" s="366">
        <f>F19</f>
        <v>0</v>
      </c>
      <c r="K19" s="360"/>
      <c r="L19" s="361">
        <f>J19</f>
        <v>0</v>
      </c>
      <c r="M19" s="258" t="s">
        <v>461</v>
      </c>
    </row>
    <row r="20" spans="2:13">
      <c r="B20" s="73"/>
      <c r="C20" s="17" t="s">
        <v>131</v>
      </c>
      <c r="D20" s="17"/>
      <c r="E20" s="345" t="s">
        <v>556</v>
      </c>
      <c r="F20" s="355"/>
      <c r="G20" s="355" t="s">
        <v>572</v>
      </c>
      <c r="H20" s="355" t="s">
        <v>572</v>
      </c>
      <c r="I20" s="355" t="s">
        <v>572</v>
      </c>
      <c r="J20" s="366">
        <f>F20</f>
        <v>0</v>
      </c>
      <c r="K20" s="360"/>
      <c r="L20" s="361">
        <f>J20</f>
        <v>0</v>
      </c>
      <c r="M20" s="258" t="s">
        <v>460</v>
      </c>
    </row>
    <row r="21" spans="2:13">
      <c r="B21" s="30"/>
      <c r="C21" s="8"/>
      <c r="D21" s="8"/>
      <c r="E21" s="19"/>
      <c r="F21" s="357"/>
      <c r="G21" s="357"/>
      <c r="H21" s="357"/>
      <c r="I21" s="357"/>
      <c r="J21" s="366"/>
      <c r="K21" s="360"/>
      <c r="L21" s="361"/>
    </row>
    <row r="22" spans="2:13">
      <c r="B22" s="49" t="s">
        <v>105</v>
      </c>
      <c r="C22" s="4"/>
      <c r="D22" s="4"/>
      <c r="E22" s="303"/>
      <c r="F22" s="358"/>
      <c r="G22" s="358"/>
      <c r="H22" s="358"/>
      <c r="I22" s="358"/>
      <c r="J22" s="367"/>
      <c r="K22" s="362"/>
      <c r="L22" s="363"/>
      <c r="M22" s="258"/>
    </row>
    <row r="23" spans="2:13">
      <c r="B23" s="73"/>
      <c r="C23" s="17" t="s">
        <v>124</v>
      </c>
      <c r="D23" s="17"/>
      <c r="E23" s="345" t="s">
        <v>557</v>
      </c>
      <c r="F23" s="355" t="s">
        <v>572</v>
      </c>
      <c r="G23" s="355" t="s">
        <v>572</v>
      </c>
      <c r="H23" s="355"/>
      <c r="I23" s="355" t="s">
        <v>572</v>
      </c>
      <c r="J23" s="366"/>
      <c r="K23" s="360" t="e">
        <f>1/H23</f>
        <v>#DIV/0!</v>
      </c>
      <c r="L23" s="361" t="e">
        <f>K23</f>
        <v>#DIV/0!</v>
      </c>
      <c r="M23" s="258" t="s">
        <v>468</v>
      </c>
    </row>
    <row r="24" spans="2:13">
      <c r="B24" s="73"/>
      <c r="C24" s="17" t="s">
        <v>125</v>
      </c>
      <c r="D24" s="17"/>
      <c r="E24" s="345" t="s">
        <v>558</v>
      </c>
      <c r="F24" s="355" t="s">
        <v>572</v>
      </c>
      <c r="G24" s="355"/>
      <c r="H24" s="355" t="s">
        <v>572</v>
      </c>
      <c r="I24" s="355" t="s">
        <v>572</v>
      </c>
      <c r="J24" s="366"/>
      <c r="K24" s="360" t="e">
        <f>1/G24</f>
        <v>#DIV/0!</v>
      </c>
      <c r="L24" s="361" t="e">
        <f>K24</f>
        <v>#DIV/0!</v>
      </c>
      <c r="M24" s="258" t="s">
        <v>469</v>
      </c>
    </row>
    <row r="25" spans="2:13">
      <c r="B25" s="73"/>
      <c r="C25" s="17" t="s">
        <v>133</v>
      </c>
      <c r="D25" s="17"/>
      <c r="E25" s="345" t="s">
        <v>559</v>
      </c>
      <c r="F25" s="355" t="s">
        <v>572</v>
      </c>
      <c r="G25" s="355"/>
      <c r="H25" s="355" t="s">
        <v>572</v>
      </c>
      <c r="I25" s="355" t="s">
        <v>572</v>
      </c>
      <c r="J25" s="366"/>
      <c r="K25" s="360" t="e">
        <f>1/G25</f>
        <v>#DIV/0!</v>
      </c>
      <c r="L25" s="361" t="e">
        <f>K25</f>
        <v>#DIV/0!</v>
      </c>
      <c r="M25" s="258" t="s">
        <v>467</v>
      </c>
    </row>
    <row r="26" spans="2:13">
      <c r="B26" s="43"/>
      <c r="C26" s="10"/>
      <c r="D26" s="10"/>
      <c r="E26" s="20"/>
      <c r="F26" s="359"/>
      <c r="G26" s="359"/>
      <c r="H26" s="359"/>
      <c r="I26" s="359"/>
      <c r="J26" s="368"/>
      <c r="K26" s="364"/>
      <c r="L26" s="365"/>
    </row>
    <row r="27" spans="2:13">
      <c r="B27" s="37" t="s">
        <v>91</v>
      </c>
      <c r="C27" s="8"/>
      <c r="D27" s="8"/>
      <c r="E27" s="19"/>
      <c r="F27" s="357"/>
      <c r="G27" s="357"/>
      <c r="H27" s="357"/>
      <c r="I27" s="357"/>
      <c r="J27" s="366"/>
      <c r="K27" s="360"/>
      <c r="L27" s="361"/>
    </row>
    <row r="28" spans="2:13">
      <c r="B28" s="73"/>
      <c r="C28" s="17" t="s">
        <v>134</v>
      </c>
      <c r="D28" s="17"/>
      <c r="E28" s="345"/>
      <c r="F28" s="355"/>
      <c r="G28" s="355"/>
      <c r="H28" s="355"/>
      <c r="I28" s="355"/>
      <c r="J28" s="369">
        <v>0.05</v>
      </c>
      <c r="K28" s="360"/>
      <c r="L28" s="361">
        <f>J28</f>
        <v>0.05</v>
      </c>
      <c r="M28" s="258" t="s">
        <v>471</v>
      </c>
    </row>
    <row r="29" spans="2:13">
      <c r="B29" s="73"/>
      <c r="C29" s="17" t="s">
        <v>135</v>
      </c>
      <c r="D29" s="17"/>
      <c r="E29" s="345"/>
      <c r="F29" s="355"/>
      <c r="G29" s="355"/>
      <c r="H29" s="355"/>
      <c r="I29" s="355"/>
      <c r="J29" s="369">
        <v>0.12</v>
      </c>
      <c r="K29" s="360"/>
      <c r="L29" s="361">
        <f>J29</f>
        <v>0.12</v>
      </c>
      <c r="M29" s="258" t="s">
        <v>472</v>
      </c>
    </row>
    <row r="30" spans="2:13">
      <c r="B30" s="73"/>
      <c r="C30" s="17" t="s">
        <v>335</v>
      </c>
      <c r="D30" s="17"/>
      <c r="E30" s="345" t="s">
        <v>561</v>
      </c>
      <c r="F30" s="355" t="s">
        <v>572</v>
      </c>
      <c r="G30" s="355" t="s">
        <v>572</v>
      </c>
      <c r="H30" s="355" t="s">
        <v>572</v>
      </c>
      <c r="I30" s="355"/>
      <c r="J30" s="366">
        <f>I30</f>
        <v>0</v>
      </c>
      <c r="K30" s="360"/>
      <c r="L30" s="361">
        <f>J30</f>
        <v>0</v>
      </c>
      <c r="M30" s="258" t="s">
        <v>473</v>
      </c>
    </row>
    <row r="31" spans="2:13">
      <c r="B31" s="73"/>
      <c r="C31" s="17" t="s">
        <v>336</v>
      </c>
      <c r="D31" s="17"/>
      <c r="E31" s="345" t="s">
        <v>560</v>
      </c>
      <c r="F31" s="355" t="s">
        <v>572</v>
      </c>
      <c r="G31" s="355" t="s">
        <v>572</v>
      </c>
      <c r="H31" s="355" t="s">
        <v>572</v>
      </c>
      <c r="I31" s="355"/>
      <c r="J31" s="366">
        <f>I31</f>
        <v>0</v>
      </c>
      <c r="K31" s="360"/>
      <c r="L31" s="361">
        <f>J31</f>
        <v>0</v>
      </c>
      <c r="M31" s="258" t="s">
        <v>474</v>
      </c>
    </row>
    <row r="32" spans="2:13">
      <c r="B32" s="73"/>
      <c r="C32" s="17" t="s">
        <v>136</v>
      </c>
      <c r="D32" s="17"/>
      <c r="E32" s="345" t="s">
        <v>562</v>
      </c>
      <c r="F32" s="355" t="s">
        <v>572</v>
      </c>
      <c r="G32" s="355" t="s">
        <v>572</v>
      </c>
      <c r="H32" s="355" t="s">
        <v>572</v>
      </c>
      <c r="I32" s="355"/>
      <c r="J32" s="366">
        <f>I32</f>
        <v>0</v>
      </c>
      <c r="K32" s="360"/>
      <c r="L32" s="361">
        <f>J32</f>
        <v>0</v>
      </c>
      <c r="M32" s="258" t="s">
        <v>470</v>
      </c>
    </row>
    <row r="33" spans="2:12" ht="16" thickBot="1">
      <c r="B33" s="47"/>
      <c r="C33" s="102"/>
      <c r="D33" s="102"/>
      <c r="E33" s="346"/>
      <c r="F33" s="102"/>
      <c r="G33" s="102"/>
      <c r="H33" s="102"/>
      <c r="I33" s="102"/>
      <c r="J33" s="351"/>
      <c r="K33" s="352"/>
      <c r="L33" s="353"/>
    </row>
    <row r="34" spans="2:12">
      <c r="J34" s="145"/>
      <c r="K34" s="145"/>
      <c r="L34" s="350"/>
    </row>
    <row r="35" spans="2:12">
      <c r="J35" s="145"/>
      <c r="K35" s="145"/>
      <c r="L35" s="350"/>
    </row>
    <row r="36" spans="2:12">
      <c r="J36" s="145"/>
      <c r="K36" s="145"/>
      <c r="L36" s="350"/>
    </row>
    <row r="37" spans="2:12" ht="23">
      <c r="J37" s="354"/>
      <c r="K37" s="145"/>
      <c r="L37" s="350"/>
    </row>
    <row r="38" spans="2:12" ht="23">
      <c r="J38" s="354"/>
      <c r="K38" s="145"/>
      <c r="L38" s="350"/>
    </row>
  </sheetData>
  <mergeCells count="1">
    <mergeCell ref="B5:E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enableFormatConditionsCalculation="0">
    <tabColor theme="5" tint="0.39997558519241921"/>
  </sheetPr>
  <dimension ref="B2:E26"/>
  <sheetViews>
    <sheetView workbookViewId="0">
      <selection activeCell="D13" sqref="D13"/>
    </sheetView>
  </sheetViews>
  <sheetFormatPr baseColWidth="10" defaultRowHeight="15" x14ac:dyDescent="0"/>
  <cols>
    <col min="1" max="1" width="10.83203125" style="1"/>
    <col min="2" max="3" width="20.83203125" style="1" customWidth="1"/>
    <col min="4" max="4" width="23.1640625" style="1" customWidth="1"/>
    <col min="5" max="5" width="21" style="1" customWidth="1"/>
    <col min="6" max="16384" width="10.83203125" style="1"/>
  </cols>
  <sheetData>
    <row r="2" spans="2:5" ht="20">
      <c r="B2" s="2" t="s">
        <v>346</v>
      </c>
    </row>
    <row r="4" spans="2:5">
      <c r="B4" s="3" t="s">
        <v>95</v>
      </c>
      <c r="C4" s="4"/>
      <c r="D4" s="4"/>
      <c r="E4" s="5"/>
    </row>
    <row r="5" spans="2:5">
      <c r="B5" s="400" t="s">
        <v>349</v>
      </c>
      <c r="C5" s="402"/>
      <c r="D5" s="402"/>
      <c r="E5" s="401"/>
    </row>
    <row r="6" spans="2:5" ht="16" thickBot="1"/>
    <row r="7" spans="2:5" ht="30">
      <c r="B7" s="201" t="s">
        <v>492</v>
      </c>
      <c r="C7" s="283" t="s">
        <v>341</v>
      </c>
      <c r="D7" s="167" t="s">
        <v>483</v>
      </c>
      <c r="E7" s="168" t="s">
        <v>346</v>
      </c>
    </row>
    <row r="8" spans="2:5">
      <c r="B8" s="279" t="s">
        <v>268</v>
      </c>
      <c r="C8" s="169"/>
      <c r="D8" s="4"/>
      <c r="E8" s="136"/>
    </row>
    <row r="9" spans="2:5">
      <c r="B9" s="280"/>
      <c r="C9" s="18" t="s">
        <v>122</v>
      </c>
      <c r="D9" s="222" t="e">
        <f>SUM('Final demand per energy carrier'!E15:E23)</f>
        <v>#DIV/0!</v>
      </c>
      <c r="E9" s="249" t="e">
        <f>IF(SUM($D$9:$D$10)=0,0,D9/SUM($D$9:$D$10))</f>
        <v>#DIV/0!</v>
      </c>
    </row>
    <row r="10" spans="2:5">
      <c r="B10" s="280"/>
      <c r="C10" s="18" t="s">
        <v>307</v>
      </c>
      <c r="D10" s="222" t="e">
        <f>'Final demand per energy carrier'!E42</f>
        <v>#DIV/0!</v>
      </c>
      <c r="E10" s="249" t="e">
        <f>IF(SUM($D$9:$D$10)=0,1,D10/SUM($D$9:$D$10))</f>
        <v>#DIV/0!</v>
      </c>
    </row>
    <row r="11" spans="2:5">
      <c r="B11" s="37"/>
      <c r="C11" s="7"/>
      <c r="D11" s="217"/>
      <c r="E11" s="250"/>
    </row>
    <row r="12" spans="2:5">
      <c r="B12" s="279" t="s">
        <v>601</v>
      </c>
      <c r="C12" s="169"/>
      <c r="D12" s="223"/>
      <c r="E12" s="252"/>
    </row>
    <row r="13" spans="2:5">
      <c r="B13" s="280"/>
      <c r="C13" s="18" t="s">
        <v>122</v>
      </c>
      <c r="D13" s="222" t="e">
        <f>SUM('Final demand per energy carrier'!F15:F23)</f>
        <v>#DIV/0!</v>
      </c>
      <c r="E13" s="249" t="e">
        <f>IF(SUM($D$13:$D$15)=0,0,D13/SUM($D$13:$D$15))</f>
        <v>#DIV/0!</v>
      </c>
    </row>
    <row r="14" spans="2:5">
      <c r="B14" s="280"/>
      <c r="C14" s="18" t="s">
        <v>121</v>
      </c>
      <c r="D14" s="222" t="e">
        <f>SUM('Final demand per energy carrier'!F26:F28)</f>
        <v>#DIV/0!</v>
      </c>
      <c r="E14" s="249" t="e">
        <f>IF(SUM($D$13:$D$15)=0,0,D14/SUM($D$13:$D$15))</f>
        <v>#DIV/0!</v>
      </c>
    </row>
    <row r="15" spans="2:5">
      <c r="B15" s="280"/>
      <c r="C15" s="18" t="s">
        <v>307</v>
      </c>
      <c r="D15" s="222" t="e">
        <f>'Final demand per energy carrier'!F42</f>
        <v>#DIV/0!</v>
      </c>
      <c r="E15" s="249" t="e">
        <f>IF(SUM($D$13:$D$15)=0,1,D15/SUM($D$13:$D$15))</f>
        <v>#DIV/0!</v>
      </c>
    </row>
    <row r="16" spans="2:5">
      <c r="B16" s="281"/>
      <c r="C16" s="7"/>
      <c r="D16" s="217"/>
      <c r="E16" s="253"/>
    </row>
    <row r="17" spans="2:5">
      <c r="B17" s="279" t="s">
        <v>270</v>
      </c>
      <c r="C17" s="169"/>
      <c r="D17" s="223"/>
      <c r="E17" s="252"/>
    </row>
    <row r="18" spans="2:5">
      <c r="B18" s="280"/>
      <c r="C18" s="18" t="s">
        <v>122</v>
      </c>
      <c r="D18" s="222" t="e">
        <f>SUM('Final demand per energy carrier'!G15:G23)</f>
        <v>#DIV/0!</v>
      </c>
      <c r="E18" s="249" t="e">
        <f>IF(SUM($D$18:$D$19)=0,0,D18/SUM($D$18:$D$19))</f>
        <v>#DIV/0!</v>
      </c>
    </row>
    <row r="19" spans="2:5">
      <c r="B19" s="280"/>
      <c r="C19" s="18" t="s">
        <v>307</v>
      </c>
      <c r="D19" s="222" t="e">
        <f>'Final demand per energy carrier'!G42</f>
        <v>#DIV/0!</v>
      </c>
      <c r="E19" s="249" t="e">
        <f>IF(SUM($D$18:$D$19)=0,1,D19/SUM($D$18:$D$19))</f>
        <v>#DIV/0!</v>
      </c>
    </row>
    <row r="20" spans="2:5">
      <c r="B20" s="280"/>
      <c r="C20" s="7"/>
      <c r="D20" s="217"/>
      <c r="E20" s="253"/>
    </row>
    <row r="21" spans="2:5">
      <c r="B21" s="279" t="s">
        <v>305</v>
      </c>
      <c r="C21" s="169"/>
      <c r="D21" s="223"/>
      <c r="E21" s="252"/>
    </row>
    <row r="22" spans="2:5">
      <c r="B22" s="280"/>
      <c r="C22" s="18" t="s">
        <v>122</v>
      </c>
      <c r="D22" s="222" t="e">
        <f>SUM('Final demand per energy carrier'!J15:J23)</f>
        <v>#DIV/0!</v>
      </c>
      <c r="E22" s="249" t="e">
        <f>IF(SUM($D$22:$D$25)=0,0,D22/SUM($D$22:$D$25))</f>
        <v>#DIV/0!</v>
      </c>
    </row>
    <row r="23" spans="2:5">
      <c r="B23" s="280"/>
      <c r="C23" s="18" t="s">
        <v>121</v>
      </c>
      <c r="D23" s="222" t="e">
        <f>SUM('Final demand per energy carrier'!J26:J28)</f>
        <v>#DIV/0!</v>
      </c>
      <c r="E23" s="249" t="e">
        <f t="shared" ref="E23:E24" si="0">IF(SUM($D$22:$D$25)=0,0,D23/SUM($D$22:$D$25))</f>
        <v>#DIV/0!</v>
      </c>
    </row>
    <row r="24" spans="2:5">
      <c r="B24" s="280"/>
      <c r="C24" s="18" t="s">
        <v>91</v>
      </c>
      <c r="D24" s="222" t="e">
        <f>SUM('Final demand per energy carrier'!J31:J35)</f>
        <v>#DIV/0!</v>
      </c>
      <c r="E24" s="249" t="e">
        <f t="shared" si="0"/>
        <v>#DIV/0!</v>
      </c>
    </row>
    <row r="25" spans="2:5">
      <c r="B25" s="280"/>
      <c r="C25" s="18" t="s">
        <v>265</v>
      </c>
      <c r="D25" s="222" t="e">
        <f>'Final demand per energy carrier'!J41</f>
        <v>#DIV/0!</v>
      </c>
      <c r="E25" s="249" t="e">
        <f>IF(SUM($D$22:$D$25)=0,1,D25/SUM($D$22:$D$25))</f>
        <v>#DIV/0!</v>
      </c>
    </row>
    <row r="26" spans="2:5" ht="16" thickBot="1">
      <c r="B26" s="282"/>
      <c r="C26" s="154"/>
      <c r="D26" s="166"/>
      <c r="E26" s="254"/>
    </row>
  </sheetData>
  <mergeCells count="1">
    <mergeCell ref="B5:E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enableFormatConditionsCalculation="0">
    <tabColor theme="5" tint="0.39997558519241921"/>
  </sheetPr>
  <dimension ref="B2:F25"/>
  <sheetViews>
    <sheetView workbookViewId="0">
      <selection activeCell="F19" sqref="F19"/>
    </sheetView>
  </sheetViews>
  <sheetFormatPr baseColWidth="10" defaultRowHeight="15" x14ac:dyDescent="0"/>
  <cols>
    <col min="1" max="1" width="10.83203125" style="1"/>
    <col min="2" max="2" width="30.83203125" style="1" bestFit="1" customWidth="1"/>
    <col min="3" max="3" width="30.83203125" style="1" customWidth="1"/>
    <col min="4" max="4" width="34" style="1" bestFit="1" customWidth="1"/>
    <col min="5" max="5" width="28.5" style="1" customWidth="1"/>
    <col min="6" max="6" width="22.6640625" style="1" customWidth="1"/>
    <col min="7" max="16384" width="10.83203125" style="1"/>
  </cols>
  <sheetData>
    <row r="2" spans="2:6" ht="20">
      <c r="B2" s="2" t="s">
        <v>350</v>
      </c>
      <c r="C2" s="2"/>
    </row>
    <row r="4" spans="2:6">
      <c r="B4" s="3" t="s">
        <v>95</v>
      </c>
      <c r="C4" s="13"/>
      <c r="D4" s="4"/>
      <c r="E4" s="4"/>
      <c r="F4" s="5"/>
    </row>
    <row r="5" spans="2:6">
      <c r="B5" s="400" t="s">
        <v>330</v>
      </c>
      <c r="C5" s="402"/>
      <c r="D5" s="402"/>
      <c r="E5" s="402"/>
      <c r="F5" s="401"/>
    </row>
    <row r="6" spans="2:6" ht="16" thickBot="1"/>
    <row r="7" spans="2:6" ht="30">
      <c r="B7" s="201" t="s">
        <v>491</v>
      </c>
      <c r="C7" s="274" t="s">
        <v>492</v>
      </c>
      <c r="D7" s="283" t="s">
        <v>229</v>
      </c>
      <c r="E7" s="167" t="s">
        <v>351</v>
      </c>
      <c r="F7" s="168" t="s">
        <v>496</v>
      </c>
    </row>
    <row r="8" spans="2:6">
      <c r="B8" s="279" t="s">
        <v>92</v>
      </c>
      <c r="C8" s="276"/>
      <c r="D8" s="169"/>
      <c r="E8" s="4"/>
      <c r="F8" s="136"/>
    </row>
    <row r="9" spans="2:6">
      <c r="B9" s="280"/>
      <c r="C9" s="60" t="s">
        <v>493</v>
      </c>
      <c r="D9" s="18" t="s">
        <v>123</v>
      </c>
      <c r="E9" s="187" t="e">
        <f>'Technology split final demand'!G11</f>
        <v>#DIV/0!</v>
      </c>
      <c r="F9" s="249" t="e">
        <f>IF(SUM($E$9:$E$10)=0,1,E9/SUM($E$9:$E$10))</f>
        <v>#DIV/0!</v>
      </c>
    </row>
    <row r="10" spans="2:6">
      <c r="B10" s="280"/>
      <c r="C10" s="60"/>
      <c r="D10" s="18" t="s">
        <v>124</v>
      </c>
      <c r="E10" s="187" t="e">
        <f>'Technology split final demand'!G13</f>
        <v>#DIV/0!</v>
      </c>
      <c r="F10" s="249" t="e">
        <f>IF(SUM($E$9:$E$10)=0,0,E10/SUM($E$9:$E$10))</f>
        <v>#DIV/0!</v>
      </c>
    </row>
    <row r="11" spans="2:6">
      <c r="B11" s="37"/>
      <c r="C11" s="277"/>
      <c r="D11" s="7"/>
      <c r="E11" s="172"/>
      <c r="F11" s="250"/>
    </row>
    <row r="12" spans="2:6">
      <c r="B12" s="280"/>
      <c r="C12" s="60" t="s">
        <v>494</v>
      </c>
      <c r="D12" s="18" t="s">
        <v>125</v>
      </c>
      <c r="E12" s="187" t="e">
        <f>'Technology split final demand'!G12</f>
        <v>#DIV/0!</v>
      </c>
      <c r="F12" s="249" t="e">
        <f>IF(SUM($E$12:$E$13)=0,1,E12/SUM($E$12:$E$13))</f>
        <v>#DIV/0!</v>
      </c>
    </row>
    <row r="13" spans="2:6">
      <c r="B13" s="280"/>
      <c r="C13" s="60"/>
      <c r="D13" s="18" t="s">
        <v>126</v>
      </c>
      <c r="E13" s="187" t="e">
        <f>'Technology split final demand'!G14</f>
        <v>#DIV/0!</v>
      </c>
      <c r="F13" s="249" t="e">
        <f>IF(SUM($E$12:$E$13)=0,0,E13/SUM($E$12:$E$13))</f>
        <v>#DIV/0!</v>
      </c>
    </row>
    <row r="14" spans="2:6">
      <c r="B14" s="281"/>
      <c r="C14" s="278"/>
      <c r="D14" s="7"/>
      <c r="E14" s="172"/>
      <c r="F14" s="253"/>
    </row>
    <row r="15" spans="2:6">
      <c r="B15" s="279" t="s">
        <v>105</v>
      </c>
      <c r="C15" s="276"/>
      <c r="D15" s="169"/>
      <c r="E15" s="251"/>
      <c r="F15" s="252"/>
    </row>
    <row r="16" spans="2:6">
      <c r="B16" s="280"/>
      <c r="C16" s="60" t="s">
        <v>495</v>
      </c>
      <c r="D16" s="18" t="s">
        <v>125</v>
      </c>
      <c r="E16" s="187" t="e">
        <f>'Technology split final demand'!G24</f>
        <v>#DIV/0!</v>
      </c>
      <c r="F16" s="249" t="e">
        <f>IF(SUM($E$16:$E$17)=0,0,E16/SUM($E$16:$E$17))</f>
        <v>#DIV/0!</v>
      </c>
    </row>
    <row r="17" spans="2:6">
      <c r="B17" s="280"/>
      <c r="C17" s="60"/>
      <c r="D17" s="18" t="s">
        <v>133</v>
      </c>
      <c r="E17" s="187" t="e">
        <f>'Technology split final demand'!G25</f>
        <v>#DIV/0!</v>
      </c>
      <c r="F17" s="249" t="e">
        <f>IF(SUM($E$16:$E$17)=0,1,E17/SUM($E$16:$E$17))</f>
        <v>#DIV/0!</v>
      </c>
    </row>
    <row r="18" spans="2:6">
      <c r="B18" s="280"/>
      <c r="C18" s="60"/>
      <c r="D18" s="7"/>
      <c r="E18" s="172"/>
      <c r="F18" s="253"/>
    </row>
    <row r="19" spans="2:6">
      <c r="B19" s="279" t="s">
        <v>91</v>
      </c>
      <c r="C19" s="276"/>
      <c r="D19" s="169"/>
      <c r="E19" s="251"/>
      <c r="F19" s="252"/>
    </row>
    <row r="20" spans="2:6">
      <c r="B20" s="280"/>
      <c r="C20" s="60" t="s">
        <v>495</v>
      </c>
      <c r="D20" s="18" t="s">
        <v>134</v>
      </c>
      <c r="E20" s="187" t="e">
        <f>'Technology split final demand'!G28</f>
        <v>#DIV/0!</v>
      </c>
      <c r="F20" s="249" t="e">
        <f>IF(SUM($E$20:$E$24)=0,1,E20/SUM($E$20:$E$24))</f>
        <v>#DIV/0!</v>
      </c>
    </row>
    <row r="21" spans="2:6">
      <c r="B21" s="280"/>
      <c r="C21" s="60"/>
      <c r="D21" s="18" t="s">
        <v>135</v>
      </c>
      <c r="E21" s="187" t="e">
        <f>'Technology split final demand'!G29</f>
        <v>#DIV/0!</v>
      </c>
      <c r="F21" s="249" t="e">
        <f>IF(SUM($E$20:$E$24)=0,0,E21/SUM($E$20:$E$24))</f>
        <v>#DIV/0!</v>
      </c>
    </row>
    <row r="22" spans="2:6">
      <c r="B22" s="280"/>
      <c r="C22" s="60"/>
      <c r="D22" s="18" t="s">
        <v>335</v>
      </c>
      <c r="E22" s="187" t="e">
        <f>'Technology split final demand'!G30</f>
        <v>#DIV/0!</v>
      </c>
      <c r="F22" s="249" t="e">
        <f>IF(SUM($E$20:$E$24)=0,0,E22/SUM($E$20:$E$24))</f>
        <v>#DIV/0!</v>
      </c>
    </row>
    <row r="23" spans="2:6">
      <c r="B23" s="280"/>
      <c r="C23" s="60"/>
      <c r="D23" s="18" t="s">
        <v>336</v>
      </c>
      <c r="E23" s="187" t="e">
        <f>'Technology split final demand'!G31</f>
        <v>#DIV/0!</v>
      </c>
      <c r="F23" s="249" t="e">
        <f>IF(SUM($E$20:$E$24)=0,0,E23/SUM($E$20:$E$24))</f>
        <v>#DIV/0!</v>
      </c>
    </row>
    <row r="24" spans="2:6">
      <c r="B24" s="280"/>
      <c r="C24" s="60"/>
      <c r="D24" s="18" t="s">
        <v>136</v>
      </c>
      <c r="E24" s="187" t="e">
        <f>'Technology split final demand'!G32</f>
        <v>#DIV/0!</v>
      </c>
      <c r="F24" s="249" t="e">
        <f>IF(SUM($E$20:$E$24)=0,0,E24/SUM($E$20:$E$24))</f>
        <v>#DIV/0!</v>
      </c>
    </row>
    <row r="25" spans="2:6" ht="16" thickBot="1">
      <c r="B25" s="282"/>
      <c r="C25" s="105"/>
      <c r="D25" s="170"/>
      <c r="E25" s="63"/>
      <c r="F25" s="243"/>
    </row>
  </sheetData>
  <mergeCells count="1">
    <mergeCell ref="B5:F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enableFormatConditionsCalculation="0">
    <tabColor theme="8" tint="0.39997558519241921"/>
  </sheetPr>
  <dimension ref="A2:L43"/>
  <sheetViews>
    <sheetView topLeftCell="A6" workbookViewId="0">
      <selection activeCell="F10" sqref="F10"/>
    </sheetView>
  </sheetViews>
  <sheetFormatPr baseColWidth="10" defaultRowHeight="15" x14ac:dyDescent="0"/>
  <cols>
    <col min="1" max="1" width="10.83203125" style="1" customWidth="1"/>
    <col min="2" max="2" width="25.83203125" style="1" customWidth="1"/>
    <col min="3" max="3" width="39.1640625" style="1" customWidth="1"/>
    <col min="4" max="4" width="14.1640625" style="1" customWidth="1"/>
    <col min="5" max="11" width="21.6640625" style="1" customWidth="1"/>
    <col min="12" max="16384" width="10.83203125" style="1"/>
  </cols>
  <sheetData>
    <row r="2" spans="1:11" ht="20">
      <c r="B2" s="67" t="s">
        <v>230</v>
      </c>
      <c r="C2" s="8"/>
      <c r="D2" s="8"/>
      <c r="E2" s="8"/>
      <c r="F2" s="8"/>
      <c r="G2" s="8"/>
      <c r="H2" s="8"/>
      <c r="I2" s="8"/>
      <c r="J2" s="8"/>
      <c r="K2" s="8"/>
    </row>
    <row r="3" spans="1:11">
      <c r="E3" s="8"/>
      <c r="F3" s="8"/>
      <c r="G3" s="8"/>
      <c r="H3" s="8"/>
      <c r="I3" s="8"/>
      <c r="J3" s="8"/>
      <c r="K3" s="8"/>
    </row>
    <row r="4" spans="1:11">
      <c r="B4" s="3" t="s">
        <v>95</v>
      </c>
      <c r="C4" s="4"/>
      <c r="D4" s="4"/>
      <c r="E4" s="4"/>
      <c r="F4" s="5"/>
      <c r="G4" s="8"/>
      <c r="H4" s="8"/>
      <c r="I4" s="8"/>
      <c r="J4" s="8"/>
      <c r="K4" s="8"/>
    </row>
    <row r="5" spans="1:11" ht="30" customHeight="1">
      <c r="B5" s="400" t="s">
        <v>424</v>
      </c>
      <c r="C5" s="402"/>
      <c r="D5" s="402"/>
      <c r="E5" s="402"/>
      <c r="F5" s="401"/>
      <c r="G5" s="8"/>
      <c r="H5" s="8"/>
      <c r="I5" s="202"/>
      <c r="J5" s="202"/>
      <c r="K5" s="8"/>
    </row>
    <row r="6" spans="1:11" ht="16" thickBot="1">
      <c r="B6" s="8"/>
      <c r="C6" s="8"/>
      <c r="D6" s="8"/>
      <c r="E6" s="8"/>
      <c r="F6" s="8"/>
      <c r="G6" s="8"/>
      <c r="H6" s="8"/>
      <c r="I6" s="8"/>
      <c r="J6" s="8"/>
      <c r="K6" s="8"/>
    </row>
    <row r="7" spans="1:11">
      <c r="B7" s="27" t="s">
        <v>230</v>
      </c>
      <c r="C7" s="53"/>
      <c r="D7" s="53"/>
      <c r="E7" s="53"/>
      <c r="F7" s="53"/>
      <c r="G7" s="53"/>
      <c r="H7" s="53"/>
      <c r="I7" s="53"/>
      <c r="J7" s="53"/>
      <c r="K7" s="29"/>
    </row>
    <row r="8" spans="1:11">
      <c r="B8" s="30"/>
      <c r="C8" s="8"/>
      <c r="D8" s="8"/>
      <c r="E8" s="8"/>
      <c r="F8" s="8"/>
      <c r="G8" s="8"/>
      <c r="H8" s="8"/>
      <c r="I8" s="8"/>
      <c r="J8" s="8"/>
      <c r="K8" s="31"/>
    </row>
    <row r="9" spans="1:11" ht="30">
      <c r="B9" s="68" t="s">
        <v>341</v>
      </c>
      <c r="C9" s="74" t="s">
        <v>132</v>
      </c>
      <c r="D9" s="108" t="s">
        <v>591</v>
      </c>
      <c r="E9" s="69" t="s">
        <v>484</v>
      </c>
      <c r="F9" s="69" t="s">
        <v>602</v>
      </c>
      <c r="G9" s="69" t="s">
        <v>485</v>
      </c>
      <c r="H9" s="69" t="s">
        <v>486</v>
      </c>
      <c r="I9" s="69" t="s">
        <v>487</v>
      </c>
      <c r="J9" s="69" t="s">
        <v>488</v>
      </c>
      <c r="K9" s="146" t="s">
        <v>489</v>
      </c>
    </row>
    <row r="10" spans="1:11">
      <c r="B10" s="73"/>
      <c r="C10" s="72"/>
      <c r="D10" s="76"/>
      <c r="E10" s="72"/>
      <c r="F10" s="72"/>
      <c r="G10" s="72"/>
      <c r="H10" s="72"/>
      <c r="I10" s="72"/>
      <c r="J10" s="72"/>
      <c r="K10" s="147"/>
    </row>
    <row r="11" spans="1:11" s="95" customFormat="1">
      <c r="B11" s="50" t="s">
        <v>138</v>
      </c>
      <c r="C11" s="93" t="s">
        <v>120</v>
      </c>
      <c r="D11" s="94"/>
      <c r="E11" s="218">
        <f>'Fuel aggregation'!C11</f>
        <v>0</v>
      </c>
      <c r="F11" s="218">
        <f>'Fuel aggregation'!D11</f>
        <v>0</v>
      </c>
      <c r="G11" s="218">
        <f>'Fuel aggregation'!E11</f>
        <v>0</v>
      </c>
      <c r="H11" s="218">
        <f>'Fuel aggregation'!F11</f>
        <v>0</v>
      </c>
      <c r="I11" s="218">
        <f>'Fuel aggregation'!G11</f>
        <v>0</v>
      </c>
      <c r="J11" s="218">
        <f>'Fuel aggregation'!H11</f>
        <v>0</v>
      </c>
      <c r="K11" s="219">
        <f>'Fuel aggregation'!I11</f>
        <v>0</v>
      </c>
    </row>
    <row r="12" spans="1:11">
      <c r="B12" s="73"/>
      <c r="C12" s="17"/>
      <c r="D12" s="18"/>
      <c r="E12" s="218"/>
      <c r="F12" s="218"/>
      <c r="G12" s="218"/>
      <c r="H12" s="218"/>
      <c r="I12" s="218"/>
      <c r="J12" s="218"/>
      <c r="K12" s="219"/>
    </row>
    <row r="13" spans="1:11">
      <c r="B13" s="73"/>
      <c r="C13" s="72"/>
      <c r="D13" s="71"/>
      <c r="E13" s="397"/>
      <c r="F13" s="397"/>
      <c r="G13" s="397"/>
      <c r="H13" s="397"/>
      <c r="I13" s="397"/>
      <c r="J13" s="397"/>
      <c r="K13" s="398"/>
    </row>
    <row r="14" spans="1:11">
      <c r="B14" s="49" t="s">
        <v>122</v>
      </c>
      <c r="C14" s="4"/>
      <c r="D14" s="5"/>
      <c r="E14" s="387"/>
      <c r="F14" s="387"/>
      <c r="G14" s="387"/>
      <c r="H14" s="387"/>
      <c r="I14" s="387"/>
      <c r="J14" s="387"/>
      <c r="K14" s="388"/>
    </row>
    <row r="15" spans="1:11">
      <c r="A15" s="8"/>
      <c r="B15" s="73"/>
      <c r="C15" s="17" t="s">
        <v>123</v>
      </c>
      <c r="D15" s="75" t="e">
        <f>'Technology split final demand'!G11</f>
        <v>#DIV/0!</v>
      </c>
      <c r="E15" s="383"/>
      <c r="F15" s="257" t="e">
        <f>D15*Final_demand_space_heating</f>
        <v>#DIV/0!</v>
      </c>
      <c r="G15" s="257"/>
      <c r="H15" s="257"/>
      <c r="I15" s="257"/>
      <c r="J15" s="257"/>
      <c r="K15" s="384"/>
    </row>
    <row r="16" spans="1:11">
      <c r="A16" s="8"/>
      <c r="B16" s="73"/>
      <c r="C16" s="17" t="s">
        <v>125</v>
      </c>
      <c r="D16" s="75" t="e">
        <f>'Technology split final demand'!G12</f>
        <v>#DIV/0!</v>
      </c>
      <c r="E16" s="383"/>
      <c r="F16" s="257"/>
      <c r="G16" s="257"/>
      <c r="H16" s="257"/>
      <c r="I16" s="257"/>
      <c r="J16" s="257" t="e">
        <f>D16*Final_demand_space_heating</f>
        <v>#DIV/0!</v>
      </c>
      <c r="K16" s="384"/>
    </row>
    <row r="17" spans="1:11">
      <c r="A17" s="8"/>
      <c r="B17" s="73"/>
      <c r="C17" s="17" t="s">
        <v>124</v>
      </c>
      <c r="D17" s="75" t="e">
        <f>'Technology split final demand'!G13</f>
        <v>#DIV/0!</v>
      </c>
      <c r="E17" s="383"/>
      <c r="F17" s="257" t="e">
        <f>D17*Final_demand_space_heating</f>
        <v>#DIV/0!</v>
      </c>
      <c r="G17" s="257"/>
      <c r="H17" s="257"/>
      <c r="I17" s="257"/>
      <c r="J17" s="257"/>
      <c r="K17" s="384"/>
    </row>
    <row r="18" spans="1:11">
      <c r="A18" s="8"/>
      <c r="B18" s="73"/>
      <c r="C18" s="17" t="s">
        <v>126</v>
      </c>
      <c r="D18" s="75" t="e">
        <f>'Technology split final demand'!G14</f>
        <v>#DIV/0!</v>
      </c>
      <c r="E18" s="383"/>
      <c r="F18" s="257"/>
      <c r="G18" s="257"/>
      <c r="H18" s="257"/>
      <c r="I18" s="257"/>
      <c r="J18" s="257" t="e">
        <f>D18*Final_demand_space_heating</f>
        <v>#DIV/0!</v>
      </c>
      <c r="K18" s="384"/>
    </row>
    <row r="19" spans="1:11">
      <c r="A19" s="8"/>
      <c r="B19" s="73"/>
      <c r="C19" s="17" t="s">
        <v>128</v>
      </c>
      <c r="D19" s="75" t="e">
        <f>'Technology split final demand'!G15</f>
        <v>#DIV/0!</v>
      </c>
      <c r="E19" s="257" t="e">
        <f>D19*Final_demand_space_heating</f>
        <v>#DIV/0!</v>
      </c>
      <c r="F19" s="257"/>
      <c r="G19" s="257"/>
      <c r="H19" s="257"/>
      <c r="I19" s="257"/>
      <c r="J19" s="257"/>
      <c r="K19" s="384"/>
    </row>
    <row r="20" spans="1:11">
      <c r="A20" s="8"/>
      <c r="B20" s="73"/>
      <c r="C20" s="17" t="s">
        <v>129</v>
      </c>
      <c r="D20" s="75" t="e">
        <f>'Technology split final demand'!G16</f>
        <v>#DIV/0!</v>
      </c>
      <c r="E20" s="383"/>
      <c r="F20" s="257"/>
      <c r="G20" s="257" t="e">
        <f>D20*Final_demand_space_heating</f>
        <v>#DIV/0!</v>
      </c>
      <c r="H20" s="257"/>
      <c r="I20" s="257"/>
      <c r="J20" s="257"/>
      <c r="K20" s="384"/>
    </row>
    <row r="21" spans="1:11">
      <c r="B21" s="73"/>
      <c r="C21" s="17" t="s">
        <v>127</v>
      </c>
      <c r="D21" s="75" t="e">
        <f>'Technology split final demand'!G18</f>
        <v>#DIV/0!</v>
      </c>
      <c r="E21" s="257"/>
      <c r="F21" s="257"/>
      <c r="G21" s="257"/>
      <c r="H21" s="257"/>
      <c r="I21" s="257" t="e">
        <f>D21*Final_demand_space_heating</f>
        <v>#DIV/0!</v>
      </c>
      <c r="J21" s="257"/>
      <c r="K21" s="384"/>
    </row>
    <row r="22" spans="1:11">
      <c r="A22" s="8"/>
      <c r="B22" s="73"/>
      <c r="C22" s="17" t="s">
        <v>130</v>
      </c>
      <c r="D22" s="75" t="e">
        <f>'Technology split final demand'!G19</f>
        <v>#DIV/0!</v>
      </c>
      <c r="E22" s="257"/>
      <c r="F22" s="257"/>
      <c r="G22" s="257"/>
      <c r="H22" s="257" t="e">
        <f>D22*Final_demand_space_heating</f>
        <v>#DIV/0!</v>
      </c>
      <c r="I22" s="257"/>
      <c r="J22" s="257"/>
      <c r="K22" s="384"/>
    </row>
    <row r="23" spans="1:11">
      <c r="A23" s="8"/>
      <c r="B23" s="73"/>
      <c r="C23" s="17" t="s">
        <v>131</v>
      </c>
      <c r="D23" s="75" t="e">
        <f>'Technology split final demand'!G20</f>
        <v>#DIV/0!</v>
      </c>
      <c r="E23" s="257"/>
      <c r="F23" s="257"/>
      <c r="G23" s="257"/>
      <c r="H23" s="257"/>
      <c r="I23" s="257"/>
      <c r="J23" s="257"/>
      <c r="K23" s="384" t="e">
        <f>D23*Final_demand_space_heating</f>
        <v>#DIV/0!</v>
      </c>
    </row>
    <row r="24" spans="1:11">
      <c r="A24" s="8"/>
      <c r="B24" s="30"/>
      <c r="C24" s="8"/>
      <c r="D24" s="7"/>
      <c r="E24" s="385"/>
      <c r="F24" s="385"/>
      <c r="G24" s="385"/>
      <c r="H24" s="385"/>
      <c r="I24" s="385"/>
      <c r="J24" s="385"/>
      <c r="K24" s="386"/>
    </row>
    <row r="25" spans="1:11">
      <c r="B25" s="49" t="s">
        <v>121</v>
      </c>
      <c r="C25" s="4"/>
      <c r="D25" s="5"/>
      <c r="E25" s="387"/>
      <c r="F25" s="387"/>
      <c r="G25" s="387"/>
      <c r="H25" s="387"/>
      <c r="I25" s="387"/>
      <c r="J25" s="387"/>
      <c r="K25" s="388"/>
    </row>
    <row r="26" spans="1:11">
      <c r="B26" s="73"/>
      <c r="C26" s="17" t="s">
        <v>124</v>
      </c>
      <c r="D26" s="75" t="e">
        <f>'Technology split final demand'!G23</f>
        <v>#DIV/0!</v>
      </c>
      <c r="E26" s="257"/>
      <c r="F26" s="257" t="e">
        <f>D26*Final_demand_space_cooling</f>
        <v>#DIV/0!</v>
      </c>
      <c r="G26" s="257"/>
      <c r="H26" s="257"/>
      <c r="I26" s="257"/>
      <c r="J26" s="257"/>
      <c r="K26" s="384"/>
    </row>
    <row r="27" spans="1:11">
      <c r="B27" s="73"/>
      <c r="C27" s="17" t="s">
        <v>125</v>
      </c>
      <c r="D27" s="75" t="e">
        <f>'Technology split final demand'!G24</f>
        <v>#DIV/0!</v>
      </c>
      <c r="E27" s="257"/>
      <c r="F27" s="257"/>
      <c r="G27" s="257"/>
      <c r="H27" s="257"/>
      <c r="I27" s="257"/>
      <c r="J27" s="257" t="e">
        <f>D27*Final_demand_space_cooling</f>
        <v>#DIV/0!</v>
      </c>
      <c r="K27" s="384"/>
    </row>
    <row r="28" spans="1:11">
      <c r="B28" s="73"/>
      <c r="C28" s="17" t="s">
        <v>133</v>
      </c>
      <c r="D28" s="75" t="e">
        <f>'Technology split final demand'!G25</f>
        <v>#DIV/0!</v>
      </c>
      <c r="E28" s="257"/>
      <c r="F28" s="257"/>
      <c r="G28" s="257"/>
      <c r="H28" s="257"/>
      <c r="I28" s="257"/>
      <c r="J28" s="257" t="e">
        <f>D28*Final_demand_space_cooling</f>
        <v>#DIV/0!</v>
      </c>
      <c r="K28" s="384"/>
    </row>
    <row r="29" spans="1:11">
      <c r="B29" s="43"/>
      <c r="C29" s="10"/>
      <c r="D29" s="7"/>
      <c r="E29" s="389"/>
      <c r="F29" s="389"/>
      <c r="G29" s="389"/>
      <c r="H29" s="389"/>
      <c r="I29" s="389"/>
      <c r="J29" s="389"/>
      <c r="K29" s="390"/>
    </row>
    <row r="30" spans="1:11">
      <c r="B30" s="37" t="s">
        <v>91</v>
      </c>
      <c r="C30" s="8"/>
      <c r="D30" s="5"/>
      <c r="E30" s="385"/>
      <c r="F30" s="385"/>
      <c r="G30" s="385"/>
      <c r="H30" s="385"/>
      <c r="I30" s="385"/>
      <c r="J30" s="385"/>
      <c r="K30" s="386"/>
    </row>
    <row r="31" spans="1:11">
      <c r="B31" s="73"/>
      <c r="C31" s="17" t="s">
        <v>134</v>
      </c>
      <c r="D31" s="75" t="e">
        <f>'Technology split final demand'!G28</f>
        <v>#DIV/0!</v>
      </c>
      <c r="E31" s="257"/>
      <c r="F31" s="257"/>
      <c r="G31" s="257"/>
      <c r="H31" s="257"/>
      <c r="I31" s="257"/>
      <c r="J31" s="257" t="e">
        <f>D31*Final_demand_lighting</f>
        <v>#DIV/0!</v>
      </c>
      <c r="K31" s="384"/>
    </row>
    <row r="32" spans="1:11">
      <c r="B32" s="73"/>
      <c r="C32" s="17" t="s">
        <v>135</v>
      </c>
      <c r="D32" s="75" t="e">
        <f>'Technology split final demand'!G29</f>
        <v>#DIV/0!</v>
      </c>
      <c r="E32" s="257"/>
      <c r="F32" s="257"/>
      <c r="G32" s="257"/>
      <c r="H32" s="257"/>
      <c r="I32" s="257"/>
      <c r="J32" s="257" t="e">
        <f>D32*Final_demand_lighting</f>
        <v>#DIV/0!</v>
      </c>
      <c r="K32" s="384"/>
    </row>
    <row r="33" spans="2:12">
      <c r="B33" s="73"/>
      <c r="C33" s="17" t="s">
        <v>335</v>
      </c>
      <c r="D33" s="75" t="e">
        <f>'Technology split final demand'!G30</f>
        <v>#DIV/0!</v>
      </c>
      <c r="E33" s="257"/>
      <c r="F33" s="257"/>
      <c r="G33" s="257"/>
      <c r="H33" s="257"/>
      <c r="I33" s="257"/>
      <c r="J33" s="257" t="e">
        <f>D33*Final_demand_lighting</f>
        <v>#DIV/0!</v>
      </c>
      <c r="K33" s="384"/>
    </row>
    <row r="34" spans="2:12">
      <c r="B34" s="73"/>
      <c r="C34" s="17" t="s">
        <v>336</v>
      </c>
      <c r="D34" s="75" t="e">
        <f>'Technology split final demand'!G31</f>
        <v>#DIV/0!</v>
      </c>
      <c r="E34" s="257"/>
      <c r="F34" s="257"/>
      <c r="G34" s="257"/>
      <c r="H34" s="257"/>
      <c r="I34" s="257"/>
      <c r="J34" s="257" t="e">
        <f>D34*Final_demand_lighting</f>
        <v>#DIV/0!</v>
      </c>
      <c r="K34" s="384"/>
    </row>
    <row r="35" spans="2:12">
      <c r="B35" s="73"/>
      <c r="C35" s="17" t="s">
        <v>136</v>
      </c>
      <c r="D35" s="75" t="e">
        <f>'Technology split final demand'!G32</f>
        <v>#DIV/0!</v>
      </c>
      <c r="E35" s="257"/>
      <c r="F35" s="257"/>
      <c r="G35" s="257"/>
      <c r="H35" s="257"/>
      <c r="I35" s="257"/>
      <c r="J35" s="257" t="e">
        <f>D35*Final_demand_lighting</f>
        <v>#DIV/0!</v>
      </c>
      <c r="K35" s="384"/>
    </row>
    <row r="36" spans="2:12">
      <c r="B36" s="43"/>
      <c r="C36" s="10"/>
      <c r="D36" s="11"/>
      <c r="E36" s="389"/>
      <c r="F36" s="389"/>
      <c r="G36" s="389"/>
      <c r="H36" s="389"/>
      <c r="I36" s="389"/>
      <c r="J36" s="389"/>
      <c r="K36" s="390"/>
    </row>
    <row r="37" spans="2:12">
      <c r="B37" s="37" t="s">
        <v>342</v>
      </c>
      <c r="C37" s="8"/>
      <c r="D37" s="7"/>
      <c r="E37" s="385"/>
      <c r="F37" s="385"/>
      <c r="G37" s="385"/>
      <c r="H37" s="385"/>
      <c r="I37" s="385"/>
      <c r="J37" s="385"/>
      <c r="K37" s="386"/>
    </row>
    <row r="38" spans="2:12">
      <c r="B38" s="30"/>
      <c r="C38" t="s">
        <v>592</v>
      </c>
      <c r="D38" s="75"/>
      <c r="E38" s="257" t="e">
        <f t="shared" ref="E38:K38" si="0">SUM(E15:E35)</f>
        <v>#DIV/0!</v>
      </c>
      <c r="F38" s="257" t="e">
        <f t="shared" si="0"/>
        <v>#DIV/0!</v>
      </c>
      <c r="G38" s="257" t="e">
        <f t="shared" si="0"/>
        <v>#DIV/0!</v>
      </c>
      <c r="H38" s="257" t="e">
        <f t="shared" si="0"/>
        <v>#DIV/0!</v>
      </c>
      <c r="I38" s="257" t="e">
        <f t="shared" si="0"/>
        <v>#DIV/0!</v>
      </c>
      <c r="J38" s="257" t="e">
        <f t="shared" si="0"/>
        <v>#DIV/0!</v>
      </c>
      <c r="K38" s="257" t="e">
        <f t="shared" si="0"/>
        <v>#DIV/0!</v>
      </c>
      <c r="L38" s="30"/>
    </row>
    <row r="39" spans="2:12">
      <c r="B39" s="30"/>
      <c r="C39" s="8"/>
      <c r="D39" s="7"/>
      <c r="E39" s="385"/>
      <c r="F39" s="385"/>
      <c r="G39" s="385"/>
      <c r="H39" s="385"/>
      <c r="I39" s="385"/>
      <c r="J39" s="385"/>
      <c r="K39" s="386"/>
    </row>
    <row r="40" spans="2:12">
      <c r="B40" s="396" t="s">
        <v>595</v>
      </c>
      <c r="C40" s="4"/>
      <c r="D40" s="5"/>
      <c r="E40" s="387"/>
      <c r="F40" s="387"/>
      <c r="G40" s="387"/>
      <c r="H40" s="387"/>
      <c r="I40" s="387"/>
      <c r="J40" s="387"/>
      <c r="K40" s="388"/>
    </row>
    <row r="41" spans="2:12">
      <c r="B41" s="30"/>
      <c r="C41" s="17" t="s">
        <v>265</v>
      </c>
      <c r="D41" s="75"/>
      <c r="E41" s="257"/>
      <c r="F41" s="257"/>
      <c r="G41" s="257"/>
      <c r="H41" s="257"/>
      <c r="I41" s="257"/>
      <c r="J41" s="257" t="e">
        <f>J11-J38</f>
        <v>#DIV/0!</v>
      </c>
      <c r="K41" s="384"/>
    </row>
    <row r="42" spans="2:12">
      <c r="B42" s="30"/>
      <c r="C42" s="17" t="s">
        <v>593</v>
      </c>
      <c r="D42" s="75"/>
      <c r="E42" s="257" t="e">
        <f>E11-E38</f>
        <v>#DIV/0!</v>
      </c>
      <c r="F42" s="257" t="e">
        <f>F11-F38</f>
        <v>#DIV/0!</v>
      </c>
      <c r="G42" s="257" t="e">
        <f>G11-G38</f>
        <v>#DIV/0!</v>
      </c>
      <c r="H42" s="383" t="s">
        <v>572</v>
      </c>
      <c r="I42" s="383" t="s">
        <v>572</v>
      </c>
      <c r="J42" s="383" t="s">
        <v>572</v>
      </c>
      <c r="K42" s="391" t="s">
        <v>572</v>
      </c>
    </row>
    <row r="43" spans="2:12" ht="16" thickBot="1">
      <c r="B43" s="47"/>
      <c r="C43" s="102"/>
      <c r="D43" s="154"/>
      <c r="E43" s="392"/>
      <c r="F43" s="392"/>
      <c r="G43" s="392"/>
      <c r="H43" s="392"/>
      <c r="I43" s="392"/>
      <c r="J43" s="392"/>
      <c r="K43" s="393"/>
    </row>
  </sheetData>
  <mergeCells count="1">
    <mergeCell ref="B5:F5"/>
  </mergeCells>
  <conditionalFormatting sqref="E42:G42">
    <cfRule type="cellIs" dxfId="5" priority="1" operator="lessThan">
      <formula>0</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enableFormatConditionsCalculation="0">
    <tabColor theme="8" tint="0.39997558519241921"/>
  </sheetPr>
  <dimension ref="B2:J33"/>
  <sheetViews>
    <sheetView workbookViewId="0">
      <selection activeCell="G9" sqref="G9"/>
    </sheetView>
  </sheetViews>
  <sheetFormatPr baseColWidth="10" defaultRowHeight="15" x14ac:dyDescent="0"/>
  <cols>
    <col min="1" max="1" width="10.83203125" style="1"/>
    <col min="2" max="2" width="22.33203125" style="1" customWidth="1"/>
    <col min="3" max="3" width="34" style="1" bestFit="1" customWidth="1"/>
    <col min="4" max="4" width="17.83203125" style="1" customWidth="1"/>
    <col min="5" max="5" width="12.5" style="1" customWidth="1"/>
    <col min="6" max="6" width="22.5" style="1" customWidth="1"/>
    <col min="7" max="7" width="29.1640625" style="1" customWidth="1"/>
    <col min="8" max="8" width="32.6640625" style="1" customWidth="1"/>
    <col min="9" max="9" width="20.83203125" style="1" customWidth="1"/>
    <col min="10" max="10" width="5.1640625" style="1" customWidth="1"/>
    <col min="11" max="11" width="20.1640625" style="1" customWidth="1"/>
    <col min="12" max="12" width="10.83203125" style="1"/>
    <col min="13" max="13" width="29.83203125" style="1" customWidth="1"/>
    <col min="14" max="16384" width="10.83203125" style="1"/>
  </cols>
  <sheetData>
    <row r="2" spans="2:10" ht="20">
      <c r="B2" s="2" t="s">
        <v>315</v>
      </c>
    </row>
    <row r="4" spans="2:10">
      <c r="B4" s="3" t="s">
        <v>95</v>
      </c>
      <c r="C4" s="4"/>
      <c r="D4" s="4"/>
      <c r="E4" s="5"/>
    </row>
    <row r="5" spans="2:10" s="197" customFormat="1" ht="75" customHeight="1">
      <c r="B5" s="400" t="s">
        <v>344</v>
      </c>
      <c r="C5" s="402"/>
      <c r="D5" s="402"/>
      <c r="E5" s="401"/>
    </row>
    <row r="6" spans="2:10" ht="16" thickBot="1"/>
    <row r="7" spans="2:10">
      <c r="B7" s="27" t="s">
        <v>499</v>
      </c>
      <c r="C7" s="53"/>
      <c r="D7" s="28"/>
      <c r="E7" s="28"/>
      <c r="F7" s="53"/>
      <c r="G7" s="53"/>
      <c r="H7" s="29"/>
    </row>
    <row r="8" spans="2:10">
      <c r="B8" s="30"/>
      <c r="C8" s="8"/>
      <c r="D8" s="15"/>
      <c r="E8" s="15"/>
      <c r="F8" s="8"/>
      <c r="G8" s="8"/>
      <c r="H8" s="31"/>
    </row>
    <row r="9" spans="2:10" ht="45">
      <c r="B9" s="68" t="s">
        <v>341</v>
      </c>
      <c r="C9" s="74" t="s">
        <v>229</v>
      </c>
      <c r="D9" s="108" t="s">
        <v>243</v>
      </c>
      <c r="E9" s="108" t="s">
        <v>241</v>
      </c>
      <c r="F9" s="108" t="s">
        <v>244</v>
      </c>
      <c r="G9" s="108" t="s">
        <v>242</v>
      </c>
      <c r="H9" s="34" t="s">
        <v>19</v>
      </c>
    </row>
    <row r="10" spans="2:10">
      <c r="B10" s="37" t="s">
        <v>122</v>
      </c>
      <c r="C10" s="15"/>
      <c r="D10" s="298"/>
      <c r="E10" s="298"/>
      <c r="F10" s="298"/>
      <c r="G10" s="298"/>
      <c r="H10" s="36"/>
    </row>
    <row r="11" spans="2:10">
      <c r="B11" s="37"/>
      <c r="C11" s="17" t="s">
        <v>123</v>
      </c>
      <c r="D11" s="185">
        <f>Dashboard!E40</f>
        <v>0</v>
      </c>
      <c r="E11" s="109">
        <f>Eff_space_heating_gas</f>
        <v>0</v>
      </c>
      <c r="F11" s="185" t="e">
        <f t="shared" ref="F11:F16" si="0">D11/E11</f>
        <v>#DIV/0!</v>
      </c>
      <c r="G11" s="246" t="e">
        <f>F11/SUM($F$11:$F$16)*(1-SUM($G$18:$G$20))</f>
        <v>#DIV/0!</v>
      </c>
      <c r="H11" s="100"/>
      <c r="J11" s="273"/>
    </row>
    <row r="12" spans="2:10">
      <c r="B12" s="37"/>
      <c r="C12" s="17" t="s">
        <v>125</v>
      </c>
      <c r="D12" s="185">
        <f>Dashboard!E41</f>
        <v>0</v>
      </c>
      <c r="E12" s="109" t="e">
        <f>Eff_space_heating_pump_storage</f>
        <v>#DIV/0!</v>
      </c>
      <c r="F12" s="185" t="e">
        <f t="shared" si="0"/>
        <v>#DIV/0!</v>
      </c>
      <c r="G12" s="246" t="e">
        <f t="shared" ref="G12:G16" si="1">F12/SUM($F$11:$F$16)*(1-SUM($G$18:$G$20))</f>
        <v>#DIV/0!</v>
      </c>
      <c r="H12" s="100"/>
      <c r="I12" s="8"/>
      <c r="J12" s="273"/>
    </row>
    <row r="13" spans="2:10">
      <c r="B13" s="37"/>
      <c r="C13" s="17" t="s">
        <v>124</v>
      </c>
      <c r="D13" s="185">
        <f>Dashboard!E42</f>
        <v>0</v>
      </c>
      <c r="E13" s="109" t="e">
        <f>Eff_space_heating_pump_gas</f>
        <v>#DIV/0!</v>
      </c>
      <c r="F13" s="185" t="e">
        <f t="shared" si="0"/>
        <v>#DIV/0!</v>
      </c>
      <c r="G13" s="246" t="e">
        <f t="shared" si="1"/>
        <v>#DIV/0!</v>
      </c>
      <c r="H13" s="42"/>
      <c r="I13" s="8"/>
      <c r="J13" s="273"/>
    </row>
    <row r="14" spans="2:10">
      <c r="B14" s="37"/>
      <c r="C14" s="17" t="s">
        <v>126</v>
      </c>
      <c r="D14" s="185">
        <f>Dashboard!E43</f>
        <v>0</v>
      </c>
      <c r="E14" s="109">
        <f>Eff_space_heating_electric</f>
        <v>0</v>
      </c>
      <c r="F14" s="185" t="e">
        <f t="shared" si="0"/>
        <v>#DIV/0!</v>
      </c>
      <c r="G14" s="246" t="e">
        <f t="shared" si="1"/>
        <v>#DIV/0!</v>
      </c>
      <c r="H14" s="42"/>
      <c r="I14" s="8"/>
      <c r="J14" s="273"/>
    </row>
    <row r="15" spans="2:10">
      <c r="B15" s="37"/>
      <c r="C15" s="17" t="s">
        <v>128</v>
      </c>
      <c r="D15" s="185">
        <f>Dashboard!E44</f>
        <v>0</v>
      </c>
      <c r="E15" s="109">
        <f>Eff_space_heating_coal</f>
        <v>0</v>
      </c>
      <c r="F15" s="185" t="e">
        <f t="shared" si="0"/>
        <v>#DIV/0!</v>
      </c>
      <c r="G15" s="246" t="e">
        <f t="shared" si="1"/>
        <v>#DIV/0!</v>
      </c>
      <c r="H15" s="42"/>
      <c r="I15" s="8"/>
      <c r="J15" s="273"/>
    </row>
    <row r="16" spans="2:10">
      <c r="B16" s="37"/>
      <c r="C16" s="17" t="s">
        <v>129</v>
      </c>
      <c r="D16" s="185">
        <f>Dashboard!E45</f>
        <v>0</v>
      </c>
      <c r="E16" s="109">
        <f>Eff_space_heating_oil</f>
        <v>0</v>
      </c>
      <c r="F16" s="185" t="e">
        <f t="shared" si="0"/>
        <v>#DIV/0!</v>
      </c>
      <c r="G16" s="246" t="e">
        <f t="shared" si="1"/>
        <v>#DIV/0!</v>
      </c>
      <c r="H16" s="42"/>
      <c r="I16" s="8"/>
      <c r="J16" s="273"/>
    </row>
    <row r="17" spans="2:10">
      <c r="B17" s="37"/>
      <c r="C17" s="8"/>
      <c r="D17" s="186"/>
      <c r="E17" s="8"/>
      <c r="F17" s="8"/>
      <c r="G17" s="247"/>
      <c r="H17" s="31"/>
      <c r="I17" s="8"/>
      <c r="J17" s="273"/>
    </row>
    <row r="18" spans="2:10">
      <c r="B18" s="37"/>
      <c r="C18" s="17" t="s">
        <v>127</v>
      </c>
      <c r="D18" s="185"/>
      <c r="E18" s="109"/>
      <c r="F18" s="110"/>
      <c r="G18" s="248" t="e">
        <f>'Final demand extracted from EB'!D14</f>
        <v>#DIV/0!</v>
      </c>
      <c r="H18" s="406" t="s">
        <v>309</v>
      </c>
      <c r="J18" s="273"/>
    </row>
    <row r="19" spans="2:10">
      <c r="B19" s="37"/>
      <c r="C19" s="17" t="s">
        <v>130</v>
      </c>
      <c r="D19" s="185"/>
      <c r="E19" s="109"/>
      <c r="F19" s="110"/>
      <c r="G19" s="248" t="e">
        <f>'Final demand extracted from EB'!D10</f>
        <v>#DIV/0!</v>
      </c>
      <c r="H19" s="406"/>
      <c r="J19" s="273"/>
    </row>
    <row r="20" spans="2:10" ht="15" customHeight="1">
      <c r="B20" s="37"/>
      <c r="C20" s="17" t="s">
        <v>131</v>
      </c>
      <c r="D20" s="185"/>
      <c r="E20" s="109"/>
      <c r="F20" s="110"/>
      <c r="G20" s="248" t="e">
        <f>'Final demand extracted from EB'!D18</f>
        <v>#DIV/0!</v>
      </c>
      <c r="H20" s="406"/>
      <c r="J20" s="273"/>
    </row>
    <row r="21" spans="2:10">
      <c r="B21" s="144"/>
      <c r="C21" s="10"/>
      <c r="D21" s="293"/>
      <c r="E21" s="10"/>
      <c r="F21" s="10"/>
      <c r="G21" s="294"/>
      <c r="H21" s="295"/>
    </row>
    <row r="22" spans="2:10">
      <c r="B22" s="280" t="s">
        <v>105</v>
      </c>
      <c r="C22" s="275"/>
      <c r="D22" s="285"/>
      <c r="E22" s="275"/>
      <c r="F22" s="60"/>
      <c r="G22" s="285"/>
      <c r="H22" s="286"/>
    </row>
    <row r="23" spans="2:10">
      <c r="B23" s="280"/>
      <c r="C23" s="17" t="s">
        <v>124</v>
      </c>
      <c r="D23" s="297">
        <f>Dashboard!E49</f>
        <v>0</v>
      </c>
      <c r="E23" s="192" t="e">
        <f>Eff_cooling_pump</f>
        <v>#DIV/0!</v>
      </c>
      <c r="F23" s="287" t="e">
        <f>D23/E23</f>
        <v>#DIV/0!</v>
      </c>
      <c r="G23" s="288" t="e">
        <f>F23/SUM($F$23:$F$25)</f>
        <v>#DIV/0!</v>
      </c>
      <c r="H23" s="104"/>
    </row>
    <row r="24" spans="2:10">
      <c r="B24" s="280"/>
      <c r="C24" s="17" t="s">
        <v>125</v>
      </c>
      <c r="D24" s="297">
        <f>Dashboard!E50</f>
        <v>0</v>
      </c>
      <c r="E24" s="192" t="e">
        <f>Eff_cooling_pump_storage</f>
        <v>#DIV/0!</v>
      </c>
      <c r="F24" s="287" t="e">
        <f>D24/E24</f>
        <v>#DIV/0!</v>
      </c>
      <c r="G24" s="288" t="e">
        <f>F24/SUM($F$23:$F$25)</f>
        <v>#DIV/0!</v>
      </c>
      <c r="H24" s="104"/>
    </row>
    <row r="25" spans="2:10">
      <c r="B25" s="280"/>
      <c r="C25" s="17" t="s">
        <v>133</v>
      </c>
      <c r="D25" s="297">
        <f>Dashboard!E51</f>
        <v>0</v>
      </c>
      <c r="E25" s="192" t="e">
        <f>Eff_cooling_airco</f>
        <v>#DIV/0!</v>
      </c>
      <c r="F25" s="287" t="e">
        <f>D25/E25</f>
        <v>#DIV/0!</v>
      </c>
      <c r="G25" s="288" t="e">
        <f>F25/SUM($F$23:$F$25)</f>
        <v>#DIV/0!</v>
      </c>
      <c r="H25" s="104"/>
    </row>
    <row r="26" spans="2:10">
      <c r="B26" s="296"/>
      <c r="C26" s="289"/>
      <c r="D26" s="290"/>
      <c r="E26" s="289"/>
      <c r="F26" s="289"/>
      <c r="G26" s="291"/>
      <c r="H26" s="292"/>
    </row>
    <row r="27" spans="2:10">
      <c r="B27" s="280" t="s">
        <v>91</v>
      </c>
      <c r="C27" s="275"/>
      <c r="D27" s="285"/>
      <c r="E27" s="275"/>
      <c r="F27" s="60"/>
      <c r="G27" s="285"/>
      <c r="H27" s="286"/>
    </row>
    <row r="28" spans="2:10">
      <c r="B28" s="280"/>
      <c r="C28" s="17" t="s">
        <v>134</v>
      </c>
      <c r="D28" s="297">
        <f>Dashboard!E55</f>
        <v>0</v>
      </c>
      <c r="E28" s="192">
        <f>Eff_lighting_lamp_incandescent</f>
        <v>0.05</v>
      </c>
      <c r="F28" s="287">
        <f>D28/E28</f>
        <v>0</v>
      </c>
      <c r="G28" s="288" t="e">
        <f>F28/SUM($F$28:$F$32)</f>
        <v>#DIV/0!</v>
      </c>
      <c r="H28" s="104"/>
    </row>
    <row r="29" spans="2:10">
      <c r="B29" s="280"/>
      <c r="C29" s="17" t="s">
        <v>135</v>
      </c>
      <c r="D29" s="297">
        <f>Dashboard!E56</f>
        <v>0</v>
      </c>
      <c r="E29" s="192">
        <f>Eff_lighting_lamp_fluorescent</f>
        <v>0.12</v>
      </c>
      <c r="F29" s="287">
        <f>D29/E29</f>
        <v>0</v>
      </c>
      <c r="G29" s="288" t="e">
        <f>F29/SUM($F$28:$F$32)</f>
        <v>#DIV/0!</v>
      </c>
      <c r="H29" s="104"/>
    </row>
    <row r="30" spans="2:10">
      <c r="B30" s="280"/>
      <c r="C30" s="17" t="s">
        <v>335</v>
      </c>
      <c r="D30" s="297">
        <f>Dashboard!E57</f>
        <v>0</v>
      </c>
      <c r="E30" s="192">
        <f>Eff_lighting_tube_fluorescent_standartd</f>
        <v>0</v>
      </c>
      <c r="F30" s="287" t="e">
        <f>D30/E30</f>
        <v>#DIV/0!</v>
      </c>
      <c r="G30" s="288" t="e">
        <f>F30/SUM($F$28:$F$32)</f>
        <v>#DIV/0!</v>
      </c>
      <c r="H30" s="104"/>
    </row>
    <row r="31" spans="2:10">
      <c r="B31" s="280"/>
      <c r="C31" s="17" t="s">
        <v>336</v>
      </c>
      <c r="D31" s="297">
        <f>Dashboard!E58</f>
        <v>0</v>
      </c>
      <c r="E31" s="192">
        <f>Eff_lighting_tube_fluorescent_efficient</f>
        <v>0</v>
      </c>
      <c r="F31" s="287" t="e">
        <f>D31/E31</f>
        <v>#DIV/0!</v>
      </c>
      <c r="G31" s="288" t="e">
        <f>F31/SUM($F$28:$F$32)</f>
        <v>#DIV/0!</v>
      </c>
      <c r="H31" s="104"/>
    </row>
    <row r="32" spans="2:10">
      <c r="B32" s="280"/>
      <c r="C32" s="17" t="s">
        <v>136</v>
      </c>
      <c r="D32" s="297">
        <f>Dashboard!E59</f>
        <v>0</v>
      </c>
      <c r="E32" s="192">
        <f>Eff_lighting_led</f>
        <v>0</v>
      </c>
      <c r="F32" s="287" t="e">
        <f>D32/E32</f>
        <v>#DIV/0!</v>
      </c>
      <c r="G32" s="288" t="e">
        <f>F32/SUM($F$28:$F$32)</f>
        <v>#DIV/0!</v>
      </c>
      <c r="H32" s="104"/>
    </row>
    <row r="33" spans="2:8" ht="16" thickBot="1">
      <c r="B33" s="282"/>
      <c r="C33" s="105"/>
      <c r="D33" s="105"/>
      <c r="E33" s="105"/>
      <c r="F33" s="105"/>
      <c r="G33" s="244"/>
      <c r="H33" s="106"/>
    </row>
  </sheetData>
  <mergeCells count="2">
    <mergeCell ref="B5:E5"/>
    <mergeCell ref="H18:H20"/>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enableFormatConditionsCalculation="0">
    <tabColor theme="8" tint="0.79998168889431442"/>
  </sheetPr>
  <dimension ref="B2:D19"/>
  <sheetViews>
    <sheetView workbookViewId="0">
      <selection activeCell="D13" sqref="D13"/>
    </sheetView>
  </sheetViews>
  <sheetFormatPr baseColWidth="10" defaultRowHeight="15" x14ac:dyDescent="0"/>
  <cols>
    <col min="1" max="1" width="10.83203125" style="1"/>
    <col min="2" max="2" width="21.6640625" style="1" customWidth="1"/>
    <col min="3" max="3" width="61.33203125" style="1" bestFit="1" customWidth="1"/>
    <col min="4" max="4" width="10.83203125" style="1" customWidth="1"/>
    <col min="5" max="16384" width="10.83203125" style="1"/>
  </cols>
  <sheetData>
    <row r="2" spans="2:4" ht="20">
      <c r="B2" s="67" t="s">
        <v>311</v>
      </c>
    </row>
    <row r="4" spans="2:4">
      <c r="B4" s="3" t="s">
        <v>95</v>
      </c>
      <c r="C4" s="5"/>
    </row>
    <row r="5" spans="2:4" ht="45" customHeight="1">
      <c r="B5" s="400" t="s">
        <v>352</v>
      </c>
      <c r="C5" s="401"/>
    </row>
    <row r="6" spans="2:4" ht="16" thickBot="1"/>
    <row r="7" spans="2:4" ht="30" customHeight="1">
      <c r="B7" s="194" t="s">
        <v>328</v>
      </c>
      <c r="C7" s="195" t="s">
        <v>286</v>
      </c>
      <c r="D7" s="196" t="s">
        <v>287</v>
      </c>
    </row>
    <row r="8" spans="2:4">
      <c r="B8" s="49" t="s">
        <v>306</v>
      </c>
      <c r="C8" s="4"/>
      <c r="D8" s="193"/>
    </row>
    <row r="9" spans="2:4">
      <c r="B9" s="73"/>
      <c r="C9" s="17" t="s">
        <v>313</v>
      </c>
      <c r="D9" s="221">
        <f>'Fuel aggregation'!F11</f>
        <v>0</v>
      </c>
    </row>
    <row r="10" spans="2:4">
      <c r="B10" s="73"/>
      <c r="C10" s="17" t="s">
        <v>298</v>
      </c>
      <c r="D10" s="245" t="e">
        <f>D9/Final_demand_space_heating</f>
        <v>#DIV/0!</v>
      </c>
    </row>
    <row r="11" spans="2:4">
      <c r="B11" s="151"/>
      <c r="C11" s="10"/>
      <c r="D11" s="152"/>
    </row>
    <row r="12" spans="2:4">
      <c r="B12" s="49" t="s">
        <v>148</v>
      </c>
      <c r="C12" s="4"/>
      <c r="D12" s="193"/>
    </row>
    <row r="13" spans="2:4">
      <c r="B13" s="73"/>
      <c r="C13" s="17" t="s">
        <v>314</v>
      </c>
      <c r="D13" s="221">
        <f>'Fuel aggregation'!G11</f>
        <v>0</v>
      </c>
    </row>
    <row r="14" spans="2:4">
      <c r="B14" s="73"/>
      <c r="C14" s="17" t="s">
        <v>300</v>
      </c>
      <c r="D14" s="245" t="e">
        <f>D13/Final_demand_space_heating</f>
        <v>#DIV/0!</v>
      </c>
    </row>
    <row r="15" spans="2:4">
      <c r="B15" s="151"/>
      <c r="C15" s="10"/>
      <c r="D15" s="152"/>
    </row>
    <row r="16" spans="2:4">
      <c r="B16" s="49" t="s">
        <v>131</v>
      </c>
      <c r="C16" s="5"/>
      <c r="D16" s="193"/>
    </row>
    <row r="17" spans="2:4">
      <c r="B17" s="73"/>
      <c r="C17" s="18" t="s">
        <v>312</v>
      </c>
      <c r="D17" s="221">
        <f>'Fuel aggregation'!I11</f>
        <v>0</v>
      </c>
    </row>
    <row r="18" spans="2:4">
      <c r="B18" s="73"/>
      <c r="C18" s="18" t="s">
        <v>299</v>
      </c>
      <c r="D18" s="245" t="e">
        <f>D17/Final_demand_space_heating</f>
        <v>#DIV/0!</v>
      </c>
    </row>
    <row r="19" spans="2:4" ht="16" thickBot="1">
      <c r="B19" s="188"/>
      <c r="C19" s="154"/>
      <c r="D19" s="189"/>
    </row>
  </sheetData>
  <mergeCells count="1">
    <mergeCell ref="B5:C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enableFormatConditionsCalculation="0">
    <tabColor theme="8" tint="0.79998168889431442"/>
  </sheetPr>
  <dimension ref="B2:M24"/>
  <sheetViews>
    <sheetView workbookViewId="0">
      <selection activeCell="D10" sqref="D10"/>
    </sheetView>
  </sheetViews>
  <sheetFormatPr baseColWidth="10" defaultRowHeight="15" x14ac:dyDescent="0"/>
  <cols>
    <col min="1" max="1" width="10.83203125" style="145"/>
    <col min="2" max="2" width="27.83203125" style="145" bestFit="1" customWidth="1"/>
    <col min="3" max="10" width="21.6640625" style="145" customWidth="1"/>
    <col min="11" max="11" width="23.6640625" style="145" bestFit="1" customWidth="1"/>
    <col min="12" max="12" width="20.33203125" style="145" customWidth="1"/>
    <col min="13" max="16384" width="10.83203125" style="145"/>
  </cols>
  <sheetData>
    <row r="2" spans="2:13" ht="20">
      <c r="B2" s="67" t="s">
        <v>310</v>
      </c>
      <c r="C2" s="8"/>
      <c r="D2" s="8"/>
      <c r="E2" s="8"/>
      <c r="G2" s="8"/>
      <c r="H2" s="8"/>
    </row>
    <row r="3" spans="2:13">
      <c r="B3" s="1"/>
      <c r="C3" s="8"/>
      <c r="D3" s="8"/>
      <c r="E3" s="8"/>
      <c r="G3" s="8"/>
      <c r="H3" s="8"/>
    </row>
    <row r="4" spans="2:13">
      <c r="B4" s="3" t="s">
        <v>95</v>
      </c>
      <c r="C4" s="4"/>
      <c r="D4" s="4"/>
      <c r="E4" s="4"/>
      <c r="F4" s="203"/>
      <c r="G4" s="8"/>
      <c r="H4" s="8"/>
    </row>
    <row r="5" spans="2:13" ht="60" customHeight="1">
      <c r="B5" s="400" t="s">
        <v>343</v>
      </c>
      <c r="C5" s="402"/>
      <c r="D5" s="402"/>
      <c r="E5" s="402"/>
      <c r="F5" s="401"/>
      <c r="G5" s="99"/>
      <c r="H5" s="99"/>
    </row>
    <row r="6" spans="2:13" ht="16" thickBot="1"/>
    <row r="7" spans="2:13">
      <c r="B7" s="179" t="s">
        <v>230</v>
      </c>
      <c r="C7" s="53"/>
      <c r="D7" s="28"/>
      <c r="E7" s="53"/>
      <c r="F7" s="53"/>
      <c r="G7" s="53"/>
      <c r="H7" s="53"/>
      <c r="I7" s="53"/>
      <c r="J7" s="53"/>
      <c r="K7" s="264"/>
      <c r="L7" s="29"/>
    </row>
    <row r="8" spans="2:13">
      <c r="B8" s="180"/>
      <c r="C8" s="8"/>
      <c r="D8" s="8"/>
      <c r="E8" s="8"/>
      <c r="F8" s="8"/>
      <c r="G8" s="8"/>
      <c r="H8" s="8"/>
      <c r="I8" s="8"/>
      <c r="J8" s="8"/>
      <c r="K8" s="180"/>
      <c r="L8" s="31"/>
    </row>
    <row r="9" spans="2:13" ht="30">
      <c r="B9" s="181"/>
      <c r="C9" s="69" t="s">
        <v>274</v>
      </c>
      <c r="D9" s="69" t="s">
        <v>603</v>
      </c>
      <c r="E9" s="69" t="s">
        <v>275</v>
      </c>
      <c r="F9" s="69" t="s">
        <v>276</v>
      </c>
      <c r="G9" s="69" t="s">
        <v>273</v>
      </c>
      <c r="H9" s="69" t="s">
        <v>272</v>
      </c>
      <c r="I9" s="69" t="s">
        <v>277</v>
      </c>
      <c r="J9" s="69" t="s">
        <v>290</v>
      </c>
      <c r="K9" s="265" t="s">
        <v>475</v>
      </c>
      <c r="L9" s="146" t="s">
        <v>476</v>
      </c>
    </row>
    <row r="10" spans="2:13">
      <c r="B10" s="182"/>
      <c r="C10" s="72"/>
      <c r="D10" s="72"/>
      <c r="E10" s="72"/>
      <c r="F10" s="72"/>
      <c r="G10" s="72"/>
      <c r="H10" s="72"/>
      <c r="I10" s="72"/>
      <c r="J10" s="72"/>
      <c r="K10" s="266"/>
      <c r="L10" s="147"/>
    </row>
    <row r="11" spans="2:13" ht="30">
      <c r="B11" s="183" t="s">
        <v>279</v>
      </c>
      <c r="C11" s="220">
        <f>SUM('Corrected energy balance step 2'!C83:N83)+'Corrected energy balance step 2'!S83</f>
        <v>0</v>
      </c>
      <c r="D11" s="220">
        <f>'Corrected energy balance step 2'!T83+'Corrected energy balance step 2'!AV83</f>
        <v>0</v>
      </c>
      <c r="E11" s="220">
        <f>SUM('Corrected energy balance step 2'!U83:AQ83)</f>
        <v>0</v>
      </c>
      <c r="F11" s="220">
        <f>'Corrected energy balance step 2'!AU83+'Corrected energy balance step 2'!AZ83</f>
        <v>0</v>
      </c>
      <c r="G11" s="220">
        <f>'Corrected energy balance step 2'!BH83</f>
        <v>0</v>
      </c>
      <c r="H11" s="220">
        <f>'Corrected energy balance step 2'!BL83</f>
        <v>0</v>
      </c>
      <c r="I11" s="220">
        <f>'Corrected energy balance step 2'!BM83</f>
        <v>0</v>
      </c>
      <c r="J11" s="220">
        <f>SUM('Corrected energy balance step 2'!O83:R83,'Corrected energy balance step 2'!AR83:AT83,'Corrected energy balance step 2'!AV83:BE83,'Corrected energy balance step 2'!BF83:BG83,'Corrected energy balance step 2'!BI83:BK83)</f>
        <v>0</v>
      </c>
      <c r="K11" s="267">
        <f>SUM(C10:J11)</f>
        <v>0</v>
      </c>
      <c r="L11" s="268">
        <f>'Corrected energy balance step 2'!$BN$83</f>
        <v>0</v>
      </c>
    </row>
    <row r="12" spans="2:13" ht="16" thickBot="1">
      <c r="B12" s="184"/>
      <c r="C12" s="148"/>
      <c r="D12" s="148"/>
      <c r="E12" s="148"/>
      <c r="F12" s="148"/>
      <c r="G12" s="148"/>
      <c r="H12" s="148"/>
      <c r="I12" s="148"/>
      <c r="J12" s="148"/>
      <c r="K12" s="272"/>
      <c r="L12" s="271"/>
    </row>
    <row r="13" spans="2:13">
      <c r="J13" s="269"/>
      <c r="K13" s="270"/>
      <c r="L13" s="270"/>
      <c r="M13" s="269"/>
    </row>
    <row r="14" spans="2:13">
      <c r="J14" s="269"/>
      <c r="K14" s="269"/>
      <c r="L14" s="269"/>
      <c r="M14" s="269"/>
    </row>
    <row r="17" spans="10:11">
      <c r="J17" s="259" t="s">
        <v>477</v>
      </c>
      <c r="K17" s="203"/>
    </row>
    <row r="18" spans="10:11">
      <c r="J18" s="260" t="s">
        <v>478</v>
      </c>
      <c r="K18" s="261"/>
    </row>
    <row r="19" spans="10:11">
      <c r="J19" s="260" t="str">
        <f>"- total demand of aggregated carriers"</f>
        <v>- total demand of aggregated carriers</v>
      </c>
      <c r="K19" s="261"/>
    </row>
    <row r="20" spans="10:11">
      <c r="J20" s="260" t="str">
        <f>"- total demand in energy balance (IEA)"</f>
        <v>- total demand in energy balance (IEA)</v>
      </c>
      <c r="K20" s="261"/>
    </row>
    <row r="21" spans="10:11">
      <c r="J21" s="260" t="s">
        <v>479</v>
      </c>
      <c r="K21" s="261"/>
    </row>
    <row r="22" spans="10:11">
      <c r="J22" s="260" t="s">
        <v>480</v>
      </c>
      <c r="K22" s="261"/>
    </row>
    <row r="23" spans="10:11">
      <c r="J23" s="260"/>
      <c r="K23" s="261"/>
    </row>
    <row r="24" spans="10:11">
      <c r="J24" s="262" t="s">
        <v>481</v>
      </c>
      <c r="K24" s="263">
        <f>K11-Final_demand_residences</f>
        <v>0</v>
      </c>
    </row>
  </sheetData>
  <mergeCells count="1">
    <mergeCell ref="B5:F5"/>
  </mergeCells>
  <conditionalFormatting sqref="C12:D12 G12:I12">
    <cfRule type="cellIs" dxfId="4" priority="7" operator="greaterThan">
      <formula>0</formula>
    </cfRule>
  </conditionalFormatting>
  <conditionalFormatting sqref="K24">
    <cfRule type="cellIs" dxfId="3" priority="3" operator="notBetween">
      <formula>-1</formula>
      <formula>1</formula>
    </cfRule>
    <cfRule type="cellIs" dxfId="2" priority="4" operator="between">
      <formula>-1</formula>
      <formula>1</formula>
    </cfRule>
  </conditionalFormatting>
  <conditionalFormatting sqref="K13:L13">
    <cfRule type="uniqueValues" dxfId="1" priority="1"/>
    <cfRule type="duplicateValues" dxfId="0" priority="2"/>
  </conditionalFormatting>
  <pageMargins left="0.75" right="0.75" top="1" bottom="1" header="0.5" footer="0.5"/>
  <pageSetup paperSize="9" orientation="portrait" horizontalDpi="4294967292" verticalDpi="4294967292"/>
  <ignoredErrors>
    <ignoredError sqref="K11" emptyCellReference="1"/>
  </ignoredErrors>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enableFormatConditionsCalculation="0">
    <tabColor theme="8" tint="0.79998168889431442"/>
  </sheetPr>
  <dimension ref="A2:I35"/>
  <sheetViews>
    <sheetView workbookViewId="0">
      <selection activeCell="G31" sqref="G31"/>
    </sheetView>
  </sheetViews>
  <sheetFormatPr baseColWidth="10" defaultRowHeight="15" x14ac:dyDescent="0"/>
  <cols>
    <col min="1" max="1" width="10.83203125" style="1"/>
    <col min="2" max="2" width="22.33203125" style="1" customWidth="1"/>
    <col min="3" max="3" width="34" style="1" bestFit="1" customWidth="1"/>
    <col min="4" max="4" width="17.83203125" style="1" customWidth="1"/>
    <col min="5" max="5" width="16" style="1" customWidth="1"/>
    <col min="6" max="6" width="22.5" style="1" customWidth="1"/>
    <col min="7" max="7" width="29.1640625" style="1" customWidth="1"/>
    <col min="8" max="8" width="20.83203125" style="1" customWidth="1"/>
    <col min="9" max="9" width="5.1640625" style="1" customWidth="1"/>
    <col min="10" max="10" width="20.1640625" style="1" customWidth="1"/>
    <col min="11" max="11" width="32.5" style="1" customWidth="1"/>
    <col min="12" max="12" width="29.83203125" style="1" customWidth="1"/>
    <col min="13" max="16384" width="10.83203125" style="1"/>
  </cols>
  <sheetData>
    <row r="2" spans="2:9" ht="20">
      <c r="B2" s="2" t="s">
        <v>316</v>
      </c>
    </row>
    <row r="4" spans="2:9">
      <c r="B4" s="3" t="s">
        <v>95</v>
      </c>
      <c r="C4" s="4"/>
      <c r="D4" s="4"/>
      <c r="E4" s="5"/>
    </row>
    <row r="5" spans="2:9" ht="45" customHeight="1">
      <c r="B5" s="400" t="s">
        <v>329</v>
      </c>
      <c r="C5" s="402"/>
      <c r="D5" s="402"/>
      <c r="E5" s="401"/>
    </row>
    <row r="6" spans="2:9" ht="16" thickBot="1"/>
    <row r="7" spans="2:9">
      <c r="B7" s="27" t="s">
        <v>92</v>
      </c>
      <c r="C7" s="28"/>
      <c r="D7" s="28"/>
      <c r="E7" s="28"/>
      <c r="F7" s="53"/>
      <c r="G7" s="29"/>
    </row>
    <row r="8" spans="2:9" ht="45">
      <c r="B8" s="35"/>
      <c r="C8" s="101"/>
      <c r="D8" s="108" t="s">
        <v>301</v>
      </c>
      <c r="E8" s="108" t="s">
        <v>426</v>
      </c>
      <c r="F8" s="108" t="s">
        <v>427</v>
      </c>
      <c r="G8" s="190" t="s">
        <v>302</v>
      </c>
    </row>
    <row r="9" spans="2:9">
      <c r="B9" s="35"/>
      <c r="C9" s="17" t="s">
        <v>123</v>
      </c>
      <c r="D9" s="299" t="e">
        <f>'Technology split final demand'!G11</f>
        <v>#DIV/0!</v>
      </c>
      <c r="E9" s="222" t="e">
        <f t="shared" ref="E9:E14" si="0">D9*Final_demand_space_heating</f>
        <v>#DIV/0!</v>
      </c>
      <c r="F9" s="222" t="e">
        <f>Eff_space_heating_gas*E9</f>
        <v>#DIV/0!</v>
      </c>
      <c r="G9" s="255" t="e">
        <f>F9/SUM($F$9:$F$18)</f>
        <v>#DIV/0!</v>
      </c>
      <c r="H9" s="273"/>
      <c r="I9" s="258"/>
    </row>
    <row r="10" spans="2:9">
      <c r="B10" s="35"/>
      <c r="C10" s="17" t="s">
        <v>125</v>
      </c>
      <c r="D10" s="185" t="e">
        <f>'Technology split final demand'!G12</f>
        <v>#DIV/0!</v>
      </c>
      <c r="E10" s="222" t="e">
        <f t="shared" si="0"/>
        <v>#DIV/0!</v>
      </c>
      <c r="F10" s="222" t="e">
        <f>Eff_space_heating_pump_storage*E10</f>
        <v>#DIV/0!</v>
      </c>
      <c r="G10" s="255" t="e">
        <f t="shared" ref="G10:G18" si="1">F10/SUM($F$9:$F$18)</f>
        <v>#DIV/0!</v>
      </c>
      <c r="I10" s="258"/>
    </row>
    <row r="11" spans="2:9">
      <c r="B11" s="35"/>
      <c r="C11" s="17" t="s">
        <v>124</v>
      </c>
      <c r="D11" s="185" t="e">
        <f>'Technology split final demand'!G13</f>
        <v>#DIV/0!</v>
      </c>
      <c r="E11" s="222" t="e">
        <f t="shared" si="0"/>
        <v>#DIV/0!</v>
      </c>
      <c r="F11" s="222" t="e">
        <f>Eff_space_heating_pump_gas*E11</f>
        <v>#DIV/0!</v>
      </c>
      <c r="G11" s="255" t="e">
        <f t="shared" si="1"/>
        <v>#DIV/0!</v>
      </c>
      <c r="I11" s="258"/>
    </row>
    <row r="12" spans="2:9">
      <c r="B12" s="35"/>
      <c r="C12" s="17" t="s">
        <v>126</v>
      </c>
      <c r="D12" s="185" t="e">
        <f>'Technology split final demand'!G14</f>
        <v>#DIV/0!</v>
      </c>
      <c r="E12" s="222" t="e">
        <f t="shared" si="0"/>
        <v>#DIV/0!</v>
      </c>
      <c r="F12" s="222" t="e">
        <f>Eff_space_heating_electric*E12</f>
        <v>#DIV/0!</v>
      </c>
      <c r="G12" s="255" t="e">
        <f t="shared" si="1"/>
        <v>#DIV/0!</v>
      </c>
      <c r="I12" s="258"/>
    </row>
    <row r="13" spans="2:9">
      <c r="B13" s="35"/>
      <c r="C13" s="17" t="s">
        <v>128</v>
      </c>
      <c r="D13" s="185" t="e">
        <f>'Technology split final demand'!G15</f>
        <v>#DIV/0!</v>
      </c>
      <c r="E13" s="222" t="e">
        <f t="shared" si="0"/>
        <v>#DIV/0!</v>
      </c>
      <c r="F13" s="222" t="e">
        <f>Eff_space_heating_coal*E13</f>
        <v>#DIV/0!</v>
      </c>
      <c r="G13" s="255" t="e">
        <f t="shared" si="1"/>
        <v>#DIV/0!</v>
      </c>
      <c r="I13" s="258"/>
    </row>
    <row r="14" spans="2:9">
      <c r="B14" s="35"/>
      <c r="C14" s="17" t="s">
        <v>129</v>
      </c>
      <c r="D14" s="185" t="e">
        <f>'Technology split final demand'!G16</f>
        <v>#DIV/0!</v>
      </c>
      <c r="E14" s="222" t="e">
        <f t="shared" si="0"/>
        <v>#DIV/0!</v>
      </c>
      <c r="F14" s="222" t="e">
        <f>Eff_space_heating_oil*E14</f>
        <v>#DIV/0!</v>
      </c>
      <c r="G14" s="255" t="e">
        <f t="shared" si="1"/>
        <v>#DIV/0!</v>
      </c>
      <c r="I14" s="258"/>
    </row>
    <row r="15" spans="2:9">
      <c r="B15" s="30"/>
      <c r="D15" s="8"/>
      <c r="H15" s="30"/>
      <c r="I15" s="258"/>
    </row>
    <row r="16" spans="2:9">
      <c r="B16" s="35"/>
      <c r="C16" s="17" t="s">
        <v>127</v>
      </c>
      <c r="D16" s="185" t="e">
        <f>'Technology split final demand'!G18</f>
        <v>#DIV/0!</v>
      </c>
      <c r="E16" s="222" t="e">
        <f>D16*Final_demand_space_heating</f>
        <v>#DIV/0!</v>
      </c>
      <c r="F16" s="222" t="e">
        <f>Eff_space_heating_solar_thermal*E16</f>
        <v>#DIV/0!</v>
      </c>
      <c r="G16" s="255" t="e">
        <f t="shared" si="1"/>
        <v>#DIV/0!</v>
      </c>
      <c r="I16" s="258"/>
    </row>
    <row r="17" spans="1:9">
      <c r="B17" s="35"/>
      <c r="C17" s="17" t="s">
        <v>130</v>
      </c>
      <c r="D17" s="185" t="e">
        <f>'Technology split final demand'!G19</f>
        <v>#DIV/0!</v>
      </c>
      <c r="E17" s="222" t="e">
        <f>D17*Final_demand_space_heating</f>
        <v>#DIV/0!</v>
      </c>
      <c r="F17" s="222" t="e">
        <f>Eff_space_heating_woodpellets*E17</f>
        <v>#DIV/0!</v>
      </c>
      <c r="G17" s="255" t="e">
        <f t="shared" si="1"/>
        <v>#DIV/0!</v>
      </c>
      <c r="I17" s="258"/>
    </row>
    <row r="18" spans="1:9">
      <c r="B18" s="35"/>
      <c r="C18" s="17" t="s">
        <v>131</v>
      </c>
      <c r="D18" s="187" t="e">
        <f>'Technology split final demand'!G20</f>
        <v>#DIV/0!</v>
      </c>
      <c r="E18" s="222" t="e">
        <f>D18*Final_demand_space_heating</f>
        <v>#DIV/0!</v>
      </c>
      <c r="F18" s="222" t="e">
        <f>Eff_space_heating_district*E18</f>
        <v>#DIV/0!</v>
      </c>
      <c r="G18" s="255" t="e">
        <f t="shared" si="1"/>
        <v>#DIV/0!</v>
      </c>
    </row>
    <row r="19" spans="1:9" ht="16" thickBot="1">
      <c r="B19" s="47"/>
      <c r="C19" s="102"/>
      <c r="D19" s="102"/>
      <c r="E19" s="102"/>
      <c r="F19" s="102"/>
      <c r="G19" s="103"/>
    </row>
    <row r="26" spans="1:9">
      <c r="A26" s="8"/>
    </row>
    <row r="27" spans="1:9">
      <c r="A27" s="8"/>
    </row>
    <row r="28" spans="1:9">
      <c r="A28" s="8"/>
    </row>
    <row r="29" spans="1:9">
      <c r="A29" s="8"/>
    </row>
    <row r="30" spans="1:9">
      <c r="A30" s="8"/>
    </row>
    <row r="31" spans="1:9">
      <c r="A31" s="8"/>
    </row>
    <row r="33" spans="1:1">
      <c r="A33" s="8"/>
    </row>
    <row r="34" spans="1:1">
      <c r="A34" s="8"/>
    </row>
    <row r="35" spans="1:1">
      <c r="A35" s="8"/>
    </row>
  </sheetData>
  <mergeCells count="1">
    <mergeCell ref="B5:E5"/>
  </mergeCells>
  <pageMargins left="0.75" right="0.75" top="1" bottom="1" header="0.5" footer="0.5"/>
  <pageSetup paperSize="9" orientation="portrait" horizontalDpi="4294967292" verticalDpi="4294967292"/>
  <ignoredErrors>
    <ignoredError sqref="G9:G10 G16:G18 G11:G14" emptyCellReference="1"/>
  </ignoredErrors>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enableFormatConditionsCalculation="0">
    <tabColor theme="7" tint="0.39997558519241921"/>
  </sheetPr>
  <dimension ref="A1:B7"/>
  <sheetViews>
    <sheetView workbookViewId="0">
      <selection activeCell="A3" sqref="A3"/>
    </sheetView>
  </sheetViews>
  <sheetFormatPr baseColWidth="10" defaultRowHeight="15" x14ac:dyDescent="0"/>
  <cols>
    <col min="1" max="1" width="51.1640625" bestFit="1" customWidth="1"/>
    <col min="8" max="8" width="17.33203125" bestFit="1" customWidth="1"/>
  </cols>
  <sheetData>
    <row r="1" spans="1:2">
      <c r="A1" s="205" t="s">
        <v>379</v>
      </c>
    </row>
    <row r="2" spans="1:2">
      <c r="A2" t="s">
        <v>372</v>
      </c>
      <c r="B2" t="s">
        <v>333</v>
      </c>
    </row>
    <row r="3" spans="1:2">
      <c r="A3" s="242" t="s">
        <v>373</v>
      </c>
      <c r="B3" s="284" t="e">
        <f>'Technology shares'!F20</f>
        <v>#DIV/0!</v>
      </c>
    </row>
    <row r="4" spans="1:2">
      <c r="A4" s="242" t="s">
        <v>376</v>
      </c>
      <c r="B4" s="284" t="e">
        <f>'Technology shares'!F21</f>
        <v>#DIV/0!</v>
      </c>
    </row>
    <row r="5" spans="1:2">
      <c r="A5" t="s">
        <v>377</v>
      </c>
      <c r="B5" s="284" t="e">
        <f>'Technology shares'!F22</f>
        <v>#DIV/0!</v>
      </c>
    </row>
    <row r="6" spans="1:2">
      <c r="A6" t="s">
        <v>374</v>
      </c>
      <c r="B6" s="284" t="e">
        <f>'Technology shares'!F23</f>
        <v>#DIV/0!</v>
      </c>
    </row>
    <row r="7" spans="1:2">
      <c r="A7" t="s">
        <v>375</v>
      </c>
      <c r="B7" s="284" t="e">
        <f>'Technology shares'!F24</f>
        <v>#DIV/0!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enableFormatConditionsCalculation="0">
    <tabColor theme="7" tint="0.39997558519241921"/>
  </sheetPr>
  <dimension ref="A1:B7"/>
  <sheetViews>
    <sheetView workbookViewId="0">
      <selection activeCell="A2" sqref="A2"/>
    </sheetView>
  </sheetViews>
  <sheetFormatPr baseColWidth="10" defaultRowHeight="15" x14ac:dyDescent="0"/>
  <cols>
    <col min="1" max="1" width="64.33203125" customWidth="1"/>
  </cols>
  <sheetData>
    <row r="1" spans="1:2">
      <c r="A1" s="205" t="s">
        <v>383</v>
      </c>
    </row>
    <row r="2" spans="1:2">
      <c r="A2" t="s">
        <v>372</v>
      </c>
      <c r="B2" t="s">
        <v>333</v>
      </c>
    </row>
    <row r="3" spans="1:2">
      <c r="A3" s="205" t="s">
        <v>381</v>
      </c>
      <c r="B3" s="284" t="e">
        <f>'Technology shares'!F13</f>
        <v>#DIV/0!</v>
      </c>
    </row>
    <row r="4" spans="1:2">
      <c r="A4" s="205" t="s">
        <v>382</v>
      </c>
      <c r="B4" s="284" t="e">
        <f>'Technology shares'!F12</f>
        <v>#DIV/0!</v>
      </c>
    </row>
    <row r="5" spans="1:2">
      <c r="B5" s="284"/>
    </row>
    <row r="6" spans="1:2">
      <c r="B6" s="284"/>
    </row>
    <row r="7" spans="1:2">
      <c r="B7" s="284"/>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enableFormatConditionsCalculation="0">
    <tabColor theme="7" tint="0.39997558519241921"/>
  </sheetPr>
  <dimension ref="A1:B7"/>
  <sheetViews>
    <sheetView workbookViewId="0">
      <selection activeCell="A5" sqref="A5"/>
    </sheetView>
  </sheetViews>
  <sheetFormatPr baseColWidth="10" defaultRowHeight="15" x14ac:dyDescent="0"/>
  <cols>
    <col min="1" max="1" width="55.33203125" bestFit="1" customWidth="1"/>
    <col min="2" max="2" width="14.83203125" bestFit="1" customWidth="1"/>
  </cols>
  <sheetData>
    <row r="1" spans="1:2">
      <c r="A1" s="205" t="s">
        <v>388</v>
      </c>
    </row>
    <row r="2" spans="1:2">
      <c r="A2" t="s">
        <v>372</v>
      </c>
      <c r="B2" t="s">
        <v>333</v>
      </c>
    </row>
    <row r="3" spans="1:2">
      <c r="A3" s="205" t="s">
        <v>384</v>
      </c>
      <c r="B3" s="284" t="e">
        <f>'Technology shares'!F17</f>
        <v>#DIV/0!</v>
      </c>
    </row>
    <row r="4" spans="1:2">
      <c r="A4" s="205" t="s">
        <v>385</v>
      </c>
      <c r="B4" s="284" t="e">
        <f>'Technology shares'!F16</f>
        <v>#DIV/0!</v>
      </c>
    </row>
    <row r="5" spans="1:2">
      <c r="A5" s="241" t="s">
        <v>386</v>
      </c>
      <c r="B5" s="284">
        <v>0</v>
      </c>
    </row>
    <row r="6" spans="1:2">
      <c r="B6" s="284"/>
    </row>
    <row r="7" spans="1:2">
      <c r="B7" s="284"/>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enableFormatConditionsCalculation="0">
    <tabColor theme="7" tint="0.39997558519241921"/>
  </sheetPr>
  <dimension ref="A1:B7"/>
  <sheetViews>
    <sheetView tabSelected="1" workbookViewId="0"/>
  </sheetViews>
  <sheetFormatPr baseColWidth="10" defaultRowHeight="15" x14ac:dyDescent="0"/>
  <cols>
    <col min="1" max="1" width="52.6640625" bestFit="1" customWidth="1"/>
  </cols>
  <sheetData>
    <row r="1" spans="1:2">
      <c r="A1" s="205" t="s">
        <v>610</v>
      </c>
    </row>
    <row r="2" spans="1:2">
      <c r="A2" t="s">
        <v>372</v>
      </c>
      <c r="B2" t="s">
        <v>333</v>
      </c>
    </row>
    <row r="3" spans="1:2">
      <c r="A3" s="205" t="s">
        <v>389</v>
      </c>
      <c r="B3" s="284" t="e">
        <f>'Technology shares'!F9</f>
        <v>#DIV/0!</v>
      </c>
    </row>
    <row r="4" spans="1:2">
      <c r="A4" s="205" t="s">
        <v>390</v>
      </c>
      <c r="B4" s="284" t="e">
        <f>'Technology shares'!F10</f>
        <v>#DIV/0!</v>
      </c>
    </row>
    <row r="5" spans="1:2">
      <c r="B5" s="284"/>
    </row>
    <row r="6" spans="1:2">
      <c r="B6" s="284"/>
    </row>
    <row r="7" spans="1:2">
      <c r="B7" s="284"/>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enableFormatConditionsCalculation="0">
    <tabColor theme="7" tint="0.39997558519241921"/>
  </sheetPr>
  <dimension ref="A1:B7"/>
  <sheetViews>
    <sheetView workbookViewId="0">
      <selection activeCell="B3" sqref="B3:B7"/>
    </sheetView>
  </sheetViews>
  <sheetFormatPr baseColWidth="10" defaultRowHeight="15" x14ac:dyDescent="0"/>
  <cols>
    <col min="1" max="1" width="42.6640625" bestFit="1" customWidth="1"/>
  </cols>
  <sheetData>
    <row r="1" spans="1:2">
      <c r="A1" s="205" t="s">
        <v>391</v>
      </c>
    </row>
    <row r="2" spans="1:2">
      <c r="A2" t="s">
        <v>372</v>
      </c>
      <c r="B2" t="s">
        <v>333</v>
      </c>
    </row>
    <row r="3" spans="1:2">
      <c r="A3" s="205" t="s">
        <v>392</v>
      </c>
      <c r="B3" s="284" t="e">
        <f>'Application shares'!E9</f>
        <v>#DIV/0!</v>
      </c>
    </row>
    <row r="4" spans="1:2">
      <c r="A4" s="205" t="s">
        <v>393</v>
      </c>
      <c r="B4" s="284" t="e">
        <f>'Application shares'!E10</f>
        <v>#DIV/0!</v>
      </c>
    </row>
    <row r="5" spans="1:2">
      <c r="B5" s="284"/>
    </row>
    <row r="6" spans="1:2">
      <c r="B6" s="284"/>
    </row>
    <row r="7" spans="1:2">
      <c r="B7" s="284"/>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enableFormatConditionsCalculation="0">
    <tabColor theme="7" tint="0.39997558519241921"/>
  </sheetPr>
  <dimension ref="A1:B7"/>
  <sheetViews>
    <sheetView workbookViewId="0">
      <selection activeCell="B3" sqref="B3"/>
    </sheetView>
  </sheetViews>
  <sheetFormatPr baseColWidth="10" defaultRowHeight="15" x14ac:dyDescent="0"/>
  <cols>
    <col min="1" max="1" width="48.6640625" customWidth="1"/>
  </cols>
  <sheetData>
    <row r="1" spans="1:2">
      <c r="A1" s="205" t="s">
        <v>394</v>
      </c>
    </row>
    <row r="2" spans="1:2">
      <c r="A2" t="s">
        <v>372</v>
      </c>
      <c r="B2" t="s">
        <v>333</v>
      </c>
    </row>
    <row r="3" spans="1:2">
      <c r="A3" s="205" t="s">
        <v>607</v>
      </c>
      <c r="B3" s="284" t="e">
        <f>'Application shares'!E13</f>
        <v>#DIV/0!</v>
      </c>
    </row>
    <row r="4" spans="1:2">
      <c r="A4" s="205" t="s">
        <v>608</v>
      </c>
      <c r="B4" s="284" t="e">
        <f>'Application shares'!E14</f>
        <v>#DIV/0!</v>
      </c>
    </row>
    <row r="5" spans="1:2">
      <c r="A5" s="205" t="s">
        <v>609</v>
      </c>
      <c r="B5" s="284" t="e">
        <f>'Application shares'!E15</f>
        <v>#DIV/0!</v>
      </c>
    </row>
    <row r="6" spans="1:2">
      <c r="B6" s="284"/>
    </row>
    <row r="7" spans="1:2">
      <c r="B7" s="284"/>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enableFormatConditionsCalculation="0">
    <tabColor theme="7" tint="0.39997558519241921"/>
  </sheetPr>
  <dimension ref="A1:B7"/>
  <sheetViews>
    <sheetView workbookViewId="0">
      <selection activeCell="B3" sqref="B3:B7"/>
    </sheetView>
  </sheetViews>
  <sheetFormatPr baseColWidth="10" defaultRowHeight="15" x14ac:dyDescent="0"/>
  <cols>
    <col min="1" max="1" width="45.1640625" bestFit="1" customWidth="1"/>
  </cols>
  <sheetData>
    <row r="1" spans="1:2">
      <c r="A1" s="205" t="s">
        <v>395</v>
      </c>
    </row>
    <row r="2" spans="1:2">
      <c r="A2" t="s">
        <v>372</v>
      </c>
      <c r="B2" t="s">
        <v>333</v>
      </c>
    </row>
    <row r="3" spans="1:2">
      <c r="A3" s="205" t="s">
        <v>396</v>
      </c>
      <c r="B3" s="284" t="e">
        <f>'Application shares'!E18</f>
        <v>#DIV/0!</v>
      </c>
    </row>
    <row r="4" spans="1:2">
      <c r="A4" s="205" t="s">
        <v>397</v>
      </c>
      <c r="B4" s="284" t="e">
        <f>'Application shares'!E19</f>
        <v>#DIV/0!</v>
      </c>
    </row>
    <row r="5" spans="1:2">
      <c r="B5" s="284"/>
    </row>
    <row r="6" spans="1:2">
      <c r="B6" s="284"/>
    </row>
    <row r="7" spans="1:2">
      <c r="B7" s="284"/>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enableFormatConditionsCalculation="0">
    <tabColor theme="7" tint="0.39997558519241921"/>
  </sheetPr>
  <dimension ref="A1:B7"/>
  <sheetViews>
    <sheetView workbookViewId="0">
      <selection activeCell="B3" sqref="B3"/>
    </sheetView>
  </sheetViews>
  <sheetFormatPr baseColWidth="10" defaultRowHeight="15" x14ac:dyDescent="0"/>
  <cols>
    <col min="1" max="1" width="45.5" bestFit="1" customWidth="1"/>
  </cols>
  <sheetData>
    <row r="1" spans="1:2">
      <c r="A1" s="205" t="s">
        <v>398</v>
      </c>
    </row>
    <row r="2" spans="1:2">
      <c r="A2" t="s">
        <v>372</v>
      </c>
      <c r="B2" t="s">
        <v>333</v>
      </c>
    </row>
    <row r="3" spans="1:2">
      <c r="A3" s="205" t="s">
        <v>380</v>
      </c>
      <c r="B3" s="284" t="e">
        <f>'Application shares'!E22</f>
        <v>#DIV/0!</v>
      </c>
    </row>
    <row r="4" spans="1:2">
      <c r="A4" s="205" t="s">
        <v>387</v>
      </c>
      <c r="B4" s="284" t="e">
        <f>'Application shares'!E23</f>
        <v>#DIV/0!</v>
      </c>
    </row>
    <row r="5" spans="1:2">
      <c r="A5" s="205" t="s">
        <v>378</v>
      </c>
      <c r="B5" s="284" t="e">
        <f>'Application shares'!E24</f>
        <v>#DIV/0!</v>
      </c>
    </row>
    <row r="6" spans="1:2">
      <c r="A6" s="205" t="s">
        <v>399</v>
      </c>
      <c r="B6" s="284" t="e">
        <f>'Application shares'!E25</f>
        <v>#DIV/0!</v>
      </c>
    </row>
    <row r="7" spans="1:2">
      <c r="B7" s="284"/>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enableFormatConditionsCalculation="0">
    <tabColor theme="7" tint="0.39997558519241921"/>
  </sheetPr>
  <dimension ref="A1:B7"/>
  <sheetViews>
    <sheetView workbookViewId="0">
      <selection activeCell="B4" sqref="B4"/>
    </sheetView>
  </sheetViews>
  <sheetFormatPr baseColWidth="10" defaultRowHeight="15" x14ac:dyDescent="0"/>
  <cols>
    <col min="1" max="1" width="48.5" bestFit="1" customWidth="1"/>
  </cols>
  <sheetData>
    <row r="1" spans="1:2">
      <c r="A1" s="205" t="s">
        <v>400</v>
      </c>
    </row>
    <row r="2" spans="1:2">
      <c r="A2" t="s">
        <v>372</v>
      </c>
      <c r="B2" t="s">
        <v>333</v>
      </c>
    </row>
    <row r="3" spans="1:2">
      <c r="A3" s="205" t="s">
        <v>401</v>
      </c>
      <c r="B3" s="284">
        <f>Dashboard!E62</f>
        <v>1</v>
      </c>
    </row>
    <row r="4" spans="1:2">
      <c r="A4" s="205" t="s">
        <v>402</v>
      </c>
      <c r="B4" s="284">
        <f>Dashboard!E63</f>
        <v>0</v>
      </c>
    </row>
    <row r="5" spans="1:2">
      <c r="B5" s="284"/>
    </row>
    <row r="6" spans="1:2">
      <c r="B6" s="284"/>
    </row>
    <row r="7" spans="1:2">
      <c r="B7" s="284"/>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enableFormatConditionsCalculation="0">
    <tabColor theme="7" tint="0.39997558519241921"/>
  </sheetPr>
  <dimension ref="A1:B7"/>
  <sheetViews>
    <sheetView workbookViewId="0">
      <selection activeCell="B4" sqref="A1:B4"/>
    </sheetView>
  </sheetViews>
  <sheetFormatPr baseColWidth="10" defaultRowHeight="15" x14ac:dyDescent="0"/>
  <cols>
    <col min="1" max="1" width="52.1640625" bestFit="1" customWidth="1"/>
    <col min="2" max="2" width="14.83203125" bestFit="1" customWidth="1"/>
  </cols>
  <sheetData>
    <row r="1" spans="1:2">
      <c r="A1" t="s">
        <v>403</v>
      </c>
    </row>
    <row r="2" spans="1:2">
      <c r="A2" t="s">
        <v>372</v>
      </c>
      <c r="B2" t="s">
        <v>333</v>
      </c>
    </row>
    <row r="3" spans="1:2">
      <c r="A3" t="s">
        <v>404</v>
      </c>
      <c r="B3" s="284">
        <v>0</v>
      </c>
    </row>
    <row r="4" spans="1:2">
      <c r="A4" t="s">
        <v>405</v>
      </c>
      <c r="B4" s="284">
        <v>1</v>
      </c>
    </row>
    <row r="5" spans="1:2">
      <c r="B5" s="284"/>
    </row>
    <row r="6" spans="1:2">
      <c r="B6" s="284"/>
    </row>
    <row r="7" spans="1:2">
      <c r="B7" s="284"/>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enableFormatConditionsCalculation="0">
    <tabColor theme="7" tint="0.39997558519241921"/>
  </sheetPr>
  <dimension ref="A1:B7"/>
  <sheetViews>
    <sheetView workbookViewId="0">
      <selection activeCell="A2" sqref="A2"/>
    </sheetView>
  </sheetViews>
  <sheetFormatPr baseColWidth="10" defaultRowHeight="15" x14ac:dyDescent="0"/>
  <cols>
    <col min="1" max="1" width="43" bestFit="1" customWidth="1"/>
    <col min="2" max="2" width="14.83203125" bestFit="1" customWidth="1"/>
  </cols>
  <sheetData>
    <row r="1" spans="1:2">
      <c r="A1" t="s">
        <v>407</v>
      </c>
    </row>
    <row r="2" spans="1:2">
      <c r="A2" t="s">
        <v>372</v>
      </c>
      <c r="B2" t="s">
        <v>333</v>
      </c>
    </row>
    <row r="3" spans="1:2">
      <c r="A3" t="s">
        <v>406</v>
      </c>
      <c r="B3" s="284">
        <v>0</v>
      </c>
    </row>
    <row r="4" spans="1:2">
      <c r="A4" t="s">
        <v>408</v>
      </c>
      <c r="B4" s="284">
        <v>1</v>
      </c>
    </row>
    <row r="5" spans="1:2">
      <c r="B5" s="284"/>
    </row>
    <row r="6" spans="1:2">
      <c r="B6" s="284"/>
    </row>
    <row r="7" spans="1:2">
      <c r="B7" s="284"/>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enableFormatConditionsCalculation="0">
    <tabColor theme="7" tint="0.39997558519241921"/>
  </sheetPr>
  <dimension ref="A1:B7"/>
  <sheetViews>
    <sheetView workbookViewId="0">
      <selection activeCell="B3" sqref="B3"/>
    </sheetView>
  </sheetViews>
  <sheetFormatPr baseColWidth="10" defaultRowHeight="15" x14ac:dyDescent="0"/>
  <cols>
    <col min="1" max="1" width="47.6640625" bestFit="1" customWidth="1"/>
    <col min="2" max="2" width="14.5" bestFit="1" customWidth="1"/>
  </cols>
  <sheetData>
    <row r="1" spans="1:2">
      <c r="A1" t="s">
        <v>409</v>
      </c>
    </row>
    <row r="2" spans="1:2">
      <c r="A2" t="s">
        <v>372</v>
      </c>
      <c r="B2" t="s">
        <v>333</v>
      </c>
    </row>
    <row r="3" spans="1:2">
      <c r="A3" t="s">
        <v>410</v>
      </c>
      <c r="B3" s="284">
        <f>1-B4</f>
        <v>0.96099999999999997</v>
      </c>
    </row>
    <row r="4" spans="1:2">
      <c r="A4" t="s">
        <v>411</v>
      </c>
      <c r="B4" s="284">
        <f>Dashboard!E65</f>
        <v>3.9E-2</v>
      </c>
    </row>
    <row r="5" spans="1:2">
      <c r="B5" s="284"/>
    </row>
    <row r="6" spans="1:2">
      <c r="B6" s="284"/>
    </row>
    <row r="7" spans="1:2">
      <c r="B7" s="284"/>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enableFormatConditionsCalculation="0">
    <tabColor theme="7" tint="0.39997558519241921"/>
  </sheetPr>
  <dimension ref="A1:B7"/>
  <sheetViews>
    <sheetView workbookViewId="0">
      <selection activeCell="B4" sqref="B4"/>
    </sheetView>
  </sheetViews>
  <sheetFormatPr baseColWidth="10" defaultRowHeight="15" x14ac:dyDescent="0"/>
  <cols>
    <col min="1" max="1" width="61.6640625" bestFit="1" customWidth="1"/>
    <col min="2" max="2" width="14.5" bestFit="1" customWidth="1"/>
  </cols>
  <sheetData>
    <row r="1" spans="1:2">
      <c r="A1" t="s">
        <v>412</v>
      </c>
    </row>
    <row r="2" spans="1:2">
      <c r="A2" t="s">
        <v>372</v>
      </c>
      <c r="B2" t="s">
        <v>333</v>
      </c>
    </row>
    <row r="3" spans="1:2">
      <c r="A3" t="s">
        <v>413</v>
      </c>
      <c r="B3" s="284">
        <f>1-B4</f>
        <v>0.94699999999999995</v>
      </c>
    </row>
    <row r="4" spans="1:2">
      <c r="A4" t="s">
        <v>414</v>
      </c>
      <c r="B4" s="284">
        <f>Dashboard!E66</f>
        <v>5.2999999999999999E-2</v>
      </c>
    </row>
    <row r="5" spans="1:2">
      <c r="B5" s="284"/>
    </row>
    <row r="6" spans="1:2">
      <c r="B6" s="284"/>
    </row>
    <row r="7" spans="1:2">
      <c r="B7" s="284"/>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29</vt:i4>
      </vt:variant>
    </vt:vector>
  </HeadingPairs>
  <TitlesOfParts>
    <vt:vector size="29" baseType="lpstr">
      <vt:lpstr>Cover Sheet</vt:lpstr>
      <vt:lpstr>Changelog</vt:lpstr>
      <vt:lpstr>Contents</vt:lpstr>
      <vt:lpstr>Introduction</vt:lpstr>
      <vt:lpstr>Dataflow</vt:lpstr>
      <vt:lpstr>Assumptions</vt:lpstr>
      <vt:lpstr>Dashboard</vt:lpstr>
      <vt:lpstr>Corrected energy balance step 2</vt:lpstr>
      <vt:lpstr>technical_specs</vt:lpstr>
      <vt:lpstr>Application shares</vt:lpstr>
      <vt:lpstr>Technology shares</vt:lpstr>
      <vt:lpstr>Final demand per energy carrier</vt:lpstr>
      <vt:lpstr>Technology split final demand</vt:lpstr>
      <vt:lpstr>Final demand extracted from EB</vt:lpstr>
      <vt:lpstr>Fuel aggregation</vt:lpstr>
      <vt:lpstr>Tech split of useful demand</vt:lpstr>
      <vt:lpstr>csv_ps_final_demand_lighting</vt:lpstr>
      <vt:lpstr>csv_ps_space_heating_electricit</vt:lpstr>
      <vt:lpstr>csv_ps_cooling_electricity</vt:lpstr>
      <vt:lpstr>csv_ps_space_heating_gas</vt:lpstr>
      <vt:lpstr>csv_ps_final_demand_coal</vt:lpstr>
      <vt:lpstr>csv_ps_final_demand_gas</vt:lpstr>
      <vt:lpstr>csv_ps_final_demand_oil</vt:lpstr>
      <vt:lpstr>csv_ps_final_demand_electricity</vt:lpstr>
      <vt:lpstr>csv_ps_final_demand_wood_p</vt:lpstr>
      <vt:lpstr>csv_heating_useful_insulation</vt:lpstr>
      <vt:lpstr>csv_cooling_useful_insulation</vt:lpstr>
      <vt:lpstr>csv_light_saving_detection</vt:lpstr>
      <vt:lpstr>csv_light_saving_control</vt:lpstr>
    </vt:vector>
  </TitlesOfParts>
  <Company>Quintel Intelligence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Quintel Intelligence</dc:creator>
  <cp:lastModifiedBy>Joris Berkhout</cp:lastModifiedBy>
  <dcterms:created xsi:type="dcterms:W3CDTF">2013-06-25T11:11:29Z</dcterms:created>
  <dcterms:modified xsi:type="dcterms:W3CDTF">2014-09-17T12:46:32Z</dcterms:modified>
</cp:coreProperties>
</file>