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van Meijel\Desktop\"/>
    </mc:Choice>
  </mc:AlternateContent>
  <xr:revisionPtr revIDLastSave="0" documentId="13_ncr:1_{9FF6BA89-BD7B-4DF5-A138-2732372F6A6E}" xr6:coauthVersionLast="46" xr6:coauthVersionMax="46" xr10:uidLastSave="{00000000-0000-0000-0000-000000000000}"/>
  <bookViews>
    <workbookView xWindow="1080" yWindow="1080" windowWidth="17280" windowHeight="8964" activeTab="1" xr2:uid="{E31B94C3-7EA9-4FCE-ADD8-EF3880324D47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" l="1"/>
  <c r="C72" i="2"/>
  <c r="C62" i="2"/>
  <c r="C61" i="2"/>
  <c r="C60" i="2"/>
  <c r="C59" i="2"/>
  <c r="C57" i="2"/>
  <c r="C56" i="2"/>
  <c r="C54" i="2"/>
  <c r="C53" i="2"/>
  <c r="C52" i="2"/>
  <c r="C49" i="2"/>
  <c r="C45" i="2"/>
  <c r="C44" i="2"/>
  <c r="C41" i="2"/>
  <c r="C38" i="2"/>
  <c r="C37" i="2"/>
  <c r="C35" i="2"/>
  <c r="C33" i="2"/>
  <c r="C26" i="2"/>
  <c r="C24" i="2"/>
  <c r="C21" i="2"/>
  <c r="C20" i="2"/>
  <c r="C19" i="2"/>
  <c r="C16" i="2"/>
  <c r="C17" i="2"/>
  <c r="C71" i="2"/>
  <c r="C75" i="2"/>
  <c r="C76" i="2"/>
  <c r="C91" i="2"/>
  <c r="C98" i="2"/>
  <c r="C100" i="2"/>
  <c r="C103" i="2"/>
  <c r="C105" i="2"/>
  <c r="C107" i="2"/>
  <c r="C39" i="2"/>
  <c r="C30" i="2"/>
  <c r="C102" i="2"/>
  <c r="C101" i="2"/>
  <c r="C93" i="2"/>
  <c r="C90" i="2"/>
  <c r="C88" i="2"/>
  <c r="C86" i="2"/>
  <c r="C74" i="2"/>
  <c r="C68" i="2"/>
  <c r="C67" i="2"/>
  <c r="C65" i="2"/>
  <c r="C51" i="2"/>
  <c r="C50" i="2"/>
  <c r="C47" i="2"/>
  <c r="C46" i="2"/>
  <c r="C43" i="2"/>
  <c r="C42" i="2"/>
  <c r="C32" i="2"/>
  <c r="C31" i="2"/>
  <c r="C28" i="2"/>
  <c r="C25" i="2"/>
  <c r="C23" i="2"/>
  <c r="C18" i="2"/>
  <c r="C13" i="2"/>
  <c r="C12" i="2"/>
  <c r="C11" i="2"/>
  <c r="C6" i="2"/>
  <c r="C3" i="2"/>
  <c r="C64" i="2"/>
  <c r="C22" i="2"/>
  <c r="G40" i="2"/>
  <c r="H40" i="2" s="1"/>
  <c r="B110" i="2"/>
  <c r="D47" i="2" s="1"/>
  <c r="C63" i="2"/>
  <c r="C79" i="2"/>
  <c r="C82" i="2"/>
  <c r="C85" i="2"/>
  <c r="C95" i="2"/>
  <c r="C96" i="2"/>
  <c r="C55" i="2"/>
  <c r="C10" i="2"/>
  <c r="E29" i="1"/>
  <c r="E28" i="1"/>
  <c r="E12" i="1"/>
  <c r="E5" i="1"/>
  <c r="E24" i="1"/>
  <c r="E25" i="1"/>
  <c r="E26" i="1"/>
  <c r="E27" i="1"/>
  <c r="E30" i="1"/>
  <c r="E31" i="1"/>
  <c r="E32" i="1"/>
  <c r="E33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4" i="1"/>
  <c r="D19" i="2" l="1"/>
  <c r="D32" i="2"/>
  <c r="D95" i="2"/>
  <c r="D60" i="2"/>
  <c r="D97" i="2"/>
  <c r="D18" i="2"/>
  <c r="D31" i="2"/>
  <c r="D88" i="2"/>
  <c r="D57" i="2"/>
  <c r="D33" i="2"/>
  <c r="D61" i="2"/>
  <c r="D15" i="2"/>
  <c r="D28" i="2"/>
  <c r="D82" i="2"/>
  <c r="D52" i="2"/>
  <c r="D12" i="2"/>
  <c r="D21" i="2"/>
  <c r="D107" i="2"/>
  <c r="D76" i="2"/>
  <c r="D49" i="2"/>
  <c r="D8" i="2"/>
  <c r="D75" i="2"/>
  <c r="D7" i="2"/>
  <c r="D99" i="2"/>
  <c r="D74" i="2"/>
  <c r="D4" i="2"/>
  <c r="D98" i="2"/>
  <c r="D68" i="2"/>
  <c r="D6" i="2"/>
  <c r="D23" i="2"/>
  <c r="D90" i="2"/>
  <c r="D72" i="2"/>
  <c r="D51" i="2"/>
  <c r="D39" i="2"/>
  <c r="D20" i="2"/>
  <c r="D105" i="2"/>
  <c r="D87" i="2"/>
  <c r="D64" i="2"/>
  <c r="D48" i="2"/>
  <c r="D16" i="2"/>
  <c r="D35" i="2"/>
  <c r="D102" i="2"/>
  <c r="D84" i="2"/>
  <c r="D45" i="2"/>
  <c r="D14" i="2"/>
  <c r="D3" i="2"/>
  <c r="D29" i="2"/>
  <c r="D83" i="2"/>
  <c r="D71" i="2"/>
  <c r="D59" i="2"/>
  <c r="D46" i="2"/>
  <c r="D11" i="2"/>
  <c r="D37" i="2"/>
  <c r="D25" i="2"/>
  <c r="D104" i="2"/>
  <c r="D92" i="2"/>
  <c r="D80" i="2"/>
  <c r="D67" i="2"/>
  <c r="D56" i="2"/>
  <c r="D44" i="2"/>
  <c r="D2" i="2"/>
  <c r="D10" i="2"/>
  <c r="D36" i="2"/>
  <c r="D24" i="2"/>
  <c r="D103" i="2"/>
  <c r="D91" i="2"/>
  <c r="D79" i="2"/>
  <c r="D66" i="2"/>
  <c r="D53" i="2"/>
  <c r="D42" i="2"/>
  <c r="D17" i="2"/>
  <c r="D9" i="2"/>
  <c r="D38" i="2"/>
  <c r="D30" i="2"/>
  <c r="D22" i="2"/>
  <c r="D96" i="2"/>
  <c r="D89" i="2"/>
  <c r="D81" i="2"/>
  <c r="D73" i="2"/>
  <c r="D65" i="2"/>
  <c r="D58" i="2"/>
  <c r="D50" i="2"/>
  <c r="D43" i="2"/>
  <c r="D27" i="2"/>
  <c r="D41" i="2"/>
  <c r="D106" i="2"/>
  <c r="D101" i="2"/>
  <c r="D94" i="2"/>
  <c r="D86" i="2"/>
  <c r="D78" i="2"/>
  <c r="D70" i="2"/>
  <c r="D63" i="2"/>
  <c r="D55" i="2"/>
  <c r="D13" i="2"/>
  <c r="D5" i="2"/>
  <c r="D34" i="2"/>
  <c r="D26" i="2"/>
  <c r="D100" i="2"/>
  <c r="D93" i="2"/>
  <c r="D85" i="2"/>
  <c r="D77" i="2"/>
  <c r="D69" i="2"/>
  <c r="D62" i="2"/>
  <c r="D54" i="2"/>
  <c r="C36" i="2"/>
  <c r="C8" i="2"/>
  <c r="C15" i="2"/>
  <c r="C14" i="2"/>
  <c r="C29" i="2"/>
  <c r="C40" i="2"/>
  <c r="B111" i="2" s="1"/>
  <c r="E51" i="2" s="1"/>
  <c r="G51" i="2" s="1"/>
  <c r="C4" i="2"/>
  <c r="C27" i="2"/>
  <c r="H51" i="2" l="1"/>
  <c r="E3" i="2"/>
  <c r="G3" i="2" s="1"/>
  <c r="H3" i="2" s="1"/>
  <c r="E2" i="2"/>
  <c r="G2" i="2" s="1"/>
  <c r="H2" i="2" s="1"/>
  <c r="E27" i="2"/>
  <c r="G27" i="2" s="1"/>
  <c r="H27" i="2" s="1"/>
  <c r="E26" i="2"/>
  <c r="G26" i="2" s="1"/>
  <c r="H26" i="2" s="1"/>
  <c r="E12" i="2"/>
  <c r="G12" i="2" s="1"/>
  <c r="H12" i="2" s="1"/>
  <c r="E14" i="2"/>
  <c r="G14" i="2" s="1"/>
  <c r="H14" i="2" s="1"/>
  <c r="E24" i="2"/>
  <c r="G24" i="2" s="1"/>
  <c r="H24" i="2" s="1"/>
  <c r="E39" i="2"/>
  <c r="G39" i="2" s="1"/>
  <c r="H39" i="2" s="1"/>
  <c r="E5" i="2"/>
  <c r="G5" i="2" s="1"/>
  <c r="H5" i="2" s="1"/>
  <c r="E44" i="2"/>
  <c r="G44" i="2" s="1"/>
  <c r="H44" i="2" s="1"/>
  <c r="E35" i="2"/>
  <c r="G35" i="2" s="1"/>
  <c r="H35" i="2" s="1"/>
  <c r="E22" i="2"/>
  <c r="G22" i="2" s="1"/>
  <c r="H22" i="2" s="1"/>
  <c r="E25" i="2"/>
  <c r="G25" i="2" s="1"/>
  <c r="H25" i="2" s="1"/>
  <c r="E68" i="2"/>
  <c r="G68" i="2" s="1"/>
  <c r="H68" i="2" s="1"/>
  <c r="E93" i="2"/>
  <c r="G93" i="2" s="1"/>
  <c r="H93" i="2" s="1"/>
  <c r="E53" i="2"/>
  <c r="G53" i="2" s="1"/>
  <c r="H53" i="2" s="1"/>
  <c r="E97" i="2"/>
  <c r="G97" i="2" s="1"/>
  <c r="H97" i="2" s="1"/>
  <c r="E63" i="2"/>
  <c r="G63" i="2" s="1"/>
  <c r="H63" i="2" s="1"/>
  <c r="E71" i="2"/>
  <c r="G71" i="2" s="1"/>
  <c r="H71" i="2" s="1"/>
  <c r="E103" i="2"/>
  <c r="G103" i="2" s="1"/>
  <c r="H103" i="2" s="1"/>
  <c r="E19" i="2"/>
  <c r="G19" i="2" s="1"/>
  <c r="H19" i="2" s="1"/>
  <c r="E13" i="2"/>
  <c r="G13" i="2" s="1"/>
  <c r="H13" i="2" s="1"/>
  <c r="E17" i="2"/>
  <c r="G17" i="2" s="1"/>
  <c r="H17" i="2" s="1"/>
  <c r="E43" i="2"/>
  <c r="G43" i="2" s="1"/>
  <c r="H43" i="2" s="1"/>
  <c r="E64" i="2"/>
  <c r="G64" i="2" s="1"/>
  <c r="H64" i="2" s="1"/>
  <c r="E67" i="2"/>
  <c r="G67" i="2" s="1"/>
  <c r="H67" i="2" s="1"/>
  <c r="E76" i="2"/>
  <c r="G76" i="2" s="1"/>
  <c r="H76" i="2" s="1"/>
  <c r="E100" i="2"/>
  <c r="G100" i="2" s="1"/>
  <c r="H100" i="2" s="1"/>
  <c r="E18" i="2"/>
  <c r="G18" i="2" s="1"/>
  <c r="H18" i="2" s="1"/>
  <c r="E50" i="2"/>
  <c r="G50" i="2" s="1"/>
  <c r="H50" i="2" s="1"/>
  <c r="E70" i="2"/>
  <c r="G70" i="2" s="1"/>
  <c r="H70" i="2" s="1"/>
  <c r="E98" i="2"/>
  <c r="G98" i="2" s="1"/>
  <c r="H98" i="2" s="1"/>
  <c r="E79" i="2"/>
  <c r="G79" i="2" s="1"/>
  <c r="H79" i="2" s="1"/>
  <c r="E23" i="2"/>
  <c r="G23" i="2" s="1"/>
  <c r="H23" i="2" s="1"/>
  <c r="E105" i="2"/>
  <c r="G105" i="2" s="1"/>
  <c r="H105" i="2" s="1"/>
  <c r="E84" i="2"/>
  <c r="G84" i="2" s="1"/>
  <c r="H84" i="2" s="1"/>
  <c r="E90" i="2"/>
  <c r="G90" i="2" s="1"/>
  <c r="H90" i="2" s="1"/>
  <c r="E75" i="2"/>
  <c r="G75" i="2" s="1"/>
  <c r="H75" i="2" s="1"/>
  <c r="E78" i="2"/>
  <c r="G78" i="2" s="1"/>
  <c r="H78" i="2" s="1"/>
  <c r="E49" i="2"/>
  <c r="G49" i="2" s="1"/>
  <c r="H49" i="2" s="1"/>
  <c r="E87" i="2"/>
  <c r="G87" i="2" s="1"/>
  <c r="H87" i="2" s="1"/>
  <c r="E45" i="2"/>
  <c r="G45" i="2" s="1"/>
  <c r="H45" i="2" s="1"/>
  <c r="E32" i="2"/>
  <c r="G32" i="2" s="1"/>
  <c r="H32" i="2" s="1"/>
  <c r="E34" i="2"/>
  <c r="G34" i="2" s="1"/>
  <c r="H34" i="2" s="1"/>
  <c r="E46" i="2"/>
  <c r="G46" i="2" s="1"/>
  <c r="H46" i="2" s="1"/>
  <c r="E4" i="2"/>
  <c r="E41" i="2"/>
  <c r="G41" i="2" s="1"/>
  <c r="H41" i="2" s="1"/>
  <c r="E42" i="2"/>
  <c r="G42" i="2" s="1"/>
  <c r="H42" i="2" s="1"/>
  <c r="E31" i="2"/>
  <c r="G31" i="2" s="1"/>
  <c r="H31" i="2" s="1"/>
  <c r="E92" i="2"/>
  <c r="G92" i="2" s="1"/>
  <c r="H92" i="2" s="1"/>
  <c r="E52" i="2"/>
  <c r="G52" i="2" s="1"/>
  <c r="H52" i="2" s="1"/>
  <c r="E86" i="2"/>
  <c r="G86" i="2" s="1"/>
  <c r="H86" i="2" s="1"/>
  <c r="E47" i="2"/>
  <c r="G47" i="2" s="1"/>
  <c r="H47" i="2" s="1"/>
  <c r="E57" i="2"/>
  <c r="G57" i="2" s="1"/>
  <c r="H57" i="2" s="1"/>
  <c r="E33" i="2"/>
  <c r="G33" i="2" s="1"/>
  <c r="H33" i="2" s="1"/>
  <c r="E95" i="2"/>
  <c r="G95" i="2" s="1"/>
  <c r="H95" i="2" s="1"/>
  <c r="E55" i="2"/>
  <c r="G55" i="2" s="1"/>
  <c r="H55" i="2" s="1"/>
  <c r="E48" i="2"/>
  <c r="G48" i="2" s="1"/>
  <c r="H48" i="2" s="1"/>
  <c r="E74" i="2"/>
  <c r="G74" i="2" s="1"/>
  <c r="H74" i="2" s="1"/>
  <c r="E21" i="2"/>
  <c r="G21" i="2" s="1"/>
  <c r="H21" i="2" s="1"/>
  <c r="E30" i="2"/>
  <c r="G30" i="2" s="1"/>
  <c r="H30" i="2" s="1"/>
  <c r="E8" i="2"/>
  <c r="G8" i="2" s="1"/>
  <c r="H8" i="2" s="1"/>
  <c r="E99" i="2"/>
  <c r="G99" i="2" s="1"/>
  <c r="H99" i="2" s="1"/>
  <c r="E60" i="2"/>
  <c r="G60" i="2" s="1"/>
  <c r="H60" i="2" s="1"/>
  <c r="E83" i="2"/>
  <c r="G83" i="2" s="1"/>
  <c r="H83" i="2" s="1"/>
  <c r="E59" i="2"/>
  <c r="G59" i="2" s="1"/>
  <c r="H59" i="2" s="1"/>
  <c r="E94" i="2"/>
  <c r="G94" i="2" s="1"/>
  <c r="H94" i="2" s="1"/>
  <c r="E54" i="2"/>
  <c r="G54" i="2" s="1"/>
  <c r="H54" i="2" s="1"/>
  <c r="E56" i="2"/>
  <c r="G56" i="2" s="1"/>
  <c r="H56" i="2" s="1"/>
  <c r="E82" i="2"/>
  <c r="G82" i="2" s="1"/>
  <c r="H82" i="2" s="1"/>
  <c r="E102" i="2"/>
  <c r="G102" i="2" s="1"/>
  <c r="H102" i="2" s="1"/>
  <c r="E38" i="2"/>
  <c r="G38" i="2" s="1"/>
  <c r="H38" i="2" s="1"/>
  <c r="E37" i="2"/>
  <c r="G37" i="2" s="1"/>
  <c r="H37" i="2" s="1"/>
  <c r="E104" i="2"/>
  <c r="G104" i="2" s="1"/>
  <c r="H104" i="2" s="1"/>
  <c r="E7" i="2"/>
  <c r="G7" i="2" s="1"/>
  <c r="H7" i="2" s="1"/>
  <c r="E16" i="2"/>
  <c r="G16" i="2" s="1"/>
  <c r="H16" i="2" s="1"/>
  <c r="E81" i="2"/>
  <c r="G81" i="2" s="1"/>
  <c r="H81" i="2" s="1"/>
  <c r="E10" i="2"/>
  <c r="G10" i="2" s="1"/>
  <c r="H10" i="2" s="1"/>
  <c r="E101" i="2"/>
  <c r="G101" i="2" s="1"/>
  <c r="H101" i="2" s="1"/>
  <c r="E62" i="2"/>
  <c r="G62" i="2" s="1"/>
  <c r="H62" i="2" s="1"/>
  <c r="E73" i="2"/>
  <c r="G73" i="2" s="1"/>
  <c r="H73" i="2" s="1"/>
  <c r="E107" i="2"/>
  <c r="G107" i="2" s="1"/>
  <c r="H107" i="2" s="1"/>
  <c r="E65" i="2"/>
  <c r="G65" i="2" s="1"/>
  <c r="H65" i="2" s="1"/>
  <c r="E29" i="2"/>
  <c r="G29" i="2" s="1"/>
  <c r="H29" i="2" s="1"/>
  <c r="E11" i="2"/>
  <c r="G11" i="2" s="1"/>
  <c r="H11" i="2" s="1"/>
  <c r="E20" i="2"/>
  <c r="G20" i="2" s="1"/>
  <c r="H20" i="2" s="1"/>
  <c r="E6" i="2"/>
  <c r="G6" i="2" s="1"/>
  <c r="H6" i="2" s="1"/>
  <c r="E15" i="2"/>
  <c r="G15" i="2" s="1"/>
  <c r="H15" i="2" s="1"/>
  <c r="E36" i="2"/>
  <c r="G36" i="2" s="1"/>
  <c r="H36" i="2" s="1"/>
  <c r="E66" i="2"/>
  <c r="G66" i="2" s="1"/>
  <c r="H66" i="2" s="1"/>
  <c r="E69" i="2"/>
  <c r="G69" i="2" s="1"/>
  <c r="H69" i="2" s="1"/>
  <c r="E85" i="2"/>
  <c r="G85" i="2" s="1"/>
  <c r="H85" i="2" s="1"/>
  <c r="E106" i="2"/>
  <c r="G106" i="2" s="1"/>
  <c r="H106" i="2" s="1"/>
  <c r="E89" i="2"/>
  <c r="G89" i="2" s="1"/>
  <c r="H89" i="2" s="1"/>
  <c r="E72" i="2"/>
  <c r="G72" i="2" s="1"/>
  <c r="H72" i="2" s="1"/>
  <c r="E96" i="2"/>
  <c r="G96" i="2" s="1"/>
  <c r="H96" i="2" s="1"/>
  <c r="E91" i="2"/>
  <c r="G91" i="2" s="1"/>
  <c r="H91" i="2" s="1"/>
  <c r="E28" i="2"/>
  <c r="G28" i="2" s="1"/>
  <c r="H28" i="2" s="1"/>
  <c r="E9" i="2"/>
  <c r="G9" i="2" s="1"/>
  <c r="H9" i="2" s="1"/>
  <c r="E77" i="2"/>
  <c r="G77" i="2" s="1"/>
  <c r="H77" i="2" s="1"/>
  <c r="E61" i="2"/>
  <c r="G61" i="2" s="1"/>
  <c r="H61" i="2" s="1"/>
  <c r="E80" i="2"/>
  <c r="G80" i="2" s="1"/>
  <c r="H80" i="2" s="1"/>
  <c r="E58" i="2"/>
  <c r="G58" i="2" s="1"/>
  <c r="H58" i="2" s="1"/>
  <c r="E88" i="2"/>
  <c r="G88" i="2" s="1"/>
  <c r="H88" i="2" s="1"/>
  <c r="G4" i="2" l="1"/>
  <c r="H4" i="2" s="1"/>
  <c r="H108" i="2" s="1"/>
</calcChain>
</file>

<file path=xl/sharedStrings.xml><?xml version="1.0" encoding="utf-8"?>
<sst xmlns="http://schemas.openxmlformats.org/spreadsheetml/2006/main" count="293" uniqueCount="206">
  <si>
    <t>Rank</t>
  </si>
  <si>
    <t>Country/Territory</t>
  </si>
  <si>
    <t>Gross household income</t>
  </si>
  <si>
    <t>in Int$ (PPP)[1]</t>
  </si>
  <si>
    <t>Country</t>
  </si>
  <si>
    <t>Current Population</t>
  </si>
  <si>
    <t>China</t>
  </si>
  <si>
    <t>India</t>
  </si>
  <si>
    <t>United States</t>
  </si>
  <si>
    <t>Indonesia</t>
  </si>
  <si>
    <t>Brazil</t>
  </si>
  <si>
    <t>Russia</t>
  </si>
  <si>
    <t>Japan</t>
  </si>
  <si>
    <t>Nigeria</t>
  </si>
  <si>
    <t>Germany</t>
  </si>
  <si>
    <t>Bangladesh</t>
  </si>
  <si>
    <t>Mexico</t>
  </si>
  <si>
    <t>Pakistan</t>
  </si>
  <si>
    <t>France</t>
  </si>
  <si>
    <t>United Kingdom</t>
  </si>
  <si>
    <t>Philippines</t>
  </si>
  <si>
    <t>Vietnam</t>
  </si>
  <si>
    <t>Italy</t>
  </si>
  <si>
    <t>Egypt</t>
  </si>
  <si>
    <t>Iran</t>
  </si>
  <si>
    <t>Ethiopia</t>
  </si>
  <si>
    <t>Korea, South</t>
  </si>
  <si>
    <t>Turkey</t>
  </si>
  <si>
    <t>DR Congo</t>
  </si>
  <si>
    <t>Thailand</t>
  </si>
  <si>
    <t>South Africa</t>
  </si>
  <si>
    <t>Spain</t>
  </si>
  <si>
    <t>Ukraine</t>
  </si>
  <si>
    <t>Canada</t>
  </si>
  <si>
    <t>Colombia</t>
  </si>
  <si>
    <t>Argentina</t>
  </si>
  <si>
    <t>Poland</t>
  </si>
  <si>
    <t>Kenya</t>
  </si>
  <si>
    <t>Myanmar</t>
  </si>
  <si>
    <t>Tanzania</t>
  </si>
  <si>
    <t>Australia</t>
  </si>
  <si>
    <t>Uganda</t>
  </si>
  <si>
    <t>Ghana</t>
  </si>
  <si>
    <t>Peru</t>
  </si>
  <si>
    <t>Netherlands</t>
  </si>
  <si>
    <t>Sudan</t>
  </si>
  <si>
    <t>Malaysia</t>
  </si>
  <si>
    <t>Morocco</t>
  </si>
  <si>
    <t>Mozambique</t>
  </si>
  <si>
    <t>Romania</t>
  </si>
  <si>
    <t>Uzbekistan</t>
  </si>
  <si>
    <t>Korea, North</t>
  </si>
  <si>
    <t>Angola</t>
  </si>
  <si>
    <t>Chile</t>
  </si>
  <si>
    <t>Kazakhstan</t>
  </si>
  <si>
    <t>Madagascar</t>
  </si>
  <si>
    <t>Iraq</t>
  </si>
  <si>
    <t>Ivory Coast</t>
  </si>
  <si>
    <t>Belgium</t>
  </si>
  <si>
    <t>Cameroon</t>
  </si>
  <si>
    <t>Ecuador</t>
  </si>
  <si>
    <t>Yemen</t>
  </si>
  <si>
    <t>Czech Republic</t>
  </si>
  <si>
    <t>Greece</t>
  </si>
  <si>
    <t>Afghanistan</t>
  </si>
  <si>
    <t>Malawi</t>
  </si>
  <si>
    <t>Austria</t>
  </si>
  <si>
    <t>Portugal</t>
  </si>
  <si>
    <t>Zimbabwe</t>
  </si>
  <si>
    <t>Belarus</t>
  </si>
  <si>
    <t>Hungary</t>
  </si>
  <si>
    <t>Burkina Faso</t>
  </si>
  <si>
    <t>Cuba</t>
  </si>
  <si>
    <t>Guatemala</t>
  </si>
  <si>
    <t>Zambia</t>
  </si>
  <si>
    <t>Mali</t>
  </si>
  <si>
    <t>Cambodia</t>
  </si>
  <si>
    <t>Bolivia</t>
  </si>
  <si>
    <t>Dominican Republic</t>
  </si>
  <si>
    <t>Bulgaria</t>
  </si>
  <si>
    <t>Rwanda</t>
  </si>
  <si>
    <t>Israel</t>
  </si>
  <si>
    <t>Chad</t>
  </si>
  <si>
    <t>Haiti</t>
  </si>
  <si>
    <t>Finland</t>
  </si>
  <si>
    <t>China, Hong Kong SAR</t>
  </si>
  <si>
    <t>Burundi</t>
  </si>
  <si>
    <t>Norway</t>
  </si>
  <si>
    <t>Serbia</t>
  </si>
  <si>
    <t>Benin</t>
  </si>
  <si>
    <t>Jordan</t>
  </si>
  <si>
    <t>South Sudan</t>
  </si>
  <si>
    <t>Azerbaijan</t>
  </si>
  <si>
    <t>Honduras</t>
  </si>
  <si>
    <t>Guinea</t>
  </si>
  <si>
    <t>Slovakia</t>
  </si>
  <si>
    <t>Senegal</t>
  </si>
  <si>
    <t>New Zealand</t>
  </si>
  <si>
    <t>Ireland</t>
  </si>
  <si>
    <t>Singapore</t>
  </si>
  <si>
    <t>Togo</t>
  </si>
  <si>
    <t>El Salvador</t>
  </si>
  <si>
    <t>Papua New Guinea</t>
  </si>
  <si>
    <t>Paraguay</t>
  </si>
  <si>
    <t>Kyrgyzstan</t>
  </si>
  <si>
    <t>Tajikistan</t>
  </si>
  <si>
    <t>Costa Rica</t>
  </si>
  <si>
    <t>Sierra Leone</t>
  </si>
  <si>
    <t>Nicaragua</t>
  </si>
  <si>
    <t>Laos</t>
  </si>
  <si>
    <t>Lithuania</t>
  </si>
  <si>
    <t>Central African Republic</t>
  </si>
  <si>
    <t>Slovenia</t>
  </si>
  <si>
    <t>Latvia</t>
  </si>
  <si>
    <t>Estonia</t>
  </si>
  <si>
    <t>Luxembourg</t>
  </si>
  <si>
    <t>Malta</t>
  </si>
  <si>
    <t>Sweden</t>
  </si>
  <si>
    <t>Denmark</t>
  </si>
  <si>
    <t>South Korea</t>
  </si>
  <si>
    <t>Kuwait</t>
  </si>
  <si>
    <t>Hong Kong</t>
  </si>
  <si>
    <t>Taiwan</t>
  </si>
  <si>
    <t>Qatar</t>
  </si>
  <si>
    <t>Saudi Arabia</t>
  </si>
  <si>
    <t>Bahrain</t>
  </si>
  <si>
    <t>Amount of people who bought</t>
  </si>
  <si>
    <t>Average investment</t>
  </si>
  <si>
    <t>Average share price</t>
  </si>
  <si>
    <t>Average amount of shares</t>
  </si>
  <si>
    <t xml:space="preserve">Total shares </t>
  </si>
  <si>
    <t>Switzerland</t>
  </si>
  <si>
    <t>Nepal</t>
  </si>
  <si>
    <t>https://www.statista.com/statistics/557759/south-korea-average-annual-wage/#:~:text=In%202019%2C%20the%20average%20annual,purchasing%20power%20parity%20(PPP).</t>
  </si>
  <si>
    <t>Iceland</t>
  </si>
  <si>
    <t>Great Britain</t>
  </si>
  <si>
    <t>https://www.google.com/search?q=switzerland+median+income+usd&amp;safe=off&amp;ei=CcXBYKuYBYGFjLsPyfWL2Aw&amp;oq=switzerland+median+income+usd&amp;gs_lcp=Cgdnd3Mtd2l6EAMyBAgAEBM6BwgAEEcQsAM6CgguELADEEMQkwI6BwgAELADEEM6CAgAEBYQHhATUOUQWMcVYNUWaAFwAngAgAF6iAGfA5IBAzQuMZgBAKABAaoBB2d3cy13aXrIAQrAAQE&amp;sclient=gws-wiz&amp;ved=0ahUKEwjrwJeGy4zxAhWBAmMBHcn6AssQ4dUDCA4&amp;uact=5</t>
  </si>
  <si>
    <t>http://www.stats.gov.cn/english/PressRelease/202101/t20210119_1812523.html</t>
  </si>
  <si>
    <t>https://www.afm.nl/~/profmedia/files/onderwerpen/afm-market-watch/afm-market-watch-3-nl.pdf?la=nl-NL</t>
  </si>
  <si>
    <t>https://en.wikipedia.org/wiki/Median_income</t>
  </si>
  <si>
    <t>https://en.wikipedia.org/wiki/Income_in_India#:~:text=India's%20nominal%20per%20capita%20income,Domestic%20Product%20vary%20by%20source.</t>
  </si>
  <si>
    <t>https://www.statista.com/statistics/856701/indonesia-national-per-capita-income/</t>
  </si>
  <si>
    <t>Income normalized to 2020 with inflation</t>
  </si>
  <si>
    <t>https://www.ceicdata.com/en/indicator/russia/annual-household-income-per-capita#:~:text=Russia%20Annual%20Household%20Income%20per,averaged%20value%20of%204%2C481.432%20USD.</t>
  </si>
  <si>
    <t>https://www.statista.com/statistics/1066745/gross-national-income-per-capita-brazil/#:~:text=In%202019%2C%20the%20national%20gross,person%20in%20the%20previous%20year.</t>
  </si>
  <si>
    <t>http://www.salaryexplorer.com/salary-survey.php?loc=158&amp;loctype=1</t>
  </si>
  <si>
    <t>https://www.ceicdata.com/en/indicator/bangladesh/annual-household-income-per-capita</t>
  </si>
  <si>
    <t>https://www.statista.com/statistics/1069931/gross-national-income-per-capita-colombia/#:~:text=Colombia%3A%20gross%20national%20income%20per%20capita%202010%2D2019&amp;text=In%202019%2C%20the%20national%20gross,person%20in%20the%20previous%20year.</t>
  </si>
  <si>
    <t>https://www.statista.com/statistics/1069914/gross-national-income-per-capita-peru/#:~:text=Peru%3A%20gross%20national%20income%20per%20capita%202010%2D2019&amp;text=In%202019%2C%20the%20national%20gross,person%20in%20the%20previous%20year.</t>
  </si>
  <si>
    <t>https://en.wikipedia.org/wiki/Economy_of_the_Central_African_Republic#:~:text=All%20values%2C%20unless%20otherwise%20stated,purchasing%20power%20parity%20in%202019.</t>
  </si>
  <si>
    <t>https://www.statista.com/statistics/1070158/gross-national-income-per-capita-nicaragua/#:~:text=Nicaragua%3A%20gross%20national%20income%20per%20capita%202010%2D2019&amp;text=In%202019%2C%20the%20national%20gross,person%20in%20the%20previous%20year.</t>
  </si>
  <si>
    <t>https://www.statista.com/statistics/1068672/gross-national-income-per-capita-costa-rica/#:~:text=In%202019%2C%20the%20national%20gross,person%20in%20the%20previous%20year.</t>
  </si>
  <si>
    <t>https://www.statista.com/statistics/1069967/gross-national-income-per-capita-paraguay/#:~:text=In%202019%2C%20the%20national%20gross,person%20in%20the%20previous%20year.</t>
  </si>
  <si>
    <t>https://www.statista.com/statistics/1070121/gross-national-income-per-capita-el-salvador/#:~:text=In%202019%2C%20the%20national%20gross,person%20in%20the%20previous%20year.</t>
  </si>
  <si>
    <t>https://www.statista.com/statistics/1070145/gross-national-income-per-capita-honduras/#:~:text=Honduras%3A%20gross%20national%20income%20per%20capita%202010%2D2019&amp;text=In%202019%2C%20the%20national%20gross,person%20in%20the%20previous%20year.</t>
  </si>
  <si>
    <t>https://www.ceicdata.com/en/indicator/bulgaria/annual-household-income-per-capita#:~:text=Bulgaria%20Annual%20Household%20Income%20per,3%2C773.252%20USD%20in%20Dec%202019.</t>
  </si>
  <si>
    <t>https://www.statista.com/statistics/1068878/gross-national-income-per-capita-dominican-republic/#:~:text=Dominican%20Republic%3A%20gross%20national%20income%20per%20capita%202010%2D2019&amp;text=In%202019%2C%20the%20national%20gross,person%20in%20the%20previous%20year.</t>
  </si>
  <si>
    <t>https://www.statista.com/statistics/1070130/gross-national-income-per-capita-bolivia/#:~:text=In%202019%2C%20the%20national%20gross,person%20in%20the%20previous%20year.</t>
  </si>
  <si>
    <t>https://www.statista.com/statistics/1070096/gross-national-income-per-capita-guatemala/#:~:text=Guatemala%3A%20gross%20national%20income%20per%20capita%202010%2D2019&amp;text=In%202019%2C%20the%20national%20gross,person%20in%20the%20previous%20year.</t>
  </si>
  <si>
    <t>https://psa.gov.ph/tags/income-and-expenditure#:~:text=Annual%20Family%20Income%20is%20Estimated,75%20thousand%20(Table%201).</t>
  </si>
  <si>
    <t>https://www.averagesalarysurvey.com/egypt#:~:text=Average%20Salary%20%2F%20Egypt,typical%20earning%20is%20109%2C339%20EGP.</t>
  </si>
  <si>
    <t>https://www.averagesalarysurvey.com/iran#:~:text=Average%20Salary%20%2F%20Iran,typical%20earning%20is%20294%2C734%2C997%20IRR.</t>
  </si>
  <si>
    <t>https://www.averagesalarysurvey.com/ethiopia#:~:text=Average%20Salary%20%2F%20Ethiopia,based%20on%20322%20salary%20surveys.</t>
  </si>
  <si>
    <t>https://www.businessinsider.com/the-23-poorest-countries-in-the-world-2015-7#:~:text=The%20Democratic%20Republic%20of%20Congo,average%20of%20%24105%2C091.42%20a%20year.</t>
  </si>
  <si>
    <t>https://briefly.co.za/30142-what-average-salary-south-africa-2021.html#:~:text=What%20is%20the%20average%20salary%20in%20South%20Africa%3F,it%20South%20Africa%20average%20salary.</t>
  </si>
  <si>
    <t>https://www.ceicdata.com/en/indicator/kenya/monthly-earnings</t>
  </si>
  <si>
    <t>https://www.straitstimes.com/asia/se-asia/myanmar-raises-minimum-wage-to-s480-a-day-as-economy-staggers#:~:text=Myanmar's%20average%20annual%20income%20per,or%20below%20the%20poverty%20line.</t>
  </si>
  <si>
    <t>http://www.salaryexplorer.com/salary-survey.php?loc=214&amp;loctype=1</t>
  </si>
  <si>
    <t>http://www.salaryexplorer.com/salary-survey.php?loc=225&amp;loctype=1</t>
  </si>
  <si>
    <t>http://www.salaryexplorer.com/salary-survey.php?loc=82&amp;loctype=1</t>
  </si>
  <si>
    <t>http://www.salaryexplorer.com/salary-survey.php?loc=205&amp;loctype=1</t>
  </si>
  <si>
    <t>http://www.salaryexplorer.com/salary-survey.php?loc=146&amp;loctype=1</t>
  </si>
  <si>
    <t>http://www.salaryexplorer.com/salary-survey.php?loc=147&amp;loctype=1</t>
  </si>
  <si>
    <t>https://datausa.io/profile/geo/angola-in#:~:text=Households%20in%20Angola%2C%20IN%20have,represents%20a%203.1%25%20annual%20growth.</t>
  </si>
  <si>
    <t>http://www.salaryexplorer.com/salary-survey.php?loc=128&amp;loctype=1</t>
  </si>
  <si>
    <t>http://www.salaryexplorer.com/salary-survey.php?loc=103&amp;loctype=1</t>
  </si>
  <si>
    <t>https://www.averagesalarysurvey.com/c%C3%B4te-d-ivoire</t>
  </si>
  <si>
    <t>http://www.salaryexplorer.com/salary-survey.php?loc=37&amp;loctype=1</t>
  </si>
  <si>
    <t>https://www.averagesalarysurvey.com/ecuador#:~:text=Average%20Salary%20%2F%20Ecuador,based%20on%20131%20salary%20surveys.</t>
  </si>
  <si>
    <t>https://fanack.com/yemen/economy-of-yemen/#:~:text=Yemen's%20average%20annual%20per%20capita,income%20is%20very%20unevenly%20distributed.</t>
  </si>
  <si>
    <t>https://www.averagesalarysurvey.com/greece#:~:text=Average%20salary%20in%20Greece%20is,different%20between%20men%20and%20women.</t>
  </si>
  <si>
    <t>http://www.salaryexplorer.com/salary-survey.php?loc=1&amp;loctype=1</t>
  </si>
  <si>
    <t>http://www.salaryexplorer.com/salary-survey.php?loc=243&amp;loctype=1</t>
  </si>
  <si>
    <t>http://www.salaryexplorer.com/salary-survey.php?loc=34&amp;loctype=1</t>
  </si>
  <si>
    <t>http://www.salaryexplorer.com/salary-survey.php?loc=129&amp;loctype=1</t>
  </si>
  <si>
    <t>https://www.brookings.edu/blog/brookings-now/2015/07/17/10-economic-facts-about-cuba/#:~:text=The%20aggregated%20gross%20national%20income,is%20around%20%2420%20a%20month.</t>
  </si>
  <si>
    <t>http://www.salaryexplorer.com/salary-survey.php?loc=132&amp;loctype=1</t>
  </si>
  <si>
    <t>http://www.salaryexplorer.com/salary-survey.php?loc=242&amp;loctype=1</t>
  </si>
  <si>
    <t>http://www.salaryexplorer.com/salary-survey.php?loc=180&amp;loctype=1</t>
  </si>
  <si>
    <t>https://chadinfo.weebly.com/average-income.html#:~:text=The%20average%20person%20in%20Chad,lowest%20incomes%20in%20the%20world.</t>
  </si>
  <si>
    <t>https://www.statista.com/statistics/1070168/gross-national-income-per-capita-haiti/#:~:text=Haiti%3A%20gross%20national%20income%20per%20capita%202010%2D2019&amp;text=In%202019%2C%20the%20national%20gross,per%20capita%20that%20same%20year.</t>
  </si>
  <si>
    <t>http://www.salaryexplorer.com/salary-survey.php?loc=35&amp;loctype=1</t>
  </si>
  <si>
    <t>https://www.averagesalarysurvey.com/sudan</t>
  </si>
  <si>
    <t>http://www.salaryexplorer.com/salary-survey.php?loc=91&amp;loctype=1</t>
  </si>
  <si>
    <t>http://www.salaryexplorer.com/salary-survey.php?loc=192&amp;loctype=1</t>
  </si>
  <si>
    <t>http://www.salaryexplorer.com/salary-survey.php?loc=216&amp;loctype=1</t>
  </si>
  <si>
    <t>https://www.pg.undp.org/content/papua_new_guinea/en/home/countryinfo.html#:~:text=PNG%20is%20ranked%20as%20a,a%20population%20of%20approximately%20400%2C000.</t>
  </si>
  <si>
    <t>http://www.salaryexplorer.com/salary-survey.php?loc=195&amp;loctype=1</t>
  </si>
  <si>
    <t>http://www.salaryexplorer.com/salary-survey.php?loc=117&amp;loctype=1</t>
  </si>
  <si>
    <t>https://checkinprice.com/average-minimum-salary-hong-kong/#:~:text=The%20approximate%20amount%20in%20USD%20is%20950.&amp;text=The%20average%20salary%20in%20Hong,1875%20USD)%20for%20female%20workers.</t>
  </si>
  <si>
    <t>http://www.salaryexplorer.com/salary-survey.php?loc=23&amp;loctype=1</t>
  </si>
  <si>
    <t>http://www.salaryexplorer.com/salary-survey.php?loc=113&amp;loctype=1</t>
  </si>
  <si>
    <t>Source</t>
  </si>
  <si>
    <t>Ratios (The Netherlands)</t>
  </si>
  <si>
    <t>Ratio 1</t>
  </si>
  <si>
    <t>Ratio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</si>
</sst>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7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72" fontId="0" fillId="0" borderId="0" xfId="0" applyNumberFormat="1"/>
    <xf numFmtId="3" fontId="0" fillId="0" borderId="0" xfId="0" applyNumberFormat="1"/>
    <xf numFmtId="0" fontId="0" fillId="0" borderId="0" xfId="0" applyFill="1"/>
    <xf numFmtId="177" fontId="0" fillId="0" borderId="0" xfId="0" applyNumberFormat="1" applyFill="1"/>
    <xf numFmtId="0" fontId="1" fillId="0" borderId="0" xfId="0" applyFont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BE01-7DC3-4B8A-9327-67A90A49F8F8}">
  <dimension ref="B2:F33"/>
  <sheetViews>
    <sheetView workbookViewId="0">
      <selection activeCell="H4" sqref="H4:H33"/>
    </sheetView>
  </sheetViews>
  <sheetFormatPr defaultRowHeight="14.4" x14ac:dyDescent="0.3"/>
  <cols>
    <col min="3" max="3" width="15.44140625" bestFit="1" customWidth="1"/>
    <col min="4" max="4" width="21.109375" bestFit="1" customWidth="1"/>
  </cols>
  <sheetData>
    <row r="2" spans="2:6" x14ac:dyDescent="0.3">
      <c r="B2" t="s">
        <v>0</v>
      </c>
      <c r="C2" t="s">
        <v>1</v>
      </c>
      <c r="D2" t="s">
        <v>2</v>
      </c>
    </row>
    <row r="3" spans="2:6" x14ac:dyDescent="0.3">
      <c r="D3" t="s">
        <v>3</v>
      </c>
    </row>
    <row r="4" spans="2:6" x14ac:dyDescent="0.3">
      <c r="B4">
        <v>1</v>
      </c>
      <c r="C4" t="s">
        <v>115</v>
      </c>
      <c r="D4">
        <v>52493</v>
      </c>
      <c r="E4">
        <f>D4*1.02^7</f>
        <v>60297.956751913647</v>
      </c>
    </row>
    <row r="5" spans="2:6" x14ac:dyDescent="0.3">
      <c r="B5">
        <v>2</v>
      </c>
      <c r="C5" t="s">
        <v>87</v>
      </c>
      <c r="D5">
        <v>51489</v>
      </c>
      <c r="E5">
        <f t="shared" ref="E5:E34" si="0">D5*1.02^7</f>
        <v>59144.676341593768</v>
      </c>
    </row>
    <row r="6" spans="2:6" x14ac:dyDescent="0.3">
      <c r="B6">
        <v>3</v>
      </c>
      <c r="C6" t="s">
        <v>117</v>
      </c>
      <c r="D6">
        <v>50514</v>
      </c>
      <c r="E6">
        <f t="shared" si="0"/>
        <v>58024.707815635724</v>
      </c>
    </row>
    <row r="7" spans="2:6" x14ac:dyDescent="0.3">
      <c r="B7">
        <v>4</v>
      </c>
      <c r="C7" t="s">
        <v>40</v>
      </c>
      <c r="D7">
        <v>46555</v>
      </c>
      <c r="E7">
        <f t="shared" si="0"/>
        <v>53477.061257412221</v>
      </c>
    </row>
    <row r="8" spans="2:6" x14ac:dyDescent="0.3">
      <c r="B8">
        <v>5</v>
      </c>
      <c r="C8" t="s">
        <v>118</v>
      </c>
      <c r="D8">
        <v>44360</v>
      </c>
      <c r="E8">
        <f t="shared" si="0"/>
        <v>50955.69621692205</v>
      </c>
    </row>
    <row r="9" spans="2:6" x14ac:dyDescent="0.3">
      <c r="B9">
        <v>6</v>
      </c>
      <c r="C9" t="s">
        <v>8</v>
      </c>
      <c r="D9">
        <v>43585</v>
      </c>
      <c r="E9">
        <f t="shared" si="0"/>
        <v>50065.464824493858</v>
      </c>
    </row>
    <row r="10" spans="2:6" x14ac:dyDescent="0.3">
      <c r="B10">
        <v>7</v>
      </c>
      <c r="C10" t="s">
        <v>33</v>
      </c>
      <c r="D10">
        <v>41280</v>
      </c>
      <c r="E10">
        <f t="shared" si="0"/>
        <v>47417.744360562268</v>
      </c>
    </row>
    <row r="11" spans="2:6" x14ac:dyDescent="0.3">
      <c r="B11">
        <v>8</v>
      </c>
      <c r="C11" t="s">
        <v>119</v>
      </c>
      <c r="D11">
        <v>40861</v>
      </c>
      <c r="E11">
        <f t="shared" si="0"/>
        <v>46936.445065817221</v>
      </c>
    </row>
    <row r="12" spans="2:6" x14ac:dyDescent="0.3">
      <c r="B12">
        <v>9</v>
      </c>
      <c r="C12" t="s">
        <v>120</v>
      </c>
      <c r="D12">
        <v>40854</v>
      </c>
      <c r="E12">
        <f t="shared" si="0"/>
        <v>46928.404266143676</v>
      </c>
    </row>
    <row r="13" spans="2:6" x14ac:dyDescent="0.3">
      <c r="B13">
        <v>10</v>
      </c>
      <c r="C13" t="s">
        <v>44</v>
      </c>
      <c r="D13">
        <v>38584</v>
      </c>
      <c r="E13">
        <f t="shared" si="0"/>
        <v>44320.887800579811</v>
      </c>
      <c r="F13">
        <v>29393</v>
      </c>
    </row>
    <row r="14" spans="2:6" x14ac:dyDescent="0.3">
      <c r="B14">
        <v>11</v>
      </c>
      <c r="C14" t="s">
        <v>97</v>
      </c>
      <c r="D14">
        <v>35562</v>
      </c>
      <c r="E14">
        <f t="shared" si="0"/>
        <v>40849.559712943686</v>
      </c>
    </row>
    <row r="15" spans="2:6" x14ac:dyDescent="0.3">
      <c r="B15">
        <v>12</v>
      </c>
      <c r="C15" t="s">
        <v>121</v>
      </c>
      <c r="D15">
        <v>35443</v>
      </c>
      <c r="E15">
        <f t="shared" si="0"/>
        <v>40712.866118493424</v>
      </c>
    </row>
    <row r="16" spans="2:6" x14ac:dyDescent="0.3">
      <c r="B16">
        <v>13</v>
      </c>
      <c r="C16" t="s">
        <v>66</v>
      </c>
      <c r="D16">
        <v>34911</v>
      </c>
      <c r="E16">
        <f t="shared" si="0"/>
        <v>40101.76534330401</v>
      </c>
    </row>
    <row r="17" spans="2:5" x14ac:dyDescent="0.3">
      <c r="B17">
        <v>14</v>
      </c>
      <c r="C17" t="s">
        <v>84</v>
      </c>
      <c r="D17">
        <v>34615</v>
      </c>
      <c r="E17">
        <f t="shared" si="0"/>
        <v>39761.754385679822</v>
      </c>
    </row>
    <row r="18" spans="2:5" x14ac:dyDescent="0.3">
      <c r="B18">
        <v>15</v>
      </c>
      <c r="C18" t="s">
        <v>12</v>
      </c>
      <c r="D18">
        <v>33822</v>
      </c>
      <c r="E18">
        <f t="shared" si="0"/>
        <v>38850.846651233944</v>
      </c>
    </row>
    <row r="19" spans="2:5" x14ac:dyDescent="0.3">
      <c r="B19">
        <v>16</v>
      </c>
      <c r="C19" t="s">
        <v>14</v>
      </c>
      <c r="D19">
        <v>33333</v>
      </c>
      <c r="E19">
        <f t="shared" si="0"/>
        <v>38289.139359753441</v>
      </c>
    </row>
    <row r="20" spans="2:5" x14ac:dyDescent="0.3">
      <c r="B20">
        <v>17</v>
      </c>
      <c r="C20" t="s">
        <v>122</v>
      </c>
      <c r="D20">
        <v>32762</v>
      </c>
      <c r="E20">
        <f t="shared" si="0"/>
        <v>37633.239843525706</v>
      </c>
    </row>
    <row r="21" spans="2:5" x14ac:dyDescent="0.3">
      <c r="B21">
        <v>18</v>
      </c>
      <c r="C21" t="s">
        <v>99</v>
      </c>
      <c r="D21">
        <v>32360</v>
      </c>
      <c r="E21">
        <f t="shared" si="0"/>
        <v>37171.468205130695</v>
      </c>
    </row>
    <row r="22" spans="2:5" x14ac:dyDescent="0.3">
      <c r="B22">
        <v>19</v>
      </c>
      <c r="C22" t="s">
        <v>19</v>
      </c>
      <c r="D22">
        <v>31617</v>
      </c>
      <c r="E22">
        <f t="shared" si="0"/>
        <v>36317.99475406728</v>
      </c>
    </row>
    <row r="23" spans="2:5" x14ac:dyDescent="0.3">
      <c r="B23">
        <v>20</v>
      </c>
      <c r="C23" t="s">
        <v>18</v>
      </c>
      <c r="D23">
        <v>31112</v>
      </c>
      <c r="E23">
        <f t="shared" si="0"/>
        <v>35737.908491904396</v>
      </c>
    </row>
    <row r="24" spans="2:5" x14ac:dyDescent="0.3">
      <c r="B24">
        <v>21</v>
      </c>
      <c r="C24" t="s">
        <v>81</v>
      </c>
      <c r="D24">
        <v>30364</v>
      </c>
      <c r="E24">
        <f>D24*1.02^7</f>
        <v>34878.691612502735</v>
      </c>
    </row>
    <row r="25" spans="2:5" x14ac:dyDescent="0.3">
      <c r="B25">
        <v>22</v>
      </c>
      <c r="C25" t="s">
        <v>58</v>
      </c>
      <c r="D25">
        <v>26703</v>
      </c>
      <c r="E25">
        <f t="shared" si="0"/>
        <v>30673.353383238718</v>
      </c>
    </row>
    <row r="26" spans="2:5" x14ac:dyDescent="0.3">
      <c r="B26">
        <v>23</v>
      </c>
      <c r="C26" t="s">
        <v>123</v>
      </c>
      <c r="D26">
        <v>26555</v>
      </c>
      <c r="E26">
        <f t="shared" si="0"/>
        <v>30503.347904426624</v>
      </c>
    </row>
    <row r="27" spans="2:5" x14ac:dyDescent="0.3">
      <c r="B27">
        <v>24</v>
      </c>
      <c r="C27" t="s">
        <v>112</v>
      </c>
      <c r="D27">
        <v>25969</v>
      </c>
      <c r="E27">
        <f t="shared" si="0"/>
        <v>29830.218103184146</v>
      </c>
    </row>
    <row r="28" spans="2:5" x14ac:dyDescent="0.3">
      <c r="B28">
        <v>25</v>
      </c>
      <c r="C28" t="s">
        <v>98</v>
      </c>
      <c r="D28">
        <v>25085</v>
      </c>
      <c r="E28">
        <f t="shared" si="0"/>
        <v>28814.779972982185</v>
      </c>
    </row>
    <row r="29" spans="2:5" x14ac:dyDescent="0.3">
      <c r="B29">
        <v>26</v>
      </c>
      <c r="C29" t="s">
        <v>124</v>
      </c>
      <c r="D29">
        <v>24980</v>
      </c>
      <c r="E29">
        <f t="shared" si="0"/>
        <v>28694.167977879009</v>
      </c>
    </row>
    <row r="30" spans="2:5" x14ac:dyDescent="0.3">
      <c r="B30">
        <v>27</v>
      </c>
      <c r="C30" t="s">
        <v>125</v>
      </c>
      <c r="D30">
        <v>24633</v>
      </c>
      <c r="E30">
        <f t="shared" si="0"/>
        <v>28295.574051204709</v>
      </c>
    </row>
    <row r="31" spans="2:5" x14ac:dyDescent="0.3">
      <c r="B31">
        <v>28</v>
      </c>
      <c r="C31" t="s">
        <v>62</v>
      </c>
      <c r="D31">
        <v>22913</v>
      </c>
      <c r="E31">
        <f t="shared" si="0"/>
        <v>26319.834702847947</v>
      </c>
    </row>
    <row r="32" spans="2:5" x14ac:dyDescent="0.3">
      <c r="B32">
        <v>29</v>
      </c>
      <c r="C32" t="s">
        <v>31</v>
      </c>
      <c r="D32">
        <v>21959</v>
      </c>
      <c r="E32">
        <f t="shared" si="0"/>
        <v>25223.988575910535</v>
      </c>
    </row>
    <row r="33" spans="2:5" x14ac:dyDescent="0.3">
      <c r="B33">
        <v>30</v>
      </c>
      <c r="C33" t="s">
        <v>116</v>
      </c>
      <c r="D33">
        <v>21141</v>
      </c>
      <c r="E33">
        <f t="shared" si="0"/>
        <v>24284.363699773425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82AD-1A95-4EA2-AF9D-CBA85DBFA23A}">
  <dimension ref="A1:I111"/>
  <sheetViews>
    <sheetView tabSelected="1" workbookViewId="0">
      <selection activeCell="C111" sqref="C111"/>
    </sheetView>
  </sheetViews>
  <sheetFormatPr defaultRowHeight="14.4" x14ac:dyDescent="0.3"/>
  <cols>
    <col min="1" max="2" width="16.44140625" customWidth="1"/>
    <col min="3" max="3" width="10.77734375" style="4" customWidth="1"/>
    <col min="4" max="4" width="26.21875" customWidth="1"/>
    <col min="5" max="5" width="13.5546875" customWidth="1"/>
    <col min="7" max="7" width="22.5546875" bestFit="1" customWidth="1"/>
    <col min="8" max="8" width="14.5546875" bestFit="1" customWidth="1"/>
    <col min="9" max="9" width="10" bestFit="1" customWidth="1"/>
  </cols>
  <sheetData>
    <row r="1" spans="1:9" s="6" customFormat="1" x14ac:dyDescent="0.3">
      <c r="A1" s="6" t="s">
        <v>4</v>
      </c>
      <c r="B1" s="6" t="s">
        <v>5</v>
      </c>
      <c r="C1" s="7" t="s">
        <v>142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202</v>
      </c>
    </row>
    <row r="2" spans="1:9" x14ac:dyDescent="0.3">
      <c r="A2" t="s">
        <v>6</v>
      </c>
      <c r="B2" s="3">
        <v>1405355240</v>
      </c>
      <c r="C2" s="5">
        <v>4308</v>
      </c>
      <c r="D2" s="1">
        <f>B2*$B$110</f>
        <v>2356236.3864316954</v>
      </c>
      <c r="E2" s="5">
        <f>C2*$B$111</f>
        <v>1287.5766120671781</v>
      </c>
      <c r="F2" s="5">
        <v>189</v>
      </c>
      <c r="G2" s="1">
        <f>E2/F2</f>
        <v>6.8125746670221066</v>
      </c>
      <c r="H2" s="3">
        <f t="shared" ref="H2:H63" si="0">D2*G2</f>
        <v>16052036.315720279</v>
      </c>
      <c r="I2" t="s">
        <v>137</v>
      </c>
    </row>
    <row r="3" spans="1:9" x14ac:dyDescent="0.3">
      <c r="A3" t="s">
        <v>7</v>
      </c>
      <c r="B3" s="3">
        <v>1369756319</v>
      </c>
      <c r="C3" s="5">
        <f>1670*1.02^4</f>
        <v>1807.6617071999999</v>
      </c>
      <c r="D3" s="1">
        <f>B3*$B$110</f>
        <v>2296550.784819745</v>
      </c>
      <c r="E3" s="5">
        <f>C3*$B$111</f>
        <v>540.27459069641304</v>
      </c>
      <c r="F3" s="5">
        <v>189</v>
      </c>
      <c r="G3" s="1">
        <f t="shared" ref="G3:G64" si="1">E3/F3</f>
        <v>2.8585957179704393</v>
      </c>
      <c r="H3" s="3">
        <f t="shared" si="0"/>
        <v>6564910.239587375</v>
      </c>
      <c r="I3" t="s">
        <v>140</v>
      </c>
    </row>
    <row r="4" spans="1:9" x14ac:dyDescent="0.3">
      <c r="A4" t="s">
        <v>8</v>
      </c>
      <c r="B4" s="3">
        <v>330662999</v>
      </c>
      <c r="C4" s="5">
        <f>VLOOKUP(A4,Blad1!$C$4:$D$33,2,0)</f>
        <v>43585</v>
      </c>
      <c r="D4" s="1">
        <f>B4*$B$110</f>
        <v>554393.77014058549</v>
      </c>
      <c r="E4" s="5">
        <f>C4*$B$111</f>
        <v>13026.700704955421</v>
      </c>
      <c r="F4" s="5">
        <v>189</v>
      </c>
      <c r="G4" s="1">
        <f t="shared" si="1"/>
        <v>68.924342354261483</v>
      </c>
      <c r="H4" s="3">
        <f t="shared" si="0"/>
        <v>38211226.012239464</v>
      </c>
      <c r="I4" t="s">
        <v>139</v>
      </c>
    </row>
    <row r="5" spans="1:9" x14ac:dyDescent="0.3">
      <c r="A5" t="s">
        <v>9</v>
      </c>
      <c r="B5" s="3">
        <v>269603400</v>
      </c>
      <c r="C5" s="5">
        <v>2944</v>
      </c>
      <c r="D5" s="1">
        <f>B5*$B$110</f>
        <v>452020.47347523249</v>
      </c>
      <c r="E5" s="5">
        <f>C5*$B$111</f>
        <v>879.90379431888869</v>
      </c>
      <c r="F5" s="5">
        <v>189</v>
      </c>
      <c r="G5" s="1">
        <f t="shared" si="1"/>
        <v>4.6555756313168715</v>
      </c>
      <c r="H5" s="3">
        <f t="shared" si="0"/>
        <v>2104415.5011676066</v>
      </c>
      <c r="I5" t="s">
        <v>141</v>
      </c>
    </row>
    <row r="6" spans="1:9" x14ac:dyDescent="0.3">
      <c r="A6" t="s">
        <v>10</v>
      </c>
      <c r="B6" s="3">
        <v>212347290</v>
      </c>
      <c r="C6" s="5">
        <f>9130*1.02^1</f>
        <v>9312.6</v>
      </c>
      <c r="D6" s="1">
        <f>B6*$B$110</f>
        <v>356024.15461742139</v>
      </c>
      <c r="E6" s="5">
        <f>C6*$B$111</f>
        <v>2783.3532863363052</v>
      </c>
      <c r="F6" s="5">
        <v>189</v>
      </c>
      <c r="G6" s="1">
        <f t="shared" si="1"/>
        <v>14.726736964742356</v>
      </c>
      <c r="H6" s="3">
        <f t="shared" si="0"/>
        <v>5243074.0781455273</v>
      </c>
      <c r="I6" t="s">
        <v>144</v>
      </c>
    </row>
    <row r="7" spans="1:9" x14ac:dyDescent="0.3">
      <c r="A7" t="s">
        <v>11</v>
      </c>
      <c r="B7" s="3">
        <v>146748590</v>
      </c>
      <c r="C7" s="5">
        <v>5884</v>
      </c>
      <c r="D7" s="1">
        <f>B7*$B$110</f>
        <v>246040.54375287096</v>
      </c>
      <c r="E7" s="5">
        <f>C7*$B$111</f>
        <v>1758.612067178105</v>
      </c>
      <c r="F7" s="5">
        <v>189</v>
      </c>
      <c r="G7" s="1">
        <f t="shared" si="1"/>
        <v>9.3048257522651063</v>
      </c>
      <c r="H7" s="3">
        <f t="shared" si="0"/>
        <v>2289364.3876130232</v>
      </c>
      <c r="I7" t="s">
        <v>143</v>
      </c>
    </row>
    <row r="8" spans="1:9" x14ac:dyDescent="0.3">
      <c r="A8" t="s">
        <v>12</v>
      </c>
      <c r="B8" s="3">
        <v>125880000</v>
      </c>
      <c r="C8" s="5">
        <f>VLOOKUP(A8,Blad1!$C$4:$D$33,2,0)</f>
        <v>33822</v>
      </c>
      <c r="D8" s="1">
        <f>B8*$B$110</f>
        <v>211052.00157365325</v>
      </c>
      <c r="E8" s="5">
        <f>C8*$B$111</f>
        <v>10108.731702260004</v>
      </c>
      <c r="F8" s="5">
        <v>189</v>
      </c>
      <c r="G8" s="1">
        <f t="shared" si="1"/>
        <v>53.485352922010598</v>
      </c>
      <c r="H8" s="3">
        <f t="shared" si="0"/>
        <v>11288190.78906358</v>
      </c>
      <c r="I8" t="s">
        <v>139</v>
      </c>
    </row>
    <row r="9" spans="1:9" x14ac:dyDescent="0.3">
      <c r="A9" t="s">
        <v>13</v>
      </c>
      <c r="B9" s="3">
        <v>206139587</v>
      </c>
      <c r="C9" s="5">
        <v>829</v>
      </c>
      <c r="D9" s="1">
        <f>B9*$B$110</f>
        <v>345616.24118141271</v>
      </c>
      <c r="E9" s="5">
        <f>C9*$B$111</f>
        <v>247.77182251710553</v>
      </c>
      <c r="F9" s="5">
        <v>189</v>
      </c>
      <c r="G9" s="1">
        <f t="shared" si="1"/>
        <v>1.3109620239000292</v>
      </c>
      <c r="H9" s="3">
        <f t="shared" si="0"/>
        <v>453089.76703190542</v>
      </c>
      <c r="I9" t="s">
        <v>145</v>
      </c>
    </row>
    <row r="10" spans="1:9" x14ac:dyDescent="0.3">
      <c r="A10" t="s">
        <v>14</v>
      </c>
      <c r="B10" s="3">
        <v>83122889</v>
      </c>
      <c r="C10" s="5">
        <f>VLOOKUP(A10,Blad1!$C$4:$D$33,2,0)</f>
        <v>33333</v>
      </c>
      <c r="D10" s="1">
        <f>B10*$B$110</f>
        <v>139364.88798883543</v>
      </c>
      <c r="E10" s="5">
        <f>C10*$B$111</f>
        <v>9962.5792038150539</v>
      </c>
      <c r="F10" s="5">
        <v>189</v>
      </c>
      <c r="G10" s="1">
        <f t="shared" si="1"/>
        <v>52.71205927944473</v>
      </c>
      <c r="H10" s="3">
        <f t="shared" si="0"/>
        <v>7346210.2371406676</v>
      </c>
      <c r="I10" t="s">
        <v>139</v>
      </c>
    </row>
    <row r="11" spans="1:9" x14ac:dyDescent="0.3">
      <c r="A11" t="s">
        <v>15</v>
      </c>
      <c r="B11" s="3">
        <v>169660274</v>
      </c>
      <c r="C11" s="5">
        <f>602*1.02^4</f>
        <v>651.62416031999999</v>
      </c>
      <c r="D11" s="1">
        <f>B11*$B$110</f>
        <v>284454.56319696887</v>
      </c>
      <c r="E11" s="5">
        <f>C11*$B$111</f>
        <v>194.75766682589258</v>
      </c>
      <c r="F11" s="5">
        <v>189</v>
      </c>
      <c r="G11" s="1">
        <f t="shared" si="1"/>
        <v>1.0304638456396433</v>
      </c>
      <c r="H11" s="3">
        <f t="shared" si="0"/>
        <v>293120.14310169348</v>
      </c>
      <c r="I11" t="s">
        <v>146</v>
      </c>
    </row>
    <row r="12" spans="1:9" x14ac:dyDescent="0.3">
      <c r="A12" t="s">
        <v>16</v>
      </c>
      <c r="B12" s="3">
        <v>127792286</v>
      </c>
      <c r="C12" s="5">
        <f>2866*1.02^2</f>
        <v>2981.7864</v>
      </c>
      <c r="D12" s="1">
        <f>B12*$B$110</f>
        <v>214258.16448977395</v>
      </c>
      <c r="E12" s="5">
        <f>C12*$B$111</f>
        <v>891.19740733982997</v>
      </c>
      <c r="F12" s="5">
        <v>189</v>
      </c>
      <c r="G12" s="1">
        <f t="shared" si="1"/>
        <v>4.7153301975652377</v>
      </c>
      <c r="H12" s="3">
        <f t="shared" si="0"/>
        <v>1010297.993093531</v>
      </c>
      <c r="I12" t="s">
        <v>146</v>
      </c>
    </row>
    <row r="13" spans="1:9" x14ac:dyDescent="0.3">
      <c r="A13" t="s">
        <v>17</v>
      </c>
      <c r="B13" s="3">
        <v>220892331</v>
      </c>
      <c r="C13" s="5">
        <f>587*1.02</f>
        <v>598.74</v>
      </c>
      <c r="D13" s="1">
        <f>B13*$B$110</f>
        <v>370350.87853368232</v>
      </c>
      <c r="E13" s="5">
        <f>C13*$B$111</f>
        <v>178.95162969106366</v>
      </c>
      <c r="F13" s="5">
        <v>189</v>
      </c>
      <c r="G13" s="1">
        <f t="shared" si="1"/>
        <v>0.94683401952943735</v>
      </c>
      <c r="H13" s="3">
        <f t="shared" si="0"/>
        <v>350660.81095830485</v>
      </c>
      <c r="I13" t="s">
        <v>146</v>
      </c>
    </row>
    <row r="14" spans="1:9" x14ac:dyDescent="0.3">
      <c r="A14" t="s">
        <v>18</v>
      </c>
      <c r="B14" s="3">
        <v>67146000</v>
      </c>
      <c r="C14" s="5">
        <f>VLOOKUP(A14,Blad1!$C$4:$D$33,2,0)</f>
        <v>31112</v>
      </c>
      <c r="D14" s="1">
        <f>B14*$B$110</f>
        <v>112577.83363254306</v>
      </c>
      <c r="E14" s="5">
        <f>C14*$B$111</f>
        <v>9298.7659133319521</v>
      </c>
      <c r="F14" s="5">
        <v>189</v>
      </c>
      <c r="G14" s="1">
        <f t="shared" si="1"/>
        <v>49.199819647259005</v>
      </c>
      <c r="H14" s="3">
        <f t="shared" si="0"/>
        <v>5538809.1110002473</v>
      </c>
      <c r="I14" t="s">
        <v>139</v>
      </c>
    </row>
    <row r="15" spans="1:9" x14ac:dyDescent="0.3">
      <c r="A15" t="s">
        <v>19</v>
      </c>
      <c r="B15" s="3">
        <v>66796807</v>
      </c>
      <c r="C15" s="5">
        <f>VLOOKUP(A15,Blad1!$C$4:$D$33,2,0)</f>
        <v>31617</v>
      </c>
      <c r="D15" s="1">
        <f>B15*$B$110</f>
        <v>111992.37222814595</v>
      </c>
      <c r="E15" s="5">
        <f>C15*$B$111</f>
        <v>9449.7004976155913</v>
      </c>
      <c r="F15" s="5">
        <v>189</v>
      </c>
      <c r="G15" s="1">
        <f t="shared" si="1"/>
        <v>49.998415331299427</v>
      </c>
      <c r="H15" s="3">
        <f t="shared" si="0"/>
        <v>5599441.1406003246</v>
      </c>
      <c r="I15" t="s">
        <v>139</v>
      </c>
    </row>
    <row r="16" spans="1:9" x14ac:dyDescent="0.3">
      <c r="A16" t="s">
        <v>20</v>
      </c>
      <c r="B16" s="3">
        <v>109441605</v>
      </c>
      <c r="C16" s="5">
        <f>6554*1.02^2</f>
        <v>6818.7816000000003</v>
      </c>
      <c r="D16" s="1">
        <f>B16*$B$110</f>
        <v>183491.18041534111</v>
      </c>
      <c r="E16" s="5">
        <f>C16*$B$111</f>
        <v>2037.9999329048312</v>
      </c>
      <c r="F16" s="5">
        <v>189</v>
      </c>
      <c r="G16" s="1">
        <f t="shared" si="1"/>
        <v>10.783068428067891</v>
      </c>
      <c r="H16" s="3">
        <f t="shared" si="0"/>
        <v>1978597.9543655738</v>
      </c>
      <c r="I16" t="s">
        <v>159</v>
      </c>
    </row>
    <row r="17" spans="1:9" x14ac:dyDescent="0.3">
      <c r="A17" t="s">
        <v>21</v>
      </c>
      <c r="B17" s="3">
        <v>96483981</v>
      </c>
      <c r="C17" s="5">
        <f>2235*1.02</f>
        <v>2279.6999999999998</v>
      </c>
      <c r="D17" s="1">
        <f>B17*$B$110</f>
        <v>161766.26398033308</v>
      </c>
      <c r="E17" s="5">
        <f>C17*$B$111</f>
        <v>681.35756790379423</v>
      </c>
      <c r="F17" s="5">
        <v>189</v>
      </c>
      <c r="G17" s="1">
        <f t="shared" si="1"/>
        <v>3.6050664968454722</v>
      </c>
      <c r="H17" s="3">
        <f t="shared" si="0"/>
        <v>583178.13859535928</v>
      </c>
      <c r="I17" t="s">
        <v>146</v>
      </c>
    </row>
    <row r="18" spans="1:9" x14ac:dyDescent="0.3">
      <c r="A18" t="s">
        <v>22</v>
      </c>
      <c r="B18" s="3">
        <v>60026546</v>
      </c>
      <c r="C18" s="5">
        <f>15321*1.02^3</f>
        <v>16258.767768</v>
      </c>
      <c r="D18" s="1">
        <f>B18*$B$110</f>
        <v>100641.26692765308</v>
      </c>
      <c r="E18" s="5">
        <f>C18*$B$111</f>
        <v>4859.4264436184949</v>
      </c>
      <c r="F18" s="5">
        <v>189</v>
      </c>
      <c r="G18" s="1">
        <f t="shared" si="1"/>
        <v>25.711251024436482</v>
      </c>
      <c r="H18" s="3">
        <f t="shared" si="0"/>
        <v>2587612.8773942059</v>
      </c>
      <c r="I18" t="s">
        <v>146</v>
      </c>
    </row>
    <row r="19" spans="1:9" x14ac:dyDescent="0.3">
      <c r="A19" t="s">
        <v>23</v>
      </c>
      <c r="B19" s="3">
        <v>101189802</v>
      </c>
      <c r="C19" s="5">
        <f>19088</f>
        <v>19088</v>
      </c>
      <c r="D19" s="1">
        <f>B19*$B$110</f>
        <v>169656.10304211677</v>
      </c>
      <c r="E19" s="5">
        <f>C19*$B$111</f>
        <v>5705.0284055567072</v>
      </c>
      <c r="F19" s="5">
        <v>189</v>
      </c>
      <c r="G19" s="1">
        <f t="shared" si="1"/>
        <v>30.185335479136018</v>
      </c>
      <c r="H19" s="3">
        <f t="shared" si="0"/>
        <v>5121126.3864091635</v>
      </c>
      <c r="I19" t="s">
        <v>160</v>
      </c>
    </row>
    <row r="20" spans="1:9" x14ac:dyDescent="0.3">
      <c r="A20" t="s">
        <v>24</v>
      </c>
      <c r="B20" s="3">
        <v>83955821</v>
      </c>
      <c r="C20" s="5">
        <f>16251</f>
        <v>16251</v>
      </c>
      <c r="D20" s="1">
        <f>B20*$B$110</f>
        <v>140761.39232451026</v>
      </c>
      <c r="E20" s="5">
        <f>C20*$B$111</f>
        <v>4857.1048102840559</v>
      </c>
      <c r="F20" s="5">
        <v>189</v>
      </c>
      <c r="G20" s="1">
        <f t="shared" si="1"/>
        <v>25.698967250180189</v>
      </c>
      <c r="H20" s="3">
        <f t="shared" si="0"/>
        <v>3617422.4114373545</v>
      </c>
      <c r="I20" t="s">
        <v>161</v>
      </c>
    </row>
    <row r="21" spans="1:9" x14ac:dyDescent="0.3">
      <c r="A21" t="s">
        <v>25</v>
      </c>
      <c r="B21" s="3">
        <v>100829000</v>
      </c>
      <c r="C21" s="5">
        <f>15212</f>
        <v>15212</v>
      </c>
      <c r="D21" s="1">
        <f>B21*$B$110</f>
        <v>169051.17784135591</v>
      </c>
      <c r="E21" s="5">
        <f>C21*$B$111</f>
        <v>4546.5681111341491</v>
      </c>
      <c r="F21" s="5">
        <v>189</v>
      </c>
      <c r="G21" s="1">
        <f t="shared" si="1"/>
        <v>24.055915931926716</v>
      </c>
      <c r="H21" s="3">
        <f t="shared" si="0"/>
        <v>4066680.9223448504</v>
      </c>
      <c r="I21" t="s">
        <v>162</v>
      </c>
    </row>
    <row r="22" spans="1:9" x14ac:dyDescent="0.3">
      <c r="A22" t="s">
        <v>26</v>
      </c>
      <c r="B22" s="3">
        <v>51841786</v>
      </c>
      <c r="C22" s="5">
        <f>42285^1.02</f>
        <v>52325.09935200226</v>
      </c>
      <c r="D22" s="1">
        <f>B22*$B$110</f>
        <v>86918.594696957385</v>
      </c>
      <c r="E22" s="5">
        <f>C22*$B$111</f>
        <v>15638.944788702314</v>
      </c>
      <c r="F22" s="5">
        <v>189</v>
      </c>
      <c r="G22" s="1">
        <f t="shared" si="1"/>
        <v>82.745739622763566</v>
      </c>
      <c r="H22" s="3">
        <f t="shared" si="0"/>
        <v>7192143.4051709538</v>
      </c>
      <c r="I22" t="s">
        <v>133</v>
      </c>
    </row>
    <row r="23" spans="1:9" x14ac:dyDescent="0.3">
      <c r="A23" t="s">
        <v>27</v>
      </c>
      <c r="B23" s="3">
        <v>83154997</v>
      </c>
      <c r="C23" s="5">
        <f>3073*1.02^1</f>
        <v>3134.46</v>
      </c>
      <c r="D23" s="1">
        <f>B23*$B$110</f>
        <v>139418.72066810558</v>
      </c>
      <c r="E23" s="5">
        <f>C23*$B$111</f>
        <v>936.82854862119018</v>
      </c>
      <c r="F23" s="5">
        <v>189</v>
      </c>
      <c r="G23" s="1">
        <f t="shared" si="1"/>
        <v>4.9567648075195248</v>
      </c>
      <c r="H23" s="3">
        <f t="shared" si="0"/>
        <v>691065.80811706081</v>
      </c>
      <c r="I23" t="s">
        <v>146</v>
      </c>
    </row>
    <row r="24" spans="1:9" x14ac:dyDescent="0.3">
      <c r="A24" t="s">
        <v>28</v>
      </c>
      <c r="B24" s="3">
        <v>101935800</v>
      </c>
      <c r="C24" s="5">
        <f>394*1.02^7</f>
        <v>452.58215305381623</v>
      </c>
      <c r="D24" s="1">
        <f>B24*$B$110</f>
        <v>170906.85273285353</v>
      </c>
      <c r="E24" s="5">
        <f>C24*$B$111</f>
        <v>135.26791906014432</v>
      </c>
      <c r="F24" s="5">
        <v>189</v>
      </c>
      <c r="G24" s="1">
        <f t="shared" si="1"/>
        <v>0.71570327545049905</v>
      </c>
      <c r="H24" s="3">
        <f t="shared" si="0"/>
        <v>122318.59429783934</v>
      </c>
      <c r="I24" t="s">
        <v>163</v>
      </c>
    </row>
    <row r="25" spans="1:9" x14ac:dyDescent="0.3">
      <c r="A25" t="s">
        <v>29</v>
      </c>
      <c r="B25" s="3">
        <v>66577342</v>
      </c>
      <c r="C25" s="5">
        <f>3322*1.02^3</f>
        <v>3525.3329759999997</v>
      </c>
      <c r="D25" s="1">
        <f>B25*$B$110</f>
        <v>111624.41443083611</v>
      </c>
      <c r="E25" s="5">
        <f>C25*$B$111</f>
        <v>1053.652806324694</v>
      </c>
      <c r="F25" s="5">
        <v>189</v>
      </c>
      <c r="G25" s="1">
        <f t="shared" si="1"/>
        <v>5.574882573146529</v>
      </c>
      <c r="H25" s="3">
        <f t="shared" si="0"/>
        <v>622293.00274815422</v>
      </c>
      <c r="I25" t="s">
        <v>146</v>
      </c>
    </row>
    <row r="26" spans="1:9" x14ac:dyDescent="0.3">
      <c r="A26" t="s">
        <v>30</v>
      </c>
      <c r="B26" s="3">
        <v>59622350</v>
      </c>
      <c r="C26" s="5">
        <f>956*12</f>
        <v>11472</v>
      </c>
      <c r="D26" s="1">
        <f>B26*$B$110</f>
        <v>99963.58679714732</v>
      </c>
      <c r="E26" s="5">
        <f>C26*$B$111</f>
        <v>3428.7555463404519</v>
      </c>
      <c r="F26" s="5">
        <v>189</v>
      </c>
      <c r="G26" s="1">
        <f t="shared" si="1"/>
        <v>18.141563737251069</v>
      </c>
      <c r="H26" s="3">
        <f t="shared" si="0"/>
        <v>1813495.7812846776</v>
      </c>
      <c r="I26" t="s">
        <v>164</v>
      </c>
    </row>
    <row r="27" spans="1:9" x14ac:dyDescent="0.3">
      <c r="A27" t="s">
        <v>31</v>
      </c>
      <c r="B27" s="3">
        <v>47329981</v>
      </c>
      <c r="C27" s="5">
        <f>VLOOKUP(A27,Blad1!$C$4:$D$33,2,0)</f>
        <v>21959</v>
      </c>
      <c r="D27" s="1">
        <f>B27*$B$110</f>
        <v>79354.045316912758</v>
      </c>
      <c r="E27" s="5">
        <f>C27*$B$111</f>
        <v>6563.1139332365747</v>
      </c>
      <c r="F27" s="5">
        <v>189</v>
      </c>
      <c r="G27" s="1">
        <f t="shared" si="1"/>
        <v>34.72547054622526</v>
      </c>
      <c r="H27" s="3">
        <f t="shared" si="0"/>
        <v>2755606.5633762786</v>
      </c>
      <c r="I27" t="s">
        <v>139</v>
      </c>
    </row>
    <row r="28" spans="1:9" x14ac:dyDescent="0.3">
      <c r="A28" t="s">
        <v>32</v>
      </c>
      <c r="B28" s="3">
        <v>41723998</v>
      </c>
      <c r="C28" s="5">
        <f>2180*1.02^1</f>
        <v>2223.6</v>
      </c>
      <c r="D28" s="1">
        <f>B28*$B$110</f>
        <v>69954.983250358317</v>
      </c>
      <c r="E28" s="5">
        <f>C28*$B$111</f>
        <v>664.59037943188889</v>
      </c>
      <c r="F28" s="5">
        <v>189</v>
      </c>
      <c r="G28" s="1">
        <f t="shared" si="1"/>
        <v>3.5163512139253381</v>
      </c>
      <c r="H28" s="3">
        <f t="shared" si="0"/>
        <v>245986.29027252417</v>
      </c>
      <c r="I28" t="s">
        <v>146</v>
      </c>
    </row>
    <row r="29" spans="1:9" x14ac:dyDescent="0.3">
      <c r="A29" t="s">
        <v>33</v>
      </c>
      <c r="B29" s="3">
        <v>38246955</v>
      </c>
      <c r="C29" s="5">
        <f>VLOOKUP(A29,Blad1!$C$4:$D$33,2,0)</f>
        <v>41280</v>
      </c>
      <c r="D29" s="1">
        <f>B29*$B$110</f>
        <v>64125.328939048653</v>
      </c>
      <c r="E29" s="5">
        <f>C29*$B$111</f>
        <v>12337.781463819199</v>
      </c>
      <c r="F29" s="5">
        <v>189</v>
      </c>
      <c r="G29" s="1">
        <f t="shared" si="1"/>
        <v>65.279267004334386</v>
      </c>
      <c r="H29" s="3">
        <f t="shared" si="0"/>
        <v>4186054.4695529277</v>
      </c>
      <c r="I29" t="s">
        <v>139</v>
      </c>
    </row>
    <row r="30" spans="1:9" x14ac:dyDescent="0.3">
      <c r="A30" t="s">
        <v>34</v>
      </c>
      <c r="B30" s="3">
        <v>50372424</v>
      </c>
      <c r="C30" s="5">
        <f>6500*1.02</f>
        <v>6630</v>
      </c>
      <c r="D30" s="1">
        <f>B30*$B$110</f>
        <v>84455.043766418239</v>
      </c>
      <c r="E30" s="5">
        <f>C30*$B$111</f>
        <v>1981.5768194070081</v>
      </c>
      <c r="F30" s="5">
        <v>189</v>
      </c>
      <c r="G30" s="1">
        <f>E30/F30</f>
        <v>10.484533436015916</v>
      </c>
      <c r="H30" s="3">
        <f t="shared" si="0"/>
        <v>885471.7302091996</v>
      </c>
      <c r="I30" t="s">
        <v>147</v>
      </c>
    </row>
    <row r="31" spans="1:9" x14ac:dyDescent="0.3">
      <c r="A31" t="s">
        <v>35</v>
      </c>
      <c r="B31" s="3">
        <v>45376763</v>
      </c>
      <c r="C31" s="5">
        <f>3213</f>
        <v>3213</v>
      </c>
      <c r="D31" s="1">
        <f>B31*$B$110</f>
        <v>76079.255291414767</v>
      </c>
      <c r="E31" s="5">
        <f>C31*$B$111</f>
        <v>960.30261248185775</v>
      </c>
      <c r="F31" s="5">
        <v>189</v>
      </c>
      <c r="G31" s="1">
        <f t="shared" si="1"/>
        <v>5.080966203607713</v>
      </c>
      <c r="H31" s="3">
        <f t="shared" si="0"/>
        <v>386556.12493132171</v>
      </c>
      <c r="I31" t="s">
        <v>146</v>
      </c>
    </row>
    <row r="32" spans="1:9" x14ac:dyDescent="0.3">
      <c r="A32" t="s">
        <v>36</v>
      </c>
      <c r="B32" s="3">
        <v>38352000</v>
      </c>
      <c r="C32" s="5">
        <f>5905</f>
        <v>5905</v>
      </c>
      <c r="D32" s="1">
        <f>B32*$B$110</f>
        <v>64301.448715862323</v>
      </c>
      <c r="E32" s="5">
        <f>C32*$B$111</f>
        <v>1764.888554841385</v>
      </c>
      <c r="F32" s="5">
        <v>189</v>
      </c>
      <c r="G32" s="1">
        <f t="shared" si="1"/>
        <v>9.3380346817004494</v>
      </c>
      <c r="H32" s="3">
        <f t="shared" si="0"/>
        <v>600449.15819230524</v>
      </c>
      <c r="I32" t="s">
        <v>146</v>
      </c>
    </row>
    <row r="33" spans="1:9" x14ac:dyDescent="0.3">
      <c r="A33" t="s">
        <v>37</v>
      </c>
      <c r="B33" s="3">
        <v>47564296</v>
      </c>
      <c r="C33" s="5">
        <f>(641*12)*1.02</f>
        <v>7845.84</v>
      </c>
      <c r="D33" s="1">
        <f>B33*$B$110</f>
        <v>79746.900812215667</v>
      </c>
      <c r="E33" s="5">
        <f>C33*$B$111</f>
        <v>2344.9675222890319</v>
      </c>
      <c r="F33" s="5">
        <v>189</v>
      </c>
      <c r="G33" s="1">
        <f t="shared" si="1"/>
        <v>12.407235567666834</v>
      </c>
      <c r="H33" s="3">
        <f t="shared" si="0"/>
        <v>989438.58416852134</v>
      </c>
      <c r="I33" t="s">
        <v>165</v>
      </c>
    </row>
    <row r="34" spans="1:9" x14ac:dyDescent="0.3">
      <c r="A34" t="s">
        <v>38</v>
      </c>
      <c r="B34" s="3">
        <v>54817919</v>
      </c>
      <c r="C34" s="5">
        <v>1140</v>
      </c>
      <c r="D34" s="1">
        <f>B34*$B$110</f>
        <v>91908.41696101363</v>
      </c>
      <c r="E34" s="5">
        <f>C34*$B$111</f>
        <v>340.72361600663487</v>
      </c>
      <c r="F34" s="5">
        <v>189</v>
      </c>
      <c r="G34" s="1">
        <f t="shared" si="1"/>
        <v>1.8027704550615602</v>
      </c>
      <c r="H34" s="3">
        <f t="shared" si="0"/>
        <v>165689.77866879417</v>
      </c>
      <c r="I34" t="s">
        <v>166</v>
      </c>
    </row>
    <row r="35" spans="1:9" x14ac:dyDescent="0.3">
      <c r="A35" t="s">
        <v>39</v>
      </c>
      <c r="B35" s="3">
        <v>57637628</v>
      </c>
      <c r="C35" s="5">
        <f>543*12</f>
        <v>6516</v>
      </c>
      <c r="D35" s="1">
        <f>B35*$B$110</f>
        <v>96635.97676642549</v>
      </c>
      <c r="E35" s="5">
        <f>C35*$B$111</f>
        <v>1947.5044578063446</v>
      </c>
      <c r="F35" s="5">
        <v>189</v>
      </c>
      <c r="G35" s="1">
        <f t="shared" si="1"/>
        <v>10.30425639050976</v>
      </c>
      <c r="H35" s="3">
        <f t="shared" si="0"/>
        <v>995761.88114859257</v>
      </c>
      <c r="I35" t="s">
        <v>167</v>
      </c>
    </row>
    <row r="36" spans="1:9" x14ac:dyDescent="0.3">
      <c r="A36" t="s">
        <v>40</v>
      </c>
      <c r="B36" s="3">
        <v>25598869</v>
      </c>
      <c r="C36" s="5">
        <f>VLOOKUP(A36,Blad1!$C$4:$D$33,2,0)</f>
        <v>46555</v>
      </c>
      <c r="D36" s="1">
        <f>B36*$B$110</f>
        <v>42919.387833426626</v>
      </c>
      <c r="E36" s="5">
        <f>C36*$B$111</f>
        <v>13914.375388762181</v>
      </c>
      <c r="F36" s="5">
        <v>189</v>
      </c>
      <c r="G36" s="1">
        <f t="shared" si="1"/>
        <v>73.621033802974495</v>
      </c>
      <c r="H36" s="3">
        <f t="shared" si="0"/>
        <v>3159769.7024876741</v>
      </c>
      <c r="I36" t="s">
        <v>139</v>
      </c>
    </row>
    <row r="37" spans="1:9" x14ac:dyDescent="0.3">
      <c r="A37" t="s">
        <v>41</v>
      </c>
      <c r="B37" s="3">
        <v>41583600</v>
      </c>
      <c r="C37" s="5">
        <f>742*12</f>
        <v>8904</v>
      </c>
      <c r="D37" s="1">
        <f>B37*$B$110</f>
        <v>69719.590186194531</v>
      </c>
      <c r="E37" s="5">
        <f>C37*$B$111</f>
        <v>2661.2307692307691</v>
      </c>
      <c r="F37" s="5">
        <v>189</v>
      </c>
      <c r="G37" s="1">
        <f t="shared" si="1"/>
        <v>14.08058608058608</v>
      </c>
      <c r="H37" s="3">
        <f t="shared" si="0"/>
        <v>981692.6911198966</v>
      </c>
      <c r="I37" t="s">
        <v>168</v>
      </c>
    </row>
    <row r="38" spans="1:9" x14ac:dyDescent="0.3">
      <c r="A38" t="s">
        <v>42</v>
      </c>
      <c r="B38" s="3">
        <v>30955202</v>
      </c>
      <c r="C38" s="5">
        <f>871*12</f>
        <v>10452</v>
      </c>
      <c r="D38" s="1">
        <f>B38*$B$110</f>
        <v>51899.883549545237</v>
      </c>
      <c r="E38" s="5">
        <f>C38*$B$111</f>
        <v>3123.8975741239892</v>
      </c>
      <c r="F38" s="5">
        <v>189</v>
      </c>
      <c r="G38" s="1">
        <f t="shared" si="1"/>
        <v>16.528558593248619</v>
      </c>
      <c r="H38" s="3">
        <f t="shared" si="0"/>
        <v>857830.26623143849</v>
      </c>
      <c r="I38" t="s">
        <v>169</v>
      </c>
    </row>
    <row r="39" spans="1:9" x14ac:dyDescent="0.3">
      <c r="A39" t="s">
        <v>43</v>
      </c>
      <c r="B39" s="3">
        <v>32625948</v>
      </c>
      <c r="C39" s="5">
        <f>6700*1.02</f>
        <v>6834</v>
      </c>
      <c r="D39" s="1">
        <f>B39*$B$110</f>
        <v>54701.077443898386</v>
      </c>
      <c r="E39" s="5">
        <f>C39*$B$111</f>
        <v>2042.5484138503007</v>
      </c>
      <c r="F39" s="5">
        <v>189</v>
      </c>
      <c r="G39" s="1">
        <f t="shared" si="1"/>
        <v>10.807134464816405</v>
      </c>
      <c r="H39" s="3">
        <f t="shared" si="0"/>
        <v>591161.8993065455</v>
      </c>
      <c r="I39" t="s">
        <v>148</v>
      </c>
    </row>
    <row r="40" spans="1:9" x14ac:dyDescent="0.3">
      <c r="A40" t="s">
        <v>44</v>
      </c>
      <c r="B40" s="3">
        <v>17531181</v>
      </c>
      <c r="C40" s="5">
        <f>VLOOKUP(A40,Blad1!$C$4:$D$33,2,0)</f>
        <v>38584</v>
      </c>
      <c r="D40" s="1">
        <v>29393</v>
      </c>
      <c r="E40" s="5">
        <v>11532</v>
      </c>
      <c r="F40" s="5">
        <v>189</v>
      </c>
      <c r="G40" s="1">
        <f t="shared" si="1"/>
        <v>61.015873015873019</v>
      </c>
      <c r="H40" s="3">
        <f t="shared" si="0"/>
        <v>1793439.5555555557</v>
      </c>
      <c r="I40" t="s">
        <v>138</v>
      </c>
    </row>
    <row r="41" spans="1:9" x14ac:dyDescent="0.3">
      <c r="A41" t="s">
        <v>45</v>
      </c>
      <c r="B41" s="3">
        <v>42996555</v>
      </c>
      <c r="C41" s="5">
        <f>85*12</f>
        <v>1020</v>
      </c>
      <c r="D41" s="1">
        <f>B41*$B$110</f>
        <v>72088.568426451136</v>
      </c>
      <c r="E41" s="5">
        <f>C41*$B$111</f>
        <v>304.85797221646277</v>
      </c>
      <c r="F41" s="5">
        <v>189</v>
      </c>
      <c r="G41" s="1">
        <f t="shared" si="1"/>
        <v>1.6130051440024484</v>
      </c>
      <c r="H41" s="3">
        <f t="shared" si="0"/>
        <v>116279.23169563817</v>
      </c>
      <c r="I41" t="s">
        <v>170</v>
      </c>
    </row>
    <row r="42" spans="1:9" x14ac:dyDescent="0.3">
      <c r="A42" t="s">
        <v>46</v>
      </c>
      <c r="B42" s="3">
        <v>32708730</v>
      </c>
      <c r="C42" s="5">
        <f>5772*1.02</f>
        <v>5887.4400000000005</v>
      </c>
      <c r="D42" s="1">
        <f>B42*$B$110</f>
        <v>54839.870793074348</v>
      </c>
      <c r="E42" s="5">
        <f>C42*$B$111</f>
        <v>1759.6402156334234</v>
      </c>
      <c r="F42" s="5">
        <v>189</v>
      </c>
      <c r="G42" s="1">
        <f t="shared" si="1"/>
        <v>9.3102656911821349</v>
      </c>
      <c r="H42" s="3">
        <f t="shared" si="0"/>
        <v>510573.76755362132</v>
      </c>
      <c r="I42" t="s">
        <v>146</v>
      </c>
    </row>
    <row r="43" spans="1:9" x14ac:dyDescent="0.3">
      <c r="A43" t="s">
        <v>132</v>
      </c>
      <c r="B43" s="3">
        <v>29996478</v>
      </c>
      <c r="C43" s="5">
        <f>811*1.02^5</f>
        <v>895.40953139520002</v>
      </c>
      <c r="D43" s="1">
        <f>B43*$B$110</f>
        <v>50292.474754210794</v>
      </c>
      <c r="E43" s="5">
        <f>C43*$B$111</f>
        <v>267.62032749454301</v>
      </c>
      <c r="F43" s="5">
        <v>189</v>
      </c>
      <c r="G43" s="1">
        <f t="shared" si="1"/>
        <v>1.4159805687541958</v>
      </c>
      <c r="H43" s="3">
        <f t="shared" si="0"/>
        <v>71213.167006523436</v>
      </c>
      <c r="I43" t="s">
        <v>146</v>
      </c>
    </row>
    <row r="44" spans="1:9" x14ac:dyDescent="0.3">
      <c r="A44" t="s">
        <v>47</v>
      </c>
      <c r="B44" s="3">
        <v>36077527</v>
      </c>
      <c r="C44" s="5">
        <f>2200*12</f>
        <v>26400</v>
      </c>
      <c r="D44" s="1">
        <f>B44*$B$110</f>
        <v>60488.03849044739</v>
      </c>
      <c r="E44" s="5">
        <f>C44*$B$111</f>
        <v>7890.4416338378605</v>
      </c>
      <c r="F44" s="5">
        <v>189</v>
      </c>
      <c r="G44" s="1">
        <f t="shared" si="1"/>
        <v>41.748368433004551</v>
      </c>
      <c r="H44" s="3">
        <f t="shared" si="0"/>
        <v>2525276.9166889582</v>
      </c>
      <c r="I44" t="s">
        <v>171</v>
      </c>
    </row>
    <row r="45" spans="1:9" x14ac:dyDescent="0.3">
      <c r="A45" t="s">
        <v>48</v>
      </c>
      <c r="B45" s="3">
        <v>30066648</v>
      </c>
      <c r="C45" s="5">
        <f>647*12</f>
        <v>7764</v>
      </c>
      <c r="D45" s="1">
        <f>B45*$B$110</f>
        <v>50410.122664525567</v>
      </c>
      <c r="E45" s="5">
        <f>C45*$B$111</f>
        <v>2320.5071532241345</v>
      </c>
      <c r="F45" s="5">
        <v>189</v>
      </c>
      <c r="G45" s="1">
        <f t="shared" si="1"/>
        <v>12.277815625524521</v>
      </c>
      <c r="H45" s="3">
        <f t="shared" si="0"/>
        <v>618926.19173511979</v>
      </c>
      <c r="I45" t="s">
        <v>172</v>
      </c>
    </row>
    <row r="46" spans="1:9" x14ac:dyDescent="0.3">
      <c r="A46" t="s">
        <v>49</v>
      </c>
      <c r="B46" s="3">
        <v>19317984</v>
      </c>
      <c r="C46" s="5">
        <f>5246*1.02</f>
        <v>5350.92</v>
      </c>
      <c r="D46" s="1">
        <f>B46*$B$110</f>
        <v>32388.776529772866</v>
      </c>
      <c r="E46" s="5">
        <f>C46*$B$111</f>
        <v>1599.2849222475638</v>
      </c>
      <c r="F46" s="5">
        <v>189</v>
      </c>
      <c r="G46" s="1">
        <f t="shared" si="1"/>
        <v>8.461824985436845</v>
      </c>
      <c r="H46" s="3">
        <f t="shared" si="0"/>
        <v>274068.1584873625</v>
      </c>
      <c r="I46" t="s">
        <v>146</v>
      </c>
    </row>
    <row r="47" spans="1:9" x14ac:dyDescent="0.3">
      <c r="A47" t="s">
        <v>50</v>
      </c>
      <c r="B47" s="3">
        <v>34529473</v>
      </c>
      <c r="C47" s="5">
        <f>1163</f>
        <v>1163</v>
      </c>
      <c r="D47" s="1">
        <f>B47*$B$110</f>
        <v>57892.551556509512</v>
      </c>
      <c r="E47" s="5">
        <f>C47*$B$111</f>
        <v>347.59786439975119</v>
      </c>
      <c r="F47" s="5">
        <v>189</v>
      </c>
      <c r="G47" s="1">
        <f t="shared" si="1"/>
        <v>1.8391421396812233</v>
      </c>
      <c r="H47" s="3">
        <f t="shared" si="0"/>
        <v>106472.63114124443</v>
      </c>
      <c r="I47" t="s">
        <v>146</v>
      </c>
    </row>
    <row r="48" spans="1:9" x14ac:dyDescent="0.3">
      <c r="A48" t="s">
        <v>51</v>
      </c>
      <c r="B48" s="3">
        <v>25550000</v>
      </c>
      <c r="C48" s="5">
        <v>2588</v>
      </c>
      <c r="D48" s="1">
        <f>B48*$B$110</f>
        <v>42837.453449371147</v>
      </c>
      <c r="E48" s="5">
        <f>C48*$B$111</f>
        <v>773.5023844080448</v>
      </c>
      <c r="F48" s="5">
        <v>189</v>
      </c>
      <c r="G48" s="1">
        <f t="shared" si="1"/>
        <v>4.0926052085081732</v>
      </c>
      <c r="H48" s="3">
        <f t="shared" si="0"/>
        <v>175316.78510612276</v>
      </c>
      <c r="I48" t="s">
        <v>201</v>
      </c>
    </row>
    <row r="49" spans="1:9" x14ac:dyDescent="0.3">
      <c r="A49" t="s">
        <v>52</v>
      </c>
      <c r="B49" s="3">
        <v>31127674</v>
      </c>
      <c r="C49" s="5">
        <f>42857</f>
        <v>42857</v>
      </c>
      <c r="D49" s="1">
        <f>B49*$B$110</f>
        <v>52189.052288148756</v>
      </c>
      <c r="E49" s="5">
        <f>C49*$B$111</f>
        <v>12809.115799295045</v>
      </c>
      <c r="F49" s="5">
        <v>189</v>
      </c>
      <c r="G49" s="1">
        <f t="shared" si="1"/>
        <v>67.773099467169544</v>
      </c>
      <c r="H49" s="3">
        <f t="shared" si="0"/>
        <v>3537013.8318220181</v>
      </c>
      <c r="I49" t="s">
        <v>173</v>
      </c>
    </row>
    <row r="50" spans="1:9" x14ac:dyDescent="0.3">
      <c r="A50" t="s">
        <v>53</v>
      </c>
      <c r="B50" s="3">
        <v>19458310</v>
      </c>
      <c r="C50" s="5">
        <f>7871*1.02^3</f>
        <v>8352.7681679999987</v>
      </c>
      <c r="D50" s="1">
        <f>B50*$B$110</f>
        <v>32624.048877825171</v>
      </c>
      <c r="E50" s="5">
        <f>C50*$B$111</f>
        <v>2496.4783981281357</v>
      </c>
      <c r="F50" s="5">
        <v>189</v>
      </c>
      <c r="G50" s="1">
        <f t="shared" si="1"/>
        <v>13.208880413376379</v>
      </c>
      <c r="H50" s="3">
        <f t="shared" si="0"/>
        <v>430927.16022733855</v>
      </c>
      <c r="I50" t="s">
        <v>146</v>
      </c>
    </row>
    <row r="51" spans="1:9" x14ac:dyDescent="0.3">
      <c r="A51" t="s">
        <v>54</v>
      </c>
      <c r="B51" s="3">
        <v>18815536</v>
      </c>
      <c r="C51" s="5">
        <f>3269*1.02</f>
        <v>3334.38</v>
      </c>
      <c r="D51" s="1">
        <f>B51*$B$110</f>
        <v>31546.365852249201</v>
      </c>
      <c r="E51" s="5">
        <f>C51*$B$111</f>
        <v>996.5807111756169</v>
      </c>
      <c r="F51" s="5">
        <v>189</v>
      </c>
      <c r="G51" s="1">
        <f t="shared" si="1"/>
        <v>5.2729138157440048</v>
      </c>
      <c r="H51" s="3">
        <f t="shared" si="0"/>
        <v>166341.2683388397</v>
      </c>
      <c r="I51" t="s">
        <v>146</v>
      </c>
    </row>
    <row r="52" spans="1:9" x14ac:dyDescent="0.3">
      <c r="A52" t="s">
        <v>55</v>
      </c>
      <c r="B52" s="3">
        <v>26251309</v>
      </c>
      <c r="C52" s="5">
        <f>346*12</f>
        <v>4152</v>
      </c>
      <c r="D52" s="1">
        <f>B52*$B$110</f>
        <v>44013.276996968998</v>
      </c>
      <c r="E52" s="5">
        <f>C52*$B$111</f>
        <v>1240.9512751399543</v>
      </c>
      <c r="F52" s="5">
        <v>189</v>
      </c>
      <c r="G52" s="1">
        <f t="shared" si="1"/>
        <v>6.5658797626452605</v>
      </c>
      <c r="H52" s="3">
        <f t="shared" si="0"/>
        <v>288985.88472209888</v>
      </c>
      <c r="I52" t="s">
        <v>174</v>
      </c>
    </row>
    <row r="53" spans="1:9" x14ac:dyDescent="0.3">
      <c r="A53" t="s">
        <v>56</v>
      </c>
      <c r="B53" s="3">
        <v>40150200</v>
      </c>
      <c r="C53" s="5">
        <f>1403*12</f>
        <v>16836</v>
      </c>
      <c r="D53" s="1">
        <f>B53*$B$110</f>
        <v>67316.333600115133</v>
      </c>
      <c r="E53" s="5">
        <f>C53*$B$111</f>
        <v>5031.9498237611442</v>
      </c>
      <c r="F53" s="5">
        <v>189</v>
      </c>
      <c r="G53" s="1">
        <f t="shared" si="1"/>
        <v>26.624073141593357</v>
      </c>
      <c r="H53" s="3">
        <f t="shared" si="0"/>
        <v>1792234.9893933637</v>
      </c>
      <c r="I53" t="s">
        <v>175</v>
      </c>
    </row>
    <row r="54" spans="1:9" x14ac:dyDescent="0.3">
      <c r="A54" t="s">
        <v>57</v>
      </c>
      <c r="B54" s="3">
        <v>26453542</v>
      </c>
      <c r="C54" s="5">
        <f>36101</f>
        <v>36101</v>
      </c>
      <c r="D54" s="1">
        <f>B54*$B$110</f>
        <v>44352.343404930907</v>
      </c>
      <c r="E54" s="5">
        <f>C54*$B$111</f>
        <v>10789.880053908357</v>
      </c>
      <c r="F54" s="5">
        <v>189</v>
      </c>
      <c r="G54" s="1">
        <f t="shared" si="1"/>
        <v>57.08931245454157</v>
      </c>
      <c r="H54" s="3">
        <f t="shared" si="0"/>
        <v>2532044.7907352266</v>
      </c>
      <c r="I54" t="s">
        <v>176</v>
      </c>
    </row>
    <row r="55" spans="1:9" x14ac:dyDescent="0.3">
      <c r="A55" t="s">
        <v>58</v>
      </c>
      <c r="B55" s="3">
        <v>11539878</v>
      </c>
      <c r="C55" s="5">
        <f>VLOOKUP(A55,Blad1!$C$4:$D$33,2,0)</f>
        <v>26703</v>
      </c>
      <c r="D55" s="1">
        <f>B55*$B$110</f>
        <v>19347.905543499892</v>
      </c>
      <c r="E55" s="5">
        <f>C55*$B$111</f>
        <v>7981.0023844080451</v>
      </c>
      <c r="F55" s="5">
        <v>189</v>
      </c>
      <c r="G55" s="1">
        <f t="shared" si="1"/>
        <v>42.227525843428808</v>
      </c>
      <c r="H55" s="3">
        <f t="shared" si="0"/>
        <v>817014.18135436112</v>
      </c>
      <c r="I55" t="s">
        <v>139</v>
      </c>
    </row>
    <row r="56" spans="1:9" x14ac:dyDescent="0.3">
      <c r="A56" t="s">
        <v>59</v>
      </c>
      <c r="B56" s="3">
        <v>24348251</v>
      </c>
      <c r="C56" s="5">
        <f>10243</f>
        <v>10243</v>
      </c>
      <c r="D56" s="1">
        <f>B56*$B$110</f>
        <v>40822.585862469845</v>
      </c>
      <c r="E56" s="5">
        <f>C56*$B$111</f>
        <v>3061.4315778561063</v>
      </c>
      <c r="F56" s="5">
        <v>189</v>
      </c>
      <c r="G56" s="1">
        <f t="shared" si="1"/>
        <v>16.198050676487334</v>
      </c>
      <c r="H56" s="3">
        <f t="shared" si="0"/>
        <v>661246.314545542</v>
      </c>
      <c r="I56" t="s">
        <v>177</v>
      </c>
    </row>
    <row r="57" spans="1:9" x14ac:dyDescent="0.3">
      <c r="A57" t="s">
        <v>60</v>
      </c>
      <c r="B57" s="3">
        <v>17611528</v>
      </c>
      <c r="C57" s="5">
        <f>46460</f>
        <v>46460</v>
      </c>
      <c r="D57" s="1">
        <f>B57*$B$110</f>
        <v>29527.710797350159</v>
      </c>
      <c r="E57" s="5">
        <f>C57*$B$111</f>
        <v>13885.981754094963</v>
      </c>
      <c r="F57" s="5">
        <v>189</v>
      </c>
      <c r="G57" s="1">
        <f t="shared" si="1"/>
        <v>73.470802931719376</v>
      </c>
      <c r="H57" s="3">
        <f t="shared" si="0"/>
        <v>2169424.6210169159</v>
      </c>
      <c r="I57" t="s">
        <v>178</v>
      </c>
    </row>
    <row r="58" spans="1:9" x14ac:dyDescent="0.3">
      <c r="A58" t="s">
        <v>61</v>
      </c>
      <c r="B58" s="3">
        <v>29825968</v>
      </c>
      <c r="C58" s="5">
        <v>2213</v>
      </c>
      <c r="D58" s="1">
        <f>B58*$B$110</f>
        <v>50006.59552964515</v>
      </c>
      <c r="E58" s="5">
        <f>C58*$B$111</f>
        <v>661.42224756375697</v>
      </c>
      <c r="F58" s="5">
        <v>189</v>
      </c>
      <c r="G58" s="1">
        <f t="shared" si="1"/>
        <v>3.4995886114484493</v>
      </c>
      <c r="H58" s="3">
        <f t="shared" si="0"/>
        <v>175002.5122128551</v>
      </c>
      <c r="I58" t="s">
        <v>179</v>
      </c>
    </row>
    <row r="59" spans="1:9" x14ac:dyDescent="0.3">
      <c r="A59" t="s">
        <v>62</v>
      </c>
      <c r="B59" s="3">
        <v>10699142</v>
      </c>
      <c r="C59" s="5">
        <f>VLOOKUP(A59,Blad1!$C$4:$D$33,2,0)</f>
        <v>22913</v>
      </c>
      <c r="D59" s="1">
        <f>B59*$B$110</f>
        <v>17938.316922630598</v>
      </c>
      <c r="E59" s="5">
        <f>C59*$B$111</f>
        <v>6848.2458013684427</v>
      </c>
      <c r="F59" s="5">
        <v>189</v>
      </c>
      <c r="G59" s="1">
        <f t="shared" si="1"/>
        <v>36.234104769145198</v>
      </c>
      <c r="H59" s="3">
        <f t="shared" si="0"/>
        <v>649978.85475672735</v>
      </c>
      <c r="I59" t="s">
        <v>139</v>
      </c>
    </row>
    <row r="60" spans="1:9" x14ac:dyDescent="0.3">
      <c r="A60" t="s">
        <v>63</v>
      </c>
      <c r="B60" s="3">
        <v>10724599</v>
      </c>
      <c r="C60" s="5">
        <f>42186</f>
        <v>42186</v>
      </c>
      <c r="D60" s="1">
        <f>B60*$B$110</f>
        <v>17980.998451102638</v>
      </c>
      <c r="E60" s="5">
        <f>C60*$B$111</f>
        <v>12608.567074434999</v>
      </c>
      <c r="F60" s="5">
        <v>189</v>
      </c>
      <c r="G60" s="1">
        <f t="shared" si="1"/>
        <v>66.711995102830684</v>
      </c>
      <c r="H60" s="3">
        <f t="shared" si="0"/>
        <v>1199548.2806139654</v>
      </c>
      <c r="I60" t="s">
        <v>180</v>
      </c>
    </row>
    <row r="61" spans="1:9" x14ac:dyDescent="0.3">
      <c r="A61" t="s">
        <v>64</v>
      </c>
      <c r="B61" s="3">
        <v>32890171</v>
      </c>
      <c r="C61" s="5">
        <f>11830</f>
        <v>11830</v>
      </c>
      <c r="D61" s="1">
        <f>B61*$B$110</f>
        <v>55144.077070620624</v>
      </c>
      <c r="E61" s="5">
        <f>C61*$B$111</f>
        <v>3535.7547169811323</v>
      </c>
      <c r="F61" s="5">
        <v>189</v>
      </c>
      <c r="G61" s="1">
        <f t="shared" si="1"/>
        <v>18.707696915244085</v>
      </c>
      <c r="H61" s="3">
        <f t="shared" si="0"/>
        <v>1031618.6805080315</v>
      </c>
      <c r="I61" t="s">
        <v>181</v>
      </c>
    </row>
    <row r="62" spans="1:9" x14ac:dyDescent="0.3">
      <c r="A62" t="s">
        <v>65</v>
      </c>
      <c r="B62" s="3">
        <v>18449828</v>
      </c>
      <c r="C62" s="5">
        <f>2468</f>
        <v>2468</v>
      </c>
      <c r="D62" s="1">
        <f>B62*$B$110</f>
        <v>30933.215189780996</v>
      </c>
      <c r="E62" s="5">
        <f>C62*$B$111</f>
        <v>737.63674061787276</v>
      </c>
      <c r="F62" s="5">
        <v>189</v>
      </c>
      <c r="G62" s="1">
        <f t="shared" si="1"/>
        <v>3.9028398974490623</v>
      </c>
      <c r="H62" s="3">
        <f t="shared" si="0"/>
        <v>120727.38639905464</v>
      </c>
      <c r="I62" t="s">
        <v>184</v>
      </c>
    </row>
    <row r="63" spans="1:9" x14ac:dyDescent="0.3">
      <c r="A63" t="s">
        <v>66</v>
      </c>
      <c r="B63" s="3">
        <v>8935112</v>
      </c>
      <c r="C63" s="5">
        <f>VLOOKUP(A63,Blad1!$C$4:$D$33,2,0)</f>
        <v>34911</v>
      </c>
      <c r="D63" s="1">
        <f>B63*$B$110</f>
        <v>14980.721892951764</v>
      </c>
      <c r="E63" s="5">
        <f>C63*$B$111</f>
        <v>10434.212419655816</v>
      </c>
      <c r="F63" s="5">
        <v>189</v>
      </c>
      <c r="G63" s="1">
        <f t="shared" si="1"/>
        <v>55.207473119872041</v>
      </c>
      <c r="H63" s="3">
        <f t="shared" si="0"/>
        <v>827047.80122141307</v>
      </c>
      <c r="I63" t="s">
        <v>139</v>
      </c>
    </row>
    <row r="64" spans="1:9" x14ac:dyDescent="0.3">
      <c r="A64" t="s">
        <v>131</v>
      </c>
      <c r="B64" s="3">
        <v>8632703</v>
      </c>
      <c r="C64" s="5">
        <f>57361*1.02^2</f>
        <v>59678.384400000003</v>
      </c>
      <c r="D64" s="1">
        <f>B64*$B$110</f>
        <v>14473.699135215134</v>
      </c>
      <c r="E64" s="5">
        <f>C64*$B$111</f>
        <v>17836.697307194692</v>
      </c>
      <c r="F64" s="5">
        <v>189</v>
      </c>
      <c r="G64" s="1">
        <f t="shared" si="1"/>
        <v>94.374059826426944</v>
      </c>
      <c r="H64" s="3">
        <f t="shared" ref="H64:H107" si="2">D64*G64</f>
        <v>1365941.748096497</v>
      </c>
      <c r="I64" t="s">
        <v>136</v>
      </c>
    </row>
    <row r="65" spans="1:9" x14ac:dyDescent="0.3">
      <c r="A65" t="s">
        <v>67</v>
      </c>
      <c r="B65" s="3">
        <v>10295909</v>
      </c>
      <c r="C65" s="5">
        <f>15755*1.02^2</f>
        <v>16391.502</v>
      </c>
      <c r="D65" s="1">
        <f>B65*$B$110</f>
        <v>17262.251370115908</v>
      </c>
      <c r="E65" s="5">
        <f>C65*$B$111</f>
        <v>4899.0980993157791</v>
      </c>
      <c r="F65" s="5">
        <v>189</v>
      </c>
      <c r="G65" s="1">
        <f t="shared" ref="G65:G107" si="3">E65/F65</f>
        <v>25.921153964633753</v>
      </c>
      <c r="H65" s="3">
        <f t="shared" si="2"/>
        <v>447457.47554098442</v>
      </c>
      <c r="I65" t="s">
        <v>146</v>
      </c>
    </row>
    <row r="66" spans="1:9" x14ac:dyDescent="0.3">
      <c r="A66" t="s">
        <v>68</v>
      </c>
      <c r="B66" s="3">
        <v>15473818</v>
      </c>
      <c r="C66" s="5">
        <v>599</v>
      </c>
      <c r="D66" s="1">
        <f>B66*$B$110</f>
        <v>25943.599149081856</v>
      </c>
      <c r="E66" s="5">
        <f>C66*$B$111</f>
        <v>179.02933858594236</v>
      </c>
      <c r="F66" s="5">
        <v>189</v>
      </c>
      <c r="G66" s="1">
        <f t="shared" si="3"/>
        <v>0.94724517770339867</v>
      </c>
      <c r="H66" s="3">
        <f t="shared" si="2"/>
        <v>24574.949186237784</v>
      </c>
      <c r="I66" t="s">
        <v>182</v>
      </c>
    </row>
    <row r="67" spans="1:9" x14ac:dyDescent="0.3">
      <c r="A67" t="s">
        <v>69</v>
      </c>
      <c r="B67" s="3">
        <v>9408400</v>
      </c>
      <c r="C67" s="5">
        <f>4145*1.02</f>
        <v>4227.8999999999996</v>
      </c>
      <c r="D67" s="1">
        <f>B67*$B$110</f>
        <v>15774.242545325384</v>
      </c>
      <c r="E67" s="5">
        <f>C67*$B$111</f>
        <v>1263.6362948372382</v>
      </c>
      <c r="F67" s="5">
        <v>189</v>
      </c>
      <c r="G67" s="1">
        <f t="shared" si="3"/>
        <v>6.6859063218901493</v>
      </c>
      <c r="H67" s="3">
        <f t="shared" si="2"/>
        <v>105465.10795681954</v>
      </c>
      <c r="I67" t="s">
        <v>146</v>
      </c>
    </row>
    <row r="68" spans="1:9" x14ac:dyDescent="0.3">
      <c r="A68" t="s">
        <v>70</v>
      </c>
      <c r="B68" s="3">
        <v>9769526</v>
      </c>
      <c r="C68" s="5">
        <f>6902*1.02</f>
        <v>7040.04</v>
      </c>
      <c r="D68" s="1">
        <f>B68*$B$110</f>
        <v>16379.710968587911</v>
      </c>
      <c r="E68" s="5">
        <f>C68*$B$111</f>
        <v>2104.129724238026</v>
      </c>
      <c r="F68" s="5">
        <v>189</v>
      </c>
      <c r="G68" s="1">
        <f t="shared" si="3"/>
        <v>11.1329615039049</v>
      </c>
      <c r="H68" s="3">
        <f t="shared" si="2"/>
        <v>182354.69165837805</v>
      </c>
      <c r="I68" t="s">
        <v>146</v>
      </c>
    </row>
    <row r="69" spans="1:9" x14ac:dyDescent="0.3">
      <c r="A69" t="s">
        <v>71</v>
      </c>
      <c r="B69" s="3">
        <v>21510181</v>
      </c>
      <c r="C69" s="5">
        <v>7367</v>
      </c>
      <c r="D69" s="1">
        <f>B69*$B$110</f>
        <v>36064.241772017529</v>
      </c>
      <c r="E69" s="5">
        <f>C69*$B$111</f>
        <v>2201.8516483516482</v>
      </c>
      <c r="F69" s="5">
        <v>189</v>
      </c>
      <c r="G69" s="1">
        <f t="shared" si="3"/>
        <v>11.650008721437292</v>
      </c>
      <c r="H69" s="3">
        <f t="shared" si="2"/>
        <v>420148.73117602733</v>
      </c>
      <c r="I69" t="s">
        <v>183</v>
      </c>
    </row>
    <row r="70" spans="1:9" x14ac:dyDescent="0.3">
      <c r="A70" t="s">
        <v>72</v>
      </c>
      <c r="B70" s="3">
        <v>11193470</v>
      </c>
      <c r="C70" s="5">
        <v>5539</v>
      </c>
      <c r="D70" s="1">
        <f>B70*$B$110</f>
        <v>18767.113505359393</v>
      </c>
      <c r="E70" s="5">
        <f>C70*$B$111</f>
        <v>1655.4983412813601</v>
      </c>
      <c r="F70" s="5">
        <v>189</v>
      </c>
      <c r="G70" s="1">
        <f t="shared" si="3"/>
        <v>8.7592504829701596</v>
      </c>
      <c r="H70" s="3">
        <f t="shared" si="2"/>
        <v>164385.84803577507</v>
      </c>
      <c r="I70" t="s">
        <v>185</v>
      </c>
    </row>
    <row r="71" spans="1:9" x14ac:dyDescent="0.3">
      <c r="A71" t="s">
        <v>73</v>
      </c>
      <c r="B71" s="3">
        <v>16858333</v>
      </c>
      <c r="C71" s="5">
        <f>4600*1.02</f>
        <v>4692</v>
      </c>
      <c r="D71" s="1">
        <f>B71*$B$110</f>
        <v>28264.894525303229</v>
      </c>
      <c r="E71" s="5">
        <f>C71*$B$111</f>
        <v>1402.3466721957288</v>
      </c>
      <c r="F71" s="5">
        <v>189</v>
      </c>
      <c r="G71" s="1">
        <f t="shared" si="3"/>
        <v>7.4198236624112637</v>
      </c>
      <c r="H71" s="3">
        <f t="shared" si="2"/>
        <v>209720.53321440349</v>
      </c>
      <c r="I71" t="s">
        <v>158</v>
      </c>
    </row>
    <row r="72" spans="1:9" x14ac:dyDescent="0.3">
      <c r="A72" t="s">
        <v>74</v>
      </c>
      <c r="B72" s="3">
        <v>17885422</v>
      </c>
      <c r="C72" s="5">
        <f>3964</f>
        <v>3964</v>
      </c>
      <c r="D72" s="1">
        <f>B72*$B$110</f>
        <v>29986.924945102099</v>
      </c>
      <c r="E72" s="5">
        <f>C72*$B$111</f>
        <v>1184.7617665353514</v>
      </c>
      <c r="F72" s="5">
        <v>189</v>
      </c>
      <c r="G72" s="1">
        <f t="shared" si="3"/>
        <v>6.2685807753193199</v>
      </c>
      <c r="H72" s="3">
        <f t="shared" si="2"/>
        <v>187975.46122181037</v>
      </c>
      <c r="I72" t="s">
        <v>187</v>
      </c>
    </row>
    <row r="73" spans="1:9" x14ac:dyDescent="0.3">
      <c r="A73" t="s">
        <v>75</v>
      </c>
      <c r="B73" s="3">
        <v>20250833</v>
      </c>
      <c r="C73" s="5">
        <v>7348</v>
      </c>
      <c r="D73" s="1">
        <f>B73*$B$110</f>
        <v>33952.802972543606</v>
      </c>
      <c r="E73" s="5">
        <f>C73*$B$111</f>
        <v>2196.1729214182046</v>
      </c>
      <c r="F73" s="5">
        <v>189</v>
      </c>
      <c r="G73" s="1">
        <f t="shared" si="3"/>
        <v>11.619962547186267</v>
      </c>
      <c r="H73" s="3">
        <f t="shared" si="2"/>
        <v>394530.29891295126</v>
      </c>
      <c r="I73" t="s">
        <v>186</v>
      </c>
    </row>
    <row r="74" spans="1:9" x14ac:dyDescent="0.3">
      <c r="A74" t="s">
        <v>76</v>
      </c>
      <c r="B74" s="3">
        <v>15288489</v>
      </c>
      <c r="C74" s="5">
        <f>1548*1.02</f>
        <v>1578.96</v>
      </c>
      <c r="D74" s="1">
        <f>B74*$B$110</f>
        <v>25632.874201515573</v>
      </c>
      <c r="E74" s="5">
        <f>C74*$B$111</f>
        <v>471.92014099108439</v>
      </c>
      <c r="F74" s="5">
        <v>189</v>
      </c>
      <c r="G74" s="1">
        <f t="shared" si="3"/>
        <v>2.4969319629157907</v>
      </c>
      <c r="H74" s="3">
        <f t="shared" si="2"/>
        <v>64003.54289516381</v>
      </c>
      <c r="I74" t="s">
        <v>146</v>
      </c>
    </row>
    <row r="75" spans="1:9" x14ac:dyDescent="0.3">
      <c r="A75" t="s">
        <v>77</v>
      </c>
      <c r="B75" s="3">
        <v>11633371</v>
      </c>
      <c r="C75" s="5">
        <f>3600*1.02</f>
        <v>3672</v>
      </c>
      <c r="D75" s="1">
        <f>B75*$B$110</f>
        <v>19504.657090871402</v>
      </c>
      <c r="E75" s="5">
        <f>C75*$B$111</f>
        <v>1097.4886999792661</v>
      </c>
      <c r="F75" s="5">
        <v>189</v>
      </c>
      <c r="G75" s="1">
        <f t="shared" si="3"/>
        <v>5.8068185184088152</v>
      </c>
      <c r="H75" s="3">
        <f t="shared" si="2"/>
        <v>113260.00399048587</v>
      </c>
      <c r="I75" t="s">
        <v>157</v>
      </c>
    </row>
    <row r="76" spans="1:9" x14ac:dyDescent="0.3">
      <c r="A76" t="s">
        <v>78</v>
      </c>
      <c r="B76" s="3">
        <v>10448499</v>
      </c>
      <c r="C76" s="5">
        <f>8000*1.02</f>
        <v>8160</v>
      </c>
      <c r="D76" s="1">
        <f>B76*$B$110</f>
        <v>17518.085695823913</v>
      </c>
      <c r="E76" s="5">
        <f>C76*$B$111</f>
        <v>2438.8637777317022</v>
      </c>
      <c r="F76" s="5">
        <v>189</v>
      </c>
      <c r="G76" s="1">
        <f t="shared" si="3"/>
        <v>12.904041152019587</v>
      </c>
      <c r="H76" s="3">
        <f t="shared" si="2"/>
        <v>226054.09872351747</v>
      </c>
      <c r="I76" t="s">
        <v>156</v>
      </c>
    </row>
    <row r="77" spans="1:9" x14ac:dyDescent="0.3">
      <c r="A77" t="s">
        <v>79</v>
      </c>
      <c r="B77" s="3">
        <v>6951482</v>
      </c>
      <c r="C77" s="5">
        <v>4079</v>
      </c>
      <c r="D77" s="1">
        <f>B77*$B$110</f>
        <v>11654.942723254069</v>
      </c>
      <c r="E77" s="5">
        <f>C77*$B$111</f>
        <v>1219.1330085009331</v>
      </c>
      <c r="F77" s="5">
        <v>189</v>
      </c>
      <c r="G77" s="1">
        <f t="shared" si="3"/>
        <v>6.4504391984176355</v>
      </c>
      <c r="H77" s="3">
        <f t="shared" si="2"/>
        <v>75179.499397390435</v>
      </c>
      <c r="I77" t="s">
        <v>155</v>
      </c>
    </row>
    <row r="78" spans="1:9" x14ac:dyDescent="0.3">
      <c r="A78" t="s">
        <v>80</v>
      </c>
      <c r="B78" s="3">
        <v>12663116</v>
      </c>
      <c r="C78" s="5">
        <v>8255</v>
      </c>
      <c r="D78" s="1">
        <f>B78*$B$110</f>
        <v>21231.140593893815</v>
      </c>
      <c r="E78" s="5">
        <f>C78*$B$111</f>
        <v>2467.257412398922</v>
      </c>
      <c r="F78" s="5">
        <v>189</v>
      </c>
      <c r="G78" s="1">
        <f t="shared" si="3"/>
        <v>13.05427202327472</v>
      </c>
      <c r="H78" s="3">
        <f t="shared" si="2"/>
        <v>277157.08467708027</v>
      </c>
      <c r="I78" t="s">
        <v>188</v>
      </c>
    </row>
    <row r="79" spans="1:9" x14ac:dyDescent="0.3">
      <c r="A79" t="s">
        <v>81</v>
      </c>
      <c r="B79" s="3">
        <v>9280200</v>
      </c>
      <c r="C79" s="5">
        <f>VLOOKUP(A79,Blad1!$C$4:$D$33,2,0)</f>
        <v>30364</v>
      </c>
      <c r="D79" s="1">
        <f>B79*$B$110</f>
        <v>15559.300802381767</v>
      </c>
      <c r="E79" s="5">
        <f>C79*$B$111</f>
        <v>9075.2034003732115</v>
      </c>
      <c r="F79" s="5">
        <v>189</v>
      </c>
      <c r="G79" s="1">
        <f t="shared" si="3"/>
        <v>48.016949208323872</v>
      </c>
      <c r="H79" s="3">
        <f t="shared" si="2"/>
        <v>747110.15634499816</v>
      </c>
      <c r="I79" t="s">
        <v>139</v>
      </c>
    </row>
    <row r="80" spans="1:9" x14ac:dyDescent="0.3">
      <c r="A80" t="s">
        <v>82</v>
      </c>
      <c r="B80" s="3">
        <v>16244513</v>
      </c>
      <c r="C80" s="5">
        <v>740</v>
      </c>
      <c r="D80" s="1">
        <f>B80*$B$110</f>
        <v>27235.756142669452</v>
      </c>
      <c r="E80" s="5">
        <f>C80*$B$111</f>
        <v>221.17147003939456</v>
      </c>
      <c r="F80" s="5">
        <v>189</v>
      </c>
      <c r="G80" s="1">
        <f t="shared" si="3"/>
        <v>1.1702194181978549</v>
      </c>
      <c r="H80" s="3">
        <f t="shared" si="2"/>
        <v>31871.8107074533</v>
      </c>
      <c r="I80" t="s">
        <v>189</v>
      </c>
    </row>
    <row r="81" spans="1:9" x14ac:dyDescent="0.3">
      <c r="A81" t="s">
        <v>83</v>
      </c>
      <c r="B81" s="3">
        <v>11743017</v>
      </c>
      <c r="C81" s="5">
        <v>790</v>
      </c>
      <c r="D81" s="1">
        <f>B81*$B$110</f>
        <v>19688.490962531276</v>
      </c>
      <c r="E81" s="5">
        <f>C81*$B$111</f>
        <v>236.11548828529962</v>
      </c>
      <c r="F81" s="5">
        <v>189</v>
      </c>
      <c r="G81" s="1">
        <f t="shared" si="3"/>
        <v>1.2492882978058182</v>
      </c>
      <c r="H81" s="3">
        <f t="shared" si="2"/>
        <v>24596.601360945933</v>
      </c>
      <c r="I81" t="s">
        <v>190</v>
      </c>
    </row>
    <row r="82" spans="1:9" x14ac:dyDescent="0.3">
      <c r="A82" t="s">
        <v>84</v>
      </c>
      <c r="B82" s="3">
        <v>5503335</v>
      </c>
      <c r="C82" s="5">
        <f>VLOOKUP(A82,Blad1!$C$4:$D$33,2,0)</f>
        <v>34615</v>
      </c>
      <c r="D82" s="1">
        <f>B82*$B$110</f>
        <v>9226.9611302855174</v>
      </c>
      <c r="E82" s="5">
        <f>C82*$B$111</f>
        <v>10345.743831640058</v>
      </c>
      <c r="F82" s="5">
        <v>189</v>
      </c>
      <c r="G82" s="1">
        <f t="shared" si="3"/>
        <v>54.739385352592905</v>
      </c>
      <c r="H82" s="3">
        <f t="shared" si="2"/>
        <v>505078.18094409513</v>
      </c>
      <c r="I82" t="s">
        <v>139</v>
      </c>
    </row>
    <row r="83" spans="1:9" x14ac:dyDescent="0.3">
      <c r="A83" t="s">
        <v>85</v>
      </c>
      <c r="B83" s="3">
        <v>7500700</v>
      </c>
      <c r="C83" s="5">
        <f>2430*12</f>
        <v>29160</v>
      </c>
      <c r="D83" s="1">
        <f>B83*$B$110</f>
        <v>12575.768574860986</v>
      </c>
      <c r="E83" s="5">
        <f>C83*$B$111</f>
        <v>8715.3514410118187</v>
      </c>
      <c r="F83" s="5">
        <v>189</v>
      </c>
      <c r="G83" s="1">
        <f t="shared" si="3"/>
        <v>46.112970587364117</v>
      </c>
      <c r="H83" s="3">
        <f t="shared" si="2"/>
        <v>579906.04640606255</v>
      </c>
      <c r="I83" t="s">
        <v>199</v>
      </c>
    </row>
    <row r="84" spans="1:9" x14ac:dyDescent="0.3">
      <c r="A84" t="s">
        <v>86</v>
      </c>
      <c r="B84" s="3">
        <v>12309600</v>
      </c>
      <c r="C84" s="5">
        <v>7169</v>
      </c>
      <c r="D84" s="1">
        <f>B84*$B$110</f>
        <v>20638.431192969827</v>
      </c>
      <c r="E84" s="5">
        <f>C84*$B$111</f>
        <v>2142.6733360978646</v>
      </c>
      <c r="F84" s="5">
        <v>189</v>
      </c>
      <c r="G84" s="1">
        <f t="shared" si="3"/>
        <v>11.336895958189761</v>
      </c>
      <c r="H84" s="3">
        <f t="shared" si="2"/>
        <v>233975.7471749571</v>
      </c>
      <c r="I84" t="s">
        <v>191</v>
      </c>
    </row>
    <row r="85" spans="1:9" x14ac:dyDescent="0.3">
      <c r="A85" t="s">
        <v>87</v>
      </c>
      <c r="B85" s="3">
        <v>5374807</v>
      </c>
      <c r="C85" s="5">
        <f>VLOOKUP(A85,Blad1!$C$4:$D$33,2,0)</f>
        <v>51489</v>
      </c>
      <c r="D85" s="1">
        <f>B85*$B$110</f>
        <v>9011.469458389598</v>
      </c>
      <c r="E85" s="5">
        <f>C85*$B$111</f>
        <v>15389.05110926809</v>
      </c>
      <c r="F85" s="5">
        <v>189</v>
      </c>
      <c r="G85" s="1">
        <f t="shared" si="3"/>
        <v>81.4235508426883</v>
      </c>
      <c r="H85" s="3">
        <f t="shared" si="2"/>
        <v>733745.84161251818</v>
      </c>
      <c r="I85" t="s">
        <v>139</v>
      </c>
    </row>
    <row r="86" spans="1:9" x14ac:dyDescent="0.3">
      <c r="A86" t="s">
        <v>88</v>
      </c>
      <c r="B86" s="3">
        <v>6926705</v>
      </c>
      <c r="C86" s="5">
        <f>2813*1.02</f>
        <v>2869.26</v>
      </c>
      <c r="D86" s="1">
        <f>B86*$B$110</f>
        <v>11613.401291390466</v>
      </c>
      <c r="E86" s="5">
        <f>C86*$B$111</f>
        <v>857.56547584490988</v>
      </c>
      <c r="F86" s="5">
        <v>189</v>
      </c>
      <c r="G86" s="1">
        <f t="shared" si="3"/>
        <v>4.537383470078888</v>
      </c>
      <c r="H86" s="3">
        <f t="shared" si="2"/>
        <v>52694.455050947916</v>
      </c>
      <c r="I86" t="s">
        <v>146</v>
      </c>
    </row>
    <row r="87" spans="1:9" x14ac:dyDescent="0.3">
      <c r="A87" t="s">
        <v>89</v>
      </c>
      <c r="B87" s="3">
        <v>12114193</v>
      </c>
      <c r="C87" s="5">
        <v>7571</v>
      </c>
      <c r="D87" s="1">
        <f>B87*$B$110</f>
        <v>20310.809343021443</v>
      </c>
      <c r="E87" s="5">
        <f>C87*$B$111</f>
        <v>2262.8232427949411</v>
      </c>
      <c r="F87" s="5">
        <v>189</v>
      </c>
      <c r="G87" s="1">
        <f t="shared" si="3"/>
        <v>11.972609750237783</v>
      </c>
      <c r="H87" s="3">
        <f t="shared" si="2"/>
        <v>243173.39397547921</v>
      </c>
      <c r="I87" t="s">
        <v>200</v>
      </c>
    </row>
    <row r="88" spans="1:9" x14ac:dyDescent="0.3">
      <c r="A88" t="s">
        <v>90</v>
      </c>
      <c r="B88" s="3">
        <v>10815192</v>
      </c>
      <c r="C88" s="5">
        <f>3353*1.02^4</f>
        <v>3629.3950324799998</v>
      </c>
      <c r="D88" s="1">
        <f>B88*$B$110</f>
        <v>18132.887821761695</v>
      </c>
      <c r="E88" s="5">
        <f>C88*$B$111</f>
        <v>1084.7549117395645</v>
      </c>
      <c r="F88" s="5">
        <v>189</v>
      </c>
      <c r="G88" s="1">
        <f t="shared" si="3"/>
        <v>5.7394439774580128</v>
      </c>
      <c r="H88" s="3">
        <f t="shared" si="2"/>
        <v>104072.69380253191</v>
      </c>
      <c r="I88" t="s">
        <v>146</v>
      </c>
    </row>
    <row r="89" spans="1:9" x14ac:dyDescent="0.3">
      <c r="A89" t="s">
        <v>91</v>
      </c>
      <c r="B89" s="3">
        <v>13249924</v>
      </c>
      <c r="C89" s="5">
        <v>8492</v>
      </c>
      <c r="D89" s="1">
        <f>B89*$B$110</f>
        <v>22214.990315370083</v>
      </c>
      <c r="E89" s="5">
        <f>C89*$B$111</f>
        <v>2538.092058884512</v>
      </c>
      <c r="F89" s="5">
        <v>189</v>
      </c>
      <c r="G89" s="1">
        <f t="shared" si="3"/>
        <v>13.429058512616466</v>
      </c>
      <c r="H89" s="3">
        <f t="shared" si="2"/>
        <v>298326.40480231296</v>
      </c>
      <c r="I89" t="s">
        <v>192</v>
      </c>
    </row>
    <row r="90" spans="1:9" x14ac:dyDescent="0.3">
      <c r="A90" t="s">
        <v>92</v>
      </c>
      <c r="B90" s="3">
        <v>10085900</v>
      </c>
      <c r="C90" s="5">
        <f>3332*1.02</f>
        <v>3398.64</v>
      </c>
      <c r="D90" s="1">
        <f>B90*$B$110</f>
        <v>16910.147622113993</v>
      </c>
      <c r="E90" s="5">
        <f>C90*$B$111</f>
        <v>1015.786763425254</v>
      </c>
      <c r="F90" s="5">
        <v>189</v>
      </c>
      <c r="G90" s="1">
        <f t="shared" si="3"/>
        <v>5.3745331398161582</v>
      </c>
      <c r="H90" s="3">
        <f t="shared" si="2"/>
        <v>90884.148794235065</v>
      </c>
      <c r="I90" t="s">
        <v>146</v>
      </c>
    </row>
    <row r="91" spans="1:9" x14ac:dyDescent="0.3">
      <c r="A91" t="s">
        <v>93</v>
      </c>
      <c r="B91" s="3">
        <v>9304380</v>
      </c>
      <c r="C91" s="5">
        <f>2400*1.02</f>
        <v>2448</v>
      </c>
      <c r="D91" s="1">
        <f>B91*$B$110</f>
        <v>15599.84129648767</v>
      </c>
      <c r="E91" s="5">
        <f>C91*$B$111</f>
        <v>731.65913331951072</v>
      </c>
      <c r="F91" s="5">
        <v>189</v>
      </c>
      <c r="G91" s="1">
        <f t="shared" si="3"/>
        <v>3.8712123456058767</v>
      </c>
      <c r="H91" s="3">
        <f t="shared" si="2"/>
        <v>60390.298216455456</v>
      </c>
      <c r="I91" t="s">
        <v>154</v>
      </c>
    </row>
    <row r="92" spans="1:9" x14ac:dyDescent="0.3">
      <c r="A92" t="s">
        <v>94</v>
      </c>
      <c r="B92" s="3">
        <v>12559623</v>
      </c>
      <c r="C92" s="5">
        <v>712</v>
      </c>
      <c r="D92" s="1">
        <f>B92*$B$110</f>
        <v>21057.622919927642</v>
      </c>
      <c r="E92" s="5">
        <f>C92*$B$111</f>
        <v>212.80281982168776</v>
      </c>
      <c r="F92" s="5">
        <v>189</v>
      </c>
      <c r="G92" s="1">
        <f t="shared" si="3"/>
        <v>1.1259408456173956</v>
      </c>
      <c r="H92" s="3">
        <f t="shared" si="2"/>
        <v>23709.637757155582</v>
      </c>
      <c r="I92" t="s">
        <v>193</v>
      </c>
    </row>
    <row r="93" spans="1:9" x14ac:dyDescent="0.3">
      <c r="A93" t="s">
        <v>95</v>
      </c>
      <c r="B93" s="3">
        <v>5460136</v>
      </c>
      <c r="C93" s="5">
        <f>7757*1.02</f>
        <v>7912.14</v>
      </c>
      <c r="D93" s="1">
        <f>B93*$B$110</f>
        <v>9154.5331400092218</v>
      </c>
      <c r="E93" s="5">
        <f>C93*$B$111</f>
        <v>2364.7832904831021</v>
      </c>
      <c r="F93" s="5">
        <v>189</v>
      </c>
      <c r="G93" s="1">
        <f t="shared" si="3"/>
        <v>12.512080902026995</v>
      </c>
      <c r="H93" s="3">
        <f t="shared" si="2"/>
        <v>114542.25926808261</v>
      </c>
      <c r="I93" t="s">
        <v>146</v>
      </c>
    </row>
    <row r="94" spans="1:9" x14ac:dyDescent="0.3">
      <c r="A94" t="s">
        <v>96</v>
      </c>
      <c r="B94" s="3">
        <v>16705608</v>
      </c>
      <c r="C94" s="5">
        <v>7793</v>
      </c>
      <c r="D94" s="1">
        <f>B94*$B$110</f>
        <v>28008.833856886195</v>
      </c>
      <c r="E94" s="5">
        <f>C94*$B$111</f>
        <v>2329.1746838067593</v>
      </c>
      <c r="F94" s="5">
        <v>189</v>
      </c>
      <c r="G94" s="1">
        <f t="shared" si="3"/>
        <v>12.323675575697139</v>
      </c>
      <c r="H94" s="3">
        <f t="shared" si="2"/>
        <v>345171.7817058675</v>
      </c>
      <c r="I94" t="s">
        <v>194</v>
      </c>
    </row>
    <row r="95" spans="1:9" x14ac:dyDescent="0.3">
      <c r="A95" t="s">
        <v>97</v>
      </c>
      <c r="B95" s="3">
        <v>5095668</v>
      </c>
      <c r="C95" s="5">
        <f>VLOOKUP(A95,Blad1!$C$4:$D$33,2,0)</f>
        <v>35562</v>
      </c>
      <c r="D95" s="1">
        <f>B95*$B$110</f>
        <v>8543.4614772387558</v>
      </c>
      <c r="E95" s="5">
        <f>C95*$B$111</f>
        <v>10628.7835372175</v>
      </c>
      <c r="F95" s="5">
        <v>189</v>
      </c>
      <c r="G95" s="1">
        <f t="shared" si="3"/>
        <v>56.236949932367722</v>
      </c>
      <c r="H95" s="3">
        <f t="shared" si="2"/>
        <v>480458.21534458827</v>
      </c>
      <c r="I95" t="s">
        <v>139</v>
      </c>
    </row>
    <row r="96" spans="1:9" x14ac:dyDescent="0.3">
      <c r="A96" t="s">
        <v>99</v>
      </c>
      <c r="B96" s="3">
        <v>5685807</v>
      </c>
      <c r="C96" s="5">
        <f>VLOOKUP(A96,Blad1!$C$4:$D$33,2,0)</f>
        <v>32360</v>
      </c>
      <c r="D96" s="1">
        <f>B96*$B$110</f>
        <v>9532.8959954837046</v>
      </c>
      <c r="E96" s="5">
        <f>C96*$B$111</f>
        <v>9671.7686087497405</v>
      </c>
      <c r="F96" s="5">
        <v>189</v>
      </c>
      <c r="G96" s="1">
        <f t="shared" si="3"/>
        <v>51.173378882273759</v>
      </c>
      <c r="H96" s="3">
        <f t="shared" si="2"/>
        <v>487830.49862219789</v>
      </c>
      <c r="I96" t="s">
        <v>139</v>
      </c>
    </row>
    <row r="97" spans="1:9" x14ac:dyDescent="0.3">
      <c r="A97" t="s">
        <v>100</v>
      </c>
      <c r="B97" s="3">
        <v>7706000</v>
      </c>
      <c r="C97" s="5">
        <v>11746</v>
      </c>
      <c r="D97" s="1">
        <f>B97*$B$110</f>
        <v>12919.977153849475</v>
      </c>
      <c r="E97" s="5">
        <f>C97*$B$111</f>
        <v>3510.6487663280118</v>
      </c>
      <c r="F97" s="5">
        <v>189</v>
      </c>
      <c r="G97" s="1">
        <f t="shared" si="3"/>
        <v>18.57486119750271</v>
      </c>
      <c r="H97" s="3">
        <f t="shared" si="2"/>
        <v>239986.78230766012</v>
      </c>
      <c r="I97" t="s">
        <v>195</v>
      </c>
    </row>
    <row r="98" spans="1:9" x14ac:dyDescent="0.3">
      <c r="A98" t="s">
        <v>101</v>
      </c>
      <c r="B98" s="3">
        <v>6765753</v>
      </c>
      <c r="C98" s="5">
        <f>3800*1.02</f>
        <v>3876</v>
      </c>
      <c r="D98" s="1">
        <f>B98*$B$110</f>
        <v>11343.547130624</v>
      </c>
      <c r="E98" s="5">
        <f>C98*$B$111</f>
        <v>1158.4602944225585</v>
      </c>
      <c r="F98" s="5">
        <v>189</v>
      </c>
      <c r="G98" s="1">
        <f t="shared" si="3"/>
        <v>6.129419547209304</v>
      </c>
      <c r="H98" s="3">
        <f t="shared" si="2"/>
        <v>69529.359517136763</v>
      </c>
      <c r="I98" t="s">
        <v>153</v>
      </c>
    </row>
    <row r="99" spans="1:9" x14ac:dyDescent="0.3">
      <c r="A99" t="s">
        <v>102</v>
      </c>
      <c r="B99" s="3">
        <v>8935000</v>
      </c>
      <c r="C99" s="5">
        <v>2386</v>
      </c>
      <c r="D99" s="1">
        <f>B99*$B$110</f>
        <v>14980.534112333904</v>
      </c>
      <c r="E99" s="5">
        <f>C99*$B$111</f>
        <v>713.1285506945884</v>
      </c>
      <c r="F99" s="5">
        <v>189</v>
      </c>
      <c r="G99" s="1">
        <f t="shared" si="3"/>
        <v>3.7731669348920023</v>
      </c>
      <c r="H99" s="3">
        <f t="shared" si="2"/>
        <v>56524.055979680001</v>
      </c>
      <c r="I99" t="s">
        <v>196</v>
      </c>
    </row>
    <row r="100" spans="1:9" x14ac:dyDescent="0.3">
      <c r="A100" t="s">
        <v>103</v>
      </c>
      <c r="B100" s="3">
        <v>7252672</v>
      </c>
      <c r="C100" s="5">
        <f>5500*1.02</f>
        <v>5610</v>
      </c>
      <c r="D100" s="1">
        <f>B100*$B$110</f>
        <v>12159.921690158808</v>
      </c>
      <c r="E100" s="5">
        <f>C100*$B$111</f>
        <v>1676.7188471905454</v>
      </c>
      <c r="F100" s="5">
        <v>189</v>
      </c>
      <c r="G100" s="1">
        <f t="shared" si="3"/>
        <v>8.8715282920134673</v>
      </c>
      <c r="H100" s="3">
        <f t="shared" si="2"/>
        <v>107877.08930291208</v>
      </c>
      <c r="I100" t="s">
        <v>152</v>
      </c>
    </row>
    <row r="101" spans="1:9" x14ac:dyDescent="0.3">
      <c r="A101" t="s">
        <v>104</v>
      </c>
      <c r="B101" s="3">
        <v>6596500</v>
      </c>
      <c r="C101" s="5">
        <f>877*1.02</f>
        <v>894.54</v>
      </c>
      <c r="D101" s="1">
        <f>B101*$B$110</f>
        <v>11059.775408171303</v>
      </c>
      <c r="E101" s="5">
        <f>C101*$B$111</f>
        <v>267.36044163383787</v>
      </c>
      <c r="F101" s="5">
        <v>189</v>
      </c>
      <c r="G101" s="1">
        <f t="shared" si="3"/>
        <v>1.4146055112901474</v>
      </c>
      <c r="H101" s="3">
        <f t="shared" si="2"/>
        <v>15645.219246030365</v>
      </c>
      <c r="I101" t="s">
        <v>146</v>
      </c>
    </row>
    <row r="102" spans="1:9" x14ac:dyDescent="0.3">
      <c r="A102" t="s">
        <v>105</v>
      </c>
      <c r="B102" s="3">
        <v>9313800</v>
      </c>
      <c r="C102" s="5">
        <f>598*1.02</f>
        <v>609.96</v>
      </c>
      <c r="D102" s="1">
        <f>B102*$B$110</f>
        <v>15615.634987739844</v>
      </c>
      <c r="E102" s="5">
        <f>C102*$B$111</f>
        <v>182.30506738544474</v>
      </c>
      <c r="F102" s="5">
        <v>189</v>
      </c>
      <c r="G102" s="1">
        <f t="shared" si="3"/>
        <v>0.96457707611346422</v>
      </c>
      <c r="H102" s="3">
        <f t="shared" si="2"/>
        <v>15062.483538129211</v>
      </c>
      <c r="I102" t="s">
        <v>146</v>
      </c>
    </row>
    <row r="103" spans="1:9" x14ac:dyDescent="0.3">
      <c r="A103" t="s">
        <v>106</v>
      </c>
      <c r="B103" s="3">
        <v>5111238</v>
      </c>
      <c r="C103" s="5">
        <f>11700*1.02</f>
        <v>11934</v>
      </c>
      <c r="D103" s="1">
        <f>B103*$B$110</f>
        <v>8569.5663363466501</v>
      </c>
      <c r="E103" s="5">
        <f>C103*$B$111</f>
        <v>3566.8382749326147</v>
      </c>
      <c r="F103" s="5">
        <v>189</v>
      </c>
      <c r="G103" s="1">
        <f t="shared" si="3"/>
        <v>18.872160184828648</v>
      </c>
      <c r="H103" s="3">
        <f t="shared" si="2"/>
        <v>161726.22861404915</v>
      </c>
      <c r="I103" t="s">
        <v>151</v>
      </c>
    </row>
    <row r="104" spans="1:9" x14ac:dyDescent="0.3">
      <c r="A104" t="s">
        <v>107</v>
      </c>
      <c r="B104" s="3">
        <v>8100318</v>
      </c>
      <c r="C104" s="5">
        <v>6693</v>
      </c>
      <c r="D104" s="1">
        <f>B104*$B$110</f>
        <v>13581.095704505018</v>
      </c>
      <c r="E104" s="5">
        <f>C104*$B$111</f>
        <v>2000.4062823968484</v>
      </c>
      <c r="F104" s="5">
        <v>189</v>
      </c>
      <c r="G104" s="1">
        <f t="shared" si="3"/>
        <v>10.584160224321948</v>
      </c>
      <c r="H104" s="3">
        <f t="shared" si="2"/>
        <v>143744.49295833168</v>
      </c>
      <c r="I104" t="s">
        <v>197</v>
      </c>
    </row>
    <row r="105" spans="1:9" x14ac:dyDescent="0.3">
      <c r="A105" t="s">
        <v>108</v>
      </c>
      <c r="B105" s="3">
        <v>6527691</v>
      </c>
      <c r="C105" s="5">
        <f>1900*1.02</f>
        <v>1938</v>
      </c>
      <c r="D105" s="1">
        <f>B105*$B$110</f>
        <v>10944.409367686067</v>
      </c>
      <c r="E105" s="5">
        <f>C105*$B$111</f>
        <v>579.23014721127925</v>
      </c>
      <c r="F105" s="5">
        <v>189</v>
      </c>
      <c r="G105" s="1">
        <f t="shared" si="3"/>
        <v>3.064709773604652</v>
      </c>
      <c r="H105" s="3">
        <f t="shared" si="2"/>
        <v>33541.438355477796</v>
      </c>
      <c r="I105" t="s">
        <v>150</v>
      </c>
    </row>
    <row r="106" spans="1:9" x14ac:dyDescent="0.3">
      <c r="A106" t="s">
        <v>109</v>
      </c>
      <c r="B106" s="3">
        <v>7231210</v>
      </c>
      <c r="C106" s="5">
        <v>5774</v>
      </c>
      <c r="D106" s="1">
        <f>B106*$B$110</f>
        <v>12123.938229261337</v>
      </c>
      <c r="E106" s="5">
        <f>C106*$B$111</f>
        <v>1725.7352270371139</v>
      </c>
      <c r="F106" s="5">
        <v>189</v>
      </c>
      <c r="G106" s="1">
        <f t="shared" si="3"/>
        <v>9.1308742171275874</v>
      </c>
      <c r="H106" s="3">
        <f t="shared" si="2"/>
        <v>110702.15498760984</v>
      </c>
      <c r="I106" t="s">
        <v>198</v>
      </c>
    </row>
    <row r="107" spans="1:9" x14ac:dyDescent="0.3">
      <c r="A107" t="s">
        <v>111</v>
      </c>
      <c r="B107" s="3">
        <v>5633412</v>
      </c>
      <c r="C107" s="5">
        <f>805*1.02^2</f>
        <v>837.52200000000005</v>
      </c>
      <c r="D107" s="1">
        <f>B107*$B$110</f>
        <v>9445.0498751909527</v>
      </c>
      <c r="E107" s="5">
        <f>C107*$B$111</f>
        <v>250.31888098693761</v>
      </c>
      <c r="F107" s="5">
        <v>189</v>
      </c>
      <c r="G107" s="1">
        <f t="shared" si="3"/>
        <v>1.3244385237404106</v>
      </c>
      <c r="H107" s="3">
        <f t="shared" si="2"/>
        <v>12509.387913352455</v>
      </c>
      <c r="I107" t="s">
        <v>149</v>
      </c>
    </row>
    <row r="108" spans="1:9" x14ac:dyDescent="0.3">
      <c r="H108" s="3">
        <f>SUM(H2:H107)</f>
        <v>180515569.85042733</v>
      </c>
    </row>
    <row r="109" spans="1:9" x14ac:dyDescent="0.3">
      <c r="A109" s="6" t="s">
        <v>203</v>
      </c>
      <c r="E109" s="3"/>
    </row>
    <row r="110" spans="1:9" x14ac:dyDescent="0.3">
      <c r="A110" t="s">
        <v>204</v>
      </c>
      <c r="B110" s="2">
        <f>D40/B40</f>
        <v>1.6766126594665812E-3</v>
      </c>
    </row>
    <row r="111" spans="1:9" x14ac:dyDescent="0.3">
      <c r="A111" t="s">
        <v>205</v>
      </c>
      <c r="B111" s="2">
        <f>E40/C40</f>
        <v>0.29888036491810077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A0D2-2F63-4256-A9C3-A2A0201FE89B}">
  <dimension ref="B2:C36"/>
  <sheetViews>
    <sheetView workbookViewId="0">
      <selection activeCell="B6" sqref="B6"/>
    </sheetView>
  </sheetViews>
  <sheetFormatPr defaultRowHeight="14.4" x14ac:dyDescent="0.3"/>
  <cols>
    <col min="2" max="2" width="14.6640625" bestFit="1" customWidth="1"/>
  </cols>
  <sheetData>
    <row r="2" spans="2:3" x14ac:dyDescent="0.3">
      <c r="B2" t="s">
        <v>115</v>
      </c>
      <c r="C2" s="1">
        <v>66921.898895999984</v>
      </c>
    </row>
    <row r="3" spans="2:3" x14ac:dyDescent="0.3">
      <c r="B3" t="s">
        <v>131</v>
      </c>
      <c r="C3" s="1">
        <v>66095.217863999991</v>
      </c>
    </row>
    <row r="4" spans="2:3" x14ac:dyDescent="0.3">
      <c r="B4" t="s">
        <v>134</v>
      </c>
      <c r="C4" s="1">
        <v>65568.858695999996</v>
      </c>
    </row>
    <row r="5" spans="2:3" x14ac:dyDescent="0.3">
      <c r="B5" t="s">
        <v>8</v>
      </c>
      <c r="C5" s="1">
        <v>64264.634063999991</v>
      </c>
    </row>
    <row r="6" spans="2:3" x14ac:dyDescent="0.3">
      <c r="B6" t="s">
        <v>44</v>
      </c>
      <c r="C6" s="1">
        <v>56113.495415999998</v>
      </c>
    </row>
    <row r="7" spans="2:3" x14ac:dyDescent="0.3">
      <c r="B7" t="s">
        <v>118</v>
      </c>
      <c r="C7" s="1">
        <v>54616.130927999999</v>
      </c>
    </row>
    <row r="8" spans="2:3" x14ac:dyDescent="0.3">
      <c r="B8" t="s">
        <v>87</v>
      </c>
      <c r="C8" s="1">
        <v>54346.584095999999</v>
      </c>
    </row>
    <row r="9" spans="2:3" x14ac:dyDescent="0.3">
      <c r="B9" t="s">
        <v>66</v>
      </c>
      <c r="C9" s="1">
        <v>53430.761591999995</v>
      </c>
    </row>
    <row r="10" spans="2:3" x14ac:dyDescent="0.3">
      <c r="B10" t="s">
        <v>58</v>
      </c>
      <c r="C10" s="1">
        <v>52715.507399999995</v>
      </c>
    </row>
    <row r="11" spans="2:3" x14ac:dyDescent="0.3">
      <c r="B11" t="s">
        <v>40</v>
      </c>
      <c r="C11" s="1">
        <v>52132.904207999993</v>
      </c>
    </row>
    <row r="12" spans="2:3" x14ac:dyDescent="0.3">
      <c r="B12" t="s">
        <v>98</v>
      </c>
      <c r="C12" s="1">
        <v>50569.744823999994</v>
      </c>
    </row>
    <row r="13" spans="2:3" x14ac:dyDescent="0.3">
      <c r="B13" t="s">
        <v>33</v>
      </c>
      <c r="C13" s="1">
        <v>50536.847375999998</v>
      </c>
    </row>
    <row r="14" spans="2:3" x14ac:dyDescent="0.3">
      <c r="B14" t="s">
        <v>14</v>
      </c>
      <c r="C14" s="1">
        <v>50497.58268</v>
      </c>
    </row>
    <row r="15" spans="2:3" x14ac:dyDescent="0.3">
      <c r="B15" t="s">
        <v>18</v>
      </c>
      <c r="C15" s="1">
        <v>46433.156040000002</v>
      </c>
    </row>
    <row r="16" spans="2:3" x14ac:dyDescent="0.3">
      <c r="B16" t="s">
        <v>135</v>
      </c>
      <c r="C16" s="1">
        <v>46408.748255999999</v>
      </c>
    </row>
    <row r="17" spans="2:3" x14ac:dyDescent="0.3">
      <c r="B17" t="s">
        <v>84</v>
      </c>
      <c r="C17" s="1">
        <v>45593.740511999997</v>
      </c>
    </row>
    <row r="18" spans="2:3" x14ac:dyDescent="0.3">
      <c r="B18" t="s">
        <v>117</v>
      </c>
      <c r="C18" s="1">
        <v>53109.215568</v>
      </c>
    </row>
    <row r="19" spans="2:3" x14ac:dyDescent="0.3">
      <c r="B19" t="s">
        <v>12</v>
      </c>
      <c r="C19" s="1">
        <v>43364.142504000003</v>
      </c>
    </row>
    <row r="20" spans="2:3" x14ac:dyDescent="0.3">
      <c r="B20" t="s">
        <v>97</v>
      </c>
      <c r="C20" s="1">
        <v>42493.951943999993</v>
      </c>
    </row>
    <row r="21" spans="2:3" x14ac:dyDescent="0.3">
      <c r="B21" t="s">
        <v>119</v>
      </c>
      <c r="C21" s="1">
        <v>42432.40187999999</v>
      </c>
    </row>
    <row r="22" spans="2:3" x14ac:dyDescent="0.3">
      <c r="B22" t="s">
        <v>31</v>
      </c>
      <c r="C22" s="1">
        <v>40863.936455999996</v>
      </c>
    </row>
    <row r="23" spans="2:3" x14ac:dyDescent="0.3">
      <c r="B23" t="s">
        <v>22</v>
      </c>
      <c r="C23" s="1">
        <v>40465.983455999994</v>
      </c>
    </row>
    <row r="24" spans="2:3" x14ac:dyDescent="0.3">
      <c r="B24" t="s">
        <v>81</v>
      </c>
      <c r="C24" s="1">
        <v>38967.557759999996</v>
      </c>
    </row>
    <row r="25" spans="2:3" x14ac:dyDescent="0.3">
      <c r="B25" t="s">
        <v>112</v>
      </c>
      <c r="C25" s="1">
        <v>37071.179063999996</v>
      </c>
    </row>
    <row r="26" spans="2:3" x14ac:dyDescent="0.3">
      <c r="B26" t="s">
        <v>36</v>
      </c>
      <c r="C26" s="1">
        <v>28701.431567999996</v>
      </c>
    </row>
    <row r="27" spans="2:3" x14ac:dyDescent="0.3">
      <c r="B27" t="s">
        <v>63</v>
      </c>
      <c r="C27" s="1">
        <v>27659.325311999997</v>
      </c>
    </row>
    <row r="28" spans="2:3" x14ac:dyDescent="0.3">
      <c r="B28" t="s">
        <v>53</v>
      </c>
      <c r="C28" s="1">
        <v>27463.001831999998</v>
      </c>
    </row>
    <row r="29" spans="2:3" x14ac:dyDescent="0.3">
      <c r="B29" t="s">
        <v>62</v>
      </c>
      <c r="C29" s="1">
        <v>26926.030584</v>
      </c>
    </row>
    <row r="30" spans="2:3" x14ac:dyDescent="0.3">
      <c r="B30" t="s">
        <v>67</v>
      </c>
      <c r="C30" s="1">
        <v>26919.663335999998</v>
      </c>
    </row>
    <row r="31" spans="2:3" x14ac:dyDescent="0.3">
      <c r="B31" t="s">
        <v>114</v>
      </c>
      <c r="C31" s="1">
        <v>25825.557887999996</v>
      </c>
    </row>
    <row r="32" spans="2:3" x14ac:dyDescent="0.3">
      <c r="B32" t="s">
        <v>95</v>
      </c>
      <c r="C32" s="1">
        <v>25817.068223999995</v>
      </c>
    </row>
    <row r="33" spans="2:3" x14ac:dyDescent="0.3">
      <c r="B33" t="s">
        <v>110</v>
      </c>
      <c r="C33" s="1">
        <v>25773.558696</v>
      </c>
    </row>
    <row r="34" spans="2:3" x14ac:dyDescent="0.3">
      <c r="B34" t="s">
        <v>113</v>
      </c>
      <c r="C34" s="1">
        <v>25132.589063999996</v>
      </c>
    </row>
    <row r="35" spans="2:3" x14ac:dyDescent="0.3">
      <c r="B35" t="s">
        <v>70</v>
      </c>
      <c r="C35" s="1">
        <v>23957.831807999999</v>
      </c>
    </row>
    <row r="36" spans="2:3" x14ac:dyDescent="0.3">
      <c r="B36" t="s">
        <v>16</v>
      </c>
      <c r="C36" s="1">
        <v>16251.339311999998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2021-06-10T07:14:32Z</dcterms:created>
  <dcterms:modified xsi:type="dcterms:W3CDTF">2021-06-10T10:35:19Z</dcterms:modified>
</cp:coreProperties>
</file>