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realu\adaptation\matrix-blog\data\"/>
    </mc:Choice>
  </mc:AlternateContent>
  <xr:revisionPtr revIDLastSave="0" documentId="13_ncr:1_{525DAF72-1B5F-42D7-B0E1-349891141B8C}" xr6:coauthVersionLast="47" xr6:coauthVersionMax="47" xr10:uidLastSave="{00000000-0000-0000-0000-000000000000}"/>
  <bookViews>
    <workbookView xWindow="-98" yWindow="-98" windowWidth="24496" windowHeight="15796" activeTab="4" xr2:uid="{1318503A-D1EA-427B-9D04-306C48C4D79B}"/>
  </bookViews>
  <sheets>
    <sheet name="MATRIX" sheetId="1" r:id="rId1"/>
    <sheet name="STAKING_SHAPE" sheetId="2" r:id="rId2"/>
    <sheet name="LP_SHAPE" sheetId="3" r:id="rId3"/>
    <sheet name="TES" sheetId="4" r:id="rId4"/>
    <sheet name="token_distribution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4"/>
  <c r="F2" i="4"/>
  <c r="G2" i="4"/>
  <c r="B70" i="4" s="1"/>
  <c r="H2" i="4"/>
  <c r="I2" i="4"/>
  <c r="J2" i="4"/>
  <c r="B73" i="4" s="1"/>
  <c r="K2" i="4"/>
  <c r="B64" i="4" s="1"/>
  <c r="C64" i="4" s="1"/>
  <c r="L2" i="4"/>
  <c r="C32" i="1"/>
  <c r="C31" i="1"/>
  <c r="C30" i="1"/>
  <c r="C29" i="1"/>
  <c r="C28" i="1"/>
  <c r="C27" i="1"/>
  <c r="C26" i="1"/>
  <c r="C25" i="1"/>
  <c r="C24" i="1"/>
  <c r="C23" i="1"/>
  <c r="B19" i="1"/>
  <c r="B8" i="1"/>
  <c r="C2" i="1"/>
  <c r="D2" i="1"/>
  <c r="E2" i="1"/>
  <c r="F2" i="1"/>
  <c r="G2" i="1"/>
  <c r="H2" i="1"/>
  <c r="I2" i="1"/>
  <c r="J2" i="1"/>
  <c r="K2" i="1"/>
  <c r="B2" i="1"/>
  <c r="B32" i="1"/>
  <c r="B31" i="1"/>
  <c r="B30" i="1"/>
  <c r="B29" i="1"/>
  <c r="B28" i="1"/>
  <c r="B27" i="1"/>
  <c r="B26" i="1"/>
  <c r="B25" i="1"/>
  <c r="B24" i="1"/>
  <c r="B23" i="1"/>
  <c r="A32" i="1"/>
  <c r="A31" i="1"/>
  <c r="A30" i="1"/>
  <c r="A29" i="1"/>
  <c r="A28" i="1"/>
  <c r="A27" i="1"/>
  <c r="A26" i="1"/>
  <c r="A25" i="1"/>
  <c r="A24" i="1"/>
  <c r="A23" i="1"/>
  <c r="B72" i="4"/>
  <c r="B69" i="4"/>
  <c r="C69" i="4" s="1"/>
  <c r="D69" i="4" s="1"/>
  <c r="B68" i="4"/>
  <c r="C68" i="4" s="1"/>
  <c r="F68" i="4" s="1"/>
  <c r="B67" i="4"/>
  <c r="C67" i="4" s="1"/>
  <c r="F67" i="4" s="1"/>
  <c r="D65" i="4"/>
  <c r="B65" i="4"/>
  <c r="C65" i="4" s="1"/>
  <c r="M56" i="4"/>
  <c r="AV56" i="4" s="1"/>
  <c r="B56" i="4"/>
  <c r="Y55" i="4"/>
  <c r="M55" i="4"/>
  <c r="AV55" i="4" s="1"/>
  <c r="B55" i="4"/>
  <c r="AD54" i="4"/>
  <c r="Y54" i="4"/>
  <c r="B54" i="4"/>
  <c r="M54" i="4" s="1"/>
  <c r="AV54" i="4" s="1"/>
  <c r="AD53" i="4"/>
  <c r="Y53" i="4"/>
  <c r="M53" i="4"/>
  <c r="AV53" i="4" s="1"/>
  <c r="B53" i="4"/>
  <c r="AD52" i="4"/>
  <c r="Y52" i="4"/>
  <c r="B52" i="4"/>
  <c r="M52" i="4" s="1"/>
  <c r="AV52" i="4" s="1"/>
  <c r="AD51" i="4"/>
  <c r="AA51" i="4"/>
  <c r="Z51" i="4" s="1"/>
  <c r="B51" i="4"/>
  <c r="M51" i="4" s="1"/>
  <c r="AV51" i="4" s="1"/>
  <c r="AA50" i="4"/>
  <c r="Z50" i="4" s="1"/>
  <c r="B50" i="4"/>
  <c r="M50" i="4" s="1"/>
  <c r="AV50" i="4" s="1"/>
  <c r="AA49" i="4"/>
  <c r="B49" i="4"/>
  <c r="M49" i="4" s="1"/>
  <c r="AV49" i="4" s="1"/>
  <c r="AA48" i="4"/>
  <c r="Z48" i="4" s="1"/>
  <c r="B48" i="4"/>
  <c r="M48" i="4" s="1"/>
  <c r="AV48" i="4" s="1"/>
  <c r="AA47" i="4"/>
  <c r="B47" i="4"/>
  <c r="M47" i="4" s="1"/>
  <c r="AV47" i="4" s="1"/>
  <c r="AA46" i="4"/>
  <c r="B46" i="4"/>
  <c r="M46" i="4" s="1"/>
  <c r="AV46" i="4" s="1"/>
  <c r="AA45" i="4"/>
  <c r="B45" i="4"/>
  <c r="M45" i="4" s="1"/>
  <c r="AV45" i="4" s="1"/>
  <c r="AA44" i="4"/>
  <c r="I44" i="4"/>
  <c r="AC56" i="4" s="1"/>
  <c r="Q56" i="4" s="1"/>
  <c r="H44" i="4"/>
  <c r="Z47" i="4" s="1"/>
  <c r="G44" i="4"/>
  <c r="B44" i="4"/>
  <c r="M44" i="4" s="1"/>
  <c r="AV44" i="4" s="1"/>
  <c r="I43" i="4"/>
  <c r="AC55" i="4" s="1"/>
  <c r="Q55" i="4" s="1"/>
  <c r="H43" i="4"/>
  <c r="G43" i="4"/>
  <c r="B43" i="4"/>
  <c r="M43" i="4" s="1"/>
  <c r="AV43" i="4" s="1"/>
  <c r="I42" i="4"/>
  <c r="AC54" i="4" s="1"/>
  <c r="Q54" i="4" s="1"/>
  <c r="H42" i="4"/>
  <c r="Z45" i="4" s="1"/>
  <c r="G42" i="4"/>
  <c r="B42" i="4"/>
  <c r="M42" i="4" s="1"/>
  <c r="AV42" i="4" s="1"/>
  <c r="I41" i="4"/>
  <c r="AC53" i="4" s="1"/>
  <c r="Q53" i="4" s="1"/>
  <c r="H41" i="4"/>
  <c r="G41" i="4"/>
  <c r="B41" i="4"/>
  <c r="M41" i="4" s="1"/>
  <c r="AV41" i="4" s="1"/>
  <c r="I40" i="4"/>
  <c r="AC52" i="4" s="1"/>
  <c r="H40" i="4"/>
  <c r="G40" i="4"/>
  <c r="B40" i="4"/>
  <c r="M40" i="4" s="1"/>
  <c r="AV40" i="4" s="1"/>
  <c r="AA39" i="4"/>
  <c r="I39" i="4"/>
  <c r="AC51" i="4" s="1"/>
  <c r="H39" i="4"/>
  <c r="G39" i="4"/>
  <c r="B39" i="4"/>
  <c r="M39" i="4" s="1"/>
  <c r="AV39" i="4" s="1"/>
  <c r="M38" i="4"/>
  <c r="AV38" i="4" s="1"/>
  <c r="I38" i="4"/>
  <c r="AC50" i="4" s="1"/>
  <c r="H38" i="4"/>
  <c r="G38" i="4"/>
  <c r="B38" i="4"/>
  <c r="M37" i="4"/>
  <c r="AV37" i="4" s="1"/>
  <c r="J37" i="4"/>
  <c r="AD49" i="4" s="1"/>
  <c r="I37" i="4"/>
  <c r="AC49" i="4" s="1"/>
  <c r="H37" i="4"/>
  <c r="G37" i="4"/>
  <c r="B37" i="4"/>
  <c r="M36" i="4"/>
  <c r="AV36" i="4" s="1"/>
  <c r="I36" i="4"/>
  <c r="AC48" i="4" s="1"/>
  <c r="H36" i="4"/>
  <c r="G36" i="4"/>
  <c r="B36" i="4"/>
  <c r="M35" i="4"/>
  <c r="AV35" i="4" s="1"/>
  <c r="J35" i="4"/>
  <c r="AD47" i="4" s="1"/>
  <c r="I35" i="4"/>
  <c r="AC47" i="4" s="1"/>
  <c r="H35" i="4"/>
  <c r="G35" i="4"/>
  <c r="B35" i="4"/>
  <c r="M34" i="4"/>
  <c r="AV34" i="4" s="1"/>
  <c r="I34" i="4"/>
  <c r="AC46" i="4" s="1"/>
  <c r="H34" i="4"/>
  <c r="G34" i="4"/>
  <c r="B34" i="4"/>
  <c r="M33" i="4"/>
  <c r="AV33" i="4" s="1"/>
  <c r="J33" i="4"/>
  <c r="AD45" i="4" s="1"/>
  <c r="I33" i="4"/>
  <c r="AC45" i="4" s="1"/>
  <c r="H33" i="4"/>
  <c r="G33" i="4"/>
  <c r="B33" i="4"/>
  <c r="I32" i="4"/>
  <c r="AC44" i="4" s="1"/>
  <c r="H32" i="4"/>
  <c r="G32" i="4"/>
  <c r="B32" i="4"/>
  <c r="M32" i="4" s="1"/>
  <c r="AV32" i="4" s="1"/>
  <c r="AA31" i="4"/>
  <c r="M31" i="4"/>
  <c r="AV31" i="4" s="1"/>
  <c r="J31" i="4"/>
  <c r="AD43" i="4" s="1"/>
  <c r="I31" i="4"/>
  <c r="AC43" i="4" s="1"/>
  <c r="H31" i="4"/>
  <c r="G31" i="4"/>
  <c r="B31" i="4"/>
  <c r="AV30" i="4"/>
  <c r="I30" i="4"/>
  <c r="AC42" i="4" s="1"/>
  <c r="H30" i="4"/>
  <c r="G30" i="4"/>
  <c r="B30" i="4"/>
  <c r="M30" i="4" s="1"/>
  <c r="M29" i="4"/>
  <c r="AV29" i="4" s="1"/>
  <c r="J29" i="4"/>
  <c r="AD41" i="4" s="1"/>
  <c r="I29" i="4"/>
  <c r="AC41" i="4" s="1"/>
  <c r="H29" i="4"/>
  <c r="G29" i="4"/>
  <c r="B29" i="4"/>
  <c r="I28" i="4"/>
  <c r="AC40" i="4" s="1"/>
  <c r="H28" i="4"/>
  <c r="G28" i="4"/>
  <c r="B28" i="4"/>
  <c r="M28" i="4" s="1"/>
  <c r="AV28" i="4" s="1"/>
  <c r="AA27" i="4"/>
  <c r="M27" i="4"/>
  <c r="AV27" i="4" s="1"/>
  <c r="I27" i="4"/>
  <c r="AC39" i="4" s="1"/>
  <c r="H27" i="4"/>
  <c r="AA30" i="4" s="1"/>
  <c r="G27" i="4"/>
  <c r="B27" i="4"/>
  <c r="I26" i="4"/>
  <c r="AC38" i="4" s="1"/>
  <c r="H26" i="4"/>
  <c r="G26" i="4"/>
  <c r="B26" i="4"/>
  <c r="M26" i="4" s="1"/>
  <c r="AV26" i="4" s="1"/>
  <c r="M25" i="4"/>
  <c r="AV25" i="4" s="1"/>
  <c r="J25" i="4"/>
  <c r="AD37" i="4" s="1"/>
  <c r="I25" i="4"/>
  <c r="AC37" i="4" s="1"/>
  <c r="H25" i="4"/>
  <c r="G25" i="4"/>
  <c r="B25" i="4"/>
  <c r="I24" i="4"/>
  <c r="AC36" i="4" s="1"/>
  <c r="H24" i="4"/>
  <c r="G24" i="4"/>
  <c r="B24" i="4"/>
  <c r="M24" i="4" s="1"/>
  <c r="AV24" i="4" s="1"/>
  <c r="M23" i="4"/>
  <c r="AV23" i="4" s="1"/>
  <c r="J23" i="4"/>
  <c r="AD35" i="4" s="1"/>
  <c r="I23" i="4"/>
  <c r="AC35" i="4" s="1"/>
  <c r="H23" i="4"/>
  <c r="AA26" i="4" s="1"/>
  <c r="G23" i="4"/>
  <c r="B23" i="4"/>
  <c r="AV22" i="4"/>
  <c r="I22" i="4"/>
  <c r="AC34" i="4" s="1"/>
  <c r="H22" i="4"/>
  <c r="G22" i="4"/>
  <c r="B22" i="4"/>
  <c r="M22" i="4" s="1"/>
  <c r="M21" i="4"/>
  <c r="AV21" i="4" s="1"/>
  <c r="J21" i="4"/>
  <c r="AD33" i="4" s="1"/>
  <c r="I21" i="4"/>
  <c r="H21" i="4"/>
  <c r="AA24" i="4" s="1"/>
  <c r="G21" i="4"/>
  <c r="B21" i="4"/>
  <c r="AV20" i="4"/>
  <c r="H20" i="4"/>
  <c r="G20" i="4"/>
  <c r="B20" i="4"/>
  <c r="M20" i="4" s="1"/>
  <c r="H19" i="4"/>
  <c r="G19" i="4"/>
  <c r="B19" i="4"/>
  <c r="M19" i="4" s="1"/>
  <c r="AV19" i="4" s="1"/>
  <c r="M18" i="4"/>
  <c r="AV18" i="4" s="1"/>
  <c r="H18" i="4"/>
  <c r="G18" i="4"/>
  <c r="B18" i="4"/>
  <c r="AA17" i="4"/>
  <c r="Y17" i="4" s="1"/>
  <c r="H17" i="4"/>
  <c r="G17" i="4"/>
  <c r="B17" i="4"/>
  <c r="M17" i="4" s="1"/>
  <c r="AV17" i="4" s="1"/>
  <c r="M16" i="4"/>
  <c r="AV16" i="4" s="1"/>
  <c r="H16" i="4"/>
  <c r="G16" i="4"/>
  <c r="B16" i="4"/>
  <c r="AV15" i="4"/>
  <c r="H15" i="4"/>
  <c r="AA18" i="4" s="1"/>
  <c r="Y18" i="4" s="1"/>
  <c r="G15" i="4"/>
  <c r="B15" i="4"/>
  <c r="M15" i="4" s="1"/>
  <c r="M14" i="4"/>
  <c r="AV14" i="4" s="1"/>
  <c r="H14" i="4"/>
  <c r="G14" i="4"/>
  <c r="B14" i="4"/>
  <c r="AA13" i="4"/>
  <c r="Y13" i="4" s="1"/>
  <c r="H13" i="4"/>
  <c r="G13" i="4"/>
  <c r="B13" i="4"/>
  <c r="M13" i="4" s="1"/>
  <c r="AV13" i="4" s="1"/>
  <c r="M12" i="4"/>
  <c r="AV12" i="4" s="1"/>
  <c r="H12" i="4"/>
  <c r="G12" i="4"/>
  <c r="B12" i="4"/>
  <c r="Q11" i="4"/>
  <c r="M11" i="4"/>
  <c r="AV11" i="4" s="1"/>
  <c r="H11" i="4"/>
  <c r="AA14" i="4" s="1"/>
  <c r="Y14" i="4" s="1"/>
  <c r="G11" i="4"/>
  <c r="B11" i="4"/>
  <c r="Q10" i="4"/>
  <c r="M10" i="4"/>
  <c r="AV10" i="4" s="1"/>
  <c r="H10" i="4"/>
  <c r="AB22" i="4" s="1"/>
  <c r="G10" i="4"/>
  <c r="B10" i="4"/>
  <c r="AY9" i="4"/>
  <c r="Q9" i="4"/>
  <c r="M9" i="4"/>
  <c r="AV9" i="4" s="1"/>
  <c r="H9" i="4"/>
  <c r="G9" i="4"/>
  <c r="B9" i="4"/>
  <c r="AL8" i="4"/>
  <c r="L8" i="4"/>
  <c r="F8" i="4"/>
  <c r="F58" i="4" s="1"/>
  <c r="E8" i="4"/>
  <c r="D8" i="4"/>
  <c r="AS5" i="4"/>
  <c r="AB5" i="4"/>
  <c r="AB35" i="4" s="1"/>
  <c r="Z26" i="4" s="1"/>
  <c r="X26" i="4" s="1"/>
  <c r="X5" i="4"/>
  <c r="AK8" i="4" l="1"/>
  <c r="AP8" i="4"/>
  <c r="AP9" i="4" s="1"/>
  <c r="K8" i="4"/>
  <c r="J30" i="4"/>
  <c r="AD42" i="4" s="1"/>
  <c r="D74" i="4"/>
  <c r="D75" i="4" s="1"/>
  <c r="J26" i="4"/>
  <c r="AD38" i="4" s="1"/>
  <c r="AD8" i="4" s="1"/>
  <c r="J28" i="4"/>
  <c r="AD40" i="4" s="1"/>
  <c r="J22" i="4"/>
  <c r="AD34" i="4" s="1"/>
  <c r="J24" i="4"/>
  <c r="AD36" i="4" s="1"/>
  <c r="J27" i="4"/>
  <c r="AD39" i="4" s="1"/>
  <c r="J32" i="4"/>
  <c r="AD44" i="4" s="1"/>
  <c r="J34" i="4"/>
  <c r="AD46" i="4" s="1"/>
  <c r="J36" i="4"/>
  <c r="AD48" i="4" s="1"/>
  <c r="J38" i="4"/>
  <c r="AD50" i="4" s="1"/>
  <c r="AB28" i="4"/>
  <c r="AB29" i="4"/>
  <c r="AA20" i="4"/>
  <c r="Y20" i="4" s="1"/>
  <c r="B71" i="4"/>
  <c r="AB25" i="4"/>
  <c r="AA16" i="4"/>
  <c r="Y16" i="4" s="1"/>
  <c r="AB40" i="4"/>
  <c r="D58" i="4"/>
  <c r="V44" i="4"/>
  <c r="V42" i="4"/>
  <c r="V39" i="4"/>
  <c r="V40" i="4"/>
  <c r="V41" i="4"/>
  <c r="V37" i="4"/>
  <c r="V31" i="4"/>
  <c r="V27" i="4"/>
  <c r="V23" i="4"/>
  <c r="V43" i="4"/>
  <c r="V38" i="4"/>
  <c r="V32" i="4"/>
  <c r="V28" i="4"/>
  <c r="V24" i="4"/>
  <c r="V35" i="4"/>
  <c r="V29" i="4"/>
  <c r="V25" i="4"/>
  <c r="V21" i="4"/>
  <c r="V26" i="4"/>
  <c r="V33" i="4"/>
  <c r="V30" i="4"/>
  <c r="V36" i="4"/>
  <c r="V34" i="4"/>
  <c r="L58" i="4"/>
  <c r="AB24" i="4"/>
  <c r="AP10" i="4"/>
  <c r="V22" i="4"/>
  <c r="E58" i="4"/>
  <c r="W26" i="4"/>
  <c r="AY10" i="4"/>
  <c r="AB26" i="4"/>
  <c r="AB30" i="4"/>
  <c r="Y30" i="4" s="1"/>
  <c r="Y24" i="4"/>
  <c r="AB34" i="4"/>
  <c r="AA25" i="4"/>
  <c r="Y25" i="4" s="1"/>
  <c r="Y26" i="4"/>
  <c r="AB42" i="4"/>
  <c r="AA33" i="4"/>
  <c r="Y33" i="4" s="1"/>
  <c r="AB32" i="4"/>
  <c r="G58" i="4"/>
  <c r="AB27" i="4"/>
  <c r="Z18" i="4" s="1"/>
  <c r="AA15" i="4"/>
  <c r="Y15" i="4" s="1"/>
  <c r="AB31" i="4"/>
  <c r="Z22" i="4" s="1"/>
  <c r="AA22" i="4"/>
  <c r="Y22" i="4" s="1"/>
  <c r="AA19" i="4"/>
  <c r="Y19" i="4" s="1"/>
  <c r="I58" i="4"/>
  <c r="AC33" i="4"/>
  <c r="AC8" i="4" s="1"/>
  <c r="AB38" i="4"/>
  <c r="AA29" i="4"/>
  <c r="Y29" i="4" s="1"/>
  <c r="T25" i="4"/>
  <c r="T31" i="4"/>
  <c r="AT59" i="4"/>
  <c r="H58" i="4"/>
  <c r="AB21" i="4"/>
  <c r="AB23" i="4"/>
  <c r="Z14" i="4" s="1"/>
  <c r="AA12" i="4"/>
  <c r="Z13" i="4"/>
  <c r="Z17" i="4"/>
  <c r="AA21" i="4"/>
  <c r="Y21" i="4" s="1"/>
  <c r="T22" i="4"/>
  <c r="AA23" i="4"/>
  <c r="Z23" i="4" s="1"/>
  <c r="Z49" i="4"/>
  <c r="AB37" i="4"/>
  <c r="AB41" i="4"/>
  <c r="AB45" i="4"/>
  <c r="AA36" i="4"/>
  <c r="AB46" i="4"/>
  <c r="Z36" i="4"/>
  <c r="AB36" i="4"/>
  <c r="Z27" i="4" s="1"/>
  <c r="AB44" i="4"/>
  <c r="Z35" i="4" s="1"/>
  <c r="AA35" i="4"/>
  <c r="Y35" i="4" s="1"/>
  <c r="AB33" i="4"/>
  <c r="Z24" i="4" s="1"/>
  <c r="AA43" i="4"/>
  <c r="Y43" i="4" s="1"/>
  <c r="Y46" i="4"/>
  <c r="Q46" i="4" s="1"/>
  <c r="J58" i="4"/>
  <c r="AB39" i="4"/>
  <c r="Z30" i="4" s="1"/>
  <c r="AA28" i="4"/>
  <c r="Y28" i="4" s="1"/>
  <c r="AB43" i="4"/>
  <c r="AA34" i="4"/>
  <c r="Z34" i="4" s="1"/>
  <c r="Z31" i="4"/>
  <c r="X31" i="4" s="1"/>
  <c r="AA32" i="4"/>
  <c r="Y32" i="4" s="1"/>
  <c r="AB47" i="4"/>
  <c r="AB48" i="4"/>
  <c r="AB49" i="4"/>
  <c r="Y49" i="4" s="1"/>
  <c r="Q49" i="4" s="1"/>
  <c r="AA37" i="4"/>
  <c r="AB50" i="4"/>
  <c r="Y50" i="4" s="1"/>
  <c r="Q50" i="4" s="1"/>
  <c r="AA38" i="4"/>
  <c r="AB51" i="4"/>
  <c r="Y51" i="4" s="1"/>
  <c r="Q51" i="4" s="1"/>
  <c r="Z40" i="4"/>
  <c r="AA41" i="4"/>
  <c r="Y41" i="4" s="1"/>
  <c r="Z46" i="4"/>
  <c r="Y45" i="4"/>
  <c r="Q45" i="4" s="1"/>
  <c r="Y47" i="4"/>
  <c r="Q47" i="4" s="1"/>
  <c r="Z39" i="4"/>
  <c r="AA40" i="4"/>
  <c r="Y40" i="4" s="1"/>
  <c r="Z44" i="4"/>
  <c r="AA42" i="4"/>
  <c r="Y42" i="4" s="1"/>
  <c r="Y48" i="4"/>
  <c r="Q48" i="4" s="1"/>
  <c r="Q52" i="4"/>
  <c r="T24" i="4" l="1"/>
  <c r="T28" i="4"/>
  <c r="AI8" i="4"/>
  <c r="T26" i="4"/>
  <c r="T29" i="4"/>
  <c r="T32" i="4"/>
  <c r="T23" i="4"/>
  <c r="T30" i="4"/>
  <c r="K58" i="4"/>
  <c r="T27" i="4"/>
  <c r="T21" i="4"/>
  <c r="X27" i="4"/>
  <c r="W27" i="4"/>
  <c r="X30" i="4"/>
  <c r="W30" i="4"/>
  <c r="X24" i="4"/>
  <c r="W24" i="4"/>
  <c r="X23" i="4"/>
  <c r="W23" i="4"/>
  <c r="X22" i="4"/>
  <c r="W22" i="4"/>
  <c r="X14" i="4"/>
  <c r="W14" i="4"/>
  <c r="W34" i="4"/>
  <c r="X34" i="4"/>
  <c r="W35" i="4"/>
  <c r="X35" i="4"/>
  <c r="Y37" i="4"/>
  <c r="Z37" i="4"/>
  <c r="X13" i="4"/>
  <c r="W13" i="4"/>
  <c r="Q13" i="4" s="1"/>
  <c r="AP11" i="4"/>
  <c r="Z41" i="4"/>
  <c r="Y38" i="4"/>
  <c r="Z38" i="4"/>
  <c r="Y44" i="4"/>
  <c r="Y31" i="4"/>
  <c r="X17" i="4"/>
  <c r="W17" i="4"/>
  <c r="AA8" i="4"/>
  <c r="Z12" i="4"/>
  <c r="Y12" i="4"/>
  <c r="Z25" i="4"/>
  <c r="Z15" i="4"/>
  <c r="Z16" i="4"/>
  <c r="Z20" i="4"/>
  <c r="Z42" i="4"/>
  <c r="Y34" i="4"/>
  <c r="X36" i="4"/>
  <c r="W36" i="4"/>
  <c r="Z33" i="4"/>
  <c r="T8" i="4"/>
  <c r="W31" i="4"/>
  <c r="Z19" i="4"/>
  <c r="V8" i="4"/>
  <c r="Z32" i="4"/>
  <c r="AB8" i="4"/>
  <c r="X18" i="4"/>
  <c r="W18" i="4"/>
  <c r="Q18" i="4" s="1"/>
  <c r="X39" i="4"/>
  <c r="W39" i="4"/>
  <c r="W40" i="4"/>
  <c r="X40" i="4"/>
  <c r="Z43" i="4"/>
  <c r="Y36" i="4"/>
  <c r="Y23" i="4"/>
  <c r="Z28" i="4"/>
  <c r="Y39" i="4"/>
  <c r="Z29" i="4"/>
  <c r="Z21" i="4"/>
  <c r="AY11" i="4"/>
  <c r="Y27" i="4"/>
  <c r="X28" i="4" l="1"/>
  <c r="W28" i="4"/>
  <c r="X19" i="4"/>
  <c r="W19" i="4"/>
  <c r="X33" i="4"/>
  <c r="W33" i="4"/>
  <c r="X42" i="4"/>
  <c r="W42" i="4"/>
  <c r="X20" i="4"/>
  <c r="W20" i="4"/>
  <c r="X37" i="4"/>
  <c r="W37" i="4"/>
  <c r="W16" i="4"/>
  <c r="X16" i="4"/>
  <c r="Q17" i="4"/>
  <c r="X38" i="4"/>
  <c r="W38" i="4"/>
  <c r="X21" i="4"/>
  <c r="W21" i="4"/>
  <c r="X15" i="4"/>
  <c r="W15" i="4"/>
  <c r="Y8" i="4"/>
  <c r="AP12" i="4"/>
  <c r="AY12" i="4"/>
  <c r="X29" i="4"/>
  <c r="W29" i="4"/>
  <c r="X32" i="4"/>
  <c r="W32" i="4"/>
  <c r="X25" i="4"/>
  <c r="W25" i="4"/>
  <c r="Z59" i="4"/>
  <c r="W12" i="4"/>
  <c r="Z8" i="4"/>
  <c r="AB4" i="4" s="1"/>
  <c r="X12" i="4"/>
  <c r="Z58" i="4"/>
  <c r="X41" i="4"/>
  <c r="W41" i="4"/>
  <c r="Q14" i="4"/>
  <c r="AY13" i="4" l="1"/>
  <c r="Q16" i="4"/>
  <c r="Q19" i="4"/>
  <c r="W8" i="4"/>
  <c r="Q12" i="4"/>
  <c r="X8" i="4"/>
  <c r="AP13" i="4"/>
  <c r="Q15" i="4"/>
  <c r="Q20" i="4"/>
  <c r="AP14" i="4" l="1"/>
  <c r="AY14" i="4"/>
  <c r="AY15" i="4" l="1"/>
  <c r="AP15" i="4"/>
  <c r="AP16" i="4" l="1"/>
  <c r="AY16" i="4"/>
  <c r="AP17" i="4" l="1"/>
  <c r="AY17" i="4"/>
  <c r="AY18" i="4" l="1"/>
  <c r="AP18" i="4"/>
  <c r="AP19" i="4" l="1"/>
  <c r="AY19" i="4"/>
  <c r="AP20" i="4" l="1"/>
  <c r="AY20" i="4"/>
  <c r="AY21" i="4" l="1"/>
  <c r="AY22" i="4" l="1"/>
  <c r="AY23" i="4" l="1"/>
  <c r="AY24" i="4" l="1"/>
  <c r="AY25" i="4" l="1"/>
  <c r="AY26" i="4" l="1"/>
  <c r="AY27" i="4" l="1"/>
  <c r="AY28" i="4" l="1"/>
  <c r="AY29" i="4" l="1"/>
  <c r="AY30" i="4" l="1"/>
  <c r="AY31" i="4" l="1"/>
  <c r="AY32" i="4" l="1"/>
  <c r="AY33" i="4" l="1"/>
  <c r="AY34" i="4" l="1"/>
  <c r="AY35" i="4" l="1"/>
  <c r="AY36" i="4" l="1"/>
  <c r="AY37" i="4" l="1"/>
  <c r="AY38" i="4" l="1"/>
  <c r="AY39" i="4" l="1"/>
  <c r="AY40" i="4" l="1"/>
  <c r="AY41" i="4" l="1"/>
  <c r="AY42" i="4" l="1"/>
  <c r="AY43" i="4" l="1"/>
  <c r="AY44" i="4" l="1"/>
  <c r="AY45" i="4" l="1"/>
  <c r="AY46" i="4" l="1"/>
  <c r="AY47" i="4" l="1"/>
  <c r="AY48" i="4" l="1"/>
  <c r="AY49" i="4" l="1"/>
  <c r="AY50" i="4" l="1"/>
  <c r="AY51" i="4" l="1"/>
  <c r="AY52" i="4" l="1"/>
  <c r="AY53" i="4" l="1"/>
  <c r="AY54" i="4" l="1"/>
  <c r="AY55" i="4" l="1"/>
  <c r="AY56" i="4" l="1"/>
  <c r="D39" i="3" l="1"/>
  <c r="E39" i="3" s="1"/>
  <c r="B39" i="3"/>
  <c r="D38" i="3"/>
  <c r="E38" i="3" s="1"/>
  <c r="B38" i="3"/>
  <c r="D37" i="3"/>
  <c r="E37" i="3" s="1"/>
  <c r="B37" i="3"/>
  <c r="D36" i="3"/>
  <c r="E36" i="3" s="1"/>
  <c r="B36" i="3"/>
  <c r="D35" i="3"/>
  <c r="E34" i="3" s="1"/>
  <c r="B35" i="3"/>
  <c r="D34" i="3"/>
  <c r="B34" i="3"/>
  <c r="D33" i="3"/>
  <c r="B33" i="3"/>
  <c r="D32" i="3"/>
  <c r="B32" i="3"/>
  <c r="D31" i="3"/>
  <c r="E31" i="3" s="1"/>
  <c r="B31" i="3"/>
  <c r="D30" i="3"/>
  <c r="E30" i="3" s="1"/>
  <c r="B30" i="3"/>
  <c r="D29" i="3"/>
  <c r="E29" i="3" s="1"/>
  <c r="B29" i="3"/>
  <c r="D28" i="3"/>
  <c r="E28" i="3" s="1"/>
  <c r="B28" i="3"/>
  <c r="D27" i="3"/>
  <c r="E27" i="3" s="1"/>
  <c r="B27" i="3"/>
  <c r="D26" i="3"/>
  <c r="B26" i="3"/>
  <c r="D25" i="3"/>
  <c r="B25" i="3"/>
  <c r="D24" i="3"/>
  <c r="B24" i="3"/>
  <c r="D23" i="3"/>
  <c r="E23" i="3" s="1"/>
  <c r="B23" i="3"/>
  <c r="D22" i="3"/>
  <c r="E33" i="3" s="1"/>
  <c r="B22" i="3"/>
  <c r="D21" i="3"/>
  <c r="E21" i="3" s="1"/>
  <c r="B21" i="3"/>
  <c r="D20" i="3"/>
  <c r="E20" i="3" s="1"/>
  <c r="B20" i="3"/>
  <c r="D19" i="3"/>
  <c r="E24" i="3" s="1"/>
  <c r="B19" i="3"/>
  <c r="D18" i="3"/>
  <c r="B18" i="3"/>
  <c r="E17" i="3"/>
  <c r="D17" i="3"/>
  <c r="B17" i="3"/>
  <c r="D16" i="3"/>
  <c r="B16" i="3"/>
  <c r="D15" i="3"/>
  <c r="E15" i="3" s="1"/>
  <c r="B15" i="3"/>
  <c r="D14" i="3"/>
  <c r="E14" i="3" s="1"/>
  <c r="B14" i="3"/>
  <c r="D13" i="3"/>
  <c r="E13" i="3" s="1"/>
  <c r="B13" i="3"/>
  <c r="D12" i="3"/>
  <c r="B12" i="3"/>
  <c r="D11" i="3"/>
  <c r="E12" i="3" s="1"/>
  <c r="B11" i="3"/>
  <c r="D10" i="3"/>
  <c r="B10" i="3"/>
  <c r="B7" i="3"/>
  <c r="A7" i="3"/>
  <c r="D5" i="3"/>
  <c r="D4" i="3"/>
  <c r="B1" i="3"/>
  <c r="C6" i="3" s="1"/>
  <c r="D46" i="2"/>
  <c r="E46" i="2" s="1"/>
  <c r="B46" i="2"/>
  <c r="D45" i="2"/>
  <c r="E45" i="2" s="1"/>
  <c r="B45" i="2"/>
  <c r="D44" i="2"/>
  <c r="B44" i="2"/>
  <c r="D43" i="2"/>
  <c r="E43" i="2" s="1"/>
  <c r="B43" i="2"/>
  <c r="D42" i="2"/>
  <c r="E42" i="2" s="1"/>
  <c r="B42" i="2"/>
  <c r="D41" i="2"/>
  <c r="B41" i="2"/>
  <c r="D40" i="2"/>
  <c r="E40" i="2" s="1"/>
  <c r="B40" i="2"/>
  <c r="D39" i="2"/>
  <c r="B39" i="2"/>
  <c r="D38" i="2"/>
  <c r="E38" i="2" s="1"/>
  <c r="B38" i="2"/>
  <c r="D37" i="2"/>
  <c r="E37" i="2" s="1"/>
  <c r="B37" i="2"/>
  <c r="D36" i="2"/>
  <c r="B36" i="2"/>
  <c r="D35" i="2"/>
  <c r="E39" i="2" s="1"/>
  <c r="B35" i="2"/>
  <c r="D34" i="2"/>
  <c r="E34" i="2" s="1"/>
  <c r="B34" i="2"/>
  <c r="D33" i="2"/>
  <c r="E33" i="2" s="1"/>
  <c r="B33" i="2"/>
  <c r="D32" i="2"/>
  <c r="E32" i="2" s="1"/>
  <c r="B32" i="2"/>
  <c r="D31" i="2"/>
  <c r="B31" i="2"/>
  <c r="D30" i="2"/>
  <c r="E30" i="2" s="1"/>
  <c r="B30" i="2"/>
  <c r="D29" i="2"/>
  <c r="E29" i="2" s="1"/>
  <c r="B29" i="2"/>
  <c r="D28" i="2"/>
  <c r="B28" i="2"/>
  <c r="D27" i="2"/>
  <c r="E27" i="2" s="1"/>
  <c r="B27" i="2"/>
  <c r="D26" i="2"/>
  <c r="B26" i="2"/>
  <c r="D25" i="2"/>
  <c r="E28" i="2" s="1"/>
  <c r="B25" i="2"/>
  <c r="D24" i="2"/>
  <c r="E24" i="2" s="1"/>
  <c r="B24" i="2"/>
  <c r="D23" i="2"/>
  <c r="B23" i="2"/>
  <c r="D22" i="2"/>
  <c r="E22" i="2" s="1"/>
  <c r="B22" i="2"/>
  <c r="D21" i="2"/>
  <c r="E21" i="2" s="1"/>
  <c r="B21" i="2"/>
  <c r="E20" i="2"/>
  <c r="D20" i="2"/>
  <c r="E31" i="2" s="1"/>
  <c r="B20" i="2"/>
  <c r="D19" i="2"/>
  <c r="E19" i="2" s="1"/>
  <c r="B19" i="2"/>
  <c r="D18" i="2"/>
  <c r="B18" i="2"/>
  <c r="D17" i="2"/>
  <c r="E17" i="2" s="1"/>
  <c r="B17" i="2"/>
  <c r="D16" i="2"/>
  <c r="E16" i="2" s="1"/>
  <c r="B16" i="2"/>
  <c r="D15" i="2"/>
  <c r="B15" i="2"/>
  <c r="D14" i="2"/>
  <c r="E15" i="2" s="1"/>
  <c r="B14" i="2"/>
  <c r="D13" i="2"/>
  <c r="E13" i="2" s="1"/>
  <c r="B13" i="2"/>
  <c r="E12" i="2"/>
  <c r="D12" i="2"/>
  <c r="B12" i="2"/>
  <c r="E11" i="2"/>
  <c r="D11" i="2"/>
  <c r="B11" i="2"/>
  <c r="B1" i="2"/>
  <c r="C7" i="2" s="1"/>
  <c r="C44" i="2" s="1"/>
  <c r="B8" i="2"/>
  <c r="A8" i="2"/>
  <c r="D7" i="2"/>
  <c r="D6" i="2"/>
  <c r="D5" i="2"/>
  <c r="C4" i="2"/>
  <c r="C12" i="2" s="1"/>
  <c r="C16" i="1"/>
  <c r="D16" i="1"/>
  <c r="B17" i="1"/>
  <c r="D17" i="1" s="1"/>
  <c r="B16" i="1"/>
  <c r="B15" i="1"/>
  <c r="B14" i="1"/>
  <c r="B13" i="1"/>
  <c r="B12" i="1"/>
  <c r="D11" i="1"/>
  <c r="B11" i="1"/>
  <c r="C11" i="1" s="1"/>
  <c r="B10" i="1"/>
  <c r="C10" i="1" s="1"/>
  <c r="C9" i="1"/>
  <c r="C8" i="1"/>
  <c r="B9" i="1"/>
  <c r="F8" i="1"/>
  <c r="A17" i="1"/>
  <c r="A16" i="1"/>
  <c r="A15" i="1"/>
  <c r="A14" i="1"/>
  <c r="A13" i="1"/>
  <c r="A12" i="1"/>
  <c r="A11" i="1"/>
  <c r="A10" i="1"/>
  <c r="A9" i="1"/>
  <c r="A8" i="1"/>
  <c r="L3" i="1"/>
  <c r="B5" i="1"/>
  <c r="E5" i="1"/>
  <c r="F5" i="1"/>
  <c r="F10" i="1" l="1"/>
  <c r="C34" i="3"/>
  <c r="C35" i="3"/>
  <c r="C36" i="3"/>
  <c r="D19" i="1"/>
  <c r="C13" i="2"/>
  <c r="F15" i="2"/>
  <c r="C18" i="2"/>
  <c r="C38" i="2"/>
  <c r="C40" i="2"/>
  <c r="C43" i="2"/>
  <c r="C46" i="2"/>
  <c r="C21" i="3"/>
  <c r="C25" i="3"/>
  <c r="F31" i="3"/>
  <c r="C38" i="3"/>
  <c r="C17" i="1"/>
  <c r="C19" i="1" s="1"/>
  <c r="C5" i="2"/>
  <c r="C11" i="2"/>
  <c r="F13" i="2"/>
  <c r="C15" i="2"/>
  <c r="C35" i="2"/>
  <c r="C37" i="2"/>
  <c r="F38" i="2"/>
  <c r="F40" i="2"/>
  <c r="C42" i="2"/>
  <c r="F43" i="2"/>
  <c r="C45" i="2"/>
  <c r="F46" i="2"/>
  <c r="C5" i="3"/>
  <c r="F23" i="3"/>
  <c r="C30" i="3"/>
  <c r="C32" i="3"/>
  <c r="F36" i="3"/>
  <c r="F38" i="3"/>
  <c r="C39" i="3"/>
  <c r="C19" i="2"/>
  <c r="F33" i="2"/>
  <c r="F39" i="2"/>
  <c r="F37" i="2"/>
  <c r="C39" i="2"/>
  <c r="F42" i="2"/>
  <c r="F45" i="2"/>
  <c r="C22" i="3"/>
  <c r="C24" i="3"/>
  <c r="F28" i="3"/>
  <c r="F30" i="3"/>
  <c r="F34" i="3"/>
  <c r="C37" i="3"/>
  <c r="C6" i="2"/>
  <c r="C21" i="2" s="1"/>
  <c r="F11" i="2"/>
  <c r="F12" i="2"/>
  <c r="C16" i="2"/>
  <c r="F17" i="2"/>
  <c r="F19" i="2"/>
  <c r="F20" i="2"/>
  <c r="F28" i="2"/>
  <c r="C29" i="2"/>
  <c r="F32" i="2"/>
  <c r="C36" i="2"/>
  <c r="C41" i="2"/>
  <c r="C4" i="3"/>
  <c r="C15" i="3" s="1"/>
  <c r="C13" i="3"/>
  <c r="F20" i="3"/>
  <c r="F33" i="3"/>
  <c r="F27" i="3"/>
  <c r="C29" i="3"/>
  <c r="C31" i="3"/>
  <c r="C33" i="3"/>
  <c r="F37" i="3"/>
  <c r="F39" i="3"/>
  <c r="E25" i="3"/>
  <c r="F25" i="3" s="1"/>
  <c r="E22" i="3"/>
  <c r="F22" i="3" s="1"/>
  <c r="E11" i="3"/>
  <c r="F11" i="3" s="1"/>
  <c r="E19" i="3"/>
  <c r="F19" i="3" s="1"/>
  <c r="E35" i="3"/>
  <c r="F35" i="3" s="1"/>
  <c r="E32" i="3"/>
  <c r="F32" i="3" s="1"/>
  <c r="E10" i="3"/>
  <c r="F10" i="3" s="1"/>
  <c r="E18" i="3"/>
  <c r="E26" i="3"/>
  <c r="F26" i="3" s="1"/>
  <c r="E16" i="3"/>
  <c r="E25" i="2"/>
  <c r="E41" i="2"/>
  <c r="F41" i="2" s="1"/>
  <c r="E14" i="2"/>
  <c r="F14" i="2" s="1"/>
  <c r="E18" i="2"/>
  <c r="F18" i="2" s="1"/>
  <c r="E26" i="2"/>
  <c r="E35" i="2"/>
  <c r="F35" i="2" s="1"/>
  <c r="E23" i="2"/>
  <c r="E36" i="2"/>
  <c r="F36" i="2" s="1"/>
  <c r="E44" i="2"/>
  <c r="F44" i="2" s="1"/>
  <c r="C8" i="2"/>
  <c r="C5" i="1"/>
  <c r="L5" i="1" s="1"/>
  <c r="F15" i="3" l="1"/>
  <c r="C17" i="3"/>
  <c r="C31" i="2"/>
  <c r="F22" i="2"/>
  <c r="F23" i="2"/>
  <c r="F16" i="3"/>
  <c r="F12" i="3"/>
  <c r="C34" i="2"/>
  <c r="F27" i="2"/>
  <c r="F17" i="3"/>
  <c r="C32" i="2"/>
  <c r="C26" i="3"/>
  <c r="C19" i="3"/>
  <c r="C27" i="3"/>
  <c r="C20" i="3"/>
  <c r="C28" i="3"/>
  <c r="C23" i="3"/>
  <c r="F29" i="2"/>
  <c r="C7" i="3"/>
  <c r="C10" i="3"/>
  <c r="C14" i="3"/>
  <c r="C11" i="3"/>
  <c r="C12" i="3"/>
  <c r="C18" i="3"/>
  <c r="C22" i="2"/>
  <c r="C30" i="2"/>
  <c r="C25" i="2"/>
  <c r="C33" i="2"/>
  <c r="C28" i="2"/>
  <c r="C20" i="2"/>
  <c r="C16" i="3"/>
  <c r="C27" i="2"/>
  <c r="C23" i="2"/>
  <c r="F13" i="3"/>
  <c r="C26" i="2"/>
  <c r="F26" i="2"/>
  <c r="F25" i="2"/>
  <c r="F18" i="3"/>
  <c r="F14" i="3"/>
  <c r="F30" i="2"/>
  <c r="C24" i="2"/>
  <c r="F31" i="2"/>
  <c r="F21" i="3"/>
  <c r="F21" i="2"/>
  <c r="C14" i="2"/>
  <c r="C17" i="2"/>
  <c r="F29" i="3"/>
  <c r="F24" i="3"/>
  <c r="F34" i="2"/>
  <c r="F24" i="2"/>
  <c r="F16" i="2"/>
  <c r="C47" i="2" l="1"/>
  <c r="F47" i="2"/>
  <c r="G5" i="4"/>
  <c r="BB56" i="4"/>
  <c r="BB55" i="4"/>
  <c r="BB54" i="4"/>
  <c r="BB53" i="4"/>
  <c r="BB52" i="4"/>
  <c r="BB51" i="4"/>
  <c r="BB50" i="4"/>
  <c r="BB49" i="4"/>
  <c r="BB48" i="4"/>
  <c r="BB47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D5" i="4"/>
  <c r="F5" i="4"/>
  <c r="M3" i="4"/>
  <c r="BB9" i="4"/>
  <c r="BB10" i="4"/>
  <c r="C2" i="4"/>
  <c r="C8" i="4" s="1"/>
  <c r="N8" i="4" s="1"/>
  <c r="BB8" i="4"/>
  <c r="N9" i="4" l="1"/>
  <c r="O8" i="4"/>
  <c r="M5" i="4"/>
  <c r="U41" i="4"/>
  <c r="Q41" i="4" s="1"/>
  <c r="U44" i="4"/>
  <c r="Q44" i="4" s="1"/>
  <c r="U43" i="4"/>
  <c r="Q43" i="4" s="1"/>
  <c r="U42" i="4"/>
  <c r="Q42" i="4" s="1"/>
  <c r="U39" i="4"/>
  <c r="Q39" i="4" s="1"/>
  <c r="U33" i="4"/>
  <c r="Q33" i="4" s="1"/>
  <c r="U29" i="4"/>
  <c r="Q29" i="4" s="1"/>
  <c r="U36" i="4"/>
  <c r="Q36" i="4" s="1"/>
  <c r="U35" i="4"/>
  <c r="Q35" i="4" s="1"/>
  <c r="U34" i="4"/>
  <c r="Q34" i="4" s="1"/>
  <c r="U32" i="4"/>
  <c r="Q32" i="4" s="1"/>
  <c r="U28" i="4"/>
  <c r="Q28" i="4" s="1"/>
  <c r="U31" i="4"/>
  <c r="Q31" i="4" s="1"/>
  <c r="U25" i="4"/>
  <c r="Q25" i="4" s="1"/>
  <c r="U24" i="4"/>
  <c r="Q24" i="4" s="1"/>
  <c r="U23" i="4"/>
  <c r="Q23" i="4" s="1"/>
  <c r="U40" i="4"/>
  <c r="Q40" i="4" s="1"/>
  <c r="U37" i="4"/>
  <c r="Q37" i="4" s="1"/>
  <c r="U30" i="4"/>
  <c r="Q30" i="4" s="1"/>
  <c r="AE8" i="4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U27" i="4"/>
  <c r="Q27" i="4" s="1"/>
  <c r="U22" i="4"/>
  <c r="Q22" i="4" s="1"/>
  <c r="U26" i="4"/>
  <c r="Q26" i="4" s="1"/>
  <c r="AJ8" i="4"/>
  <c r="M8" i="4"/>
  <c r="C58" i="4"/>
  <c r="N58" i="4" s="1"/>
  <c r="U38" i="4"/>
  <c r="Q38" i="4" s="1"/>
  <c r="AH8" i="4"/>
  <c r="U21" i="4"/>
  <c r="B66" i="4"/>
  <c r="C5" i="4"/>
  <c r="AL9" i="4" l="1"/>
  <c r="AI6" i="4"/>
  <c r="AH9" i="4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K6" i="4"/>
  <c r="AQ8" i="4"/>
  <c r="AI9" i="4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K9" i="4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L6" i="4"/>
  <c r="AF8" i="4"/>
  <c r="C66" i="4"/>
  <c r="C74" i="4" s="1"/>
  <c r="B74" i="4"/>
  <c r="AJ6" i="4"/>
  <c r="AM8" i="4"/>
  <c r="AN8" i="4" s="1"/>
  <c r="Q21" i="4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U8" i="4"/>
  <c r="AP21" i="4"/>
  <c r="N10" i="4"/>
  <c r="AF9" i="4"/>
  <c r="O9" i="4"/>
  <c r="AL10" i="4" l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K57" i="4"/>
  <c r="AK58" i="4"/>
  <c r="O10" i="4"/>
  <c r="AF10" i="4"/>
  <c r="N11" i="4"/>
  <c r="AS8" i="4"/>
  <c r="AJ9" i="4" s="1"/>
  <c r="AQ9" i="4"/>
  <c r="AR8" i="4"/>
  <c r="AO8" i="4"/>
  <c r="AP22" i="4"/>
  <c r="AG8" i="4"/>
  <c r="BA8" i="4" s="1"/>
  <c r="AZ8" i="4"/>
  <c r="P9" i="4"/>
  <c r="AG9" i="4"/>
  <c r="R9" i="4"/>
  <c r="AZ9" i="4"/>
  <c r="AI57" i="4"/>
  <c r="AI58" i="4"/>
  <c r="AM6" i="4"/>
  <c r="AL58" i="4" l="1"/>
  <c r="AM9" i="4"/>
  <c r="AN9" i="4" s="1"/>
  <c r="O11" i="4"/>
  <c r="N12" i="4"/>
  <c r="AF11" i="4"/>
  <c r="BA9" i="4"/>
  <c r="S9" i="4"/>
  <c r="AG10" i="4"/>
  <c r="AZ10" i="4"/>
  <c r="R10" i="4"/>
  <c r="P10" i="4"/>
  <c r="AP23" i="4"/>
  <c r="AR9" i="4"/>
  <c r="AT9" i="4" s="1"/>
  <c r="AS9" i="4"/>
  <c r="AU9" i="4" s="1"/>
  <c r="AQ10" i="4"/>
  <c r="AO9" i="4"/>
  <c r="AQ11" i="4" l="1"/>
  <c r="AR10" i="4"/>
  <c r="AT10" i="4" s="1"/>
  <c r="AO10" i="4"/>
  <c r="AS10" i="4"/>
  <c r="AU10" i="4" s="1"/>
  <c r="AG11" i="4"/>
  <c r="AZ11" i="4"/>
  <c r="R11" i="4"/>
  <c r="P11" i="4"/>
  <c r="AJ10" i="4"/>
  <c r="AP24" i="4"/>
  <c r="S10" i="4"/>
  <c r="BA10" i="4"/>
  <c r="N13" i="4"/>
  <c r="O12" i="4"/>
  <c r="AF12" i="4"/>
  <c r="AP25" i="4" l="1"/>
  <c r="N14" i="4"/>
  <c r="AF13" i="4"/>
  <c r="O13" i="4"/>
  <c r="AG12" i="4"/>
  <c r="R12" i="4"/>
  <c r="AZ12" i="4"/>
  <c r="P12" i="4"/>
  <c r="AM10" i="4"/>
  <c r="AN10" i="4" s="1"/>
  <c r="AJ11" i="4"/>
  <c r="BA11" i="4"/>
  <c r="S11" i="4"/>
  <c r="AO11" i="4"/>
  <c r="AQ12" i="4"/>
  <c r="AS11" i="4"/>
  <c r="AU11" i="4" s="1"/>
  <c r="AR11" i="4"/>
  <c r="AT11" i="4" s="1"/>
  <c r="P13" i="4" l="1"/>
  <c r="AG13" i="4"/>
  <c r="AZ13" i="4"/>
  <c r="R13" i="4"/>
  <c r="AP26" i="4"/>
  <c r="AO12" i="4"/>
  <c r="AQ13" i="4"/>
  <c r="AS12" i="4"/>
  <c r="AU12" i="4" s="1"/>
  <c r="AR12" i="4"/>
  <c r="AT12" i="4" s="1"/>
  <c r="AM11" i="4"/>
  <c r="AN11" i="4" s="1"/>
  <c r="AJ12" i="4"/>
  <c r="AF14" i="4"/>
  <c r="O14" i="4"/>
  <c r="N15" i="4"/>
  <c r="BA12" i="4"/>
  <c r="S12" i="4"/>
  <c r="AM12" i="4" l="1"/>
  <c r="AN12" i="4" s="1"/>
  <c r="AJ13" i="4"/>
  <c r="AR13" i="4"/>
  <c r="AT13" i="4" s="1"/>
  <c r="AS13" i="4"/>
  <c r="AU13" i="4" s="1"/>
  <c r="AQ14" i="4"/>
  <c r="AO13" i="4"/>
  <c r="AP27" i="4"/>
  <c r="O15" i="4"/>
  <c r="N16" i="4"/>
  <c r="AF15" i="4"/>
  <c r="AG14" i="4"/>
  <c r="AZ14" i="4"/>
  <c r="R14" i="4"/>
  <c r="P14" i="4"/>
  <c r="S13" i="4"/>
  <c r="BA13" i="4"/>
  <c r="P15" i="4" l="1"/>
  <c r="AG15" i="4"/>
  <c r="AZ15" i="4"/>
  <c r="R15" i="4"/>
  <c r="O16" i="4"/>
  <c r="AF16" i="4"/>
  <c r="N17" i="4"/>
  <c r="AJ14" i="4"/>
  <c r="AM13" i="4"/>
  <c r="AN13" i="4" s="1"/>
  <c r="S14" i="4"/>
  <c r="BA14" i="4"/>
  <c r="AP28" i="4"/>
  <c r="AS14" i="4"/>
  <c r="AU14" i="4" s="1"/>
  <c r="AQ15" i="4"/>
  <c r="AR14" i="4"/>
  <c r="AT14" i="4" s="1"/>
  <c r="AO14" i="4"/>
  <c r="AS15" i="4" l="1"/>
  <c r="AU15" i="4" s="1"/>
  <c r="AQ16" i="4"/>
  <c r="AO15" i="4"/>
  <c r="AR15" i="4"/>
  <c r="AT15" i="4" s="1"/>
  <c r="AM14" i="4"/>
  <c r="AN14" i="4" s="1"/>
  <c r="AJ15" i="4"/>
  <c r="N18" i="4"/>
  <c r="O17" i="4"/>
  <c r="AF17" i="4"/>
  <c r="AP29" i="4"/>
  <c r="AG16" i="4"/>
  <c r="R16" i="4"/>
  <c r="AZ16" i="4"/>
  <c r="P16" i="4"/>
  <c r="S15" i="4"/>
  <c r="BA15" i="4"/>
  <c r="N19" i="4" l="1"/>
  <c r="AF18" i="4"/>
  <c r="O18" i="4"/>
  <c r="AP30" i="4"/>
  <c r="AJ16" i="4"/>
  <c r="AM15" i="4"/>
  <c r="AN15" i="4" s="1"/>
  <c r="AO16" i="4"/>
  <c r="AQ17" i="4"/>
  <c r="AS16" i="4"/>
  <c r="AU16" i="4" s="1"/>
  <c r="AR16" i="4"/>
  <c r="AT16" i="4" s="1"/>
  <c r="S16" i="4"/>
  <c r="BA16" i="4"/>
  <c r="AZ17" i="4"/>
  <c r="P17" i="4"/>
  <c r="AG17" i="4"/>
  <c r="R17" i="4"/>
  <c r="AP31" i="4" l="1"/>
  <c r="AM16" i="4"/>
  <c r="AN16" i="4" s="1"/>
  <c r="AJ17" i="4"/>
  <c r="AO17" i="4"/>
  <c r="AQ18" i="4"/>
  <c r="AR17" i="4"/>
  <c r="AT17" i="4" s="1"/>
  <c r="AS17" i="4"/>
  <c r="AU17" i="4" s="1"/>
  <c r="AG18" i="4"/>
  <c r="R18" i="4"/>
  <c r="P18" i="4"/>
  <c r="AZ18" i="4"/>
  <c r="S17" i="4"/>
  <c r="BA17" i="4"/>
  <c r="O19" i="4"/>
  <c r="N20" i="4"/>
  <c r="AF19" i="4"/>
  <c r="AQ19" i="4" l="1"/>
  <c r="AO18" i="4"/>
  <c r="AR18" i="4"/>
  <c r="AT18" i="4" s="1"/>
  <c r="AS18" i="4"/>
  <c r="AU18" i="4" s="1"/>
  <c r="AP32" i="4"/>
  <c r="AZ19" i="4"/>
  <c r="R19" i="4"/>
  <c r="P19" i="4"/>
  <c r="AG19" i="4"/>
  <c r="S18" i="4"/>
  <c r="BA18" i="4"/>
  <c r="N21" i="4"/>
  <c r="AF20" i="4"/>
  <c r="O20" i="4"/>
  <c r="AJ18" i="4"/>
  <c r="AM17" i="4"/>
  <c r="AN17" i="4" s="1"/>
  <c r="R20" i="4" l="1"/>
  <c r="P20" i="4"/>
  <c r="AG20" i="4"/>
  <c r="AZ20" i="4"/>
  <c r="BA19" i="4"/>
  <c r="S19" i="4"/>
  <c r="N22" i="4"/>
  <c r="AF21" i="4"/>
  <c r="O21" i="4"/>
  <c r="AP33" i="4"/>
  <c r="AM18" i="4"/>
  <c r="AN18" i="4" s="1"/>
  <c r="AJ19" i="4"/>
  <c r="AR19" i="4"/>
  <c r="AT19" i="4" s="1"/>
  <c r="AO19" i="4"/>
  <c r="AQ20" i="4"/>
  <c r="AS19" i="4"/>
  <c r="AU19" i="4" s="1"/>
  <c r="AZ21" i="4" l="1"/>
  <c r="AG21" i="4"/>
  <c r="P21" i="4"/>
  <c r="R21" i="4"/>
  <c r="AP34" i="4"/>
  <c r="O22" i="4"/>
  <c r="N23" i="4"/>
  <c r="AF22" i="4"/>
  <c r="BA20" i="4"/>
  <c r="S20" i="4"/>
  <c r="AJ20" i="4"/>
  <c r="AM19" i="4"/>
  <c r="AN19" i="4" s="1"/>
  <c r="AQ21" i="4"/>
  <c r="AS20" i="4"/>
  <c r="AU20" i="4" s="1"/>
  <c r="AO20" i="4"/>
  <c r="AR20" i="4"/>
  <c r="AT20" i="4" s="1"/>
  <c r="AQ22" i="4" l="1"/>
  <c r="AS21" i="4"/>
  <c r="AU21" i="4" s="1"/>
  <c r="AR21" i="4"/>
  <c r="AT21" i="4" s="1"/>
  <c r="AO21" i="4"/>
  <c r="AP35" i="4"/>
  <c r="AZ22" i="4"/>
  <c r="P22" i="4"/>
  <c r="AG22" i="4"/>
  <c r="R22" i="4"/>
  <c r="BA21" i="4"/>
  <c r="S21" i="4"/>
  <c r="AM20" i="4"/>
  <c r="AN20" i="4" s="1"/>
  <c r="AJ21" i="4"/>
  <c r="O23" i="4"/>
  <c r="N24" i="4"/>
  <c r="AF23" i="4"/>
  <c r="AZ23" i="4" l="1"/>
  <c r="AG23" i="4"/>
  <c r="P23" i="4"/>
  <c r="R23" i="4"/>
  <c r="BA22" i="4"/>
  <c r="S22" i="4"/>
  <c r="AJ22" i="4"/>
  <c r="AM21" i="4"/>
  <c r="AN21" i="4" s="1"/>
  <c r="N25" i="4"/>
  <c r="O24" i="4"/>
  <c r="AF24" i="4"/>
  <c r="AP36" i="4"/>
  <c r="AQ23" i="4"/>
  <c r="AS22" i="4"/>
  <c r="AU22" i="4" s="1"/>
  <c r="AO22" i="4"/>
  <c r="AR22" i="4"/>
  <c r="AT22" i="4" s="1"/>
  <c r="AP37" i="4" l="1"/>
  <c r="AQ24" i="4"/>
  <c r="AS23" i="4"/>
  <c r="AU23" i="4" s="1"/>
  <c r="AR23" i="4"/>
  <c r="AT23" i="4" s="1"/>
  <c r="AO23" i="4"/>
  <c r="P24" i="4"/>
  <c r="AG24" i="4"/>
  <c r="AZ24" i="4"/>
  <c r="R24" i="4"/>
  <c r="AJ23" i="4"/>
  <c r="AM22" i="4"/>
  <c r="AN22" i="4" s="1"/>
  <c r="BA23" i="4"/>
  <c r="S23" i="4"/>
  <c r="AF25" i="4"/>
  <c r="O25" i="4"/>
  <c r="N26" i="4"/>
  <c r="P25" i="4" l="1"/>
  <c r="AG25" i="4"/>
  <c r="AZ25" i="4"/>
  <c r="R25" i="4"/>
  <c r="AM23" i="4"/>
  <c r="AN23" i="4" s="1"/>
  <c r="AJ24" i="4"/>
  <c r="AQ25" i="4"/>
  <c r="AS24" i="4"/>
  <c r="AU24" i="4" s="1"/>
  <c r="AR24" i="4"/>
  <c r="AT24" i="4" s="1"/>
  <c r="AO24" i="4"/>
  <c r="O26" i="4"/>
  <c r="N27" i="4"/>
  <c r="AF26" i="4"/>
  <c r="BA24" i="4"/>
  <c r="S24" i="4"/>
  <c r="AP38" i="4"/>
  <c r="AS25" i="4" l="1"/>
  <c r="AU25" i="4" s="1"/>
  <c r="AQ26" i="4"/>
  <c r="AO25" i="4"/>
  <c r="AR25" i="4"/>
  <c r="AT25" i="4" s="1"/>
  <c r="AJ25" i="4"/>
  <c r="AM24" i="4"/>
  <c r="AN24" i="4" s="1"/>
  <c r="BA25" i="4"/>
  <c r="S25" i="4"/>
  <c r="AF27" i="4"/>
  <c r="N28" i="4"/>
  <c r="O27" i="4"/>
  <c r="AP39" i="4"/>
  <c r="AG26" i="4"/>
  <c r="P26" i="4"/>
  <c r="AZ26" i="4"/>
  <c r="R26" i="4"/>
  <c r="AF28" i="4" l="1"/>
  <c r="N29" i="4"/>
  <c r="O28" i="4"/>
  <c r="AQ27" i="4"/>
  <c r="AS26" i="4"/>
  <c r="AU26" i="4" s="1"/>
  <c r="AR26" i="4"/>
  <c r="AT26" i="4" s="1"/>
  <c r="AO26" i="4"/>
  <c r="AP40" i="4"/>
  <c r="BA26" i="4"/>
  <c r="S26" i="4"/>
  <c r="AG27" i="4"/>
  <c r="P27" i="4"/>
  <c r="AZ27" i="4"/>
  <c r="R27" i="4"/>
  <c r="AJ26" i="4"/>
  <c r="AM25" i="4"/>
  <c r="AN25" i="4" s="1"/>
  <c r="AQ28" i="4" l="1"/>
  <c r="AS27" i="4"/>
  <c r="AU27" i="4" s="1"/>
  <c r="AO27" i="4"/>
  <c r="AR27" i="4"/>
  <c r="AT27" i="4" s="1"/>
  <c r="O29" i="4"/>
  <c r="N30" i="4"/>
  <c r="AF29" i="4"/>
  <c r="AM26" i="4"/>
  <c r="AN26" i="4" s="1"/>
  <c r="AJ27" i="4"/>
  <c r="BA27" i="4"/>
  <c r="S27" i="4"/>
  <c r="AP41" i="4"/>
  <c r="AZ28" i="4"/>
  <c r="AG28" i="4"/>
  <c r="P28" i="4"/>
  <c r="R28" i="4"/>
  <c r="BA28" i="4" l="1"/>
  <c r="S28" i="4"/>
  <c r="AZ29" i="4"/>
  <c r="P29" i="4"/>
  <c r="AG29" i="4"/>
  <c r="R29" i="4"/>
  <c r="O30" i="4"/>
  <c r="AF30" i="4"/>
  <c r="N31" i="4"/>
  <c r="AP42" i="4"/>
  <c r="AJ28" i="4"/>
  <c r="AM27" i="4"/>
  <c r="AN27" i="4" s="1"/>
  <c r="AS28" i="4"/>
  <c r="AU28" i="4" s="1"/>
  <c r="AQ29" i="4"/>
  <c r="AR28" i="4"/>
  <c r="AT28" i="4" s="1"/>
  <c r="AO28" i="4"/>
  <c r="AQ30" i="4" l="1"/>
  <c r="AS29" i="4"/>
  <c r="AU29" i="4" s="1"/>
  <c r="AO29" i="4"/>
  <c r="AR29" i="4"/>
  <c r="AT29" i="4" s="1"/>
  <c r="AG30" i="4"/>
  <c r="AZ30" i="4"/>
  <c r="P30" i="4"/>
  <c r="R30" i="4"/>
  <c r="AP43" i="4"/>
  <c r="AJ29" i="4"/>
  <c r="AM28" i="4"/>
  <c r="AN28" i="4" s="1"/>
  <c r="AF31" i="4"/>
  <c r="N32" i="4"/>
  <c r="O31" i="4"/>
  <c r="BA29" i="4"/>
  <c r="S29" i="4"/>
  <c r="AG31" i="4" l="1"/>
  <c r="P31" i="4"/>
  <c r="AZ31" i="4"/>
  <c r="R31" i="4"/>
  <c r="AM29" i="4"/>
  <c r="AN29" i="4" s="1"/>
  <c r="AJ30" i="4"/>
  <c r="AF32" i="4"/>
  <c r="N33" i="4"/>
  <c r="O32" i="4"/>
  <c r="AP44" i="4"/>
  <c r="BA30" i="4"/>
  <c r="S30" i="4"/>
  <c r="AQ31" i="4"/>
  <c r="AS30" i="4"/>
  <c r="AU30" i="4" s="1"/>
  <c r="AO30" i="4"/>
  <c r="AR30" i="4"/>
  <c r="AT30" i="4" s="1"/>
  <c r="AF33" i="4" l="1"/>
  <c r="O33" i="4"/>
  <c r="N34" i="4"/>
  <c r="AQ32" i="4"/>
  <c r="AS31" i="4"/>
  <c r="AU31" i="4" s="1"/>
  <c r="AO31" i="4"/>
  <c r="AR31" i="4"/>
  <c r="AT31" i="4" s="1"/>
  <c r="AZ32" i="4"/>
  <c r="P32" i="4"/>
  <c r="AG32" i="4"/>
  <c r="R32" i="4"/>
  <c r="AP45" i="4"/>
  <c r="AM30" i="4"/>
  <c r="AN30" i="4" s="1"/>
  <c r="AJ31" i="4"/>
  <c r="BA31" i="4"/>
  <c r="S31" i="4"/>
  <c r="AP46" i="4" l="1"/>
  <c r="O34" i="4"/>
  <c r="AF34" i="4"/>
  <c r="N35" i="4"/>
  <c r="BA32" i="4"/>
  <c r="S32" i="4"/>
  <c r="AJ32" i="4"/>
  <c r="AM31" i="4"/>
  <c r="AN31" i="4" s="1"/>
  <c r="AS32" i="4"/>
  <c r="AU32" i="4" s="1"/>
  <c r="AQ33" i="4"/>
  <c r="AR32" i="4"/>
  <c r="AT32" i="4" s="1"/>
  <c r="AO32" i="4"/>
  <c r="AZ33" i="4"/>
  <c r="P33" i="4"/>
  <c r="AG33" i="4"/>
  <c r="R33" i="4"/>
  <c r="AP47" i="4" l="1"/>
  <c r="AQ34" i="4"/>
  <c r="AS33" i="4"/>
  <c r="AU33" i="4" s="1"/>
  <c r="AO33" i="4"/>
  <c r="AR33" i="4"/>
  <c r="AT33" i="4" s="1"/>
  <c r="AF35" i="4"/>
  <c r="N36" i="4"/>
  <c r="O35" i="4"/>
  <c r="BA33" i="4"/>
  <c r="S33" i="4"/>
  <c r="AJ33" i="4"/>
  <c r="AM32" i="4"/>
  <c r="AN32" i="4" s="1"/>
  <c r="P34" i="4"/>
  <c r="AZ34" i="4"/>
  <c r="AG34" i="4"/>
  <c r="R34" i="4"/>
  <c r="AG35" i="4" l="1"/>
  <c r="P35" i="4"/>
  <c r="AZ35" i="4"/>
  <c r="R35" i="4"/>
  <c r="AP48" i="4"/>
  <c r="AS34" i="4"/>
  <c r="AU34" i="4" s="1"/>
  <c r="AQ35" i="4"/>
  <c r="AO34" i="4"/>
  <c r="AR34" i="4"/>
  <c r="AT34" i="4" s="1"/>
  <c r="BA34" i="4"/>
  <c r="S34" i="4"/>
  <c r="AJ34" i="4"/>
  <c r="AM33" i="4"/>
  <c r="AN33" i="4" s="1"/>
  <c r="AF36" i="4"/>
  <c r="N37" i="4"/>
  <c r="O36" i="4"/>
  <c r="AG36" i="4" l="1"/>
  <c r="AZ36" i="4"/>
  <c r="P36" i="4"/>
  <c r="R36" i="4"/>
  <c r="AJ35" i="4"/>
  <c r="AM34" i="4"/>
  <c r="AN34" i="4" s="1"/>
  <c r="AP49" i="4"/>
  <c r="AF37" i="4"/>
  <c r="N38" i="4"/>
  <c r="O37" i="4"/>
  <c r="AS35" i="4"/>
  <c r="AU35" i="4" s="1"/>
  <c r="AQ36" i="4"/>
  <c r="AO35" i="4"/>
  <c r="AR35" i="4"/>
  <c r="AT35" i="4" s="1"/>
  <c r="BA35" i="4"/>
  <c r="S35" i="4"/>
  <c r="AP50" i="4" l="1"/>
  <c r="N39" i="4"/>
  <c r="AF38" i="4"/>
  <c r="O38" i="4"/>
  <c r="AS36" i="4"/>
  <c r="AU36" i="4" s="1"/>
  <c r="AQ37" i="4"/>
  <c r="AR36" i="4"/>
  <c r="AT36" i="4" s="1"/>
  <c r="AO36" i="4"/>
  <c r="AG37" i="4"/>
  <c r="AZ37" i="4"/>
  <c r="P37" i="4"/>
  <c r="R37" i="4"/>
  <c r="AJ36" i="4"/>
  <c r="AM35" i="4"/>
  <c r="AN35" i="4" s="1"/>
  <c r="BA36" i="4"/>
  <c r="S36" i="4"/>
  <c r="AQ38" i="4" l="1"/>
  <c r="AS37" i="4"/>
  <c r="AU37" i="4" s="1"/>
  <c r="AO37" i="4"/>
  <c r="AR37" i="4"/>
  <c r="AT37" i="4" s="1"/>
  <c r="AF39" i="4"/>
  <c r="N40" i="4"/>
  <c r="O39" i="4"/>
  <c r="BA37" i="4"/>
  <c r="S37" i="4"/>
  <c r="AJ37" i="4"/>
  <c r="AM36" i="4"/>
  <c r="AN36" i="4" s="1"/>
  <c r="AZ38" i="4"/>
  <c r="AG38" i="4"/>
  <c r="P38" i="4"/>
  <c r="R38" i="4"/>
  <c r="AP51" i="4"/>
  <c r="AP52" i="4" l="1"/>
  <c r="AJ38" i="4"/>
  <c r="AM37" i="4"/>
  <c r="AN37" i="4" s="1"/>
  <c r="AF40" i="4"/>
  <c r="O40" i="4"/>
  <c r="N41" i="4"/>
  <c r="BA38" i="4"/>
  <c r="S38" i="4"/>
  <c r="P39" i="4"/>
  <c r="AG39" i="4"/>
  <c r="AZ39" i="4"/>
  <c r="R39" i="4"/>
  <c r="AQ39" i="4"/>
  <c r="AS38" i="4"/>
  <c r="AU38" i="4" s="1"/>
  <c r="AR38" i="4"/>
  <c r="AT38" i="4" s="1"/>
  <c r="AO38" i="4"/>
  <c r="BA39" i="4" l="1"/>
  <c r="S39" i="4"/>
  <c r="O41" i="4"/>
  <c r="AF41" i="4"/>
  <c r="N42" i="4"/>
  <c r="AS39" i="4"/>
  <c r="AU39" i="4" s="1"/>
  <c r="AQ40" i="4"/>
  <c r="AO39" i="4"/>
  <c r="AR39" i="4"/>
  <c r="AT39" i="4" s="1"/>
  <c r="AZ40" i="4"/>
  <c r="P40" i="4"/>
  <c r="AG40" i="4"/>
  <c r="R40" i="4"/>
  <c r="AJ39" i="4"/>
  <c r="AM38" i="4"/>
  <c r="AN38" i="4" s="1"/>
  <c r="AP53" i="4"/>
  <c r="BA40" i="4" l="1"/>
  <c r="S40" i="4"/>
  <c r="P41" i="4"/>
  <c r="AZ41" i="4"/>
  <c r="AG41" i="4"/>
  <c r="R41" i="4"/>
  <c r="AQ41" i="4"/>
  <c r="AS40" i="4"/>
  <c r="AU40" i="4" s="1"/>
  <c r="AR40" i="4"/>
  <c r="AT40" i="4" s="1"/>
  <c r="AO40" i="4"/>
  <c r="AP54" i="4"/>
  <c r="AJ40" i="4"/>
  <c r="AM39" i="4"/>
  <c r="AN39" i="4" s="1"/>
  <c r="N43" i="4"/>
  <c r="O42" i="4"/>
  <c r="AF42" i="4"/>
  <c r="AQ42" i="4" l="1"/>
  <c r="AS41" i="4"/>
  <c r="AU41" i="4" s="1"/>
  <c r="AO41" i="4"/>
  <c r="AR41" i="4"/>
  <c r="AT41" i="4" s="1"/>
  <c r="AG42" i="4"/>
  <c r="P42" i="4"/>
  <c r="AZ42" i="4"/>
  <c r="R42" i="4"/>
  <c r="AM40" i="4"/>
  <c r="AN40" i="4" s="1"/>
  <c r="AJ41" i="4"/>
  <c r="N44" i="4"/>
  <c r="O43" i="4"/>
  <c r="AF43" i="4"/>
  <c r="AP55" i="4"/>
  <c r="BA41" i="4"/>
  <c r="S41" i="4"/>
  <c r="AP56" i="4" l="1"/>
  <c r="N45" i="4"/>
  <c r="O44" i="4"/>
  <c r="AF44" i="4"/>
  <c r="AM41" i="4"/>
  <c r="AN41" i="4" s="1"/>
  <c r="AJ42" i="4"/>
  <c r="AG43" i="4"/>
  <c r="P43" i="4"/>
  <c r="AZ43" i="4"/>
  <c r="R43" i="4"/>
  <c r="BA42" i="4"/>
  <c r="S42" i="4"/>
  <c r="AQ43" i="4"/>
  <c r="AS42" i="4"/>
  <c r="AU42" i="4" s="1"/>
  <c r="AO42" i="4"/>
  <c r="AR42" i="4"/>
  <c r="AT42" i="4" s="1"/>
  <c r="AM42" i="4" l="1"/>
  <c r="AN42" i="4" s="1"/>
  <c r="AJ43" i="4"/>
  <c r="AQ44" i="4"/>
  <c r="AS43" i="4"/>
  <c r="AU43" i="4" s="1"/>
  <c r="AR43" i="4"/>
  <c r="AT43" i="4" s="1"/>
  <c r="AO43" i="4"/>
  <c r="N46" i="4"/>
  <c r="O45" i="4"/>
  <c r="AF45" i="4"/>
  <c r="AG44" i="4"/>
  <c r="P44" i="4"/>
  <c r="AZ44" i="4"/>
  <c r="R44" i="4"/>
  <c r="BA43" i="4"/>
  <c r="S43" i="4"/>
  <c r="BA44" i="4" l="1"/>
  <c r="S44" i="4"/>
  <c r="AS44" i="4"/>
  <c r="AU44" i="4" s="1"/>
  <c r="AQ45" i="4"/>
  <c r="AR44" i="4"/>
  <c r="AT44" i="4" s="1"/>
  <c r="AO44" i="4"/>
  <c r="AM43" i="4"/>
  <c r="AN43" i="4" s="1"/>
  <c r="AJ44" i="4"/>
  <c r="AG45" i="4"/>
  <c r="AZ45" i="4"/>
  <c r="R45" i="4"/>
  <c r="P45" i="4"/>
  <c r="N47" i="4"/>
  <c r="AF46" i="4"/>
  <c r="O46" i="4"/>
  <c r="AJ45" i="4" l="1"/>
  <c r="AM44" i="4"/>
  <c r="AN44" i="4" s="1"/>
  <c r="R46" i="4"/>
  <c r="AG46" i="4"/>
  <c r="AZ46" i="4"/>
  <c r="P46" i="4"/>
  <c r="AQ46" i="4"/>
  <c r="AS45" i="4"/>
  <c r="AU45" i="4" s="1"/>
  <c r="AO45" i="4"/>
  <c r="AR45" i="4"/>
  <c r="AT45" i="4" s="1"/>
  <c r="AF47" i="4"/>
  <c r="N48" i="4"/>
  <c r="O47" i="4"/>
  <c r="BA45" i="4"/>
  <c r="S45" i="4"/>
  <c r="AF48" i="4" l="1"/>
  <c r="N49" i="4"/>
  <c r="O48" i="4"/>
  <c r="BA46" i="4"/>
  <c r="S46" i="4"/>
  <c r="P47" i="4"/>
  <c r="AG47" i="4"/>
  <c r="AZ47" i="4"/>
  <c r="R47" i="4"/>
  <c r="AQ47" i="4"/>
  <c r="AS46" i="4"/>
  <c r="AU46" i="4" s="1"/>
  <c r="AR46" i="4"/>
  <c r="AT46" i="4" s="1"/>
  <c r="AO46" i="4"/>
  <c r="AJ46" i="4"/>
  <c r="AM45" i="4"/>
  <c r="AN45" i="4" s="1"/>
  <c r="AJ47" i="4" l="1"/>
  <c r="AM46" i="4"/>
  <c r="AN46" i="4" s="1"/>
  <c r="AF49" i="4"/>
  <c r="O49" i="4"/>
  <c r="N50" i="4"/>
  <c r="BA47" i="4"/>
  <c r="S47" i="4"/>
  <c r="AQ48" i="4"/>
  <c r="AS47" i="4"/>
  <c r="AU47" i="4" s="1"/>
  <c r="AO47" i="4"/>
  <c r="AR47" i="4"/>
  <c r="AT47" i="4" s="1"/>
  <c r="AG48" i="4"/>
  <c r="AZ48" i="4"/>
  <c r="R48" i="4"/>
  <c r="P48" i="4"/>
  <c r="AS48" i="4" l="1"/>
  <c r="AU48" i="4" s="1"/>
  <c r="AQ49" i="4"/>
  <c r="AR48" i="4"/>
  <c r="AT48" i="4" s="1"/>
  <c r="AO48" i="4"/>
  <c r="AG49" i="4"/>
  <c r="R49" i="4"/>
  <c r="P49" i="4"/>
  <c r="AZ49" i="4"/>
  <c r="S48" i="4"/>
  <c r="BA48" i="4"/>
  <c r="N51" i="4"/>
  <c r="AF50" i="4"/>
  <c r="O50" i="4"/>
  <c r="AJ48" i="4"/>
  <c r="AM47" i="4"/>
  <c r="AN47" i="4" s="1"/>
  <c r="AG50" i="4" l="1"/>
  <c r="AZ50" i="4"/>
  <c r="R50" i="4"/>
  <c r="P50" i="4"/>
  <c r="AF51" i="4"/>
  <c r="N52" i="4"/>
  <c r="O51" i="4"/>
  <c r="AM48" i="4"/>
  <c r="AN48" i="4" s="1"/>
  <c r="AJ49" i="4"/>
  <c r="AS49" i="4"/>
  <c r="AU49" i="4" s="1"/>
  <c r="AQ50" i="4"/>
  <c r="AR49" i="4"/>
  <c r="AT49" i="4" s="1"/>
  <c r="AO49" i="4"/>
  <c r="S49" i="4"/>
  <c r="BA49" i="4"/>
  <c r="N53" i="4" l="1"/>
  <c r="O52" i="4"/>
  <c r="AF52" i="4"/>
  <c r="AS50" i="4"/>
  <c r="AU50" i="4" s="1"/>
  <c r="AQ51" i="4"/>
  <c r="AR50" i="4"/>
  <c r="AT50" i="4" s="1"/>
  <c r="AO50" i="4"/>
  <c r="AJ50" i="4"/>
  <c r="AM49" i="4"/>
  <c r="AN49" i="4" s="1"/>
  <c r="R51" i="4"/>
  <c r="AG51" i="4"/>
  <c r="P51" i="4"/>
  <c r="AZ51" i="4"/>
  <c r="S50" i="4"/>
  <c r="BA50" i="4"/>
  <c r="AM50" i="4" l="1"/>
  <c r="AN50" i="4" s="1"/>
  <c r="AJ51" i="4"/>
  <c r="BA51" i="4"/>
  <c r="S51" i="4"/>
  <c r="R52" i="4"/>
  <c r="P52" i="4"/>
  <c r="AZ52" i="4"/>
  <c r="AG52" i="4"/>
  <c r="AQ52" i="4"/>
  <c r="AS51" i="4"/>
  <c r="AU51" i="4" s="1"/>
  <c r="AR51" i="4"/>
  <c r="AT51" i="4" s="1"/>
  <c r="AO51" i="4"/>
  <c r="N54" i="4"/>
  <c r="AF53" i="4"/>
  <c r="O53" i="4"/>
  <c r="AM51" i="4" l="1"/>
  <c r="AN51" i="4" s="1"/>
  <c r="AJ52" i="4"/>
  <c r="S52" i="4"/>
  <c r="BA52" i="4"/>
  <c r="R53" i="4"/>
  <c r="P53" i="4"/>
  <c r="AG53" i="4"/>
  <c r="AZ53" i="4"/>
  <c r="N55" i="4"/>
  <c r="AF54" i="4"/>
  <c r="O54" i="4"/>
  <c r="AQ53" i="4"/>
  <c r="AS52" i="4"/>
  <c r="AU52" i="4" s="1"/>
  <c r="AO52" i="4"/>
  <c r="AR52" i="4"/>
  <c r="AT52" i="4" s="1"/>
  <c r="AZ54" i="4" l="1"/>
  <c r="R54" i="4"/>
  <c r="AG54" i="4"/>
  <c r="P54" i="4"/>
  <c r="AQ54" i="4"/>
  <c r="AS53" i="4"/>
  <c r="AU53" i="4" s="1"/>
  <c r="AO53" i="4"/>
  <c r="AR53" i="4"/>
  <c r="AT53" i="4" s="1"/>
  <c r="S53" i="4"/>
  <c r="BA53" i="4"/>
  <c r="AM52" i="4"/>
  <c r="AN52" i="4" s="1"/>
  <c r="AJ53" i="4"/>
  <c r="N56" i="4"/>
  <c r="O55" i="4"/>
  <c r="AF55" i="4"/>
  <c r="AJ54" i="4" l="1"/>
  <c r="AM53" i="4"/>
  <c r="AN53" i="4" s="1"/>
  <c r="R55" i="4"/>
  <c r="AG55" i="4"/>
  <c r="P55" i="4"/>
  <c r="AZ55" i="4"/>
  <c r="BA54" i="4"/>
  <c r="S54" i="4"/>
  <c r="O56" i="4"/>
  <c r="AF56" i="4"/>
  <c r="AS54" i="4"/>
  <c r="AU54" i="4" s="1"/>
  <c r="AQ55" i="4"/>
  <c r="AR54" i="4"/>
  <c r="AT54" i="4" s="1"/>
  <c r="AO54" i="4"/>
  <c r="AS55" i="4" l="1"/>
  <c r="AU55" i="4" s="1"/>
  <c r="AQ56" i="4"/>
  <c r="AR55" i="4"/>
  <c r="AT55" i="4" s="1"/>
  <c r="AO55" i="4"/>
  <c r="BA55" i="4"/>
  <c r="S55" i="4"/>
  <c r="R56" i="4"/>
  <c r="AG56" i="4"/>
  <c r="AZ56" i="4"/>
  <c r="AJ55" i="4"/>
  <c r="AM54" i="4"/>
  <c r="AN54" i="4" s="1"/>
  <c r="BA56" i="4" l="1"/>
  <c r="S56" i="4"/>
  <c r="AM55" i="4"/>
  <c r="AN55" i="4" s="1"/>
  <c r="AJ56" i="4"/>
  <c r="AS56" i="4"/>
  <c r="AU56" i="4" s="1"/>
  <c r="AR56" i="4"/>
  <c r="AT56" i="4" s="1"/>
  <c r="AO56" i="4"/>
  <c r="AJ58" i="4" l="1"/>
  <c r="AJ57" i="4"/>
  <c r="AM57" i="4" s="1"/>
  <c r="AM56" i="4"/>
  <c r="AN5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tc={BC5D1396-DDB5-40CC-A711-F5B351599C25}</author>
    <author>tc={CCE8C719-CEAC-4106-8D3F-0BD8D001EC9B}</author>
    <author>tc={C7AB072E-CB0F-4BDB-993D-BD718B18CBB8}</author>
    <author>tc={D77A0877-B817-4044-AAFB-B822C63A0A80}</author>
    <author>tc={F3019DBB-232C-4DEA-9BC8-E387FC1928B6}</author>
    <author>tc={3D68E174-C5AA-405F-8D9A-128AC81721BD}</author>
    <author>tc={BF1FDE14-BF21-482A-965E-B48EBE715639}</author>
    <author>tc={50C98A7A-9651-441D-BB9D-5C94138FEC4F}</author>
    <author>tc={09DC63E0-2E52-4854-913B-59679C380E3F}</author>
    <author>tc={4D29DD13-2564-4445-87F3-C5AFE0A2FD6F}</author>
    <author>tc={A35303A8-5445-4164-8650-9D904AD9BFF6}</author>
    <author>tc={3814AAD9-02FA-4983-A968-ED88A46C6060}</author>
    <author>tc={AB796FF4-9A67-446D-B3F4-62EBEB6C1C85}</author>
  </authors>
  <commentList>
    <comment ref="AM1" authorId="0" shapeId="0" xr:uid="{BC5D1396-DDB5-40CC-A711-F5B351599C25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simplicity, excludes rewards; sell down of unlocking genesis</t>
      </text>
    </comment>
    <comment ref="AM2" authorId="1" shapeId="0" xr:uid="{CCE8C719-CEAC-4106-8D3F-0BD8D001EC9B}">
      <text>
        <t>[Threaded comment]
Your version of Excel allows you to read this threaded comment; however, any edits to it will get removed if the file is opened in a newer version of Excel. Learn more: https://go.microsoft.com/fwlink/?linkid=870924
Comment:
    Ignores potential selling of Staking &amp; LP rewards for now</t>
      </text>
    </comment>
    <comment ref="R7" authorId="2" shapeId="0" xr:uid="{C7AB072E-CB0F-4BDB-993D-BD718B18CBB8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Highlight RED &lt;10%</t>
      </text>
    </comment>
    <comment ref="S7" authorId="3" shapeId="0" xr:uid="{D77A0877-B817-4044-AAFB-B822C63A0A80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Highlight RED &gt;10%</t>
      </text>
    </comment>
    <comment ref="AG7" authorId="4" shapeId="0" xr:uid="{F3019DBB-232C-4DEA-9BC8-E387FC1928B6}">
      <text>
        <t>[Threaded comment]
Your version of Excel allows you to read this threaded comment; however, any edits to it will get removed if the file is opened in a newer version of Excel. Learn more: https://go.microsoft.com/fwlink/?linkid=870924
Comment:
    = Max Circ. Supply - IF - SEED LP</t>
      </text>
    </comment>
    <comment ref="AH7" authorId="5" shapeId="0" xr:uid="{3D68E174-C5AA-405F-8D9A-128AC81721BD}">
      <text>
        <t>[Threaded comment]
Your version of Excel allows you to read this threaded comment; however, any edits to it will get removed if the file is opened in a newer version of Excel. Learn more: https://go.microsoft.com/fwlink/?linkid=870924
Comment:
    = (Genesis Stakeable) + (New Rewards) + (Team % of unlock that wasnt stakeable prior)</t>
      </text>
    </comment>
    <comment ref="AI7" authorId="6" shapeId="0" xr:uid="{BF1FDE14-BF21-482A-965E-B48EBE715639}">
      <text>
        <t>[Threaded comment]
Your version of Excel allows you to read this threaded comment; however, any edits to it will get removed if the file is opened in a newer version of Excel. Learn more: https://go.microsoft.com/fwlink/?linkid=870924
Comment:
    =SA + IDO + LP rewards + Bet Rewards</t>
      </text>
    </comment>
    <comment ref="AM7" authorId="7" shapeId="0" xr:uid="{50C98A7A-9651-441D-BB9D-5C94138FEC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 SEED + TEAM + TREASURY (but NO InsFund since not stakeable)
Assumes: 
-Insiders do not compound
</t>
      </text>
    </comment>
    <comment ref="AN7" authorId="8" shapeId="0" xr:uid="{09DC63E0-2E52-4854-913B-59679C380E3F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Highlight RED &lt; 51%</t>
      </text>
    </comment>
    <comment ref="AP7" authorId="9" shapeId="0" xr:uid="{4D29DD13-2564-4445-87F3-C5AFE0A2FD6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=(Genesis Stakeable) + (New Locked Rewards) + (3mo LP sacrifice for Treasury) - (Reward Unlocks). 
Note:
- Team unlock adjusted for % that was stakeable to start with.
- Ignores any applicable accrual to the insurance fund from the 3mo LP sacrifice given it isnt stakeable. </t>
      </text>
    </comment>
    <comment ref="AQ7" authorId="10" shapeId="0" xr:uid="{A35303A8-5445-4164-8650-9D904AD9BFF6}">
      <text>
        <t>[Threaded comment]
Your version of Excel allows you to read this threaded comment; however, any edits to it will get removed if the file is opened in a newer version of Excel. Learn more: https://go.microsoft.com/fwlink/?linkid=870924
Comment:
    = IDO + (staking rewards)+ (unlock of previously locked rewards that couldnt choose).</t>
      </text>
    </comment>
    <comment ref="AU7" authorId="11" shapeId="0" xr:uid="{3814AAD9-02FA-4983-A968-ED88A46C606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Assumes 12mo lock, 100% of rewards</t>
      </text>
    </comment>
    <comment ref="AS8" authorId="12" shapeId="0" xr:uid="{AB796FF4-9A67-446D-B3F4-62EBEB6C1C85}">
      <text>
        <t>[Threaded comment]
Your version of Excel allows you to read this threaded comment; however, any edits to it will get removed if the file is opened in a newer version of Excel. Learn more: https://go.microsoft.com/fwlink/?linkid=870924
Comment:
    =Stake or LP + SEED LP Loan</t>
      </text>
    </comment>
  </commentList>
</comments>
</file>

<file path=xl/sharedStrings.xml><?xml version="1.0" encoding="utf-8"?>
<sst xmlns="http://schemas.openxmlformats.org/spreadsheetml/2006/main" count="192" uniqueCount="123">
  <si>
    <t>SEED</t>
  </si>
  <si>
    <t>TEAM</t>
  </si>
  <si>
    <t>TREASURY</t>
  </si>
  <si>
    <t>INSURANCE FUND</t>
  </si>
  <si>
    <t>STAKERS</t>
  </si>
  <si>
    <t>LP PROVIDERS</t>
  </si>
  <si>
    <t>STAKING AIRDROP</t>
  </si>
  <si>
    <t>IDO</t>
  </si>
  <si>
    <t>MAX SUPPLY</t>
  </si>
  <si>
    <t>Token Allocation</t>
  </si>
  <si>
    <t>% of Max Supply</t>
  </si>
  <si>
    <t>Categorically:</t>
  </si>
  <si>
    <t>Early Backers</t>
  </si>
  <si>
    <t>TEAM + TREASURY</t>
  </si>
  <si>
    <t>COMMUNITY</t>
  </si>
  <si>
    <t>TOKEN</t>
  </si>
  <si>
    <t>GENESIS</t>
  </si>
  <si>
    <t>FREELY-TRADABLE</t>
  </si>
  <si>
    <t>LOCKED_VESTING</t>
  </si>
  <si>
    <t>LOCKED_STAKABLE</t>
  </si>
  <si>
    <t>CLIFF</t>
  </si>
  <si>
    <t>VESTING</t>
  </si>
  <si>
    <t>VESTING_SHAPE</t>
  </si>
  <si>
    <t>SEED LP</t>
  </si>
  <si>
    <t>LINEAR</t>
  </si>
  <si>
    <t>% TOTAL SUPPLY</t>
  </si>
  <si>
    <t>STAKING</t>
  </si>
  <si>
    <t>Months</t>
  </si>
  <si>
    <t>Weight</t>
  </si>
  <si>
    <t>Amount</t>
  </si>
  <si>
    <t>halfing period</t>
  </si>
  <si>
    <t>MONTHS</t>
  </si>
  <si>
    <t>EQ_WT</t>
  </si>
  <si>
    <t>EQ_WT_EXPOSURE</t>
  </si>
  <si>
    <t>EXP_WT</t>
  </si>
  <si>
    <t>ADAPT_EXP_WT</t>
  </si>
  <si>
    <t>EXP_WT_EXPOSURE</t>
  </si>
  <si>
    <t>LP</t>
  </si>
  <si>
    <t>Total Supply</t>
  </si>
  <si>
    <t>T+0M</t>
  </si>
  <si>
    <t>% Max Supply</t>
  </si>
  <si>
    <t>Staking rewards</t>
  </si>
  <si>
    <t>% of Max CS</t>
  </si>
  <si>
    <t>Total Unlock</t>
  </si>
  <si>
    <t>% Max CS</t>
  </si>
  <si>
    <t>% Effective CS</t>
  </si>
  <si>
    <t>SA</t>
  </si>
  <si>
    <t>Treasury</t>
  </si>
  <si>
    <t>Ins.Fund</t>
  </si>
  <si>
    <t>LP Rewards</t>
  </si>
  <si>
    <t>To Re-Allocate:</t>
  </si>
  <si>
    <t>LP 3month</t>
  </si>
  <si>
    <t>LP 12mo</t>
  </si>
  <si>
    <t>Locked Tokens</t>
  </si>
  <si>
    <t>Max Circulating Supply</t>
  </si>
  <si>
    <t>Effective Circ Supply</t>
  </si>
  <si>
    <t>Max Stakeable</t>
  </si>
  <si>
    <t>Community</t>
  </si>
  <si>
    <t>Insider Control</t>
  </si>
  <si>
    <t>IC Vote %</t>
  </si>
  <si>
    <t>check:</t>
  </si>
  <si>
    <t>Only Stakeable</t>
  </si>
  <si>
    <t>Stake or LP</t>
  </si>
  <si>
    <t>Stake Qty</t>
  </si>
  <si>
    <t>LP Qty</t>
  </si>
  <si>
    <t>Stake Yield</t>
  </si>
  <si>
    <t>LP Yield</t>
  </si>
  <si>
    <t>Mkt Cap On:</t>
  </si>
  <si>
    <t>Max Circ. Supply</t>
  </si>
  <si>
    <t>Effective Circ. Supply</t>
  </si>
  <si>
    <t>Fully Diluted</t>
  </si>
  <si>
    <t>Insider Sell Down?</t>
  </si>
  <si>
    <t>NO</t>
  </si>
  <si>
    <t>MARKET CAP ANALYSIS</t>
  </si>
  <si>
    <t>UNLOCK ANALYSIS</t>
  </si>
  <si>
    <t>If YES, Insder Sell Down % per unlock:</t>
  </si>
  <si>
    <t>GOVERNANCE ANALYSIS</t>
  </si>
  <si>
    <t>YIELD ANALYSIS : LP vs Stake</t>
  </si>
  <si>
    <t>Re-allocation to InsFund:</t>
  </si>
  <si>
    <t>Term haircut:</t>
  </si>
  <si>
    <t>For Governance</t>
  </si>
  <si>
    <t>Of Free to Stake or LP:</t>
  </si>
  <si>
    <t>Stake %</t>
  </si>
  <si>
    <t>LP %</t>
  </si>
  <si>
    <t>Re-allocation to Treasury:</t>
  </si>
  <si>
    <t>&lt;----------------</t>
  </si>
  <si>
    <t>% Opt for 3mo:</t>
  </si>
  <si>
    <t>CALC ONLY</t>
  </si>
  <si>
    <t>Stakeable tokens</t>
  </si>
  <si>
    <t>Starting Vote Split:</t>
  </si>
  <si>
    <t>INSURANCE AGENT INCENTIVES</t>
  </si>
  <si>
    <t>LEVERAGE AGENT INCENTIVES</t>
  </si>
  <si>
    <t>Ending Vote Split:</t>
  </si>
  <si>
    <r>
      <t xml:space="preserve">Total Additional </t>
    </r>
    <r>
      <rPr>
        <b/>
        <i/>
        <sz val="10"/>
        <rFont val="Calibri"/>
        <family val="2"/>
        <scheme val="minor"/>
      </rPr>
      <t xml:space="preserve">Treasury </t>
    </r>
    <r>
      <rPr>
        <sz val="10"/>
        <rFont val="Calibri"/>
        <family val="2"/>
        <scheme val="minor"/>
      </rPr>
      <t>accrual from shorter term LP lock</t>
    </r>
  </si>
  <si>
    <t>% increase from start:</t>
  </si>
  <si>
    <r>
      <t xml:space="preserve">Total Additional </t>
    </r>
    <r>
      <rPr>
        <b/>
        <i/>
        <sz val="10"/>
        <rFont val="Calibri"/>
        <family val="2"/>
        <scheme val="minor"/>
      </rPr>
      <t>Insurance Fund</t>
    </r>
    <r>
      <rPr>
        <sz val="10"/>
        <rFont val="Calibri"/>
        <family val="2"/>
        <scheme val="minor"/>
      </rPr>
      <t xml:space="preserve"> accrual from shorter term LP lock</t>
    </r>
  </si>
  <si>
    <t>GENESIS DETAIL with VESTING:</t>
  </si>
  <si>
    <t>FTRADABLE</t>
  </si>
  <si>
    <t>IF</t>
  </si>
  <si>
    <t>LP PR</t>
  </si>
  <si>
    <t>Totals</t>
  </si>
  <si>
    <t>Collateralized loan from treasury</t>
  </si>
  <si>
    <t>LA INCENTIVES</t>
  </si>
  <si>
    <t>IA INCENTIVES</t>
  </si>
  <si>
    <t>Matrix Price MoM % growth, Months 1-6:</t>
  </si>
  <si>
    <t>Matrix Price MoM % growth, Months 6-12:</t>
  </si>
  <si>
    <t>Matrix Price MoM % growth, Months 12-24:</t>
  </si>
  <si>
    <t>Matrix Price MoM % growth, Months 24-48:</t>
  </si>
  <si>
    <t>NEO Price</t>
  </si>
  <si>
    <t>Total Allocation</t>
  </si>
  <si>
    <t>Total Number</t>
  </si>
  <si>
    <t>pct_max_supply</t>
  </si>
  <si>
    <t>total_supply</t>
  </si>
  <si>
    <t>seed</t>
  </si>
  <si>
    <t>team</t>
  </si>
  <si>
    <t>treasury</t>
  </si>
  <si>
    <t>insurance_fund</t>
  </si>
  <si>
    <t>stakers</t>
  </si>
  <si>
    <t>LPs</t>
  </si>
  <si>
    <t>LA_incentives</t>
  </si>
  <si>
    <t>IA_incentives</t>
  </si>
  <si>
    <t>staking_airdrop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</si>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</sst>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0.0000"/>
    <numFmt numFmtId="166" formatCode="0.0000000"/>
    <numFmt numFmtId="167" formatCode="_(* #,##0_);_(* \(#,##0\);_(* &quot;-&quot;??_);_(@_)"/>
    <numFmt numFmtId="168" formatCode="_([$$-409]* #,##0_);_([$$-409]* \(#,##0\);_([$$-409]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2CC"/>
      <name val="Calibri"/>
      <family val="2"/>
      <scheme val="minor"/>
    </font>
    <font>
      <sz val="10"/>
      <color rgb="FF0000FF"/>
      <name val="Calibri"/>
      <family val="2"/>
      <scheme val="minor"/>
    </font>
    <font>
      <b/>
      <i/>
      <sz val="8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674EA7"/>
      </patternFill>
    </fill>
    <fill>
      <patternFill patternType="solid">
        <fgColor theme="4" tint="-0.499984740745262"/>
        <bgColor rgb="FF674EA7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CCCCC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EFEFE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7B7B7"/>
        <bgColor rgb="FFB7B7B7"/>
      </patternFill>
    </fill>
  </fills>
  <borders count="5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70C0"/>
      </left>
      <right style="medium">
        <color rgb="FF0070C0"/>
      </right>
      <top style="medium">
        <color indexed="64"/>
      </top>
      <bottom style="medium">
        <color rgb="FF0070C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3">
    <xf numFmtId="0" fontId="0" fillId="0" borderId="0" xfId="0"/>
    <xf numFmtId="0" fontId="3" fillId="2" borderId="0" xfId="0" applyFont="1" applyFill="1" applyAlignment="1">
      <alignment horizontal="right"/>
    </xf>
    <xf numFmtId="0" fontId="4" fillId="3" borderId="1" xfId="0" applyFont="1" applyFill="1" applyBorder="1" applyAlignment="1">
      <alignment horizontal="center"/>
    </xf>
    <xf numFmtId="4" fontId="4" fillId="3" borderId="2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3" xfId="0" applyFont="1" applyFill="1" applyBorder="1" applyAlignment="1">
      <alignment horizontal="right"/>
    </xf>
    <xf numFmtId="3" fontId="7" fillId="5" borderId="0" xfId="0" applyNumberFormat="1" applyFont="1" applyFill="1" applyAlignment="1">
      <alignment horizontal="center"/>
    </xf>
    <xf numFmtId="3" fontId="8" fillId="6" borderId="4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right"/>
    </xf>
    <xf numFmtId="10" fontId="9" fillId="4" borderId="6" xfId="0" applyNumberFormat="1" applyFont="1" applyFill="1" applyBorder="1" applyAlignment="1">
      <alignment horizontal="center"/>
    </xf>
    <xf numFmtId="10" fontId="9" fillId="4" borderId="7" xfId="0" applyNumberFormat="1" applyFont="1" applyFill="1" applyBorder="1" applyAlignment="1">
      <alignment horizontal="center"/>
    </xf>
    <xf numFmtId="10" fontId="9" fillId="4" borderId="7" xfId="2" applyNumberFormat="1" applyFont="1" applyFill="1" applyBorder="1" applyAlignment="1">
      <alignment horizontal="center"/>
    </xf>
    <xf numFmtId="9" fontId="9" fillId="4" borderId="7" xfId="2" applyFont="1" applyFill="1" applyBorder="1" applyAlignment="1">
      <alignment horizontal="center"/>
    </xf>
    <xf numFmtId="0" fontId="10" fillId="7" borderId="3" xfId="0" applyFont="1" applyFill="1" applyBorder="1" applyAlignment="1">
      <alignment horizontal="right"/>
    </xf>
    <xf numFmtId="10" fontId="11" fillId="7" borderId="8" xfId="0" applyNumberFormat="1" applyFont="1" applyFill="1" applyBorder="1" applyAlignment="1">
      <alignment horizontal="center"/>
    </xf>
    <xf numFmtId="10" fontId="11" fillId="7" borderId="3" xfId="0" applyNumberFormat="1" applyFont="1" applyFill="1" applyBorder="1" applyAlignment="1">
      <alignment horizontal="center"/>
    </xf>
    <xf numFmtId="0" fontId="13" fillId="9" borderId="10" xfId="0" applyFont="1" applyFill="1" applyBorder="1"/>
    <xf numFmtId="0" fontId="14" fillId="8" borderId="11" xfId="0" applyFont="1" applyFill="1" applyBorder="1"/>
    <xf numFmtId="10" fontId="9" fillId="7" borderId="11" xfId="0" applyNumberFormat="1" applyFont="1" applyFill="1" applyBorder="1" applyAlignment="1">
      <alignment horizontal="center"/>
    </xf>
    <xf numFmtId="10" fontId="9" fillId="7" borderId="5" xfId="0" applyNumberFormat="1" applyFont="1" applyFill="1" applyBorder="1" applyAlignment="1">
      <alignment horizontal="center"/>
    </xf>
    <xf numFmtId="10" fontId="14" fillId="9" borderId="0" xfId="0" applyNumberFormat="1" applyFont="1" applyFill="1" applyAlignment="1">
      <alignment horizontal="center"/>
    </xf>
    <xf numFmtId="0" fontId="2" fillId="0" borderId="0" xfId="0" applyFont="1"/>
    <xf numFmtId="3" fontId="2" fillId="0" borderId="0" xfId="0" applyNumberFormat="1" applyFont="1"/>
    <xf numFmtId="0" fontId="0" fillId="0" borderId="7" xfId="0" applyBorder="1"/>
    <xf numFmtId="0" fontId="2" fillId="0" borderId="7" xfId="0" applyFont="1" applyBorder="1"/>
    <xf numFmtId="3" fontId="0" fillId="0" borderId="7" xfId="0" applyNumberFormat="1" applyBorder="1"/>
    <xf numFmtId="164" fontId="2" fillId="0" borderId="0" xfId="2" applyNumberFormat="1" applyFont="1"/>
    <xf numFmtId="0" fontId="2" fillId="10" borderId="7" xfId="0" applyFont="1" applyFill="1" applyBorder="1"/>
    <xf numFmtId="3" fontId="2" fillId="11" borderId="7" xfId="0" applyNumberFormat="1" applyFont="1" applyFill="1" applyBorder="1"/>
    <xf numFmtId="0" fontId="2" fillId="11" borderId="7" xfId="0" applyFont="1" applyFill="1" applyBorder="1"/>
    <xf numFmtId="4" fontId="2" fillId="11" borderId="7" xfId="0" applyNumberFormat="1" applyFont="1" applyFill="1" applyBorder="1"/>
    <xf numFmtId="0" fontId="2" fillId="11" borderId="0" xfId="0" applyFont="1" applyFill="1"/>
    <xf numFmtId="0" fontId="2" fillId="12" borderId="7" xfId="0" applyFont="1" applyFill="1" applyBorder="1"/>
    <xf numFmtId="0" fontId="0" fillId="12" borderId="7" xfId="0" applyFill="1" applyBorder="1"/>
    <xf numFmtId="165" fontId="0" fillId="12" borderId="7" xfId="0" applyNumberFormat="1" applyFill="1" applyBorder="1"/>
    <xf numFmtId="3" fontId="0" fillId="12" borderId="7" xfId="0" applyNumberFormat="1" applyFill="1" applyBorder="1"/>
    <xf numFmtId="165" fontId="0" fillId="12" borderId="7" xfId="1" applyNumberFormat="1" applyFont="1" applyFill="1" applyBorder="1"/>
    <xf numFmtId="0" fontId="0" fillId="13" borderId="7" xfId="0" applyFill="1" applyBorder="1"/>
    <xf numFmtId="165" fontId="0" fillId="13" borderId="7" xfId="1" applyNumberFormat="1" applyFont="1" applyFill="1" applyBorder="1"/>
    <xf numFmtId="0" fontId="0" fillId="14" borderId="7" xfId="0" applyFill="1" applyBorder="1"/>
    <xf numFmtId="165" fontId="0" fillId="14" borderId="7" xfId="1" applyNumberFormat="1" applyFont="1" applyFill="1" applyBorder="1"/>
    <xf numFmtId="0" fontId="0" fillId="9" borderId="7" xfId="0" applyFill="1" applyBorder="1"/>
    <xf numFmtId="43" fontId="0" fillId="9" borderId="7" xfId="1" applyFont="1" applyFill="1" applyBorder="1"/>
    <xf numFmtId="3" fontId="0" fillId="9" borderId="7" xfId="0" applyNumberFormat="1" applyFill="1" applyBorder="1"/>
    <xf numFmtId="0" fontId="0" fillId="15" borderId="7" xfId="0" applyFill="1" applyBorder="1"/>
    <xf numFmtId="9" fontId="0" fillId="15" borderId="7" xfId="2" applyFont="1" applyFill="1" applyBorder="1"/>
    <xf numFmtId="3" fontId="0" fillId="15" borderId="7" xfId="0" applyNumberFormat="1" applyFill="1" applyBorder="1"/>
    <xf numFmtId="166" fontId="0" fillId="15" borderId="7" xfId="0" applyNumberFormat="1" applyFill="1" applyBorder="1"/>
    <xf numFmtId="9" fontId="0" fillId="0" borderId="7" xfId="2" applyFont="1" applyBorder="1"/>
    <xf numFmtId="9" fontId="0" fillId="0" borderId="0" xfId="0" applyNumberFormat="1"/>
    <xf numFmtId="3" fontId="2" fillId="0" borderId="13" xfId="0" applyNumberFormat="1" applyFont="1" applyBorder="1"/>
    <xf numFmtId="43" fontId="0" fillId="0" borderId="0" xfId="1" applyFont="1"/>
    <xf numFmtId="2" fontId="0" fillId="9" borderId="7" xfId="0" applyNumberFormat="1" applyFill="1" applyBorder="1"/>
    <xf numFmtId="3" fontId="0" fillId="0" borderId="14" xfId="0" applyNumberFormat="1" applyBorder="1"/>
    <xf numFmtId="9" fontId="0" fillId="15" borderId="14" xfId="2" applyFont="1" applyFill="1" applyBorder="1"/>
    <xf numFmtId="166" fontId="0" fillId="15" borderId="14" xfId="0" applyNumberFormat="1" applyFill="1" applyBorder="1"/>
    <xf numFmtId="3" fontId="0" fillId="15" borderId="14" xfId="0" applyNumberFormat="1" applyFill="1" applyBorder="1"/>
    <xf numFmtId="0" fontId="14" fillId="0" borderId="3" xfId="0" applyFont="1" applyBorder="1"/>
    <xf numFmtId="0" fontId="4" fillId="3" borderId="13" xfId="0" applyFont="1" applyFill="1" applyBorder="1" applyAlignment="1">
      <alignment horizontal="center"/>
    </xf>
    <xf numFmtId="0" fontId="14" fillId="9" borderId="0" xfId="0" applyFont="1" applyFill="1"/>
    <xf numFmtId="0" fontId="5" fillId="0" borderId="7" xfId="0" applyFont="1" applyBorder="1" applyAlignment="1">
      <alignment horizontal="center"/>
    </xf>
    <xf numFmtId="0" fontId="15" fillId="16" borderId="16" xfId="0" applyFont="1" applyFill="1" applyBorder="1"/>
    <xf numFmtId="0" fontId="9" fillId="16" borderId="17" xfId="0" applyFont="1" applyFill="1" applyBorder="1" applyAlignment="1">
      <alignment horizontal="right"/>
    </xf>
    <xf numFmtId="3" fontId="14" fillId="16" borderId="17" xfId="0" applyNumberFormat="1" applyFont="1" applyFill="1" applyBorder="1" applyAlignment="1">
      <alignment horizontal="center"/>
    </xf>
    <xf numFmtId="3" fontId="3" fillId="17" borderId="17" xfId="0" applyNumberFormat="1" applyFont="1" applyFill="1" applyBorder="1" applyAlignment="1">
      <alignment horizontal="center"/>
    </xf>
    <xf numFmtId="3" fontId="9" fillId="18" borderId="17" xfId="0" applyNumberFormat="1" applyFont="1" applyFill="1" applyBorder="1" applyAlignment="1">
      <alignment horizontal="center"/>
    </xf>
    <xf numFmtId="0" fontId="14" fillId="16" borderId="17" xfId="0" applyFont="1" applyFill="1" applyBorder="1" applyAlignment="1">
      <alignment horizontal="center"/>
    </xf>
    <xf numFmtId="4" fontId="14" fillId="16" borderId="17" xfId="0" applyNumberFormat="1" applyFont="1" applyFill="1" applyBorder="1" applyAlignment="1">
      <alignment horizontal="center"/>
    </xf>
    <xf numFmtId="3" fontId="14" fillId="16" borderId="18" xfId="0" applyNumberFormat="1" applyFont="1" applyFill="1" applyBorder="1" applyAlignment="1">
      <alignment horizontal="center"/>
    </xf>
    <xf numFmtId="3" fontId="9" fillId="16" borderId="9" xfId="0" applyNumberFormat="1" applyFont="1" applyFill="1" applyBorder="1" applyAlignment="1">
      <alignment horizontal="right"/>
    </xf>
    <xf numFmtId="0" fontId="3" fillId="9" borderId="19" xfId="0" applyFont="1" applyFill="1" applyBorder="1" applyAlignment="1">
      <alignment horizontal="center"/>
    </xf>
    <xf numFmtId="0" fontId="9" fillId="9" borderId="13" xfId="0" applyFont="1" applyFill="1" applyBorder="1" applyAlignment="1">
      <alignment horizontal="right"/>
    </xf>
    <xf numFmtId="3" fontId="9" fillId="2" borderId="19" xfId="0" applyNumberFormat="1" applyFont="1" applyFill="1" applyBorder="1" applyAlignment="1">
      <alignment horizontal="right"/>
    </xf>
    <xf numFmtId="3" fontId="9" fillId="19" borderId="19" xfId="0" applyNumberFormat="1" applyFont="1" applyFill="1" applyBorder="1" applyAlignment="1">
      <alignment horizontal="right"/>
    </xf>
    <xf numFmtId="3" fontId="16" fillId="19" borderId="19" xfId="0" applyNumberFormat="1" applyFont="1" applyFill="1" applyBorder="1" applyAlignment="1">
      <alignment horizontal="right"/>
    </xf>
    <xf numFmtId="3" fontId="9" fillId="20" borderId="19" xfId="0" applyNumberFormat="1" applyFont="1" applyFill="1" applyBorder="1" applyAlignment="1">
      <alignment horizontal="right"/>
    </xf>
    <xf numFmtId="3" fontId="14" fillId="9" borderId="13" xfId="0" applyNumberFormat="1" applyFont="1" applyFill="1" applyBorder="1"/>
    <xf numFmtId="0" fontId="14" fillId="9" borderId="19" xfId="0" applyFont="1" applyFill="1" applyBorder="1"/>
    <xf numFmtId="4" fontId="14" fillId="9" borderId="19" xfId="0" applyNumberFormat="1" applyFont="1" applyFill="1" applyBorder="1"/>
    <xf numFmtId="3" fontId="14" fillId="9" borderId="19" xfId="0" applyNumberFormat="1" applyFont="1" applyFill="1" applyBorder="1"/>
    <xf numFmtId="0" fontId="14" fillId="9" borderId="0" xfId="0" applyFont="1" applyFill="1" applyAlignment="1">
      <alignment horizontal="center"/>
    </xf>
    <xf numFmtId="3" fontId="9" fillId="9" borderId="13" xfId="0" applyNumberFormat="1" applyFont="1" applyFill="1" applyBorder="1" applyAlignment="1">
      <alignment horizontal="right"/>
    </xf>
    <xf numFmtId="0" fontId="3" fillId="9" borderId="13" xfId="0" applyFont="1" applyFill="1" applyBorder="1" applyAlignment="1">
      <alignment horizontal="center"/>
    </xf>
    <xf numFmtId="0" fontId="14" fillId="9" borderId="13" xfId="0" applyFont="1" applyFill="1" applyBorder="1"/>
    <xf numFmtId="3" fontId="9" fillId="19" borderId="13" xfId="0" applyNumberFormat="1" applyFont="1" applyFill="1" applyBorder="1" applyAlignment="1">
      <alignment horizontal="right"/>
    </xf>
    <xf numFmtId="3" fontId="9" fillId="20" borderId="13" xfId="0" applyNumberFormat="1" applyFont="1" applyFill="1" applyBorder="1" applyAlignment="1">
      <alignment horizontal="right"/>
    </xf>
    <xf numFmtId="4" fontId="14" fillId="9" borderId="13" xfId="0" applyNumberFormat="1" applyFont="1" applyFill="1" applyBorder="1"/>
    <xf numFmtId="3" fontId="17" fillId="19" borderId="13" xfId="0" applyNumberFormat="1" applyFont="1" applyFill="1" applyBorder="1" applyAlignment="1">
      <alignment horizontal="right"/>
    </xf>
    <xf numFmtId="3" fontId="17" fillId="20" borderId="13" xfId="0" applyNumberFormat="1" applyFont="1" applyFill="1" applyBorder="1" applyAlignment="1">
      <alignment horizontal="right"/>
    </xf>
    <xf numFmtId="3" fontId="9" fillId="9" borderId="5" xfId="0" applyNumberFormat="1" applyFont="1" applyFill="1" applyBorder="1" applyAlignment="1">
      <alignment horizontal="right"/>
    </xf>
    <xf numFmtId="0" fontId="14" fillId="9" borderId="5" xfId="0" applyFont="1" applyFill="1" applyBorder="1"/>
    <xf numFmtId="0" fontId="9" fillId="9" borderId="5" xfId="0" applyFont="1" applyFill="1" applyBorder="1" applyAlignment="1">
      <alignment horizontal="right"/>
    </xf>
    <xf numFmtId="3" fontId="17" fillId="19" borderId="5" xfId="0" applyNumberFormat="1" applyFont="1" applyFill="1" applyBorder="1" applyAlignment="1">
      <alignment horizontal="right"/>
    </xf>
    <xf numFmtId="3" fontId="17" fillId="20" borderId="5" xfId="0" applyNumberFormat="1" applyFont="1" applyFill="1" applyBorder="1" applyAlignment="1">
      <alignment horizontal="right"/>
    </xf>
    <xf numFmtId="3" fontId="9" fillId="20" borderId="5" xfId="0" applyNumberFormat="1" applyFont="1" applyFill="1" applyBorder="1" applyAlignment="1">
      <alignment horizontal="right"/>
    </xf>
    <xf numFmtId="4" fontId="14" fillId="9" borderId="5" xfId="0" applyNumberFormat="1" applyFont="1" applyFill="1" applyBorder="1"/>
    <xf numFmtId="3" fontId="9" fillId="9" borderId="7" xfId="0" applyNumberFormat="1" applyFont="1" applyFill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3" fontId="5" fillId="21" borderId="7" xfId="0" applyNumberFormat="1" applyFont="1" applyFill="1" applyBorder="1" applyAlignment="1">
      <alignment horizontal="right"/>
    </xf>
    <xf numFmtId="0" fontId="15" fillId="9" borderId="0" xfId="0" applyFont="1" applyFill="1"/>
    <xf numFmtId="0" fontId="14" fillId="9" borderId="10" xfId="0" applyFont="1" applyFill="1" applyBorder="1"/>
    <xf numFmtId="10" fontId="9" fillId="22" borderId="10" xfId="0" applyNumberFormat="1" applyFont="1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10" fontId="9" fillId="16" borderId="3" xfId="0" applyNumberFormat="1" applyFont="1" applyFill="1" applyBorder="1" applyAlignment="1">
      <alignment horizontal="right"/>
    </xf>
    <xf numFmtId="10" fontId="9" fillId="9" borderId="13" xfId="0" applyNumberFormat="1" applyFont="1" applyFill="1" applyBorder="1" applyAlignment="1">
      <alignment horizontal="right"/>
    </xf>
    <xf numFmtId="10" fontId="9" fillId="9" borderId="5" xfId="0" applyNumberFormat="1" applyFont="1" applyFill="1" applyBorder="1" applyAlignment="1">
      <alignment horizontal="right"/>
    </xf>
    <xf numFmtId="10" fontId="9" fillId="9" borderId="0" xfId="0" applyNumberFormat="1" applyFont="1" applyFill="1" applyAlignment="1">
      <alignment horizontal="right"/>
    </xf>
    <xf numFmtId="0" fontId="15" fillId="23" borderId="3" xfId="0" applyFont="1" applyFill="1" applyBorder="1"/>
    <xf numFmtId="0" fontId="14" fillId="24" borderId="0" xfId="0" applyFont="1" applyFill="1"/>
    <xf numFmtId="0" fontId="14" fillId="24" borderId="0" xfId="0" applyFont="1" applyFill="1" applyAlignment="1">
      <alignment horizontal="center"/>
    </xf>
    <xf numFmtId="0" fontId="5" fillId="23" borderId="5" xfId="0" applyFont="1" applyFill="1" applyBorder="1" applyAlignment="1">
      <alignment horizontal="center"/>
    </xf>
    <xf numFmtId="0" fontId="5" fillId="24" borderId="20" xfId="0" applyFont="1" applyFill="1" applyBorder="1" applyAlignment="1">
      <alignment horizontal="center"/>
    </xf>
    <xf numFmtId="0" fontId="5" fillId="25" borderId="20" xfId="0" applyFont="1" applyFill="1" applyBorder="1" applyAlignment="1">
      <alignment horizontal="center"/>
    </xf>
    <xf numFmtId="10" fontId="11" fillId="7" borderId="8" xfId="0" applyNumberFormat="1" applyFont="1" applyFill="1" applyBorder="1" applyAlignment="1">
      <alignment horizontal="center"/>
    </xf>
    <xf numFmtId="10" fontId="9" fillId="7" borderId="11" xfId="0" applyNumberFormat="1" applyFont="1" applyFill="1" applyBorder="1" applyAlignment="1">
      <alignment horizontal="center"/>
    </xf>
    <xf numFmtId="0" fontId="5" fillId="26" borderId="0" xfId="0" applyFont="1" applyFill="1" applyAlignment="1">
      <alignment horizontal="center"/>
    </xf>
    <xf numFmtId="0" fontId="5" fillId="27" borderId="20" xfId="0" applyFont="1" applyFill="1" applyBorder="1" applyAlignment="1">
      <alignment horizontal="center"/>
    </xf>
    <xf numFmtId="0" fontId="5" fillId="28" borderId="20" xfId="0" applyFont="1" applyFill="1" applyBorder="1" applyAlignment="1">
      <alignment horizontal="center"/>
    </xf>
    <xf numFmtId="9" fontId="5" fillId="27" borderId="7" xfId="2" applyFont="1" applyFill="1" applyBorder="1" applyAlignment="1">
      <alignment horizontal="center"/>
    </xf>
    <xf numFmtId="9" fontId="18" fillId="9" borderId="0" xfId="2" applyFont="1" applyFill="1" applyBorder="1" applyAlignment="1">
      <alignment horizontal="center"/>
    </xf>
    <xf numFmtId="9" fontId="5" fillId="10" borderId="21" xfId="2" applyFont="1" applyFill="1" applyBorder="1" applyAlignment="1">
      <alignment horizontal="center"/>
    </xf>
    <xf numFmtId="9" fontId="5" fillId="10" borderId="14" xfId="2" applyFont="1" applyFill="1" applyBorder="1" applyAlignment="1">
      <alignment horizontal="center"/>
    </xf>
    <xf numFmtId="9" fontId="5" fillId="10" borderId="6" xfId="2" applyFont="1" applyFill="1" applyBorder="1" applyAlignment="1">
      <alignment horizontal="center"/>
    </xf>
    <xf numFmtId="9" fontId="5" fillId="10" borderId="7" xfId="2" applyFont="1" applyFill="1" applyBorder="1" applyAlignment="1">
      <alignment horizontal="center"/>
    </xf>
    <xf numFmtId="9" fontId="5" fillId="10" borderId="9" xfId="2" applyFont="1" applyFill="1" applyBorder="1" applyAlignment="1">
      <alignment horizontal="center"/>
    </xf>
    <xf numFmtId="9" fontId="5" fillId="9" borderId="0" xfId="2" applyFont="1" applyFill="1" applyBorder="1" applyAlignment="1">
      <alignment horizontal="center"/>
    </xf>
    <xf numFmtId="0" fontId="15" fillId="15" borderId="22" xfId="0" applyFont="1" applyFill="1" applyBorder="1" applyAlignment="1">
      <alignment horizontal="right"/>
    </xf>
    <xf numFmtId="0" fontId="14" fillId="15" borderId="0" xfId="0" applyFont="1" applyFill="1" applyAlignment="1">
      <alignment horizontal="center"/>
    </xf>
    <xf numFmtId="0" fontId="14" fillId="15" borderId="2" xfId="0" applyFont="1" applyFill="1" applyBorder="1" applyAlignment="1">
      <alignment horizontal="center"/>
    </xf>
    <xf numFmtId="10" fontId="14" fillId="15" borderId="2" xfId="2" applyNumberFormat="1" applyFont="1" applyFill="1" applyBorder="1" applyAlignment="1">
      <alignment horizontal="center"/>
    </xf>
    <xf numFmtId="10" fontId="14" fillId="15" borderId="23" xfId="2" applyNumberFormat="1" applyFont="1" applyFill="1" applyBorder="1" applyAlignment="1">
      <alignment horizontal="center"/>
    </xf>
    <xf numFmtId="167" fontId="9" fillId="29" borderId="9" xfId="1" applyNumberFormat="1" applyFont="1" applyFill="1" applyBorder="1" applyAlignment="1">
      <alignment horizontal="right"/>
    </xf>
    <xf numFmtId="3" fontId="9" fillId="16" borderId="3" xfId="0" applyNumberFormat="1" applyFont="1" applyFill="1" applyBorder="1" applyAlignment="1">
      <alignment horizontal="right"/>
    </xf>
    <xf numFmtId="3" fontId="9" fillId="29" borderId="3" xfId="0" applyNumberFormat="1" applyFont="1" applyFill="1" applyBorder="1" applyAlignment="1">
      <alignment horizontal="right"/>
    </xf>
    <xf numFmtId="9" fontId="9" fillId="16" borderId="3" xfId="2" applyFont="1" applyFill="1" applyBorder="1" applyAlignment="1">
      <alignment horizontal="center"/>
    </xf>
    <xf numFmtId="9" fontId="19" fillId="16" borderId="24" xfId="2" applyFont="1" applyFill="1" applyBorder="1" applyAlignment="1">
      <alignment horizontal="center"/>
    </xf>
    <xf numFmtId="167" fontId="9" fillId="16" borderId="13" xfId="1" applyNumberFormat="1" applyFont="1" applyFill="1" applyBorder="1" applyAlignment="1">
      <alignment horizontal="right"/>
    </xf>
    <xf numFmtId="3" fontId="9" fillId="16" borderId="7" xfId="0" applyNumberFormat="1" applyFont="1" applyFill="1" applyBorder="1" applyAlignment="1">
      <alignment horizontal="right"/>
    </xf>
    <xf numFmtId="9" fontId="9" fillId="16" borderId="7" xfId="2" applyFont="1" applyFill="1" applyBorder="1" applyAlignment="1">
      <alignment horizontal="right"/>
    </xf>
    <xf numFmtId="9" fontId="9" fillId="9" borderId="0" xfId="2" applyFont="1" applyFill="1" applyBorder="1" applyAlignment="1">
      <alignment horizontal="right"/>
    </xf>
    <xf numFmtId="3" fontId="9" fillId="15" borderId="25" xfId="0" applyNumberFormat="1" applyFont="1" applyFill="1" applyBorder="1" applyAlignment="1">
      <alignment horizontal="right"/>
    </xf>
    <xf numFmtId="43" fontId="7" fillId="15" borderId="26" xfId="1" applyFont="1" applyFill="1" applyBorder="1" applyAlignment="1">
      <alignment horizontal="center"/>
    </xf>
    <xf numFmtId="168" fontId="9" fillId="15" borderId="0" xfId="0" applyNumberFormat="1" applyFont="1" applyFill="1" applyAlignment="1">
      <alignment horizontal="right"/>
    </xf>
    <xf numFmtId="168" fontId="5" fillId="15" borderId="27" xfId="0" applyNumberFormat="1" applyFont="1" applyFill="1" applyBorder="1" applyAlignment="1">
      <alignment horizontal="right"/>
    </xf>
    <xf numFmtId="0" fontId="0" fillId="9" borderId="0" xfId="0" applyFill="1"/>
    <xf numFmtId="0" fontId="14" fillId="9" borderId="0" xfId="0" applyFont="1" applyFill="1" applyAlignment="1">
      <alignment horizontal="right"/>
    </xf>
    <xf numFmtId="0" fontId="20" fillId="12" borderId="28" xfId="0" applyFont="1" applyFill="1" applyBorder="1" applyAlignment="1">
      <alignment horizontal="center"/>
    </xf>
    <xf numFmtId="9" fontId="21" fillId="9" borderId="0" xfId="2" applyFont="1" applyFill="1" applyAlignment="1">
      <alignment horizontal="center"/>
    </xf>
    <xf numFmtId="9" fontId="14" fillId="9" borderId="0" xfId="2" applyFont="1" applyFill="1"/>
    <xf numFmtId="9" fontId="23" fillId="9" borderId="32" xfId="0" applyNumberFormat="1" applyFont="1" applyFill="1" applyBorder="1" applyAlignment="1">
      <alignment horizontal="center"/>
    </xf>
    <xf numFmtId="0" fontId="14" fillId="15" borderId="33" xfId="0" applyFont="1" applyFill="1" applyBorder="1" applyAlignment="1">
      <alignment horizontal="left"/>
    </xf>
    <xf numFmtId="0" fontId="14" fillId="15" borderId="34" xfId="0" applyFont="1" applyFill="1" applyBorder="1" applyAlignment="1">
      <alignment horizontal="right"/>
    </xf>
    <xf numFmtId="0" fontId="0" fillId="15" borderId="34" xfId="0" applyFill="1" applyBorder="1"/>
    <xf numFmtId="9" fontId="7" fillId="15" borderId="35" xfId="2" applyFont="1" applyFill="1" applyBorder="1" applyAlignment="1">
      <alignment horizontal="left"/>
    </xf>
    <xf numFmtId="0" fontId="0" fillId="15" borderId="36" xfId="0" applyFill="1" applyBorder="1"/>
    <xf numFmtId="0" fontId="2" fillId="0" borderId="0" xfId="0" applyFont="1" applyAlignment="1">
      <alignment horizontal="center"/>
    </xf>
    <xf numFmtId="0" fontId="14" fillId="15" borderId="25" xfId="0" applyFont="1" applyFill="1" applyBorder="1" applyAlignment="1">
      <alignment horizontal="left"/>
    </xf>
    <xf numFmtId="0" fontId="0" fillId="15" borderId="0" xfId="0" applyFill="1"/>
    <xf numFmtId="9" fontId="7" fillId="15" borderId="26" xfId="2" applyFont="1" applyFill="1" applyBorder="1" applyAlignment="1">
      <alignment horizontal="left"/>
    </xf>
    <xf numFmtId="0" fontId="0" fillId="15" borderId="27" xfId="0" applyFill="1" applyBorder="1"/>
    <xf numFmtId="0" fontId="14" fillId="24" borderId="4" xfId="0" applyFont="1" applyFill="1" applyBorder="1"/>
    <xf numFmtId="0" fontId="14" fillId="25" borderId="8" xfId="0" applyFont="1" applyFill="1" applyBorder="1"/>
    <xf numFmtId="0" fontId="0" fillId="25" borderId="10" xfId="0" applyFill="1" applyBorder="1" applyAlignment="1">
      <alignment horizontal="right"/>
    </xf>
    <xf numFmtId="9" fontId="23" fillId="25" borderId="26" xfId="2" applyFont="1" applyFill="1" applyBorder="1" applyAlignment="1">
      <alignment horizontal="center"/>
    </xf>
    <xf numFmtId="0" fontId="0" fillId="24" borderId="0" xfId="0" applyFill="1"/>
    <xf numFmtId="0" fontId="14" fillId="26" borderId="8" xfId="0" applyFont="1" applyFill="1" applyBorder="1" applyAlignment="1">
      <alignment horizontal="right"/>
    </xf>
    <xf numFmtId="9" fontId="23" fillId="30" borderId="28" xfId="2" applyFont="1" applyFill="1" applyBorder="1" applyAlignment="1">
      <alignment horizontal="center"/>
    </xf>
    <xf numFmtId="9" fontId="11" fillId="26" borderId="9" xfId="2" applyFont="1" applyFill="1" applyBorder="1" applyAlignment="1">
      <alignment horizontal="center"/>
    </xf>
    <xf numFmtId="0" fontId="14" fillId="24" borderId="40" xfId="0" applyFont="1" applyFill="1" applyBorder="1"/>
    <xf numFmtId="0" fontId="24" fillId="27" borderId="0" xfId="0" applyFont="1" applyFill="1" applyAlignment="1">
      <alignment horizontal="center"/>
    </xf>
    <xf numFmtId="0" fontId="14" fillId="27" borderId="0" xfId="0" applyFont="1" applyFill="1"/>
    <xf numFmtId="9" fontId="14" fillId="27" borderId="0" xfId="2" applyFont="1" applyFill="1" applyAlignment="1">
      <alignment horizontal="center"/>
    </xf>
    <xf numFmtId="9" fontId="14" fillId="10" borderId="0" xfId="2" applyFont="1" applyFill="1"/>
    <xf numFmtId="9" fontId="14" fillId="10" borderId="0" xfId="2" applyFont="1" applyFill="1" applyAlignment="1">
      <alignment horizontal="right"/>
    </xf>
    <xf numFmtId="9" fontId="14" fillId="10" borderId="0" xfId="2" applyFont="1" applyFill="1" applyAlignment="1">
      <alignment horizontal="center"/>
    </xf>
    <xf numFmtId="0" fontId="15" fillId="24" borderId="4" xfId="0" applyFont="1" applyFill="1" applyBorder="1" applyAlignment="1">
      <alignment horizontal="center"/>
    </xf>
    <xf numFmtId="0" fontId="2" fillId="24" borderId="0" xfId="0" applyFont="1" applyFill="1" applyAlignment="1">
      <alignment horizontal="center"/>
    </xf>
    <xf numFmtId="0" fontId="2" fillId="25" borderId="11" xfId="0" applyFont="1" applyFill="1" applyBorder="1" applyAlignment="1">
      <alignment horizontal="center"/>
    </xf>
    <xf numFmtId="0" fontId="0" fillId="25" borderId="0" xfId="0" applyFill="1" applyAlignment="1">
      <alignment horizontal="right"/>
    </xf>
    <xf numFmtId="9" fontId="0" fillId="25" borderId="40" xfId="2" applyFont="1" applyFill="1" applyBorder="1" applyAlignment="1">
      <alignment horizontal="center"/>
    </xf>
    <xf numFmtId="0" fontId="23" fillId="24" borderId="0" xfId="0" applyFont="1" applyFill="1"/>
    <xf numFmtId="0" fontId="14" fillId="26" borderId="24" xfId="0" applyFont="1" applyFill="1" applyBorder="1" applyAlignment="1">
      <alignment horizontal="right"/>
    </xf>
    <xf numFmtId="9" fontId="23" fillId="30" borderId="32" xfId="2" applyFont="1" applyFill="1" applyBorder="1" applyAlignment="1">
      <alignment horizontal="center"/>
    </xf>
    <xf numFmtId="9" fontId="25" fillId="26" borderId="41" xfId="2" applyFont="1" applyFill="1" applyBorder="1" applyAlignment="1">
      <alignment horizontal="center"/>
    </xf>
    <xf numFmtId="0" fontId="2" fillId="24" borderId="40" xfId="0" applyFont="1" applyFill="1" applyBorder="1" applyAlignment="1">
      <alignment horizontal="center"/>
    </xf>
    <xf numFmtId="9" fontId="14" fillId="10" borderId="2" xfId="2" applyFont="1" applyFill="1" applyBorder="1"/>
    <xf numFmtId="9" fontId="7" fillId="10" borderId="44" xfId="2" applyFont="1" applyFill="1" applyBorder="1" applyAlignment="1">
      <alignment horizontal="center"/>
    </xf>
    <xf numFmtId="9" fontId="14" fillId="10" borderId="2" xfId="2" applyFont="1" applyFill="1" applyBorder="1" applyAlignment="1">
      <alignment horizontal="center"/>
    </xf>
    <xf numFmtId="9" fontId="14" fillId="9" borderId="0" xfId="2" applyFont="1" applyFill="1" applyBorder="1"/>
    <xf numFmtId="10" fontId="14" fillId="15" borderId="27" xfId="2" applyNumberFormat="1" applyFont="1" applyFill="1" applyBorder="1"/>
    <xf numFmtId="0" fontId="15" fillId="24" borderId="0" xfId="0" applyFont="1" applyFill="1" applyAlignment="1">
      <alignment horizontal="center"/>
    </xf>
    <xf numFmtId="0" fontId="2" fillId="25" borderId="45" xfId="0" applyFont="1" applyFill="1" applyBorder="1" applyAlignment="1">
      <alignment horizontal="center"/>
    </xf>
    <xf numFmtId="0" fontId="2" fillId="25" borderId="43" xfId="0" applyFont="1" applyFill="1" applyBorder="1" applyAlignment="1">
      <alignment horizontal="center"/>
    </xf>
    <xf numFmtId="0" fontId="14" fillId="26" borderId="11" xfId="0" applyFont="1" applyFill="1" applyBorder="1" applyAlignment="1">
      <alignment horizontal="right"/>
    </xf>
    <xf numFmtId="0" fontId="14" fillId="26" borderId="2" xfId="0" applyFont="1" applyFill="1" applyBorder="1" applyAlignment="1">
      <alignment horizontal="right"/>
    </xf>
    <xf numFmtId="9" fontId="9" fillId="26" borderId="12" xfId="2" applyFont="1" applyFill="1" applyBorder="1" applyAlignment="1">
      <alignment horizontal="center"/>
    </xf>
    <xf numFmtId="9" fontId="14" fillId="27" borderId="0" xfId="2" applyFont="1" applyFill="1" applyBorder="1" applyAlignment="1">
      <alignment horizontal="center"/>
    </xf>
    <xf numFmtId="9" fontId="14" fillId="27" borderId="0" xfId="0" applyNumberFormat="1" applyFont="1" applyFill="1"/>
    <xf numFmtId="9" fontId="7" fillId="10" borderId="2" xfId="2" applyFont="1" applyFill="1" applyBorder="1" applyAlignment="1">
      <alignment horizontal="center"/>
    </xf>
    <xf numFmtId="9" fontId="14" fillId="10" borderId="0" xfId="2" applyFont="1" applyFill="1" applyBorder="1"/>
    <xf numFmtId="9" fontId="7" fillId="15" borderId="0" xfId="2" applyFont="1" applyFill="1" applyBorder="1" applyAlignment="1">
      <alignment horizontal="left"/>
    </xf>
    <xf numFmtId="10" fontId="9" fillId="16" borderId="9" xfId="0" applyNumberFormat="1" applyFont="1" applyFill="1" applyBorder="1" applyAlignment="1">
      <alignment horizontal="center"/>
    </xf>
    <xf numFmtId="10" fontId="9" fillId="23" borderId="13" xfId="0" applyNumberFormat="1" applyFont="1" applyFill="1" applyBorder="1" applyAlignment="1">
      <alignment horizontal="center"/>
    </xf>
    <xf numFmtId="167" fontId="9" fillId="24" borderId="13" xfId="0" applyNumberFormat="1" applyFont="1" applyFill="1" applyBorder="1" applyAlignment="1">
      <alignment horizontal="right"/>
    </xf>
    <xf numFmtId="9" fontId="9" fillId="24" borderId="13" xfId="2" applyFont="1" applyFill="1" applyBorder="1" applyAlignment="1">
      <alignment horizontal="center"/>
    </xf>
    <xf numFmtId="167" fontId="9" fillId="25" borderId="41" xfId="1" applyNumberFormat="1" applyFont="1" applyFill="1" applyBorder="1" applyAlignment="1">
      <alignment horizontal="right"/>
    </xf>
    <xf numFmtId="167" fontId="9" fillId="26" borderId="46" xfId="1" applyNumberFormat="1" applyFont="1" applyFill="1" applyBorder="1" applyAlignment="1">
      <alignment horizontal="right"/>
    </xf>
    <xf numFmtId="167" fontId="9" fillId="26" borderId="47" xfId="1" applyNumberFormat="1" applyFont="1" applyFill="1" applyBorder="1" applyAlignment="1">
      <alignment horizontal="right"/>
    </xf>
    <xf numFmtId="3" fontId="9" fillId="9" borderId="41" xfId="0" applyNumberFormat="1" applyFont="1" applyFill="1" applyBorder="1" applyAlignment="1">
      <alignment horizontal="right"/>
    </xf>
    <xf numFmtId="3" fontId="9" fillId="27" borderId="13" xfId="0" applyNumberFormat="1" applyFont="1" applyFill="1" applyBorder="1" applyAlignment="1">
      <alignment horizontal="right"/>
    </xf>
    <xf numFmtId="3" fontId="9" fillId="28" borderId="13" xfId="0" applyNumberFormat="1" applyFont="1" applyFill="1" applyBorder="1" applyAlignment="1">
      <alignment horizontal="right"/>
    </xf>
    <xf numFmtId="9" fontId="9" fillId="27" borderId="13" xfId="2" applyFont="1" applyFill="1" applyBorder="1" applyAlignment="1">
      <alignment horizontal="center"/>
    </xf>
    <xf numFmtId="9" fontId="19" fillId="9" borderId="24" xfId="2" applyFont="1" applyFill="1" applyBorder="1" applyAlignment="1">
      <alignment horizontal="center"/>
    </xf>
    <xf numFmtId="167" fontId="9" fillId="10" borderId="13" xfId="1" applyNumberFormat="1" applyFont="1" applyFill="1" applyBorder="1" applyAlignment="1">
      <alignment horizontal="right"/>
    </xf>
    <xf numFmtId="9" fontId="5" fillId="10" borderId="3" xfId="2" applyFont="1" applyFill="1" applyBorder="1" applyAlignment="1">
      <alignment horizontal="center"/>
    </xf>
    <xf numFmtId="0" fontId="14" fillId="9" borderId="41" xfId="0" applyFont="1" applyFill="1" applyBorder="1" applyAlignment="1">
      <alignment horizontal="center"/>
    </xf>
    <xf numFmtId="43" fontId="9" fillId="15" borderId="0" xfId="1" applyFont="1" applyFill="1" applyBorder="1" applyAlignment="1">
      <alignment horizontal="right"/>
    </xf>
    <xf numFmtId="9" fontId="5" fillId="10" borderId="13" xfId="2" applyFont="1" applyFill="1" applyBorder="1" applyAlignment="1">
      <alignment horizontal="center"/>
    </xf>
    <xf numFmtId="167" fontId="9" fillId="26" borderId="41" xfId="1" applyNumberFormat="1" applyFont="1" applyFill="1" applyBorder="1" applyAlignment="1">
      <alignment horizontal="right"/>
    </xf>
    <xf numFmtId="167" fontId="9" fillId="25" borderId="13" xfId="1" applyNumberFormat="1" applyFont="1" applyFill="1" applyBorder="1" applyAlignment="1">
      <alignment horizontal="right"/>
    </xf>
    <xf numFmtId="167" fontId="9" fillId="26" borderId="13" xfId="1" applyNumberFormat="1" applyFont="1" applyFill="1" applyBorder="1" applyAlignment="1">
      <alignment horizontal="right"/>
    </xf>
    <xf numFmtId="10" fontId="9" fillId="23" borderId="5" xfId="0" applyNumberFormat="1" applyFont="1" applyFill="1" applyBorder="1" applyAlignment="1">
      <alignment horizontal="center"/>
    </xf>
    <xf numFmtId="167" fontId="9" fillId="24" borderId="5" xfId="0" applyNumberFormat="1" applyFont="1" applyFill="1" applyBorder="1" applyAlignment="1">
      <alignment horizontal="right"/>
    </xf>
    <xf numFmtId="9" fontId="9" fillId="24" borderId="5" xfId="2" applyFont="1" applyFill="1" applyBorder="1" applyAlignment="1">
      <alignment horizontal="center"/>
    </xf>
    <xf numFmtId="167" fontId="9" fillId="25" borderId="12" xfId="1" applyNumberFormat="1" applyFont="1" applyFill="1" applyBorder="1" applyAlignment="1">
      <alignment horizontal="right"/>
    </xf>
    <xf numFmtId="167" fontId="9" fillId="25" borderId="5" xfId="1" applyNumberFormat="1" applyFont="1" applyFill="1" applyBorder="1" applyAlignment="1">
      <alignment horizontal="right"/>
    </xf>
    <xf numFmtId="167" fontId="9" fillId="26" borderId="5" xfId="1" applyNumberFormat="1" applyFont="1" applyFill="1" applyBorder="1" applyAlignment="1">
      <alignment horizontal="right"/>
    </xf>
    <xf numFmtId="3" fontId="9" fillId="9" borderId="12" xfId="0" applyNumberFormat="1" applyFont="1" applyFill="1" applyBorder="1" applyAlignment="1">
      <alignment horizontal="right"/>
    </xf>
    <xf numFmtId="3" fontId="9" fillId="27" borderId="5" xfId="0" applyNumberFormat="1" applyFont="1" applyFill="1" applyBorder="1" applyAlignment="1">
      <alignment horizontal="right"/>
    </xf>
    <xf numFmtId="9" fontId="9" fillId="27" borderId="5" xfId="2" applyFont="1" applyFill="1" applyBorder="1" applyAlignment="1">
      <alignment horizontal="center"/>
    </xf>
    <xf numFmtId="167" fontId="9" fillId="10" borderId="5" xfId="1" applyNumberFormat="1" applyFont="1" applyFill="1" applyBorder="1" applyAlignment="1">
      <alignment horizontal="right"/>
    </xf>
    <xf numFmtId="9" fontId="5" fillId="10" borderId="5" xfId="2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3" fontId="9" fillId="15" borderId="48" xfId="0" applyNumberFormat="1" applyFont="1" applyFill="1" applyBorder="1" applyAlignment="1">
      <alignment horizontal="right"/>
    </xf>
    <xf numFmtId="43" fontId="9" fillId="15" borderId="39" xfId="1" applyFont="1" applyFill="1" applyBorder="1" applyAlignment="1">
      <alignment horizontal="right"/>
    </xf>
    <xf numFmtId="168" fontId="9" fillId="15" borderId="39" xfId="0" applyNumberFormat="1" applyFont="1" applyFill="1" applyBorder="1" applyAlignment="1">
      <alignment horizontal="right"/>
    </xf>
    <xf numFmtId="168" fontId="5" fillId="15" borderId="49" xfId="0" applyNumberFormat="1" applyFont="1" applyFill="1" applyBorder="1" applyAlignment="1">
      <alignment horizontal="right"/>
    </xf>
    <xf numFmtId="10" fontId="9" fillId="9" borderId="0" xfId="0" applyNumberFormat="1" applyFont="1" applyFill="1" applyAlignment="1">
      <alignment horizontal="center"/>
    </xf>
    <xf numFmtId="167" fontId="9" fillId="9" borderId="0" xfId="1" applyNumberFormat="1" applyFont="1" applyFill="1" applyBorder="1" applyAlignment="1">
      <alignment horizontal="right"/>
    </xf>
    <xf numFmtId="3" fontId="9" fillId="9" borderId="0" xfId="0" applyNumberFormat="1" applyFont="1" applyFill="1" applyAlignment="1">
      <alignment horizontal="right"/>
    </xf>
    <xf numFmtId="3" fontId="11" fillId="9" borderId="0" xfId="0" applyNumberFormat="1" applyFont="1" applyFill="1" applyAlignment="1">
      <alignment horizontal="right"/>
    </xf>
    <xf numFmtId="9" fontId="9" fillId="9" borderId="0" xfId="2" applyFont="1" applyFill="1" applyBorder="1" applyAlignment="1">
      <alignment horizontal="center"/>
    </xf>
    <xf numFmtId="9" fontId="19" fillId="9" borderId="0" xfId="2" applyFont="1" applyFill="1" applyBorder="1" applyAlignment="1">
      <alignment horizontal="center"/>
    </xf>
    <xf numFmtId="10" fontId="9" fillId="9" borderId="0" xfId="2" applyNumberFormat="1" applyFont="1" applyFill="1" applyBorder="1" applyAlignment="1">
      <alignment horizontal="right"/>
    </xf>
    <xf numFmtId="167" fontId="9" fillId="12" borderId="50" xfId="0" applyNumberFormat="1" applyFont="1" applyFill="1" applyBorder="1" applyAlignment="1">
      <alignment horizontal="right"/>
    </xf>
    <xf numFmtId="10" fontId="9" fillId="12" borderId="51" xfId="0" applyNumberFormat="1" applyFont="1" applyFill="1" applyBorder="1" applyAlignment="1">
      <alignment horizontal="left"/>
    </xf>
    <xf numFmtId="10" fontId="9" fillId="12" borderId="51" xfId="0" applyNumberFormat="1" applyFont="1" applyFill="1" applyBorder="1" applyAlignment="1">
      <alignment horizontal="right"/>
    </xf>
    <xf numFmtId="10" fontId="9" fillId="12" borderId="52" xfId="0" applyNumberFormat="1" applyFont="1" applyFill="1" applyBorder="1" applyAlignment="1">
      <alignment horizontal="right"/>
    </xf>
    <xf numFmtId="10" fontId="11" fillId="9" borderId="0" xfId="0" applyNumberFormat="1" applyFont="1" applyFill="1" applyAlignment="1">
      <alignment horizontal="right"/>
    </xf>
    <xf numFmtId="9" fontId="9" fillId="9" borderId="0" xfId="2" applyFont="1" applyFill="1" applyAlignment="1">
      <alignment horizontal="center"/>
    </xf>
    <xf numFmtId="9" fontId="19" fillId="9" borderId="0" xfId="2" applyFont="1" applyFill="1" applyAlignment="1">
      <alignment horizontal="center"/>
    </xf>
    <xf numFmtId="167" fontId="9" fillId="9" borderId="0" xfId="1" applyNumberFormat="1" applyFont="1" applyFill="1" applyAlignment="1">
      <alignment horizontal="right"/>
    </xf>
    <xf numFmtId="9" fontId="9" fillId="9" borderId="0" xfId="2" applyFont="1" applyFill="1" applyAlignment="1">
      <alignment horizontal="right"/>
    </xf>
    <xf numFmtId="0" fontId="0" fillId="9" borderId="0" xfId="0" applyFill="1" applyAlignment="1">
      <alignment horizontal="center"/>
    </xf>
    <xf numFmtId="9" fontId="0" fillId="9" borderId="0" xfId="2" applyFont="1" applyFill="1" applyAlignment="1">
      <alignment horizontal="center"/>
    </xf>
    <xf numFmtId="167" fontId="0" fillId="9" borderId="0" xfId="1" applyNumberFormat="1" applyFont="1" applyFill="1"/>
    <xf numFmtId="9" fontId="0" fillId="9" borderId="0" xfId="2" applyFont="1" applyFill="1"/>
    <xf numFmtId="43" fontId="0" fillId="9" borderId="0" xfId="1" applyFont="1" applyFill="1"/>
    <xf numFmtId="9" fontId="0" fillId="9" borderId="0" xfId="2" applyFont="1" applyFill="1" applyBorder="1"/>
    <xf numFmtId="43" fontId="0" fillId="9" borderId="0" xfId="1" applyFont="1" applyFill="1" applyBorder="1"/>
    <xf numFmtId="0" fontId="2" fillId="16" borderId="0" xfId="0" applyFont="1" applyFill="1"/>
    <xf numFmtId="0" fontId="0" fillId="16" borderId="0" xfId="0" applyFill="1"/>
    <xf numFmtId="0" fontId="2" fillId="9" borderId="7" xfId="0" applyFont="1" applyFill="1" applyBorder="1"/>
    <xf numFmtId="0" fontId="25" fillId="12" borderId="7" xfId="0" applyFont="1" applyFill="1" applyBorder="1"/>
    <xf numFmtId="0" fontId="23" fillId="12" borderId="7" xfId="0" applyFont="1" applyFill="1" applyBorder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9" fontId="21" fillId="0" borderId="0" xfId="2" applyFont="1" applyAlignment="1">
      <alignment horizontal="center"/>
    </xf>
    <xf numFmtId="9" fontId="0" fillId="0" borderId="0" xfId="2" applyFont="1"/>
    <xf numFmtId="0" fontId="25" fillId="9" borderId="7" xfId="0" applyFont="1" applyFill="1" applyBorder="1"/>
    <xf numFmtId="0" fontId="26" fillId="9" borderId="7" xfId="0" applyFont="1" applyFill="1" applyBorder="1"/>
    <xf numFmtId="0" fontId="23" fillId="9" borderId="7" xfId="0" applyFont="1" applyFill="1" applyBorder="1"/>
    <xf numFmtId="164" fontId="0" fillId="9" borderId="7" xfId="2" applyNumberFormat="1" applyFont="1" applyFill="1" applyBorder="1"/>
    <xf numFmtId="0" fontId="0" fillId="9" borderId="8" xfId="0" applyFill="1" applyBorder="1"/>
    <xf numFmtId="0" fontId="0" fillId="9" borderId="10" xfId="0" applyFill="1" applyBorder="1"/>
    <xf numFmtId="0" fontId="0" fillId="9" borderId="9" xfId="0" applyFill="1" applyBorder="1"/>
    <xf numFmtId="0" fontId="0" fillId="9" borderId="11" xfId="0" applyFill="1" applyBorder="1"/>
    <xf numFmtId="0" fontId="23" fillId="9" borderId="2" xfId="0" applyFont="1" applyFill="1" applyBorder="1"/>
    <xf numFmtId="0" fontId="0" fillId="9" borderId="2" xfId="0" applyFill="1" applyBorder="1"/>
    <xf numFmtId="0" fontId="0" fillId="9" borderId="12" xfId="0" applyFill="1" applyBorder="1"/>
    <xf numFmtId="0" fontId="2" fillId="9" borderId="0" xfId="0" applyFont="1" applyFill="1" applyAlignment="1">
      <alignment horizontal="right"/>
    </xf>
    <xf numFmtId="164" fontId="0" fillId="9" borderId="0" xfId="2" applyNumberFormat="1" applyFont="1" applyFill="1" applyAlignment="1">
      <alignment horizontal="center"/>
    </xf>
    <xf numFmtId="3" fontId="0" fillId="9" borderId="0" xfId="0" applyNumberFormat="1" applyFill="1"/>
    <xf numFmtId="10" fontId="0" fillId="0" borderId="0" xfId="0" applyNumberFormat="1"/>
    <xf numFmtId="3" fontId="0" fillId="0" borderId="0" xfId="0" applyNumberFormat="1"/>
    <xf numFmtId="0" fontId="27" fillId="19" borderId="53" xfId="0" applyFont="1" applyFill="1" applyBorder="1" applyAlignment="1">
      <alignment wrapText="1"/>
    </xf>
    <xf numFmtId="0" fontId="27" fillId="31" borderId="53" xfId="0" applyFont="1" applyFill="1" applyBorder="1" applyAlignment="1">
      <alignment wrapText="1"/>
    </xf>
    <xf numFmtId="0" fontId="27" fillId="31" borderId="54" xfId="0" applyFont="1" applyFill="1" applyBorder="1" applyAlignment="1">
      <alignment wrapText="1"/>
    </xf>
    <xf numFmtId="17" fontId="0" fillId="0" borderId="0" xfId="0" applyNumberFormat="1"/>
    <xf numFmtId="10" fontId="11" fillId="7" borderId="8" xfId="0" applyNumberFormat="1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10" fontId="9" fillId="7" borderId="11" xfId="0" applyNumberFormat="1" applyFont="1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22" fillId="15" borderId="29" xfId="0" applyFont="1" applyFill="1" applyBorder="1" applyAlignment="1">
      <alignment horizontal="center"/>
    </xf>
    <xf numFmtId="0" fontId="22" fillId="0" borderId="30" xfId="0" applyFont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24" borderId="30" xfId="0" applyFont="1" applyFill="1" applyBorder="1" applyAlignment="1">
      <alignment horizontal="center"/>
    </xf>
    <xf numFmtId="0" fontId="22" fillId="0" borderId="30" xfId="0" applyFont="1" applyBorder="1"/>
    <xf numFmtId="0" fontId="15" fillId="24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2" fillId="27" borderId="30" xfId="0" applyFont="1" applyFill="1" applyBorder="1" applyAlignment="1">
      <alignment horizontal="center"/>
    </xf>
    <xf numFmtId="0" fontId="22" fillId="0" borderId="39" xfId="0" applyFont="1" applyBorder="1" applyAlignment="1">
      <alignment horizontal="center"/>
    </xf>
    <xf numFmtId="9" fontId="22" fillId="10" borderId="30" xfId="2" applyFont="1" applyFill="1" applyBorder="1" applyAlignment="1">
      <alignment horizontal="center"/>
    </xf>
    <xf numFmtId="0" fontId="14" fillId="27" borderId="4" xfId="0" applyFont="1" applyFill="1" applyBorder="1" applyAlignment="1">
      <alignment horizontal="center"/>
    </xf>
    <xf numFmtId="0" fontId="0" fillId="27" borderId="0" xfId="0" applyFill="1" applyAlignment="1">
      <alignment horizontal="center"/>
    </xf>
    <xf numFmtId="0" fontId="0" fillId="27" borderId="40" xfId="0" applyFill="1" applyBorder="1" applyAlignment="1">
      <alignment horizontal="center"/>
    </xf>
    <xf numFmtId="0" fontId="14" fillId="27" borderId="42" xfId="0" applyFont="1" applyFill="1" applyBorder="1" applyAlignment="1">
      <alignment horizontal="center"/>
    </xf>
    <xf numFmtId="0" fontId="0" fillId="27" borderId="15" xfId="0" applyFill="1" applyBorder="1" applyAlignment="1">
      <alignment horizontal="center"/>
    </xf>
    <xf numFmtId="0" fontId="0" fillId="27" borderId="43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76"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4C2F4"/>
          <bgColor rgb="FFA4C2F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A4C2F4"/>
          <bgColor rgb="FFA4C2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Credence-Capital\SAAGE\TOKEN_ECONOMICS_EXCEL\SAAGE_INFLATION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KING_SHAPE"/>
      <sheetName val="LP_SHAPE"/>
      <sheetName val="TES_M"/>
      <sheetName val="FOUNDATION_NODE"/>
    </sheetNames>
    <sheetDataSet>
      <sheetData sheetId="0">
        <row r="11">
          <cell r="C11">
            <v>2756666.6666666665</v>
          </cell>
        </row>
        <row r="12">
          <cell r="C12">
            <v>2756666.6666666665</v>
          </cell>
        </row>
        <row r="13">
          <cell r="C13">
            <v>2756666.6666666665</v>
          </cell>
        </row>
        <row r="14">
          <cell r="C14">
            <v>9648333.333333334</v>
          </cell>
        </row>
        <row r="15">
          <cell r="C15">
            <v>9648333.333333334</v>
          </cell>
        </row>
        <row r="16">
          <cell r="C16">
            <v>9648333.333333334</v>
          </cell>
        </row>
        <row r="17">
          <cell r="C17">
            <v>9648333.333333334</v>
          </cell>
        </row>
        <row r="18">
          <cell r="C18">
            <v>9648333.333333334</v>
          </cell>
        </row>
        <row r="19">
          <cell r="C19">
            <v>9648333.333333334</v>
          </cell>
        </row>
        <row r="20">
          <cell r="C20">
            <v>18745333.333333332</v>
          </cell>
        </row>
        <row r="21">
          <cell r="C21">
            <v>18745333.333333332</v>
          </cell>
        </row>
        <row r="22">
          <cell r="C22">
            <v>18745333.333333332</v>
          </cell>
        </row>
        <row r="23">
          <cell r="C23">
            <v>18745333.333333332</v>
          </cell>
        </row>
        <row r="24">
          <cell r="C24">
            <v>18745333.333333332</v>
          </cell>
        </row>
        <row r="25">
          <cell r="C25">
            <v>18745333.333333332</v>
          </cell>
        </row>
        <row r="26">
          <cell r="C26">
            <v>18745333.333333332</v>
          </cell>
        </row>
        <row r="27">
          <cell r="C27">
            <v>18745333.333333332</v>
          </cell>
        </row>
        <row r="28">
          <cell r="C28">
            <v>18745333.333333332</v>
          </cell>
        </row>
        <row r="29">
          <cell r="C29">
            <v>18745333.333333332</v>
          </cell>
        </row>
        <row r="30">
          <cell r="C30">
            <v>18745333.333333332</v>
          </cell>
        </row>
        <row r="31">
          <cell r="C31">
            <v>18745333.333333332</v>
          </cell>
        </row>
        <row r="32">
          <cell r="C32">
            <v>18745333.333333332</v>
          </cell>
        </row>
        <row r="33">
          <cell r="C33">
            <v>18745333.333333332</v>
          </cell>
        </row>
        <row r="34">
          <cell r="C34">
            <v>18745333.333333332</v>
          </cell>
        </row>
        <row r="35">
          <cell r="C35">
            <v>5513333.333333333</v>
          </cell>
        </row>
        <row r="36">
          <cell r="C36">
            <v>5513333.333333333</v>
          </cell>
        </row>
        <row r="37">
          <cell r="C37">
            <v>5513333.333333333</v>
          </cell>
        </row>
        <row r="38">
          <cell r="C38">
            <v>5513333.333333333</v>
          </cell>
        </row>
        <row r="39">
          <cell r="C39">
            <v>5513333.333333333</v>
          </cell>
        </row>
        <row r="40">
          <cell r="C40">
            <v>5513333.333333333</v>
          </cell>
        </row>
        <row r="41">
          <cell r="C41">
            <v>5513333.333333333</v>
          </cell>
        </row>
        <row r="42">
          <cell r="C42">
            <v>5513333.333333333</v>
          </cell>
        </row>
        <row r="43">
          <cell r="C43">
            <v>5513333.333333333</v>
          </cell>
        </row>
        <row r="44">
          <cell r="C44">
            <v>5513333.333333333</v>
          </cell>
        </row>
        <row r="45">
          <cell r="C45">
            <v>5513333.333333333</v>
          </cell>
        </row>
        <row r="46">
          <cell r="C46">
            <v>5513333.333333333</v>
          </cell>
        </row>
      </sheetData>
      <sheetData sheetId="1">
        <row r="10">
          <cell r="C10">
            <v>24277777.777777776</v>
          </cell>
        </row>
        <row r="11">
          <cell r="C11">
            <v>24277777.777777776</v>
          </cell>
        </row>
        <row r="12">
          <cell r="C12">
            <v>24277777.777777776</v>
          </cell>
        </row>
        <row r="13">
          <cell r="C13">
            <v>24277777.777777776</v>
          </cell>
        </row>
        <row r="14">
          <cell r="C14">
            <v>24277777.777777776</v>
          </cell>
        </row>
        <row r="15">
          <cell r="C15">
            <v>24277777.777777776</v>
          </cell>
        </row>
        <row r="16">
          <cell r="C16">
            <v>24277777.777777776</v>
          </cell>
        </row>
        <row r="17">
          <cell r="C17">
            <v>24277777.777777776</v>
          </cell>
        </row>
        <row r="18">
          <cell r="C18">
            <v>24277777.777777776</v>
          </cell>
        </row>
        <row r="19">
          <cell r="C19">
            <v>22041666.666666664</v>
          </cell>
        </row>
        <row r="20">
          <cell r="C20">
            <v>22041666.666666664</v>
          </cell>
        </row>
        <row r="21">
          <cell r="C21">
            <v>22041666.666666664</v>
          </cell>
        </row>
        <row r="22">
          <cell r="C22">
            <v>22041666.666666664</v>
          </cell>
        </row>
        <row r="23">
          <cell r="C23">
            <v>22041666.666666664</v>
          </cell>
        </row>
        <row r="24">
          <cell r="C24">
            <v>22041666.666666664</v>
          </cell>
        </row>
        <row r="25">
          <cell r="C25">
            <v>22041666.666666664</v>
          </cell>
        </row>
        <row r="26">
          <cell r="C26">
            <v>22041666.666666664</v>
          </cell>
        </row>
        <row r="27">
          <cell r="C27">
            <v>22041666.666666664</v>
          </cell>
        </row>
        <row r="28">
          <cell r="C28">
            <v>22041666.666666664</v>
          </cell>
        </row>
        <row r="29">
          <cell r="C29">
            <v>22041666.666666664</v>
          </cell>
        </row>
        <row r="30">
          <cell r="C30">
            <v>22041666.666666664</v>
          </cell>
        </row>
        <row r="31">
          <cell r="C31">
            <v>10222222.222222222</v>
          </cell>
        </row>
        <row r="32">
          <cell r="C32">
            <v>10222222.222222222</v>
          </cell>
        </row>
        <row r="33">
          <cell r="C33">
            <v>10222222.222222222</v>
          </cell>
        </row>
        <row r="34">
          <cell r="C34">
            <v>10222222.222222222</v>
          </cell>
        </row>
        <row r="35">
          <cell r="C35">
            <v>10222222.222222222</v>
          </cell>
        </row>
        <row r="36">
          <cell r="C36">
            <v>10222222.222222222</v>
          </cell>
        </row>
        <row r="37">
          <cell r="C37">
            <v>10222222.222222222</v>
          </cell>
        </row>
        <row r="38">
          <cell r="C38">
            <v>10222222.222222222</v>
          </cell>
        </row>
        <row r="39">
          <cell r="C39">
            <v>10222222.222222222</v>
          </cell>
        </row>
      </sheetData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eter Argerakis" id="{3F9E8EF5-4736-4F89-A344-14A34F82A758}" userId="73e4e21b1326ba1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M1" dT="2022-01-06T16:38:32.65" personId="{3F9E8EF5-4736-4F89-A344-14A34F82A758}" id="{BC5D1396-DDB5-40CC-A711-F5B351599C25}">
    <text>For simplicity, excludes rewards; sell down of unlocking genesis</text>
  </threadedComment>
  <threadedComment ref="AM2" dT="2022-01-03T17:51:29.71" personId="{3F9E8EF5-4736-4F89-A344-14A34F82A758}" id="{CCE8C719-CEAC-4106-8D3F-0BD8D001EC9B}">
    <text>Ignores potential selling of Staking &amp; LP rewards for now</text>
  </threadedComment>
  <threadedComment ref="R7" dT="2022-01-03T15:29:19.07" personId="{3F9E8EF5-4736-4F89-A344-14A34F82A758}" id="{C7AB072E-CB0F-4BDB-993D-BD718B18CBB8}">
    <text>Highlight RED &lt;10%</text>
  </threadedComment>
  <threadedComment ref="S7" dT="2022-01-03T15:29:34.94" personId="{3F9E8EF5-4736-4F89-A344-14A34F82A758}" id="{D77A0877-B817-4044-AAFB-B822C63A0A80}">
    <text>Highlight RED &gt;10%</text>
  </threadedComment>
  <threadedComment ref="AG7" dT="2021-12-27T23:24:14.43" personId="{3F9E8EF5-4736-4F89-A344-14A34F82A758}" id="{F3019DBB-232C-4DEA-9BC8-E387FC1928B6}">
    <text>= Max Circ. Supply - IF - SEED LP</text>
  </threadedComment>
  <threadedComment ref="AH7" dT="2022-01-03T19:49:02.70" personId="{3F9E8EF5-4736-4F89-A344-14A34F82A758}" id="{3D68E174-C5AA-405F-8D9A-128AC81721BD}">
    <text>= (Genesis Stakeable) + (New Rewards) + (Team % of unlock that wasnt stakeable prior)</text>
  </threadedComment>
  <threadedComment ref="AI7" dT="2021-12-28T11:19:49.28" personId="{3F9E8EF5-4736-4F89-A344-14A34F82A758}" id="{BF1FDE14-BF21-482A-965E-B48EBE715639}">
    <text>=SA + IDO + LP rewards + Bet Rewards</text>
  </threadedComment>
  <threadedComment ref="AM7" dT="2021-12-27T23:09:37.84" personId="{3F9E8EF5-4736-4F89-A344-14A34F82A758}" id="{50C98A7A-9651-441D-BB9D-5C94138FEC4F}">
    <text xml:space="preserve">= SEED + TEAM + TREASURY (but NO InsFund since not stakeable)
Assumes: 
-Insiders do not compound
</text>
  </threadedComment>
  <threadedComment ref="AN7" dT="2022-01-03T15:28:19.28" personId="{3F9E8EF5-4736-4F89-A344-14A34F82A758}" id="{09DC63E0-2E52-4854-913B-59679C380E3F}">
    <text>Highlight RED &lt; 51%</text>
  </threadedComment>
  <threadedComment ref="AP7" dT="2021-12-28T10:40:10.73" personId="{3F9E8EF5-4736-4F89-A344-14A34F82A758}" id="{4D29DD13-2564-4445-87F3-C5AFE0A2FD6F}">
    <text xml:space="preserve">=(Genesis Stakeable) + (New Locked Rewards) + (3mo LP sacrifice for Treasury) - (Reward Unlocks). 
Note:
- Team unlock adjusted for % that was stakeable to start with.
- Ignores any applicable accrual to the insurance fund from the 3mo LP sacrifice given it isnt stakeable. </text>
  </threadedComment>
  <threadedComment ref="AQ7" dT="2022-01-03T19:54:37.22" personId="{3F9E8EF5-4736-4F89-A344-14A34F82A758}" id="{A35303A8-5445-4164-8650-9D904AD9BFF6}">
    <text>= IDO + (staking rewards)+ (unlock of previously locked rewards that couldnt choose).</text>
  </threadedComment>
  <threadedComment ref="AU7" dT="2022-01-03T17:14:28.59" personId="{3F9E8EF5-4736-4F89-A344-14A34F82A758}" id="{3814AAD9-02FA-4983-A968-ED88A46C6060}">
    <text>Assumes 12mo lock, 100% of rewards</text>
  </threadedComment>
  <threadedComment ref="AS8" dT="2022-01-03T19:55:40.18" personId="{3F9E8EF5-4736-4F89-A344-14A34F82A758}" id="{AB796FF4-9A67-446D-B3F4-62EBEB6C1C85}">
    <text>=Stake or LP + SEED LP Loan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2A505-A284-400F-BC61-F68B3E2EF9C8}">
  <dimension ref="A1:L33"/>
  <sheetViews>
    <sheetView workbookViewId="0">
      <selection activeCell="D22" sqref="D22:J22"/>
    </sheetView>
  </sheetViews>
  <sheetFormatPr defaultRowHeight="14.25" x14ac:dyDescent="0.45"/>
  <cols>
    <col min="1" max="1" width="29.3984375" bestFit="1" customWidth="1"/>
    <col min="2" max="2" width="12.73046875" bestFit="1" customWidth="1"/>
    <col min="3" max="3" width="16.265625" bestFit="1" customWidth="1"/>
    <col min="4" max="4" width="17" bestFit="1" customWidth="1"/>
    <col min="5" max="5" width="16.73046875" bestFit="1" customWidth="1"/>
    <col min="6" max="6" width="17.86328125" bestFit="1" customWidth="1"/>
    <col min="7" max="7" width="12.59765625" bestFit="1" customWidth="1"/>
    <col min="8" max="8" width="25" bestFit="1" customWidth="1"/>
    <col min="9" max="9" width="26.265625" bestFit="1" customWidth="1"/>
    <col min="10" max="10" width="15.86328125" bestFit="1" customWidth="1"/>
    <col min="11" max="11" width="9.86328125" bestFit="1" customWidth="1"/>
    <col min="12" max="12" width="12.265625" bestFit="1" customWidth="1"/>
  </cols>
  <sheetData>
    <row r="1" spans="1:12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91</v>
      </c>
      <c r="I1" s="3" t="s">
        <v>90</v>
      </c>
      <c r="J1" s="2" t="s">
        <v>6</v>
      </c>
      <c r="K1" s="2" t="s">
        <v>7</v>
      </c>
      <c r="L1" s="4" t="s">
        <v>8</v>
      </c>
    </row>
    <row r="2" spans="1:12" x14ac:dyDescent="0.45">
      <c r="A2" s="5" t="s">
        <v>9</v>
      </c>
      <c r="B2" s="6">
        <f>B3*$L$2</f>
        <v>36400000</v>
      </c>
      <c r="C2" s="6">
        <f t="shared" ref="C2:K2" si="0">C3*$L$2</f>
        <v>109100000</v>
      </c>
      <c r="D2" s="6">
        <f t="shared" si="0"/>
        <v>131200000.00000001</v>
      </c>
      <c r="E2" s="6">
        <f t="shared" si="0"/>
        <v>60600000</v>
      </c>
      <c r="F2" s="6">
        <f t="shared" si="0"/>
        <v>250600000</v>
      </c>
      <c r="G2" s="6">
        <f t="shared" si="0"/>
        <v>348500000</v>
      </c>
      <c r="H2" s="6">
        <f t="shared" si="0"/>
        <v>22700000</v>
      </c>
      <c r="I2" s="6">
        <f t="shared" si="0"/>
        <v>22700000</v>
      </c>
      <c r="J2" s="6">
        <f t="shared" si="0"/>
        <v>11800000</v>
      </c>
      <c r="K2" s="6">
        <f t="shared" si="0"/>
        <v>6400000</v>
      </c>
      <c r="L2" s="7">
        <v>1000000000</v>
      </c>
    </row>
    <row r="3" spans="1:12" x14ac:dyDescent="0.45">
      <c r="A3" s="8" t="s">
        <v>10</v>
      </c>
      <c r="B3" s="9">
        <v>3.6400000000000002E-2</v>
      </c>
      <c r="C3" s="9">
        <v>0.1091</v>
      </c>
      <c r="D3" s="9">
        <v>0.13120000000000001</v>
      </c>
      <c r="E3" s="9">
        <v>6.0600000000000001E-2</v>
      </c>
      <c r="F3" s="9">
        <v>0.25059999999999999</v>
      </c>
      <c r="G3" s="9">
        <v>0.34849999999999998</v>
      </c>
      <c r="H3" s="9">
        <v>2.2700000000000001E-2</v>
      </c>
      <c r="I3" s="9">
        <v>2.2700000000000001E-2</v>
      </c>
      <c r="J3" s="9">
        <v>1.18E-2</v>
      </c>
      <c r="K3" s="9">
        <v>6.4000000000000003E-3</v>
      </c>
      <c r="L3" s="12">
        <f>L2/$L$2</f>
        <v>1</v>
      </c>
    </row>
    <row r="4" spans="1:12" x14ac:dyDescent="0.45">
      <c r="A4" s="13" t="s">
        <v>11</v>
      </c>
      <c r="B4" s="14" t="s">
        <v>12</v>
      </c>
      <c r="C4" s="290" t="s">
        <v>13</v>
      </c>
      <c r="D4" s="291"/>
      <c r="E4" s="15" t="s">
        <v>3</v>
      </c>
      <c r="F4" s="290" t="s">
        <v>14</v>
      </c>
      <c r="G4" s="292"/>
      <c r="H4" s="292"/>
      <c r="I4" s="292"/>
      <c r="J4" s="292"/>
      <c r="K4" s="291"/>
      <c r="L4" s="16"/>
    </row>
    <row r="5" spans="1:12" x14ac:dyDescent="0.45">
      <c r="A5" s="17"/>
      <c r="B5" s="18">
        <f>B2/L2</f>
        <v>3.6400000000000002E-2</v>
      </c>
      <c r="C5" s="293">
        <f>(C2+D2)/L2</f>
        <v>0.24030000000000001</v>
      </c>
      <c r="D5" s="294"/>
      <c r="E5" s="19">
        <f>E2/L2</f>
        <v>6.0600000000000001E-2</v>
      </c>
      <c r="F5" s="293">
        <f>(F2+G2+H2+I2+J2+K2)/L2</f>
        <v>0.66269999999999996</v>
      </c>
      <c r="G5" s="295"/>
      <c r="H5" s="295"/>
      <c r="I5" s="295"/>
      <c r="J5" s="295"/>
      <c r="K5" s="294"/>
      <c r="L5" s="20">
        <f>F5+E5+C5+B5</f>
        <v>1</v>
      </c>
    </row>
    <row r="7" spans="1:12" x14ac:dyDescent="0.45">
      <c r="A7" s="23"/>
      <c r="B7" s="27" t="s">
        <v>15</v>
      </c>
      <c r="C7" s="27" t="s">
        <v>16</v>
      </c>
      <c r="D7" s="27" t="s">
        <v>17</v>
      </c>
      <c r="E7" s="27" t="s">
        <v>18</v>
      </c>
      <c r="F7" s="27" t="s">
        <v>19</v>
      </c>
      <c r="G7" s="27" t="s">
        <v>20</v>
      </c>
      <c r="H7" s="27" t="s">
        <v>21</v>
      </c>
      <c r="I7" s="27" t="s">
        <v>22</v>
      </c>
    </row>
    <row r="8" spans="1:12" x14ac:dyDescent="0.45">
      <c r="A8" s="28" t="str">
        <f>B1</f>
        <v>SEED</v>
      </c>
      <c r="B8" s="25">
        <f>B2</f>
        <v>36400000</v>
      </c>
      <c r="C8" s="25">
        <f>B2</f>
        <v>36400000</v>
      </c>
      <c r="D8" s="23"/>
      <c r="E8" s="23"/>
      <c r="F8" s="25">
        <f>B2</f>
        <v>36400000</v>
      </c>
      <c r="G8" s="23">
        <v>12</v>
      </c>
      <c r="H8" s="23">
        <v>12</v>
      </c>
      <c r="I8" s="23" t="s">
        <v>24</v>
      </c>
    </row>
    <row r="9" spans="1:12" x14ac:dyDescent="0.45">
      <c r="A9" s="29" t="str">
        <f>C1</f>
        <v>TEAM</v>
      </c>
      <c r="B9" s="25">
        <f>C2</f>
        <v>109100000</v>
      </c>
      <c r="C9" s="25">
        <f>C2</f>
        <v>109100000</v>
      </c>
      <c r="D9" s="23"/>
      <c r="E9" s="25">
        <v>150000000</v>
      </c>
      <c r="F9" s="25">
        <v>30000000</v>
      </c>
      <c r="G9" s="23">
        <v>12</v>
      </c>
      <c r="H9" s="25">
        <v>24</v>
      </c>
      <c r="I9" s="23" t="s">
        <v>24</v>
      </c>
    </row>
    <row r="10" spans="1:12" x14ac:dyDescent="0.45">
      <c r="A10" s="29" t="str">
        <f>D1</f>
        <v>TREASURY</v>
      </c>
      <c r="B10" s="25">
        <f>D2</f>
        <v>131200000.00000001</v>
      </c>
      <c r="C10" s="25">
        <f>B10</f>
        <v>131200000.00000001</v>
      </c>
      <c r="D10" s="25">
        <v>50000000</v>
      </c>
      <c r="E10" s="23"/>
      <c r="F10" s="25">
        <f>C10-D10-D18</f>
        <v>56200000.000000015</v>
      </c>
      <c r="G10" s="23">
        <v>12</v>
      </c>
      <c r="H10" s="23">
        <v>12</v>
      </c>
      <c r="I10" s="23" t="s">
        <v>24</v>
      </c>
    </row>
    <row r="11" spans="1:12" x14ac:dyDescent="0.45">
      <c r="A11" s="29" t="str">
        <f>E1</f>
        <v>INSURANCE FUND</v>
      </c>
      <c r="B11" s="25">
        <f>E2</f>
        <v>60600000</v>
      </c>
      <c r="C11" s="25">
        <f>B11</f>
        <v>60600000</v>
      </c>
      <c r="D11" s="25">
        <f>B11</f>
        <v>60600000</v>
      </c>
      <c r="E11" s="23"/>
      <c r="F11" s="23"/>
      <c r="G11" s="23"/>
      <c r="H11" s="23"/>
      <c r="I11" s="23"/>
    </row>
    <row r="12" spans="1:12" x14ac:dyDescent="0.45">
      <c r="A12" s="28" t="str">
        <f>F1</f>
        <v>STAKERS</v>
      </c>
      <c r="B12" s="25">
        <f>F2</f>
        <v>250600000</v>
      </c>
      <c r="C12" s="23"/>
      <c r="D12" s="23"/>
      <c r="E12" s="23"/>
      <c r="F12" s="23"/>
      <c r="G12" s="23"/>
      <c r="H12" s="23"/>
      <c r="I12" s="23"/>
    </row>
    <row r="13" spans="1:12" x14ac:dyDescent="0.45">
      <c r="A13" s="29" t="str">
        <f>G1</f>
        <v>LP PROVIDERS</v>
      </c>
      <c r="B13" s="25">
        <f>G2</f>
        <v>348500000</v>
      </c>
      <c r="C13" s="23"/>
      <c r="D13" s="23"/>
      <c r="E13" s="23"/>
      <c r="F13" s="23"/>
      <c r="G13" s="23">
        <v>12</v>
      </c>
      <c r="H13" s="23"/>
      <c r="I13" s="23"/>
    </row>
    <row r="14" spans="1:12" x14ac:dyDescent="0.45">
      <c r="A14" s="29" t="str">
        <f>H1</f>
        <v>LEVERAGE AGENT INCENTIVES</v>
      </c>
      <c r="B14" s="25">
        <f>H2</f>
        <v>22700000</v>
      </c>
      <c r="C14" s="23"/>
      <c r="D14" s="23"/>
      <c r="E14" s="23"/>
      <c r="F14" s="23"/>
      <c r="G14" s="23">
        <v>12</v>
      </c>
      <c r="H14" s="23"/>
      <c r="I14" s="23"/>
    </row>
    <row r="15" spans="1:12" x14ac:dyDescent="0.45">
      <c r="A15" s="30" t="str">
        <f>I1</f>
        <v>INSURANCE AGENT INCENTIVES</v>
      </c>
      <c r="B15" s="25">
        <f>I2</f>
        <v>22700000</v>
      </c>
      <c r="C15" s="23"/>
      <c r="D15" s="23"/>
      <c r="E15" s="23"/>
      <c r="F15" s="23"/>
      <c r="G15" s="23">
        <v>12</v>
      </c>
      <c r="H15" s="23"/>
      <c r="I15" s="23"/>
    </row>
    <row r="16" spans="1:12" x14ac:dyDescent="0.45">
      <c r="A16" s="29" t="str">
        <f>J1</f>
        <v>STAKING AIRDROP</v>
      </c>
      <c r="B16" s="25">
        <f>J2</f>
        <v>11800000</v>
      </c>
      <c r="C16" s="25">
        <f>B16</f>
        <v>11800000</v>
      </c>
      <c r="D16" s="25">
        <f>B16</f>
        <v>11800000</v>
      </c>
      <c r="E16" s="23"/>
      <c r="F16" s="23"/>
      <c r="G16" s="23"/>
      <c r="H16" s="23"/>
      <c r="I16" s="23"/>
    </row>
    <row r="17" spans="1:10" x14ac:dyDescent="0.45">
      <c r="A17" s="29" t="str">
        <f>K1</f>
        <v>IDO</v>
      </c>
      <c r="B17" s="25">
        <f>K2</f>
        <v>6400000</v>
      </c>
      <c r="C17" s="25">
        <f>B17</f>
        <v>6400000</v>
      </c>
      <c r="D17" s="25">
        <f>B17</f>
        <v>6400000</v>
      </c>
      <c r="E17" s="23"/>
      <c r="F17" s="23"/>
      <c r="G17" s="23"/>
      <c r="H17" s="23"/>
      <c r="I17" s="23"/>
    </row>
    <row r="18" spans="1:10" x14ac:dyDescent="0.45">
      <c r="A18" s="29" t="s">
        <v>23</v>
      </c>
      <c r="B18" s="23"/>
      <c r="C18" s="25"/>
      <c r="D18" s="25">
        <v>25000000</v>
      </c>
      <c r="E18" s="23"/>
      <c r="F18" s="23"/>
      <c r="G18" s="23"/>
      <c r="H18" s="23"/>
      <c r="I18" s="23"/>
    </row>
    <row r="19" spans="1:10" x14ac:dyDescent="0.45">
      <c r="A19" s="31" t="s">
        <v>25</v>
      </c>
      <c r="B19" s="285">
        <f>SUM(B8:B17)</f>
        <v>1000000000</v>
      </c>
      <c r="C19" s="26">
        <f>SUM(C8:C18)/L2</f>
        <v>0.35549999999999998</v>
      </c>
      <c r="D19" s="26">
        <f>SUM(D8:D18)/L2</f>
        <v>0.15379999999999999</v>
      </c>
    </row>
    <row r="22" spans="1:10" ht="26.65" x14ac:dyDescent="0.45">
      <c r="B22" s="286" t="s">
        <v>109</v>
      </c>
      <c r="C22" s="287" t="s">
        <v>110</v>
      </c>
      <c r="D22" s="287"/>
      <c r="E22" s="287"/>
      <c r="F22" s="287"/>
      <c r="G22" s="287"/>
      <c r="H22" s="287"/>
      <c r="I22" s="288"/>
      <c r="J22" s="288"/>
    </row>
    <row r="23" spans="1:10" x14ac:dyDescent="0.45">
      <c r="A23" s="28" t="str">
        <f>B1</f>
        <v>SEED</v>
      </c>
      <c r="B23" s="284">
        <f>B3</f>
        <v>3.6400000000000002E-2</v>
      </c>
      <c r="C23" s="285">
        <f>B2</f>
        <v>36400000</v>
      </c>
    </row>
    <row r="24" spans="1:10" x14ac:dyDescent="0.45">
      <c r="A24" s="29" t="str">
        <f>C1</f>
        <v>TEAM</v>
      </c>
      <c r="B24" s="284">
        <f>C3</f>
        <v>0.1091</v>
      </c>
      <c r="C24" s="285">
        <f>C2</f>
        <v>109100000</v>
      </c>
    </row>
    <row r="25" spans="1:10" x14ac:dyDescent="0.45">
      <c r="A25" s="29" t="str">
        <f>D1</f>
        <v>TREASURY</v>
      </c>
      <c r="B25" s="284">
        <f>D3</f>
        <v>0.13120000000000001</v>
      </c>
      <c r="C25" s="285">
        <f>D2</f>
        <v>131200000.00000001</v>
      </c>
    </row>
    <row r="26" spans="1:10" x14ac:dyDescent="0.45">
      <c r="A26" s="29" t="str">
        <f>E1</f>
        <v>INSURANCE FUND</v>
      </c>
      <c r="B26" s="284">
        <f>E3</f>
        <v>6.0600000000000001E-2</v>
      </c>
      <c r="C26" s="285">
        <f>E2</f>
        <v>60600000</v>
      </c>
    </row>
    <row r="27" spans="1:10" x14ac:dyDescent="0.45">
      <c r="A27" s="28" t="str">
        <f>F1</f>
        <v>STAKERS</v>
      </c>
      <c r="B27" s="284">
        <f>F3</f>
        <v>0.25059999999999999</v>
      </c>
      <c r="C27" s="285">
        <f>F2</f>
        <v>250600000</v>
      </c>
    </row>
    <row r="28" spans="1:10" x14ac:dyDescent="0.45">
      <c r="A28" s="29" t="str">
        <f>G1</f>
        <v>LP PROVIDERS</v>
      </c>
      <c r="B28" s="284">
        <f>G3</f>
        <v>0.34849999999999998</v>
      </c>
      <c r="C28" s="285">
        <f>G2</f>
        <v>348500000</v>
      </c>
    </row>
    <row r="29" spans="1:10" x14ac:dyDescent="0.45">
      <c r="A29" s="29" t="str">
        <f>H1</f>
        <v>LEVERAGE AGENT INCENTIVES</v>
      </c>
      <c r="B29" s="284">
        <f>H3</f>
        <v>2.2700000000000001E-2</v>
      </c>
      <c r="C29" s="285">
        <f>H2</f>
        <v>22700000</v>
      </c>
    </row>
    <row r="30" spans="1:10" x14ac:dyDescent="0.45">
      <c r="A30" s="30" t="str">
        <f>I1</f>
        <v>INSURANCE AGENT INCENTIVES</v>
      </c>
      <c r="B30" s="284">
        <f>I3</f>
        <v>2.2700000000000001E-2</v>
      </c>
      <c r="C30" s="285">
        <f>I2</f>
        <v>22700000</v>
      </c>
    </row>
    <row r="31" spans="1:10" x14ac:dyDescent="0.45">
      <c r="A31" s="29" t="str">
        <f>J1</f>
        <v>STAKING AIRDROP</v>
      </c>
      <c r="B31" s="284">
        <f>J3</f>
        <v>1.18E-2</v>
      </c>
      <c r="C31" s="285">
        <f>J2</f>
        <v>11800000</v>
      </c>
    </row>
    <row r="32" spans="1:10" x14ac:dyDescent="0.45">
      <c r="A32" s="29" t="str">
        <f>K1</f>
        <v>IDO</v>
      </c>
      <c r="B32" s="284">
        <f>K3</f>
        <v>6.4000000000000003E-3</v>
      </c>
      <c r="C32" s="285">
        <f>K2</f>
        <v>6400000</v>
      </c>
    </row>
    <row r="33" spans="1:1" x14ac:dyDescent="0.45">
      <c r="A33" s="29"/>
    </row>
  </sheetData>
  <mergeCells count="4">
    <mergeCell ref="C4:D4"/>
    <mergeCell ref="F4:K4"/>
    <mergeCell ref="C5:D5"/>
    <mergeCell ref="F5:K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6331-31FE-4CA4-9A01-13BE983852D8}">
  <dimension ref="A1:F47"/>
  <sheetViews>
    <sheetView workbookViewId="0">
      <selection activeCell="B1" sqref="B1"/>
    </sheetView>
  </sheetViews>
  <sheetFormatPr defaultRowHeight="14.25" x14ac:dyDescent="0.45"/>
  <cols>
    <col min="1" max="1" width="9" bestFit="1" customWidth="1"/>
    <col min="2" max="2" width="11.1328125" bestFit="1" customWidth="1"/>
    <col min="3" max="3" width="18" bestFit="1" customWidth="1"/>
    <col min="4" max="4" width="13.59765625" bestFit="1" customWidth="1"/>
    <col min="5" max="5" width="15.3984375" bestFit="1" customWidth="1"/>
    <col min="6" max="6" width="18.86328125" bestFit="1" customWidth="1"/>
  </cols>
  <sheetData>
    <row r="1" spans="1:6" x14ac:dyDescent="0.45">
      <c r="A1" s="21" t="s">
        <v>26</v>
      </c>
      <c r="B1" s="22">
        <f>MATRIX!F2</f>
        <v>250600000</v>
      </c>
    </row>
    <row r="3" spans="1:6" x14ac:dyDescent="0.45">
      <c r="A3" s="32" t="s">
        <v>27</v>
      </c>
      <c r="B3" s="32" t="s">
        <v>28</v>
      </c>
      <c r="C3" s="32" t="s">
        <v>29</v>
      </c>
      <c r="D3" s="32" t="s">
        <v>30</v>
      </c>
      <c r="E3" s="32"/>
      <c r="F3" s="32"/>
    </row>
    <row r="4" spans="1:6" x14ac:dyDescent="0.45">
      <c r="A4" s="33">
        <v>3</v>
      </c>
      <c r="B4" s="34">
        <v>0.02</v>
      </c>
      <c r="C4" s="35">
        <f>B4*B$1</f>
        <v>5012000</v>
      </c>
      <c r="D4" s="32"/>
      <c r="E4" s="32"/>
      <c r="F4" s="32"/>
    </row>
    <row r="5" spans="1:6" x14ac:dyDescent="0.45">
      <c r="A5" s="33">
        <v>6</v>
      </c>
      <c r="B5" s="36">
        <v>0.14000000000000001</v>
      </c>
      <c r="C5" s="35">
        <f>B5*B$1</f>
        <v>35084000</v>
      </c>
      <c r="D5" s="33">
        <f>0.5*A5/12</f>
        <v>0.25</v>
      </c>
      <c r="E5" s="23"/>
      <c r="F5" s="23"/>
    </row>
    <row r="6" spans="1:6" x14ac:dyDescent="0.45">
      <c r="A6" s="37">
        <v>15</v>
      </c>
      <c r="B6" s="38">
        <v>0.68</v>
      </c>
      <c r="C6" s="35">
        <f>B6*B$1</f>
        <v>170408000</v>
      </c>
      <c r="D6" s="37">
        <f>0.5*A6/12</f>
        <v>0.625</v>
      </c>
      <c r="E6" s="23"/>
      <c r="F6" s="23"/>
    </row>
    <row r="7" spans="1:6" x14ac:dyDescent="0.45">
      <c r="A7" s="39">
        <v>12</v>
      </c>
      <c r="B7" s="40">
        <v>0.16</v>
      </c>
      <c r="C7" s="35">
        <f>B7*B$1</f>
        <v>40096000</v>
      </c>
      <c r="D7" s="39">
        <f>0.5*A7/12</f>
        <v>0.5</v>
      </c>
      <c r="E7" s="23"/>
      <c r="F7" s="23"/>
    </row>
    <row r="8" spans="1:6" x14ac:dyDescent="0.45">
      <c r="A8" s="41">
        <f>SUM(A4:A7)</f>
        <v>36</v>
      </c>
      <c r="B8" s="42">
        <f>SUM(B4:B7)</f>
        <v>1</v>
      </c>
      <c r="C8" s="43">
        <f>SUM(C4:C7)</f>
        <v>250600000</v>
      </c>
      <c r="D8" s="41"/>
      <c r="E8" s="41"/>
      <c r="F8" s="41"/>
    </row>
    <row r="10" spans="1:6" x14ac:dyDescent="0.45">
      <c r="A10" s="24" t="s">
        <v>31</v>
      </c>
      <c r="B10" s="24" t="s">
        <v>32</v>
      </c>
      <c r="C10" s="24" t="s">
        <v>33</v>
      </c>
      <c r="D10" s="24" t="s">
        <v>34</v>
      </c>
      <c r="E10" s="24" t="s">
        <v>35</v>
      </c>
      <c r="F10" s="24" t="s">
        <v>36</v>
      </c>
    </row>
    <row r="11" spans="1:6" x14ac:dyDescent="0.45">
      <c r="A11" s="44">
        <v>1</v>
      </c>
      <c r="B11" s="45">
        <f>1/3</f>
        <v>0.33333333333333331</v>
      </c>
      <c r="C11" s="46">
        <f>C$4*B11</f>
        <v>1670666.6666666665</v>
      </c>
      <c r="D11" s="47">
        <f>EXP(-A11/12)</f>
        <v>0.92004441462932329</v>
      </c>
      <c r="E11" s="45">
        <f>D11/SUM(D$11:D$13)</f>
        <v>0.36146414296071877</v>
      </c>
      <c r="F11" s="46">
        <f>C$4*E11</f>
        <v>1811658.2845191224</v>
      </c>
    </row>
    <row r="12" spans="1:6" x14ac:dyDescent="0.45">
      <c r="A12" s="23">
        <v>2</v>
      </c>
      <c r="B12" s="48">
        <f>1/3</f>
        <v>0.33333333333333331</v>
      </c>
      <c r="C12" s="25">
        <f>C$4*B12</f>
        <v>1670666.6666666665</v>
      </c>
      <c r="D12" s="47">
        <f t="shared" ref="D12:D46" si="0">EXP(-A12/12)</f>
        <v>0.84648172489061413</v>
      </c>
      <c r="E12" s="45">
        <f t="shared" ref="E12:E13" si="1">D12/SUM(D$11:D$13)</f>
        <v>0.33256306581978451</v>
      </c>
      <c r="F12" s="46">
        <f t="shared" ref="F12:F13" si="2">C$4*E12</f>
        <v>1666806.0858887599</v>
      </c>
    </row>
    <row r="13" spans="1:6" x14ac:dyDescent="0.45">
      <c r="A13" s="23">
        <v>3</v>
      </c>
      <c r="B13" s="48">
        <f>1/3</f>
        <v>0.33333333333333331</v>
      </c>
      <c r="C13" s="25">
        <f>C$4*B13</f>
        <v>1670666.6666666665</v>
      </c>
      <c r="D13" s="47">
        <f t="shared" si="0"/>
        <v>0.77880078307140488</v>
      </c>
      <c r="E13" s="45">
        <f t="shared" si="1"/>
        <v>0.30597279121949672</v>
      </c>
      <c r="F13" s="46">
        <f t="shared" si="2"/>
        <v>1533535.6295921176</v>
      </c>
    </row>
    <row r="14" spans="1:6" x14ac:dyDescent="0.45">
      <c r="A14" s="23">
        <v>4</v>
      </c>
      <c r="B14" s="48">
        <f>1/6</f>
        <v>0.16666666666666666</v>
      </c>
      <c r="C14" s="25">
        <f t="shared" ref="C14:C19" si="3">C$5*B14</f>
        <v>5847333.333333333</v>
      </c>
      <c r="D14" s="47">
        <f t="shared" si="0"/>
        <v>0.71653131057378927</v>
      </c>
      <c r="E14" s="45">
        <f>D14/SUM(D$14:D$19)</f>
        <v>0.20320664708534078</v>
      </c>
      <c r="F14" s="46">
        <f t="shared" ref="F14:F19" si="4">C$5*E14</f>
        <v>7129302.0063420963</v>
      </c>
    </row>
    <row r="15" spans="1:6" x14ac:dyDescent="0.45">
      <c r="A15" s="23">
        <v>5</v>
      </c>
      <c r="B15" s="48">
        <f t="shared" ref="B15:B19" si="5">1/6</f>
        <v>0.16666666666666666</v>
      </c>
      <c r="C15" s="25">
        <f t="shared" si="3"/>
        <v>5847333.333333333</v>
      </c>
      <c r="D15" s="47">
        <f t="shared" si="0"/>
        <v>0.65924063020044377</v>
      </c>
      <c r="E15" s="45">
        <f t="shared" ref="E15:E19" si="6">D15/SUM(D$14:D$19)</f>
        <v>0.18695914066641983</v>
      </c>
      <c r="F15" s="46">
        <f t="shared" si="4"/>
        <v>6559274.4911406729</v>
      </c>
    </row>
    <row r="16" spans="1:6" x14ac:dyDescent="0.45">
      <c r="A16" s="23">
        <v>6</v>
      </c>
      <c r="B16" s="48">
        <f t="shared" si="5"/>
        <v>0.16666666666666666</v>
      </c>
      <c r="C16" s="25">
        <f t="shared" si="3"/>
        <v>5847333.333333333</v>
      </c>
      <c r="D16" s="47">
        <f t="shared" si="0"/>
        <v>0.60653065971263342</v>
      </c>
      <c r="E16" s="45">
        <f t="shared" si="6"/>
        <v>0.17201071313403751</v>
      </c>
      <c r="F16" s="46">
        <f t="shared" si="4"/>
        <v>6034823.8595945723</v>
      </c>
    </row>
    <row r="17" spans="1:6" x14ac:dyDescent="0.45">
      <c r="A17" s="23">
        <v>7</v>
      </c>
      <c r="B17" s="48">
        <f t="shared" si="5"/>
        <v>0.16666666666666666</v>
      </c>
      <c r="C17" s="25">
        <f t="shared" si="3"/>
        <v>5847333.333333333</v>
      </c>
      <c r="D17" s="47">
        <f t="shared" si="0"/>
        <v>0.55803514577004709</v>
      </c>
      <c r="E17" s="45">
        <f t="shared" si="6"/>
        <v>0.15825749587537799</v>
      </c>
      <c r="F17" s="46">
        <f t="shared" si="4"/>
        <v>5552305.9852917613</v>
      </c>
    </row>
    <row r="18" spans="1:6" x14ac:dyDescent="0.45">
      <c r="A18" s="23">
        <v>8</v>
      </c>
      <c r="B18" s="48">
        <f t="shared" si="5"/>
        <v>0.16666666666666666</v>
      </c>
      <c r="C18" s="25">
        <f t="shared" si="3"/>
        <v>5847333.333333333</v>
      </c>
      <c r="D18" s="47">
        <f t="shared" si="0"/>
        <v>0.51341711903259202</v>
      </c>
      <c r="E18" s="45">
        <f t="shared" si="6"/>
        <v>0.14560392515336468</v>
      </c>
      <c r="F18" s="46">
        <f t="shared" si="4"/>
        <v>5108368.1100806464</v>
      </c>
    </row>
    <row r="19" spans="1:6" x14ac:dyDescent="0.45">
      <c r="A19" s="23">
        <v>9</v>
      </c>
      <c r="B19" s="48">
        <f t="shared" si="5"/>
        <v>0.16666666666666666</v>
      </c>
      <c r="C19" s="25">
        <f t="shared" si="3"/>
        <v>5847333.333333333</v>
      </c>
      <c r="D19" s="47">
        <f t="shared" si="0"/>
        <v>0.47236655274101469</v>
      </c>
      <c r="E19" s="45">
        <f t="shared" si="6"/>
        <v>0.13396207808545921</v>
      </c>
      <c r="F19" s="46">
        <f t="shared" si="4"/>
        <v>4699925.5475502508</v>
      </c>
    </row>
    <row r="20" spans="1:6" x14ac:dyDescent="0.45">
      <c r="A20" s="23">
        <v>10</v>
      </c>
      <c r="B20" s="48">
        <f>1/15</f>
        <v>6.6666666666666666E-2</v>
      </c>
      <c r="C20" s="25">
        <f>C$6*B20</f>
        <v>11360533.333333334</v>
      </c>
      <c r="D20" s="47">
        <f t="shared" si="0"/>
        <v>0.4345982085070782</v>
      </c>
      <c r="E20" s="48">
        <f>D20/SUM(D$20:D$34)</f>
        <v>0.11206184010603558</v>
      </c>
      <c r="F20" s="25">
        <f>C$6*E20</f>
        <v>19096234.048789311</v>
      </c>
    </row>
    <row r="21" spans="1:6" x14ac:dyDescent="0.45">
      <c r="A21" s="23">
        <v>11</v>
      </c>
      <c r="B21" s="48">
        <f t="shared" ref="B21:B34" si="7">1/15</f>
        <v>6.6666666666666666E-2</v>
      </c>
      <c r="C21" s="25">
        <f t="shared" ref="C21:C34" si="8">C$6*B21</f>
        <v>11360533.333333334</v>
      </c>
      <c r="D21" s="47">
        <f t="shared" si="0"/>
        <v>0.39984965434484737</v>
      </c>
      <c r="E21" s="48">
        <f t="shared" ref="E21:E34" si="9">D21/SUM(D$20:D$34)</f>
        <v>0.10310187008264234</v>
      </c>
      <c r="F21" s="25">
        <f t="shared" ref="F21:F34" si="10">C$6*E21</f>
        <v>17569383.477042913</v>
      </c>
    </row>
    <row r="22" spans="1:6" x14ac:dyDescent="0.45">
      <c r="A22" s="23">
        <v>12</v>
      </c>
      <c r="B22" s="48">
        <f t="shared" si="7"/>
        <v>6.6666666666666666E-2</v>
      </c>
      <c r="C22" s="25">
        <f t="shared" si="8"/>
        <v>11360533.333333334</v>
      </c>
      <c r="D22" s="47">
        <f t="shared" si="0"/>
        <v>0.36787944117144233</v>
      </c>
      <c r="E22" s="48">
        <f t="shared" si="9"/>
        <v>9.4858299707373195E-2</v>
      </c>
      <c r="F22" s="25">
        <f t="shared" si="10"/>
        <v>16164613.136534052</v>
      </c>
    </row>
    <row r="23" spans="1:6" x14ac:dyDescent="0.45">
      <c r="A23" s="23">
        <v>13</v>
      </c>
      <c r="B23" s="48">
        <f t="shared" si="7"/>
        <v>6.6666666666666666E-2</v>
      </c>
      <c r="C23" s="25">
        <f t="shared" si="8"/>
        <v>11360533.333333334</v>
      </c>
      <c r="D23" s="47">
        <f t="shared" si="0"/>
        <v>0.33846542510674221</v>
      </c>
      <c r="E23" s="48">
        <f t="shared" si="9"/>
        <v>8.7273848827003078E-2</v>
      </c>
      <c r="F23" s="25">
        <f t="shared" si="10"/>
        <v>14872162.030911941</v>
      </c>
    </row>
    <row r="24" spans="1:6" x14ac:dyDescent="0.45">
      <c r="A24" s="23">
        <v>14</v>
      </c>
      <c r="B24" s="48">
        <f t="shared" si="7"/>
        <v>6.6666666666666666E-2</v>
      </c>
      <c r="C24" s="25">
        <f t="shared" si="8"/>
        <v>11360533.333333334</v>
      </c>
      <c r="D24" s="47">
        <f t="shared" si="0"/>
        <v>0.31140322391459768</v>
      </c>
      <c r="E24" s="48">
        <f t="shared" si="9"/>
        <v>8.0295817156488092E-2</v>
      </c>
      <c r="F24" s="25">
        <f t="shared" si="10"/>
        <v>13683049.610002823</v>
      </c>
    </row>
    <row r="25" spans="1:6" x14ac:dyDescent="0.45">
      <c r="A25" s="23">
        <v>15</v>
      </c>
      <c r="B25" s="48">
        <f t="shared" si="7"/>
        <v>6.6666666666666666E-2</v>
      </c>
      <c r="C25" s="25">
        <f t="shared" si="8"/>
        <v>11360533.333333334</v>
      </c>
      <c r="D25" s="47">
        <f t="shared" si="0"/>
        <v>0.28650479686019009</v>
      </c>
      <c r="E25" s="48">
        <f t="shared" si="9"/>
        <v>7.3875718092924259E-2</v>
      </c>
      <c r="F25" s="25">
        <f t="shared" si="10"/>
        <v>12589013.368779037</v>
      </c>
    </row>
    <row r="26" spans="1:6" x14ac:dyDescent="0.45">
      <c r="A26" s="23">
        <v>16</v>
      </c>
      <c r="B26" s="48">
        <f t="shared" si="7"/>
        <v>6.6666666666666666E-2</v>
      </c>
      <c r="C26" s="25">
        <f t="shared" si="8"/>
        <v>11360533.333333334</v>
      </c>
      <c r="D26" s="47">
        <f t="shared" si="0"/>
        <v>0.26359713811572677</v>
      </c>
      <c r="E26" s="48">
        <f t="shared" si="9"/>
        <v>6.7968941808125405E-2</v>
      </c>
      <c r="F26" s="25">
        <f t="shared" si="10"/>
        <v>11582451.435639033</v>
      </c>
    </row>
    <row r="27" spans="1:6" x14ac:dyDescent="0.45">
      <c r="A27" s="23">
        <v>17</v>
      </c>
      <c r="B27" s="48">
        <f t="shared" si="7"/>
        <v>6.6666666666666666E-2</v>
      </c>
      <c r="C27" s="25">
        <f t="shared" si="8"/>
        <v>11360533.333333334</v>
      </c>
      <c r="D27" s="47">
        <f t="shared" si="0"/>
        <v>0.24252107463564868</v>
      </c>
      <c r="E27" s="48">
        <f t="shared" si="9"/>
        <v>6.2534445278831272E-2</v>
      </c>
      <c r="F27" s="25">
        <f t="shared" si="10"/>
        <v>10656369.75107508</v>
      </c>
    </row>
    <row r="28" spans="1:6" x14ac:dyDescent="0.45">
      <c r="A28" s="23">
        <v>18</v>
      </c>
      <c r="B28" s="48">
        <f t="shared" si="7"/>
        <v>6.6666666666666666E-2</v>
      </c>
      <c r="C28" s="25">
        <f t="shared" si="8"/>
        <v>11360533.333333334</v>
      </c>
      <c r="D28" s="47">
        <f t="shared" si="0"/>
        <v>0.22313016014842982</v>
      </c>
      <c r="E28" s="48">
        <f t="shared" si="9"/>
        <v>5.7534467100731762E-2</v>
      </c>
      <c r="F28" s="25">
        <f t="shared" si="10"/>
        <v>9804333.4697014987</v>
      </c>
    </row>
    <row r="29" spans="1:6" x14ac:dyDescent="0.45">
      <c r="A29" s="23">
        <v>19</v>
      </c>
      <c r="B29" s="48">
        <f t="shared" si="7"/>
        <v>6.6666666666666666E-2</v>
      </c>
      <c r="C29" s="25">
        <f t="shared" si="8"/>
        <v>11360533.333333334</v>
      </c>
      <c r="D29" s="47">
        <f t="shared" si="0"/>
        <v>0.20528965757990927</v>
      </c>
      <c r="E29" s="48">
        <f t="shared" si="9"/>
        <v>5.2934265104702817E-2</v>
      </c>
      <c r="F29" s="25">
        <f t="shared" si="10"/>
        <v>9020422.2479621973</v>
      </c>
    </row>
    <row r="30" spans="1:6" x14ac:dyDescent="0.45">
      <c r="A30" s="23">
        <v>20</v>
      </c>
      <c r="B30" s="48">
        <f t="shared" si="7"/>
        <v>6.6666666666666666E-2</v>
      </c>
      <c r="C30" s="25">
        <f t="shared" si="8"/>
        <v>11360533.333333334</v>
      </c>
      <c r="D30" s="47">
        <f t="shared" si="0"/>
        <v>0.18887560283756183</v>
      </c>
      <c r="E30" s="48">
        <f t="shared" si="9"/>
        <v>4.8701874952089712E-2</v>
      </c>
      <c r="F30" s="25">
        <f t="shared" si="10"/>
        <v>8299189.1068357034</v>
      </c>
    </row>
    <row r="31" spans="1:6" x14ac:dyDescent="0.45">
      <c r="A31" s="23">
        <v>21</v>
      </c>
      <c r="B31" s="48">
        <f t="shared" si="7"/>
        <v>6.6666666666666666E-2</v>
      </c>
      <c r="C31" s="25">
        <f t="shared" si="8"/>
        <v>11360533.333333334</v>
      </c>
      <c r="D31" s="47">
        <f t="shared" si="0"/>
        <v>0.17377394345044514</v>
      </c>
      <c r="E31" s="48">
        <f t="shared" si="9"/>
        <v>4.4807888031645884E-2</v>
      </c>
      <c r="F31" s="25">
        <f t="shared" si="10"/>
        <v>7635622.5836967118</v>
      </c>
    </row>
    <row r="32" spans="1:6" x14ac:dyDescent="0.45">
      <c r="A32" s="23">
        <v>22</v>
      </c>
      <c r="B32" s="48">
        <f t="shared" si="7"/>
        <v>6.6666666666666666E-2</v>
      </c>
      <c r="C32" s="25">
        <f t="shared" si="8"/>
        <v>11360533.333333334</v>
      </c>
      <c r="D32" s="47">
        <f t="shared" si="0"/>
        <v>0.15987974607969391</v>
      </c>
      <c r="E32" s="48">
        <f t="shared" si="9"/>
        <v>4.1225247114851891E-2</v>
      </c>
      <c r="F32" s="25">
        <f t="shared" si="10"/>
        <v>7025111.9103476815</v>
      </c>
    </row>
    <row r="33" spans="1:6" x14ac:dyDescent="0.45">
      <c r="A33" s="23">
        <v>23</v>
      </c>
      <c r="B33" s="48">
        <f t="shared" si="7"/>
        <v>6.6666666666666666E-2</v>
      </c>
      <c r="C33" s="25">
        <f t="shared" si="8"/>
        <v>11360533.333333334</v>
      </c>
      <c r="D33" s="47">
        <f t="shared" si="0"/>
        <v>0.1470964673929768</v>
      </c>
      <c r="E33" s="48">
        <f t="shared" si="9"/>
        <v>3.7929058349733105E-2</v>
      </c>
      <c r="F33" s="25">
        <f t="shared" si="10"/>
        <v>6463414.9752613194</v>
      </c>
    </row>
    <row r="34" spans="1:6" x14ac:dyDescent="0.45">
      <c r="A34" s="23">
        <v>24</v>
      </c>
      <c r="B34" s="48">
        <f t="shared" si="7"/>
        <v>6.6666666666666666E-2</v>
      </c>
      <c r="C34" s="25">
        <f t="shared" si="8"/>
        <v>11360533.333333334</v>
      </c>
      <c r="D34" s="47">
        <f t="shared" si="0"/>
        <v>0.1353352832366127</v>
      </c>
      <c r="E34" s="48">
        <f t="shared" si="9"/>
        <v>3.4896418286821648E-2</v>
      </c>
      <c r="F34" s="25">
        <f t="shared" si="10"/>
        <v>5946628.8474207036</v>
      </c>
    </row>
    <row r="35" spans="1:6" x14ac:dyDescent="0.45">
      <c r="A35" s="23">
        <v>25</v>
      </c>
      <c r="B35" s="48">
        <f>1/12</f>
        <v>8.3333333333333329E-2</v>
      </c>
      <c r="C35" s="25">
        <f t="shared" ref="C35:C46" si="11">C$7*B35</f>
        <v>3341333.333333333</v>
      </c>
      <c r="D35" s="47">
        <f t="shared" si="0"/>
        <v>0.12451447144412296</v>
      </c>
      <c r="E35" s="48">
        <f>D35/SUM(D$35:D$46)</f>
        <v>0.12648787364051248</v>
      </c>
      <c r="F35" s="25">
        <f>C$7*E35</f>
        <v>5071657.7814899879</v>
      </c>
    </row>
    <row r="36" spans="1:6" x14ac:dyDescent="0.45">
      <c r="A36" s="23">
        <v>26</v>
      </c>
      <c r="B36" s="48">
        <f t="shared" ref="B36:B46" si="12">1/12</f>
        <v>8.3333333333333329E-2</v>
      </c>
      <c r="C36" s="25">
        <f t="shared" si="11"/>
        <v>3341333.333333333</v>
      </c>
      <c r="D36" s="47">
        <f t="shared" si="0"/>
        <v>0.11455884399268773</v>
      </c>
      <c r="E36" s="48">
        <f t="shared" ref="E36:E46" si="13">D36/SUM(D$35:D$46)</f>
        <v>0.11637446166129314</v>
      </c>
      <c r="F36" s="25">
        <f t="shared" ref="F36:F46" si="14">C$7*E36</f>
        <v>4666150.4147712095</v>
      </c>
    </row>
    <row r="37" spans="1:6" x14ac:dyDescent="0.45">
      <c r="A37" s="23">
        <v>27</v>
      </c>
      <c r="B37" s="48">
        <f t="shared" si="12"/>
        <v>8.3333333333333329E-2</v>
      </c>
      <c r="C37" s="25">
        <f t="shared" si="11"/>
        <v>3341333.333333333</v>
      </c>
      <c r="D37" s="47">
        <f t="shared" si="0"/>
        <v>0.10539922456186433</v>
      </c>
      <c r="E37" s="48">
        <f t="shared" si="13"/>
        <v>0.10706967345696705</v>
      </c>
      <c r="F37" s="25">
        <f t="shared" si="14"/>
        <v>4293065.6269305507</v>
      </c>
    </row>
    <row r="38" spans="1:6" x14ac:dyDescent="0.45">
      <c r="A38" s="23">
        <v>28</v>
      </c>
      <c r="B38" s="48">
        <f t="shared" si="12"/>
        <v>8.3333333333333329E-2</v>
      </c>
      <c r="C38" s="25">
        <f t="shared" si="11"/>
        <v>3341333.333333333</v>
      </c>
      <c r="D38" s="47">
        <f t="shared" si="0"/>
        <v>9.6971967864405054E-2</v>
      </c>
      <c r="E38" s="48">
        <f t="shared" si="13"/>
        <v>9.8508855040268031E-2</v>
      </c>
      <c r="F38" s="25">
        <f t="shared" si="14"/>
        <v>3949811.0516945869</v>
      </c>
    </row>
    <row r="39" spans="1:6" x14ac:dyDescent="0.45">
      <c r="A39" s="23">
        <v>29</v>
      </c>
      <c r="B39" s="48">
        <f t="shared" si="12"/>
        <v>8.3333333333333329E-2</v>
      </c>
      <c r="C39" s="25">
        <f t="shared" si="11"/>
        <v>3341333.333333333</v>
      </c>
      <c r="D39" s="47">
        <f t="shared" si="0"/>
        <v>8.9218517409260109E-2</v>
      </c>
      <c r="E39" s="48">
        <f t="shared" si="13"/>
        <v>9.0632521871328281E-2</v>
      </c>
      <c r="F39" s="25">
        <f t="shared" si="14"/>
        <v>3634001.5969527788</v>
      </c>
    </row>
    <row r="40" spans="1:6" x14ac:dyDescent="0.45">
      <c r="A40" s="23">
        <v>30</v>
      </c>
      <c r="B40" s="48">
        <f t="shared" si="12"/>
        <v>8.3333333333333329E-2</v>
      </c>
      <c r="C40" s="25">
        <f t="shared" si="11"/>
        <v>3341333.333333333</v>
      </c>
      <c r="D40" s="47">
        <f t="shared" si="0"/>
        <v>8.20849986238988E-2</v>
      </c>
      <c r="E40" s="48">
        <f t="shared" si="13"/>
        <v>8.3385945531485567E-2</v>
      </c>
      <c r="F40" s="25">
        <f t="shared" si="14"/>
        <v>3343442.8720304454</v>
      </c>
    </row>
    <row r="41" spans="1:6" x14ac:dyDescent="0.45">
      <c r="A41" s="23">
        <v>31</v>
      </c>
      <c r="B41" s="48">
        <f t="shared" si="12"/>
        <v>8.3333333333333329E-2</v>
      </c>
      <c r="C41" s="25">
        <f t="shared" si="11"/>
        <v>3341333.333333333</v>
      </c>
      <c r="D41" s="47">
        <f t="shared" si="0"/>
        <v>7.5521844508773764E-2</v>
      </c>
      <c r="E41" s="48">
        <f t="shared" si="13"/>
        <v>7.6718773444828248E-2</v>
      </c>
      <c r="F41" s="25">
        <f t="shared" si="14"/>
        <v>3076115.9400438336</v>
      </c>
    </row>
    <row r="42" spans="1:6" x14ac:dyDescent="0.45">
      <c r="A42" s="23">
        <v>32</v>
      </c>
      <c r="B42" s="48">
        <f t="shared" si="12"/>
        <v>8.3333333333333329E-2</v>
      </c>
      <c r="C42" s="25">
        <f t="shared" si="11"/>
        <v>3341333.333333333</v>
      </c>
      <c r="D42" s="47">
        <f t="shared" si="0"/>
        <v>6.9483451222801543E-2</v>
      </c>
      <c r="E42" s="48">
        <f t="shared" si="13"/>
        <v>7.0584679005126688E-2</v>
      </c>
      <c r="F42" s="25">
        <f t="shared" si="14"/>
        <v>2830163.2893895595</v>
      </c>
    </row>
    <row r="43" spans="1:6" x14ac:dyDescent="0.45">
      <c r="A43" s="23">
        <v>33</v>
      </c>
      <c r="B43" s="48">
        <f t="shared" si="12"/>
        <v>8.3333333333333329E-2</v>
      </c>
      <c r="C43" s="25">
        <f t="shared" si="11"/>
        <v>3341333.333333333</v>
      </c>
      <c r="D43" s="47">
        <f t="shared" si="0"/>
        <v>6.392786120670757E-2</v>
      </c>
      <c r="E43" s="48">
        <f t="shared" si="13"/>
        <v>6.4941039677070461E-2</v>
      </c>
      <c r="F43" s="25">
        <f t="shared" si="14"/>
        <v>2603875.9268918172</v>
      </c>
    </row>
    <row r="44" spans="1:6" x14ac:dyDescent="0.45">
      <c r="A44" s="23">
        <v>34</v>
      </c>
      <c r="B44" s="48">
        <f t="shared" si="12"/>
        <v>8.3333333333333329E-2</v>
      </c>
      <c r="C44" s="25">
        <f t="shared" si="11"/>
        <v>3341333.333333333</v>
      </c>
      <c r="D44" s="47">
        <f t="shared" si="0"/>
        <v>5.8816471642429882E-2</v>
      </c>
      <c r="E44" s="48">
        <f t="shared" si="13"/>
        <v>5.9748640835109945E-2</v>
      </c>
      <c r="F44" s="25">
        <f t="shared" si="14"/>
        <v>2395681.5029245685</v>
      </c>
    </row>
    <row r="45" spans="1:6" x14ac:dyDescent="0.45">
      <c r="A45" s="23">
        <v>35</v>
      </c>
      <c r="B45" s="48">
        <f t="shared" si="12"/>
        <v>8.3333333333333329E-2</v>
      </c>
      <c r="C45" s="25">
        <f t="shared" si="11"/>
        <v>3341333.333333333</v>
      </c>
      <c r="D45" s="47">
        <f t="shared" si="0"/>
        <v>5.4113766222821609E-2</v>
      </c>
      <c r="E45" s="48">
        <f t="shared" si="13"/>
        <v>5.4971403282036424E-2</v>
      </c>
      <c r="F45" s="25">
        <f t="shared" si="14"/>
        <v>2204133.3859965326</v>
      </c>
    </row>
    <row r="46" spans="1:6" x14ac:dyDescent="0.45">
      <c r="A46" s="23">
        <v>36</v>
      </c>
      <c r="B46" s="48">
        <f t="shared" si="12"/>
        <v>8.3333333333333329E-2</v>
      </c>
      <c r="C46" s="25">
        <f t="shared" si="11"/>
        <v>3341333.333333333</v>
      </c>
      <c r="D46" s="47">
        <f t="shared" si="0"/>
        <v>4.9787068367863944E-2</v>
      </c>
      <c r="E46" s="48">
        <f t="shared" si="13"/>
        <v>5.0576132553973654E-2</v>
      </c>
      <c r="F46" s="25">
        <f t="shared" si="14"/>
        <v>2027900.6108841277</v>
      </c>
    </row>
    <row r="47" spans="1:6" x14ac:dyDescent="0.45">
      <c r="B47" s="49"/>
      <c r="C47" s="50">
        <f>SUM(C11:C46)</f>
        <v>250600000.00000015</v>
      </c>
      <c r="D47" s="51"/>
      <c r="E47" s="51"/>
      <c r="F47" s="50">
        <f>SUM(F11:F46)</f>
        <v>250599999.99999994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BB88-4F40-48D4-B477-52A89FFBAFF6}">
  <dimension ref="A1:F39"/>
  <sheetViews>
    <sheetView workbookViewId="0">
      <selection activeCell="B1" sqref="A1:XFD1048576"/>
    </sheetView>
  </sheetViews>
  <sheetFormatPr defaultRowHeight="14.25" x14ac:dyDescent="0.45"/>
  <cols>
    <col min="1" max="1" width="9" bestFit="1" customWidth="1"/>
    <col min="2" max="2" width="11.1328125" bestFit="1" customWidth="1"/>
    <col min="3" max="3" width="18" bestFit="1" customWidth="1"/>
    <col min="4" max="4" width="13.59765625" bestFit="1" customWidth="1"/>
    <col min="5" max="5" width="15.3984375" bestFit="1" customWidth="1"/>
    <col min="6" max="6" width="18.86328125" bestFit="1" customWidth="1"/>
  </cols>
  <sheetData>
    <row r="1" spans="1:6" x14ac:dyDescent="0.45">
      <c r="A1" s="21" t="s">
        <v>37</v>
      </c>
      <c r="B1" s="22">
        <f>MATRIX!G2</f>
        <v>348500000</v>
      </c>
    </row>
    <row r="3" spans="1:6" x14ac:dyDescent="0.45">
      <c r="A3" s="32" t="s">
        <v>27</v>
      </c>
      <c r="B3" s="32" t="s">
        <v>28</v>
      </c>
      <c r="C3" s="32" t="s">
        <v>29</v>
      </c>
      <c r="D3" s="32" t="s">
        <v>30</v>
      </c>
    </row>
    <row r="4" spans="1:6" x14ac:dyDescent="0.45">
      <c r="A4" s="33">
        <v>9</v>
      </c>
      <c r="B4" s="33">
        <v>0.38</v>
      </c>
      <c r="C4" s="35">
        <f>B4*B$1</f>
        <v>132430000</v>
      </c>
      <c r="D4" s="33">
        <f>0.5*A4/12</f>
        <v>0.375</v>
      </c>
    </row>
    <row r="5" spans="1:6" x14ac:dyDescent="0.45">
      <c r="A5" s="37">
        <v>12</v>
      </c>
      <c r="B5" s="37">
        <v>0.46</v>
      </c>
      <c r="C5" s="35">
        <f>B5*B$1</f>
        <v>160310000</v>
      </c>
      <c r="D5" s="37">
        <f>0.5*A5/12</f>
        <v>0.5</v>
      </c>
    </row>
    <row r="6" spans="1:6" x14ac:dyDescent="0.45">
      <c r="A6" s="39">
        <v>9</v>
      </c>
      <c r="B6" s="39">
        <v>0.16</v>
      </c>
      <c r="C6" s="35">
        <f>B6*B$1</f>
        <v>55760000</v>
      </c>
      <c r="D6" s="39"/>
    </row>
    <row r="7" spans="1:6" x14ac:dyDescent="0.45">
      <c r="A7" s="41">
        <f>SUM(A4:A6)</f>
        <v>30</v>
      </c>
      <c r="B7" s="52">
        <f>SUM(B4:B6)</f>
        <v>1</v>
      </c>
      <c r="C7" s="43">
        <f>SUM(C4:C6)</f>
        <v>348500000</v>
      </c>
      <c r="D7" s="41"/>
    </row>
    <row r="9" spans="1:6" x14ac:dyDescent="0.45">
      <c r="A9" s="24" t="s">
        <v>31</v>
      </c>
      <c r="B9" s="24" t="s">
        <v>32</v>
      </c>
      <c r="C9" s="24" t="s">
        <v>33</v>
      </c>
      <c r="D9" s="24" t="s">
        <v>34</v>
      </c>
      <c r="E9" s="24" t="s">
        <v>35</v>
      </c>
      <c r="F9" s="24" t="s">
        <v>36</v>
      </c>
    </row>
    <row r="10" spans="1:6" x14ac:dyDescent="0.45">
      <c r="A10" s="23">
        <v>1</v>
      </c>
      <c r="B10" s="48">
        <f>1/9</f>
        <v>0.1111111111111111</v>
      </c>
      <c r="C10" s="25">
        <f t="shared" ref="C10:C18" si="0">B10*C$4</f>
        <v>14714444.444444444</v>
      </c>
      <c r="D10" s="45">
        <f>EXP(-A10/12)</f>
        <v>0.92004441462932329</v>
      </c>
      <c r="E10" s="47">
        <f>D10/SUM(D$10:D$18)</f>
        <v>0.15153623369792002</v>
      </c>
      <c r="F10" s="46">
        <f>C$4*E10</f>
        <v>20067943.428615548</v>
      </c>
    </row>
    <row r="11" spans="1:6" x14ac:dyDescent="0.45">
      <c r="A11" s="23">
        <v>2</v>
      </c>
      <c r="B11" s="48">
        <f t="shared" ref="B11:B18" si="1">1/9</f>
        <v>0.1111111111111111</v>
      </c>
      <c r="C11" s="25">
        <f t="shared" si="0"/>
        <v>14714444.444444444</v>
      </c>
      <c r="D11" s="45">
        <f t="shared" ref="D11:D39" si="2">EXP(-A11/12)</f>
        <v>0.84648172489061413</v>
      </c>
      <c r="E11" s="47">
        <f t="shared" ref="E11:E18" si="3">D11/SUM(D$10:D$18)</f>
        <v>0.13942006542773516</v>
      </c>
      <c r="F11" s="46">
        <f t="shared" ref="F11:F18" si="4">C$4*E11</f>
        <v>18463399.264594968</v>
      </c>
    </row>
    <row r="12" spans="1:6" x14ac:dyDescent="0.45">
      <c r="A12" s="23">
        <v>3</v>
      </c>
      <c r="B12" s="48">
        <f t="shared" si="1"/>
        <v>0.1111111111111111</v>
      </c>
      <c r="C12" s="25">
        <f t="shared" si="0"/>
        <v>14714444.444444444</v>
      </c>
      <c r="D12" s="45">
        <f t="shared" si="2"/>
        <v>0.77880078307140488</v>
      </c>
      <c r="E12" s="47">
        <f t="shared" si="3"/>
        <v>0.12827265248404254</v>
      </c>
      <c r="F12" s="46">
        <f t="shared" si="4"/>
        <v>16987147.368461754</v>
      </c>
    </row>
    <row r="13" spans="1:6" x14ac:dyDescent="0.45">
      <c r="A13" s="23">
        <v>4</v>
      </c>
      <c r="B13" s="48">
        <f t="shared" si="1"/>
        <v>0.1111111111111111</v>
      </c>
      <c r="C13" s="25">
        <f t="shared" si="0"/>
        <v>14714444.444444444</v>
      </c>
      <c r="D13" s="45">
        <f t="shared" si="2"/>
        <v>0.71653131057378927</v>
      </c>
      <c r="E13" s="47">
        <f t="shared" si="3"/>
        <v>0.11801653746763152</v>
      </c>
      <c r="F13" s="46">
        <f t="shared" si="4"/>
        <v>15628930.056838442</v>
      </c>
    </row>
    <row r="14" spans="1:6" x14ac:dyDescent="0.45">
      <c r="A14" s="23">
        <v>5</v>
      </c>
      <c r="B14" s="48">
        <f t="shared" si="1"/>
        <v>0.1111111111111111</v>
      </c>
      <c r="C14" s="25">
        <f t="shared" si="0"/>
        <v>14714444.444444444</v>
      </c>
      <c r="D14" s="45">
        <f t="shared" si="2"/>
        <v>0.65924063020044377</v>
      </c>
      <c r="E14" s="47">
        <f t="shared" si="3"/>
        <v>0.10858045613098664</v>
      </c>
      <c r="F14" s="46">
        <f t="shared" si="4"/>
        <v>14379309.80542656</v>
      </c>
    </row>
    <row r="15" spans="1:6" x14ac:dyDescent="0.45">
      <c r="A15" s="23">
        <v>6</v>
      </c>
      <c r="B15" s="48">
        <f t="shared" si="1"/>
        <v>0.1111111111111111</v>
      </c>
      <c r="C15" s="25">
        <f t="shared" si="0"/>
        <v>14714444.444444444</v>
      </c>
      <c r="D15" s="45">
        <f t="shared" si="2"/>
        <v>0.60653065971263342</v>
      </c>
      <c r="E15" s="47">
        <f t="shared" si="3"/>
        <v>9.9898842201218516E-2</v>
      </c>
      <c r="F15" s="46">
        <f t="shared" si="4"/>
        <v>13229603.672707368</v>
      </c>
    </row>
    <row r="16" spans="1:6" x14ac:dyDescent="0.45">
      <c r="A16" s="23">
        <v>7</v>
      </c>
      <c r="B16" s="48">
        <f t="shared" si="1"/>
        <v>0.1111111111111111</v>
      </c>
      <c r="C16" s="25">
        <f t="shared" si="0"/>
        <v>14714444.444444444</v>
      </c>
      <c r="D16" s="45">
        <f t="shared" si="2"/>
        <v>0.55803514577004709</v>
      </c>
      <c r="E16" s="47">
        <f t="shared" si="3"/>
        <v>9.1911371795167229E-2</v>
      </c>
      <c r="F16" s="46">
        <f t="shared" si="4"/>
        <v>12171822.966833996</v>
      </c>
    </row>
    <row r="17" spans="1:6" x14ac:dyDescent="0.45">
      <c r="A17" s="23">
        <v>8</v>
      </c>
      <c r="B17" s="48">
        <f t="shared" si="1"/>
        <v>0.1111111111111111</v>
      </c>
      <c r="C17" s="25">
        <f t="shared" si="0"/>
        <v>14714444.444444444</v>
      </c>
      <c r="D17" s="45">
        <f t="shared" si="2"/>
        <v>0.51341711903259202</v>
      </c>
      <c r="E17" s="47">
        <f t="shared" si="3"/>
        <v>8.4562544261062716E-2</v>
      </c>
      <c r="F17" s="46">
        <f t="shared" si="4"/>
        <v>11198617.736492535</v>
      </c>
    </row>
    <row r="18" spans="1:6" x14ac:dyDescent="0.45">
      <c r="A18" s="23">
        <v>9</v>
      </c>
      <c r="B18" s="48">
        <f t="shared" si="1"/>
        <v>0.1111111111111111</v>
      </c>
      <c r="C18" s="25">
        <f t="shared" si="0"/>
        <v>14714444.444444444</v>
      </c>
      <c r="D18" s="45">
        <f t="shared" si="2"/>
        <v>0.47236655274101469</v>
      </c>
      <c r="E18" s="47">
        <f t="shared" si="3"/>
        <v>7.7801296534235675E-2</v>
      </c>
      <c r="F18" s="46">
        <f t="shared" si="4"/>
        <v>10303225.700028831</v>
      </c>
    </row>
    <row r="19" spans="1:6" x14ac:dyDescent="0.45">
      <c r="A19" s="23">
        <v>10</v>
      </c>
      <c r="B19" s="48">
        <f>1/12</f>
        <v>8.3333333333333329E-2</v>
      </c>
      <c r="C19" s="25">
        <f>B19*C$5</f>
        <v>13359166.666666666</v>
      </c>
      <c r="D19" s="45">
        <f t="shared" si="2"/>
        <v>0.4345982085070782</v>
      </c>
      <c r="E19" s="47">
        <f>D19/SUM(D$19:D$33)</f>
        <v>0.11206184010603558</v>
      </c>
      <c r="F19" s="46">
        <f>C$5*E19</f>
        <v>17964633.587398563</v>
      </c>
    </row>
    <row r="20" spans="1:6" x14ac:dyDescent="0.45">
      <c r="A20" s="23">
        <v>11</v>
      </c>
      <c r="B20" s="48">
        <f t="shared" ref="B20:B30" si="5">1/12</f>
        <v>8.3333333333333329E-2</v>
      </c>
      <c r="C20" s="25">
        <f t="shared" ref="C20:C30" si="6">B20*C$5</f>
        <v>13359166.666666666</v>
      </c>
      <c r="D20" s="45">
        <f t="shared" si="2"/>
        <v>0.39984965434484737</v>
      </c>
      <c r="E20" s="47">
        <f t="shared" ref="E20:E33" si="7">D20/SUM(D$19:D$33)</f>
        <v>0.10310187008264234</v>
      </c>
      <c r="F20" s="46">
        <f t="shared" ref="F20:F33" si="8">C$5*E20</f>
        <v>16528260.792948393</v>
      </c>
    </row>
    <row r="21" spans="1:6" x14ac:dyDescent="0.45">
      <c r="A21" s="23">
        <v>12</v>
      </c>
      <c r="B21" s="48">
        <f t="shared" si="5"/>
        <v>8.3333333333333329E-2</v>
      </c>
      <c r="C21" s="25">
        <f t="shared" si="6"/>
        <v>13359166.666666666</v>
      </c>
      <c r="D21" s="45">
        <f t="shared" si="2"/>
        <v>0.36787944117144233</v>
      </c>
      <c r="E21" s="47">
        <f t="shared" si="7"/>
        <v>9.4858299707373195E-2</v>
      </c>
      <c r="F21" s="46">
        <f t="shared" si="8"/>
        <v>15206734.026088998</v>
      </c>
    </row>
    <row r="22" spans="1:6" x14ac:dyDescent="0.45">
      <c r="A22" s="23">
        <v>13</v>
      </c>
      <c r="B22" s="48">
        <f t="shared" si="5"/>
        <v>8.3333333333333329E-2</v>
      </c>
      <c r="C22" s="25">
        <f t="shared" si="6"/>
        <v>13359166.666666666</v>
      </c>
      <c r="D22" s="45">
        <f t="shared" si="2"/>
        <v>0.33846542510674221</v>
      </c>
      <c r="E22" s="47">
        <f t="shared" si="7"/>
        <v>8.7273848827003078E-2</v>
      </c>
      <c r="F22" s="46">
        <f t="shared" si="8"/>
        <v>13990870.705456864</v>
      </c>
    </row>
    <row r="23" spans="1:6" x14ac:dyDescent="0.45">
      <c r="A23" s="23">
        <v>14</v>
      </c>
      <c r="B23" s="48">
        <f t="shared" si="5"/>
        <v>8.3333333333333329E-2</v>
      </c>
      <c r="C23" s="25">
        <f t="shared" si="6"/>
        <v>13359166.666666666</v>
      </c>
      <c r="D23" s="45">
        <f t="shared" si="2"/>
        <v>0.31140322391459768</v>
      </c>
      <c r="E23" s="47">
        <f t="shared" si="7"/>
        <v>8.0295817156488092E-2</v>
      </c>
      <c r="F23" s="46">
        <f t="shared" si="8"/>
        <v>12872222.448356606</v>
      </c>
    </row>
    <row r="24" spans="1:6" x14ac:dyDescent="0.45">
      <c r="A24" s="23">
        <v>15</v>
      </c>
      <c r="B24" s="48">
        <f t="shared" si="5"/>
        <v>8.3333333333333329E-2</v>
      </c>
      <c r="C24" s="25">
        <f t="shared" si="6"/>
        <v>13359166.666666666</v>
      </c>
      <c r="D24" s="45">
        <f t="shared" si="2"/>
        <v>0.28650479686019009</v>
      </c>
      <c r="E24" s="47">
        <f t="shared" si="7"/>
        <v>7.3875718092924259E-2</v>
      </c>
      <c r="F24" s="46">
        <f t="shared" si="8"/>
        <v>11843016.367476689</v>
      </c>
    </row>
    <row r="25" spans="1:6" x14ac:dyDescent="0.45">
      <c r="A25" s="23">
        <v>16</v>
      </c>
      <c r="B25" s="48">
        <f t="shared" si="5"/>
        <v>8.3333333333333329E-2</v>
      </c>
      <c r="C25" s="25">
        <f t="shared" si="6"/>
        <v>13359166.666666666</v>
      </c>
      <c r="D25" s="45">
        <f t="shared" si="2"/>
        <v>0.26359713811572677</v>
      </c>
      <c r="E25" s="47">
        <f t="shared" si="7"/>
        <v>6.7968941808125405E-2</v>
      </c>
      <c r="F25" s="46">
        <f t="shared" si="8"/>
        <v>10896101.061260583</v>
      </c>
    </row>
    <row r="26" spans="1:6" x14ac:dyDescent="0.45">
      <c r="A26" s="23">
        <v>17</v>
      </c>
      <c r="B26" s="48">
        <f t="shared" si="5"/>
        <v>8.3333333333333329E-2</v>
      </c>
      <c r="C26" s="25">
        <f t="shared" si="6"/>
        <v>13359166.666666666</v>
      </c>
      <c r="D26" s="45">
        <f t="shared" si="2"/>
        <v>0.24252107463564868</v>
      </c>
      <c r="E26" s="47">
        <f t="shared" si="7"/>
        <v>6.2534445278831272E-2</v>
      </c>
      <c r="F26" s="46">
        <f t="shared" si="8"/>
        <v>10024896.922649441</v>
      </c>
    </row>
    <row r="27" spans="1:6" x14ac:dyDescent="0.45">
      <c r="A27" s="23">
        <v>18</v>
      </c>
      <c r="B27" s="48">
        <f t="shared" si="5"/>
        <v>8.3333333333333329E-2</v>
      </c>
      <c r="C27" s="25">
        <f t="shared" si="6"/>
        <v>13359166.666666666</v>
      </c>
      <c r="D27" s="45">
        <f t="shared" si="2"/>
        <v>0.22313016014842982</v>
      </c>
      <c r="E27" s="47">
        <f t="shared" si="7"/>
        <v>5.7534467100731762E-2</v>
      </c>
      <c r="F27" s="46">
        <f t="shared" si="8"/>
        <v>9223350.4209183082</v>
      </c>
    </row>
    <row r="28" spans="1:6" x14ac:dyDescent="0.45">
      <c r="A28" s="23">
        <v>19</v>
      </c>
      <c r="B28" s="48">
        <f t="shared" si="5"/>
        <v>8.3333333333333329E-2</v>
      </c>
      <c r="C28" s="25">
        <f t="shared" si="6"/>
        <v>13359166.666666666</v>
      </c>
      <c r="D28" s="45">
        <f t="shared" si="2"/>
        <v>0.20528965757990927</v>
      </c>
      <c r="E28" s="47">
        <f t="shared" si="7"/>
        <v>5.2934265104702817E-2</v>
      </c>
      <c r="F28" s="46">
        <f t="shared" si="8"/>
        <v>8485892.0389349088</v>
      </c>
    </row>
    <row r="29" spans="1:6" x14ac:dyDescent="0.45">
      <c r="A29" s="23">
        <v>20</v>
      </c>
      <c r="B29" s="48">
        <f t="shared" si="5"/>
        <v>8.3333333333333329E-2</v>
      </c>
      <c r="C29" s="25">
        <f t="shared" si="6"/>
        <v>13359166.666666666</v>
      </c>
      <c r="D29" s="45">
        <f t="shared" si="2"/>
        <v>0.18887560283756183</v>
      </c>
      <c r="E29" s="47">
        <f t="shared" si="7"/>
        <v>4.8701874952089712E-2</v>
      </c>
      <c r="F29" s="46">
        <f t="shared" si="8"/>
        <v>7807397.5735695018</v>
      </c>
    </row>
    <row r="30" spans="1:6" x14ac:dyDescent="0.45">
      <c r="A30" s="23">
        <v>21</v>
      </c>
      <c r="B30" s="48">
        <f t="shared" si="5"/>
        <v>8.3333333333333329E-2</v>
      </c>
      <c r="C30" s="25">
        <f t="shared" si="6"/>
        <v>13359166.666666666</v>
      </c>
      <c r="D30" s="45">
        <f t="shared" si="2"/>
        <v>0.17377394345044514</v>
      </c>
      <c r="E30" s="47">
        <f t="shared" si="7"/>
        <v>4.4807888031645884E-2</v>
      </c>
      <c r="F30" s="46">
        <f t="shared" si="8"/>
        <v>7183152.5303531522</v>
      </c>
    </row>
    <row r="31" spans="1:6" x14ac:dyDescent="0.45">
      <c r="A31" s="23">
        <v>22</v>
      </c>
      <c r="B31" s="48">
        <f>1/9</f>
        <v>0.1111111111111111</v>
      </c>
      <c r="C31" s="53">
        <f t="shared" ref="C31:C39" si="9">B31*C$6</f>
        <v>6195555.555555555</v>
      </c>
      <c r="D31" s="45">
        <f t="shared" si="2"/>
        <v>0.15987974607969391</v>
      </c>
      <c r="E31" s="47">
        <f t="shared" si="7"/>
        <v>4.1225247114851891E-2</v>
      </c>
      <c r="F31" s="46">
        <f t="shared" si="8"/>
        <v>6608819.3649819065</v>
      </c>
    </row>
    <row r="32" spans="1:6" x14ac:dyDescent="0.45">
      <c r="A32" s="23">
        <v>23</v>
      </c>
      <c r="B32" s="48">
        <f t="shared" ref="B32:B39" si="10">1/9</f>
        <v>0.1111111111111111</v>
      </c>
      <c r="C32" s="53">
        <f t="shared" si="9"/>
        <v>6195555.555555555</v>
      </c>
      <c r="D32" s="45">
        <f t="shared" si="2"/>
        <v>0.1470964673929768</v>
      </c>
      <c r="E32" s="47">
        <f t="shared" si="7"/>
        <v>3.7929058349733105E-2</v>
      </c>
      <c r="F32" s="46">
        <f t="shared" si="8"/>
        <v>6080407.3440457145</v>
      </c>
    </row>
    <row r="33" spans="1:6" x14ac:dyDescent="0.45">
      <c r="A33" s="23">
        <v>24</v>
      </c>
      <c r="B33" s="48">
        <f t="shared" si="10"/>
        <v>0.1111111111111111</v>
      </c>
      <c r="C33" s="53">
        <f t="shared" si="9"/>
        <v>6195555.555555555</v>
      </c>
      <c r="D33" s="45">
        <f t="shared" si="2"/>
        <v>0.1353352832366127</v>
      </c>
      <c r="E33" s="47">
        <f t="shared" si="7"/>
        <v>3.4896418286821648E-2</v>
      </c>
      <c r="F33" s="46">
        <f t="shared" si="8"/>
        <v>5594244.8155603781</v>
      </c>
    </row>
    <row r="34" spans="1:6" x14ac:dyDescent="0.45">
      <c r="A34" s="23">
        <v>25</v>
      </c>
      <c r="B34" s="48">
        <f t="shared" si="10"/>
        <v>0.1111111111111111</v>
      </c>
      <c r="C34" s="53">
        <f t="shared" si="9"/>
        <v>6195555.555555555</v>
      </c>
      <c r="D34" s="54">
        <f t="shared" si="2"/>
        <v>0.12451447144412296</v>
      </c>
      <c r="E34" s="55">
        <f>D34/SUM(D$34:D$45)</f>
        <v>0.2032066470853407</v>
      </c>
      <c r="F34" s="56">
        <f>C$6*E34</f>
        <v>11330802.641478598</v>
      </c>
    </row>
    <row r="35" spans="1:6" x14ac:dyDescent="0.45">
      <c r="A35" s="23">
        <v>26</v>
      </c>
      <c r="B35" s="48">
        <f t="shared" si="10"/>
        <v>0.1111111111111111</v>
      </c>
      <c r="C35" s="53">
        <f t="shared" si="9"/>
        <v>6195555.555555555</v>
      </c>
      <c r="D35" s="54">
        <f t="shared" si="2"/>
        <v>0.11455884399268773</v>
      </c>
      <c r="E35" s="55">
        <f t="shared" ref="E35:E39" si="11">D35/SUM(D$34:D$45)</f>
        <v>0.18695914066641983</v>
      </c>
      <c r="F35" s="56">
        <f t="shared" ref="F35:F39" si="12">C$6*E35</f>
        <v>10424841.68355957</v>
      </c>
    </row>
    <row r="36" spans="1:6" x14ac:dyDescent="0.45">
      <c r="A36" s="23">
        <v>27</v>
      </c>
      <c r="B36" s="48">
        <f t="shared" si="10"/>
        <v>0.1111111111111111</v>
      </c>
      <c r="C36" s="53">
        <f t="shared" si="9"/>
        <v>6195555.555555555</v>
      </c>
      <c r="D36" s="54">
        <f t="shared" si="2"/>
        <v>0.10539922456186433</v>
      </c>
      <c r="E36" s="55">
        <f t="shared" si="11"/>
        <v>0.17201071313403751</v>
      </c>
      <c r="F36" s="56">
        <f t="shared" si="12"/>
        <v>9591317.3643539324</v>
      </c>
    </row>
    <row r="37" spans="1:6" x14ac:dyDescent="0.45">
      <c r="A37" s="23">
        <v>28</v>
      </c>
      <c r="B37" s="48">
        <f t="shared" si="10"/>
        <v>0.1111111111111111</v>
      </c>
      <c r="C37" s="53">
        <f t="shared" si="9"/>
        <v>6195555.555555555</v>
      </c>
      <c r="D37" s="54">
        <f t="shared" si="2"/>
        <v>9.6971967864405054E-2</v>
      </c>
      <c r="E37" s="55">
        <f t="shared" si="11"/>
        <v>0.15825749587537796</v>
      </c>
      <c r="F37" s="56">
        <f t="shared" si="12"/>
        <v>8824437.970011076</v>
      </c>
    </row>
    <row r="38" spans="1:6" x14ac:dyDescent="0.45">
      <c r="A38" s="23">
        <v>29</v>
      </c>
      <c r="B38" s="48">
        <f t="shared" si="10"/>
        <v>0.1111111111111111</v>
      </c>
      <c r="C38" s="53">
        <f t="shared" si="9"/>
        <v>6195555.555555555</v>
      </c>
      <c r="D38" s="54">
        <f t="shared" si="2"/>
        <v>8.9218517409260109E-2</v>
      </c>
      <c r="E38" s="55">
        <f t="shared" si="11"/>
        <v>0.14560392515336468</v>
      </c>
      <c r="F38" s="56">
        <f t="shared" si="12"/>
        <v>8118874.8665516144</v>
      </c>
    </row>
    <row r="39" spans="1:6" x14ac:dyDescent="0.45">
      <c r="A39" s="23">
        <v>30</v>
      </c>
      <c r="B39" s="48">
        <f t="shared" si="10"/>
        <v>0.1111111111111111</v>
      </c>
      <c r="C39" s="53">
        <f t="shared" si="9"/>
        <v>6195555.555555555</v>
      </c>
      <c r="D39" s="54">
        <f t="shared" si="2"/>
        <v>8.20849986238988E-2</v>
      </c>
      <c r="E39" s="55">
        <f t="shared" si="11"/>
        <v>0.13396207808545921</v>
      </c>
      <c r="F39" s="56">
        <f t="shared" si="12"/>
        <v>7469725.4740452059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851C-1D7F-4074-A07A-AB9405BAF0B5}">
  <dimension ref="A1:BB100"/>
  <sheetViews>
    <sheetView zoomScale="103" zoomScaleNormal="103" workbookViewId="0">
      <selection activeCell="D7" sqref="D7"/>
    </sheetView>
  </sheetViews>
  <sheetFormatPr defaultRowHeight="14.25" x14ac:dyDescent="0.45"/>
  <cols>
    <col min="1" max="1" width="28.59765625" bestFit="1" customWidth="1"/>
    <col min="2" max="2" width="14" bestFit="1" customWidth="1"/>
    <col min="3" max="3" width="30.73046875" bestFit="1" customWidth="1"/>
    <col min="4" max="4" width="11" bestFit="1" customWidth="1"/>
    <col min="5" max="5" width="16.73046875" bestFit="1" customWidth="1"/>
    <col min="6" max="6" width="17.86328125" bestFit="1" customWidth="1"/>
    <col min="7" max="7" width="10.86328125" bestFit="1" customWidth="1"/>
    <col min="8" max="8" width="12.59765625" bestFit="1" customWidth="1"/>
    <col min="9" max="9" width="25" bestFit="1" customWidth="1"/>
    <col min="10" max="10" width="26.265625" bestFit="1" customWidth="1"/>
    <col min="11" max="11" width="15.86328125" bestFit="1" customWidth="1"/>
    <col min="12" max="12" width="9.86328125" bestFit="1" customWidth="1"/>
    <col min="13" max="14" width="12.265625" bestFit="1" customWidth="1"/>
    <col min="15" max="15" width="11.59765625" bestFit="1" customWidth="1"/>
    <col min="16" max="16" width="13.59765625" bestFit="1" customWidth="1"/>
    <col min="17" max="17" width="11" bestFit="1" customWidth="1"/>
    <col min="18" max="18" width="8.265625" bestFit="1" customWidth="1"/>
    <col min="19" max="19" width="11.73046875" bestFit="1" customWidth="1"/>
    <col min="20" max="21" width="11" bestFit="1" customWidth="1"/>
    <col min="22" max="22" width="12" bestFit="1" customWidth="1"/>
    <col min="23" max="23" width="24" bestFit="1" customWidth="1"/>
    <col min="24" max="24" width="11" bestFit="1" customWidth="1"/>
    <col min="25" max="25" width="13.59765625" bestFit="1" customWidth="1"/>
    <col min="26" max="26" width="12.73046875" bestFit="1" customWidth="1"/>
    <col min="27" max="27" width="54.1328125" bestFit="1" customWidth="1"/>
    <col min="28" max="28" width="12" bestFit="1" customWidth="1"/>
    <col min="29" max="29" width="12.3984375" bestFit="1" customWidth="1"/>
    <col min="30" max="30" width="12" bestFit="1" customWidth="1"/>
    <col min="31" max="31" width="12.265625" bestFit="1" customWidth="1"/>
    <col min="32" max="32" width="18.73046875" bestFit="1" customWidth="1"/>
    <col min="33" max="33" width="16.73046875" bestFit="1" customWidth="1"/>
    <col min="34" max="34" width="18" bestFit="1" customWidth="1"/>
    <col min="35" max="38" width="10.86328125" bestFit="1" customWidth="1"/>
    <col min="39" max="39" width="30.73046875" bestFit="1" customWidth="1"/>
    <col min="40" max="40" width="8.3984375" bestFit="1" customWidth="1"/>
    <col min="41" max="41" width="5.73046875" bestFit="1" customWidth="1"/>
    <col min="42" max="42" width="12.59765625" bestFit="1" customWidth="1"/>
    <col min="43" max="43" width="18.1328125" bestFit="1" customWidth="1"/>
    <col min="44" max="45" width="12" bestFit="1" customWidth="1"/>
    <col min="46" max="46" width="14.265625" bestFit="1" customWidth="1"/>
    <col min="47" max="47" width="7.1328125" bestFit="1" customWidth="1"/>
    <col min="48" max="48" width="6.265625" bestFit="1" customWidth="1"/>
    <col min="49" max="49" width="4.1328125" customWidth="1"/>
    <col min="50" max="50" width="36" bestFit="1" customWidth="1"/>
    <col min="51" max="51" width="9.265625" bestFit="1" customWidth="1"/>
    <col min="52" max="52" width="14.59765625" bestFit="1" customWidth="1"/>
    <col min="53" max="53" width="17.59765625" bestFit="1" customWidth="1"/>
    <col min="54" max="54" width="14.59765625" bestFit="1" customWidth="1"/>
  </cols>
  <sheetData>
    <row r="1" spans="1:54" ht="16.149999999999999" thickBot="1" x14ac:dyDescent="0.55000000000000004">
      <c r="A1" s="99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91</v>
      </c>
      <c r="J1" s="3" t="s">
        <v>90</v>
      </c>
      <c r="K1" s="2" t="s">
        <v>6</v>
      </c>
      <c r="L1" s="2" t="s">
        <v>7</v>
      </c>
      <c r="M1" s="4" t="s">
        <v>8</v>
      </c>
      <c r="N1" s="59"/>
      <c r="O1" s="59"/>
      <c r="P1" s="59"/>
      <c r="Q1" s="59"/>
      <c r="R1" s="59"/>
      <c r="S1" s="80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145"/>
      <c r="AI1" s="145"/>
      <c r="AJ1" s="59"/>
      <c r="AK1" s="59"/>
      <c r="AL1" s="59"/>
      <c r="AM1" s="146" t="s">
        <v>71</v>
      </c>
      <c r="AN1" s="147" t="s">
        <v>72</v>
      </c>
      <c r="AO1" s="148"/>
      <c r="AP1" s="149"/>
      <c r="AQ1" s="149"/>
      <c r="AR1" s="149"/>
      <c r="AS1" s="149"/>
      <c r="AT1" s="149"/>
      <c r="AU1" s="149"/>
      <c r="AV1" s="149"/>
      <c r="AW1" s="149"/>
      <c r="AX1" s="296" t="s">
        <v>73</v>
      </c>
      <c r="AY1" s="297"/>
      <c r="AZ1" s="297"/>
      <c r="BA1" s="297"/>
      <c r="BB1" s="298"/>
    </row>
    <row r="2" spans="1:54" ht="16.149999999999999" thickBot="1" x14ac:dyDescent="0.55000000000000004">
      <c r="A2" s="59"/>
      <c r="B2" s="5" t="s">
        <v>9</v>
      </c>
      <c r="C2" s="6">
        <f>C3*$M$2</f>
        <v>36400000</v>
      </c>
      <c r="D2" s="6">
        <f t="shared" ref="D2:L2" si="0">D3*$M$2</f>
        <v>109100000</v>
      </c>
      <c r="E2" s="6">
        <f t="shared" si="0"/>
        <v>131200000.00000001</v>
      </c>
      <c r="F2" s="6">
        <f t="shared" si="0"/>
        <v>60600000</v>
      </c>
      <c r="G2" s="6">
        <f t="shared" si="0"/>
        <v>250600000</v>
      </c>
      <c r="H2" s="6">
        <f t="shared" si="0"/>
        <v>348500000</v>
      </c>
      <c r="I2" s="6">
        <f t="shared" si="0"/>
        <v>22700000</v>
      </c>
      <c r="J2" s="6">
        <f t="shared" si="0"/>
        <v>22700000</v>
      </c>
      <c r="K2" s="6">
        <f t="shared" si="0"/>
        <v>11800000</v>
      </c>
      <c r="L2" s="6">
        <f t="shared" si="0"/>
        <v>6400000</v>
      </c>
      <c r="M2" s="7">
        <v>1000000000</v>
      </c>
      <c r="N2" s="59"/>
      <c r="O2" s="59"/>
      <c r="P2" s="59"/>
      <c r="Q2" s="299" t="s">
        <v>74</v>
      </c>
      <c r="R2" s="299"/>
      <c r="S2" s="297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59"/>
      <c r="AF2" s="59"/>
      <c r="AG2" s="59"/>
      <c r="AH2" s="145"/>
      <c r="AI2" s="145"/>
      <c r="AJ2" s="59"/>
      <c r="AK2" s="59"/>
      <c r="AL2" s="59"/>
      <c r="AM2" s="146" t="s">
        <v>75</v>
      </c>
      <c r="AN2" s="150">
        <v>0.3</v>
      </c>
      <c r="AO2" s="148"/>
      <c r="AP2" s="149"/>
      <c r="AQ2" s="149"/>
      <c r="AR2" s="149"/>
      <c r="AS2" s="149"/>
      <c r="AT2" s="149"/>
      <c r="AU2" s="149"/>
      <c r="AV2" s="149"/>
      <c r="AW2" s="149"/>
      <c r="AX2" s="151" t="s">
        <v>104</v>
      </c>
      <c r="AY2" s="152"/>
      <c r="AZ2" s="153"/>
      <c r="BA2" s="154">
        <v>0.2</v>
      </c>
      <c r="BB2" s="155"/>
    </row>
    <row r="3" spans="1:54" ht="16.149999999999999" thickBot="1" x14ac:dyDescent="0.55000000000000004">
      <c r="A3" s="59"/>
      <c r="B3" s="8" t="s">
        <v>10</v>
      </c>
      <c r="C3" s="9">
        <v>3.6400000000000002E-2</v>
      </c>
      <c r="D3" s="10">
        <v>0.1091</v>
      </c>
      <c r="E3" s="10">
        <v>0.13120000000000001</v>
      </c>
      <c r="F3" s="10">
        <v>6.0600000000000001E-2</v>
      </c>
      <c r="G3" s="10">
        <v>0.25059999999999999</v>
      </c>
      <c r="H3" s="10">
        <v>0.34849999999999998</v>
      </c>
      <c r="I3" s="10">
        <v>2.2700000000000001E-2</v>
      </c>
      <c r="J3" s="11">
        <v>2.2700000000000001E-2</v>
      </c>
      <c r="K3" s="9">
        <v>1.18E-2</v>
      </c>
      <c r="L3" s="10">
        <v>6.4000000000000003E-3</v>
      </c>
      <c r="M3" s="12">
        <f t="shared" ref="M3" si="1">M2/$M$2</f>
        <v>1</v>
      </c>
      <c r="N3" s="59"/>
      <c r="O3" s="59"/>
      <c r="P3" s="59"/>
      <c r="Q3" s="109"/>
      <c r="R3" s="109"/>
      <c r="S3" s="110"/>
      <c r="T3" s="301"/>
      <c r="U3" s="302"/>
      <c r="V3" s="302"/>
      <c r="W3" s="302"/>
      <c r="X3" s="302"/>
      <c r="Y3" s="302"/>
      <c r="Z3" s="302"/>
      <c r="AA3" s="302"/>
      <c r="AB3" s="302"/>
      <c r="AC3" s="302"/>
      <c r="AD3" s="303"/>
      <c r="AE3" s="59"/>
      <c r="AF3" s="59"/>
      <c r="AG3" s="59"/>
      <c r="AH3" s="304" t="s">
        <v>76</v>
      </c>
      <c r="AI3" s="297"/>
      <c r="AJ3" s="297"/>
      <c r="AK3" s="297"/>
      <c r="AL3" s="297"/>
      <c r="AM3" s="297"/>
      <c r="AN3" s="305"/>
      <c r="AO3" s="148"/>
      <c r="AP3" s="306" t="s">
        <v>77</v>
      </c>
      <c r="AQ3" s="297"/>
      <c r="AR3" s="297"/>
      <c r="AS3" s="297"/>
      <c r="AT3" s="297"/>
      <c r="AU3" s="297"/>
      <c r="AV3" s="298"/>
      <c r="AW3" s="156"/>
      <c r="AX3" s="157" t="s">
        <v>105</v>
      </c>
      <c r="AY3" s="158"/>
      <c r="AZ3" s="158"/>
      <c r="BA3" s="159">
        <v>0.15</v>
      </c>
      <c r="BB3" s="160"/>
    </row>
    <row r="4" spans="1:54" ht="14.65" thickBot="1" x14ac:dyDescent="0.5">
      <c r="A4" s="59"/>
      <c r="B4" s="13" t="s">
        <v>11</v>
      </c>
      <c r="C4" s="114" t="s">
        <v>12</v>
      </c>
      <c r="D4" s="290" t="s">
        <v>13</v>
      </c>
      <c r="E4" s="291"/>
      <c r="F4" s="15" t="s">
        <v>3</v>
      </c>
      <c r="G4" s="290" t="s">
        <v>14</v>
      </c>
      <c r="H4" s="292"/>
      <c r="I4" s="292"/>
      <c r="J4" s="292"/>
      <c r="K4" s="292"/>
      <c r="L4" s="291"/>
      <c r="M4" s="16"/>
      <c r="N4" s="59"/>
      <c r="O4" s="59"/>
      <c r="P4" s="59"/>
      <c r="Q4" s="109"/>
      <c r="R4" s="109"/>
      <c r="S4" s="110"/>
      <c r="T4" s="161"/>
      <c r="U4" s="109"/>
      <c r="V4" s="162"/>
      <c r="W4" s="163" t="s">
        <v>78</v>
      </c>
      <c r="X4" s="164">
        <v>0.3</v>
      </c>
      <c r="Y4" s="165"/>
      <c r="Z4" s="166" t="s">
        <v>79</v>
      </c>
      <c r="AA4" s="167">
        <v>0.2</v>
      </c>
      <c r="AB4" s="168" t="str">
        <f>IF((AB8+AA8+Z8)=H2,"OK","FAIL")</f>
        <v>FAIL</v>
      </c>
      <c r="AC4" s="109"/>
      <c r="AD4" s="169"/>
      <c r="AE4" s="59"/>
      <c r="AF4" s="59"/>
      <c r="AG4" s="59"/>
      <c r="AH4" s="170" t="s">
        <v>80</v>
      </c>
      <c r="AI4" s="307"/>
      <c r="AJ4" s="308"/>
      <c r="AK4" s="308"/>
      <c r="AL4" s="309"/>
      <c r="AM4" s="171"/>
      <c r="AN4" s="172"/>
      <c r="AO4" s="148"/>
      <c r="AP4" s="173"/>
      <c r="AQ4" s="174" t="s">
        <v>81</v>
      </c>
      <c r="AR4" s="175" t="s">
        <v>82</v>
      </c>
      <c r="AS4" s="175" t="s">
        <v>83</v>
      </c>
      <c r="AT4" s="173"/>
      <c r="AU4" s="173"/>
      <c r="AV4" s="173"/>
      <c r="AW4" s="149"/>
      <c r="AX4" s="157" t="s">
        <v>106</v>
      </c>
      <c r="AY4" s="158"/>
      <c r="AZ4" s="158"/>
      <c r="BA4" s="159">
        <v>0.05</v>
      </c>
      <c r="BB4" s="160"/>
    </row>
    <row r="5" spans="1:54" ht="14.65" thickBot="1" x14ac:dyDescent="0.5">
      <c r="A5" s="59"/>
      <c r="B5" s="17"/>
      <c r="C5" s="115">
        <f>C2/M2</f>
        <v>3.6400000000000002E-2</v>
      </c>
      <c r="D5" s="293">
        <f>(D2+E2)/M2</f>
        <v>0.24030000000000001</v>
      </c>
      <c r="E5" s="294"/>
      <c r="F5" s="19">
        <f>F2/M2</f>
        <v>6.0600000000000001E-2</v>
      </c>
      <c r="G5" s="293">
        <f>(G2+H2+I2+J2+K2+L2)/M2</f>
        <v>0.66269999999999996</v>
      </c>
      <c r="H5" s="295"/>
      <c r="I5" s="295"/>
      <c r="J5" s="295"/>
      <c r="K5" s="295"/>
      <c r="L5" s="294"/>
      <c r="M5" s="20">
        <f>G5+F5+D5+C5</f>
        <v>1</v>
      </c>
      <c r="N5" s="59"/>
      <c r="O5" s="59"/>
      <c r="P5" s="59"/>
      <c r="Q5" s="109"/>
      <c r="R5" s="109"/>
      <c r="S5" s="110"/>
      <c r="T5" s="176"/>
      <c r="U5" s="177"/>
      <c r="V5" s="178"/>
      <c r="W5" s="179" t="s">
        <v>84</v>
      </c>
      <c r="X5" s="180">
        <f>1-X4</f>
        <v>0.7</v>
      </c>
      <c r="Y5" s="181" t="s">
        <v>85</v>
      </c>
      <c r="Z5" s="182" t="s">
        <v>86</v>
      </c>
      <c r="AA5" s="183">
        <v>0.1</v>
      </c>
      <c r="AB5" s="184">
        <f>1-AA5</f>
        <v>0.9</v>
      </c>
      <c r="AC5" s="177"/>
      <c r="AD5" s="185"/>
      <c r="AE5" s="59"/>
      <c r="AF5" s="59"/>
      <c r="AG5" s="59"/>
      <c r="AH5" s="170" t="s">
        <v>87</v>
      </c>
      <c r="AI5" s="310" t="s">
        <v>88</v>
      </c>
      <c r="AJ5" s="311"/>
      <c r="AK5" s="311"/>
      <c r="AL5" s="312"/>
      <c r="AM5" s="171"/>
      <c r="AN5" s="172"/>
      <c r="AO5" s="148"/>
      <c r="AP5" s="186"/>
      <c r="AQ5" s="186"/>
      <c r="AR5" s="187">
        <v>0.25</v>
      </c>
      <c r="AS5" s="188">
        <f>1-AR5</f>
        <v>0.75</v>
      </c>
      <c r="AT5" s="186"/>
      <c r="AU5" s="186"/>
      <c r="AV5" s="186"/>
      <c r="AW5" s="189"/>
      <c r="AX5" s="157" t="s">
        <v>107</v>
      </c>
      <c r="AY5" s="158"/>
      <c r="AZ5" s="158"/>
      <c r="BA5" s="159">
        <v>0</v>
      </c>
      <c r="BB5" s="190"/>
    </row>
    <row r="6" spans="1:54" x14ac:dyDescent="0.45">
      <c r="A6" s="59"/>
      <c r="B6" s="100"/>
      <c r="C6" s="101"/>
      <c r="D6" s="101"/>
      <c r="E6" s="102"/>
      <c r="F6" s="101"/>
      <c r="G6" s="101"/>
      <c r="H6" s="102"/>
      <c r="I6" s="102"/>
      <c r="J6" s="102"/>
      <c r="K6" s="102"/>
      <c r="L6" s="102"/>
      <c r="M6" s="20"/>
      <c r="N6" s="59"/>
      <c r="O6" s="59"/>
      <c r="P6" s="108" t="s">
        <v>41</v>
      </c>
      <c r="Q6" s="109"/>
      <c r="R6" s="109"/>
      <c r="S6" s="110"/>
      <c r="T6" s="191"/>
      <c r="U6" s="177"/>
      <c r="V6" s="177"/>
      <c r="W6" s="192"/>
      <c r="X6" s="193"/>
      <c r="Y6" s="165"/>
      <c r="Z6" s="194"/>
      <c r="AA6" s="195"/>
      <c r="AB6" s="196"/>
      <c r="AC6" s="177"/>
      <c r="AD6" s="177"/>
      <c r="AE6" s="59"/>
      <c r="AF6" s="59"/>
      <c r="AG6" s="59"/>
      <c r="AH6" s="170" t="s">
        <v>89</v>
      </c>
      <c r="AI6" s="197">
        <f>AI8/$AH$8</f>
        <v>0.15179316096747289</v>
      </c>
      <c r="AJ6" s="197">
        <f t="shared" ref="AJ6:AL6" si="2">AJ8/$AH$8</f>
        <v>0.30358632193494578</v>
      </c>
      <c r="AK6" s="197">
        <f t="shared" si="2"/>
        <v>-0.34111759799833202</v>
      </c>
      <c r="AL6" s="197">
        <f t="shared" si="2"/>
        <v>0.88573811509591338</v>
      </c>
      <c r="AM6" s="198">
        <f>SUM(AI6:AL6)</f>
        <v>1</v>
      </c>
      <c r="AN6" s="172"/>
      <c r="AO6" s="148"/>
      <c r="AP6" s="186"/>
      <c r="AQ6" s="186"/>
      <c r="AR6" s="199"/>
      <c r="AS6" s="188"/>
      <c r="AT6" s="186"/>
      <c r="AU6" s="186"/>
      <c r="AV6" s="200"/>
      <c r="AW6" s="189"/>
      <c r="AX6" s="157"/>
      <c r="AY6" s="158"/>
      <c r="AZ6" s="158"/>
      <c r="BA6" s="201"/>
      <c r="BB6" s="190"/>
    </row>
    <row r="7" spans="1:54" ht="14.65" thickBot="1" x14ac:dyDescent="0.5">
      <c r="A7" s="57"/>
      <c r="B7" s="57"/>
      <c r="C7" s="58" t="s">
        <v>0</v>
      </c>
      <c r="D7" s="58" t="s">
        <v>1</v>
      </c>
      <c r="E7" s="58" t="s">
        <v>2</v>
      </c>
      <c r="F7" s="58" t="s">
        <v>3</v>
      </c>
      <c r="G7" s="58" t="s">
        <v>4</v>
      </c>
      <c r="H7" s="58" t="s">
        <v>5</v>
      </c>
      <c r="I7" s="2" t="s">
        <v>91</v>
      </c>
      <c r="J7" s="3" t="s">
        <v>90</v>
      </c>
      <c r="K7" s="58" t="s">
        <v>6</v>
      </c>
      <c r="L7" s="58" t="s">
        <v>7</v>
      </c>
      <c r="M7" s="59"/>
      <c r="N7" s="60" t="s">
        <v>38</v>
      </c>
      <c r="O7" s="103" t="s">
        <v>40</v>
      </c>
      <c r="P7" s="111" t="s">
        <v>42</v>
      </c>
      <c r="Q7" s="112" t="s">
        <v>43</v>
      </c>
      <c r="R7" s="112" t="s">
        <v>44</v>
      </c>
      <c r="S7" s="112" t="s">
        <v>45</v>
      </c>
      <c r="T7" s="113" t="s">
        <v>46</v>
      </c>
      <c r="U7" s="113" t="s">
        <v>0</v>
      </c>
      <c r="V7" s="113" t="s">
        <v>1</v>
      </c>
      <c r="W7" s="113" t="s">
        <v>47</v>
      </c>
      <c r="X7" s="113" t="s">
        <v>48</v>
      </c>
      <c r="Y7" s="113" t="s">
        <v>49</v>
      </c>
      <c r="Z7" s="116" t="s">
        <v>50</v>
      </c>
      <c r="AA7" s="116" t="s">
        <v>51</v>
      </c>
      <c r="AB7" s="116" t="s">
        <v>52</v>
      </c>
      <c r="AC7" s="113" t="s">
        <v>102</v>
      </c>
      <c r="AD7" s="113" t="s">
        <v>103</v>
      </c>
      <c r="AE7" s="103" t="s">
        <v>53</v>
      </c>
      <c r="AF7" s="103" t="s">
        <v>54</v>
      </c>
      <c r="AG7" s="103" t="s">
        <v>55</v>
      </c>
      <c r="AH7" s="117" t="s">
        <v>56</v>
      </c>
      <c r="AI7" s="118" t="s">
        <v>57</v>
      </c>
      <c r="AJ7" s="118" t="s">
        <v>0</v>
      </c>
      <c r="AK7" s="118" t="s">
        <v>1</v>
      </c>
      <c r="AL7" s="118" t="s">
        <v>2</v>
      </c>
      <c r="AM7" s="117" t="s">
        <v>58</v>
      </c>
      <c r="AN7" s="119" t="s">
        <v>59</v>
      </c>
      <c r="AO7" s="120" t="s">
        <v>60</v>
      </c>
      <c r="AP7" s="121" t="s">
        <v>61</v>
      </c>
      <c r="AQ7" s="122" t="s">
        <v>62</v>
      </c>
      <c r="AR7" s="122" t="s">
        <v>63</v>
      </c>
      <c r="AS7" s="123" t="s">
        <v>64</v>
      </c>
      <c r="AT7" s="124" t="s">
        <v>65</v>
      </c>
      <c r="AU7" s="124" t="s">
        <v>66</v>
      </c>
      <c r="AV7" s="125"/>
      <c r="AW7" s="126"/>
      <c r="AX7" s="127" t="s">
        <v>67</v>
      </c>
      <c r="AY7" s="128" t="s">
        <v>108</v>
      </c>
      <c r="AZ7" s="129" t="s">
        <v>68</v>
      </c>
      <c r="BA7" s="130" t="s">
        <v>69</v>
      </c>
      <c r="BB7" s="131" t="s">
        <v>70</v>
      </c>
    </row>
    <row r="8" spans="1:54" ht="14.65" thickBot="1" x14ac:dyDescent="0.5">
      <c r="A8" s="61" t="s">
        <v>16</v>
      </c>
      <c r="B8" s="62" t="s">
        <v>39</v>
      </c>
      <c r="C8" s="63">
        <f t="shared" ref="C8:F8" si="3">C2</f>
        <v>36400000</v>
      </c>
      <c r="D8" s="64">
        <f t="shared" si="3"/>
        <v>109100000</v>
      </c>
      <c r="E8" s="64">
        <f t="shared" si="3"/>
        <v>131200000.00000001</v>
      </c>
      <c r="F8" s="64">
        <f t="shared" si="3"/>
        <v>60600000</v>
      </c>
      <c r="G8" s="65"/>
      <c r="H8" s="65"/>
      <c r="I8" s="66"/>
      <c r="J8" s="67"/>
      <c r="K8" s="64">
        <f>K2</f>
        <v>11800000</v>
      </c>
      <c r="L8" s="63">
        <f>L2</f>
        <v>6400000</v>
      </c>
      <c r="M8" s="68">
        <f>SUM(C8:L8)</f>
        <v>355500000</v>
      </c>
      <c r="N8" s="69">
        <f>SUM(C8:L8)</f>
        <v>355500000</v>
      </c>
      <c r="O8" s="104">
        <f>N8/$M$2</f>
        <v>0.35549999999999998</v>
      </c>
      <c r="P8" s="104"/>
      <c r="Q8" s="104"/>
      <c r="R8" s="104"/>
      <c r="S8" s="202"/>
      <c r="T8" s="132">
        <f t="shared" ref="T8:AD8" si="4">SUM(T9:T56)</f>
        <v>11800000.000000002</v>
      </c>
      <c r="U8" s="132">
        <f t="shared" si="4"/>
        <v>36400000.000000007</v>
      </c>
      <c r="V8" s="132">
        <f t="shared" si="4"/>
        <v>109099999.99999997</v>
      </c>
      <c r="W8" s="132">
        <f t="shared" si="4"/>
        <v>88400000.000000015</v>
      </c>
      <c r="X8" s="132">
        <f t="shared" si="4"/>
        <v>13800000</v>
      </c>
      <c r="Y8" s="132">
        <f t="shared" si="4"/>
        <v>528999999.99999982</v>
      </c>
      <c r="Z8" s="132">
        <f t="shared" si="4"/>
        <v>45999999.99999994</v>
      </c>
      <c r="AA8" s="132">
        <f t="shared" si="4"/>
        <v>11499999.999999994</v>
      </c>
      <c r="AB8" s="132">
        <f t="shared" si="4"/>
        <v>517500000</v>
      </c>
      <c r="AC8" s="132">
        <f t="shared" si="4"/>
        <v>22699999.999999996</v>
      </c>
      <c r="AD8" s="132">
        <f t="shared" si="4"/>
        <v>22700000.000000007</v>
      </c>
      <c r="AE8" s="69">
        <f>$C$8+$D$8+($E$8-($D$68*1000000))+$K$8</f>
        <v>213500000</v>
      </c>
      <c r="AF8" s="69">
        <f t="shared" ref="AF8:AF56" si="5">N8-AE8</f>
        <v>142000000</v>
      </c>
      <c r="AG8" s="133">
        <f t="shared" ref="AG8:AG56" si="6">AF8-$F$8-($B$77*1000000)</f>
        <v>56400000</v>
      </c>
      <c r="AH8" s="133">
        <f>(E8-(B77*1000000))+(F67*1000000)+C8+L8+K8</f>
        <v>119900000</v>
      </c>
      <c r="AI8" s="134">
        <f>K8+L8</f>
        <v>18200000</v>
      </c>
      <c r="AJ8" s="134">
        <f>C8</f>
        <v>36400000</v>
      </c>
      <c r="AK8" s="134">
        <f>F67*1000000</f>
        <v>-40900000.000000007</v>
      </c>
      <c r="AL8" s="134">
        <f>E8-(B77*1000000)</f>
        <v>106200000.00000001</v>
      </c>
      <c r="AM8" s="133">
        <f>SUM(AJ8:AL8)</f>
        <v>101700000</v>
      </c>
      <c r="AN8" s="135">
        <f>AM8/AH8</f>
        <v>0.84820683903252714</v>
      </c>
      <c r="AO8" s="136" t="str">
        <f>IF(ABS((AP8+AQ8)-AH8)&lt;1,"OK","Fail")</f>
        <v>OK</v>
      </c>
      <c r="AP8" s="137">
        <f>$F$64*1000000+$F$66*1000000+$F$67*1000000+$F$68*1000000+(($D$68-$B$77)*1000000)</f>
        <v>144800000</v>
      </c>
      <c r="AQ8" s="137">
        <f>AH8-AP8</f>
        <v>-24900000</v>
      </c>
      <c r="AR8" s="137">
        <f>AP8+(AQ8*$AR$5)</f>
        <v>138575000</v>
      </c>
      <c r="AS8" s="137">
        <f t="shared" ref="AS8:AS21" si="7">(AQ8*$AS$5)+($B$77*1000000)</f>
        <v>6325000</v>
      </c>
      <c r="AT8" s="138"/>
      <c r="AU8" s="138"/>
      <c r="AV8" s="139"/>
      <c r="AW8" s="140"/>
      <c r="AX8" s="141"/>
      <c r="AY8" s="142">
        <v>0.25</v>
      </c>
      <c r="AZ8" s="143">
        <f>AY8*AF8</f>
        <v>35500000</v>
      </c>
      <c r="BA8" s="143">
        <f>AY8*AG8</f>
        <v>14100000</v>
      </c>
      <c r="BB8" s="144">
        <f>AY8*$M$2</f>
        <v>250000000</v>
      </c>
    </row>
    <row r="9" spans="1:54" x14ac:dyDescent="0.45">
      <c r="A9" s="70">
        <v>1</v>
      </c>
      <c r="B9" s="71" t="str">
        <f>"T+"&amp;(A9*1)&amp;"M"</f>
        <v>T+1M</v>
      </c>
      <c r="C9" s="72"/>
      <c r="D9" s="73"/>
      <c r="E9" s="73"/>
      <c r="F9" s="74"/>
      <c r="G9" s="75">
        <f>[1]STAKING_SHAPE!C11</f>
        <v>2756666.6666666665</v>
      </c>
      <c r="H9" s="76">
        <f>[1]LP_SHAPE!C10</f>
        <v>24277777.777777776</v>
      </c>
      <c r="I9" s="77"/>
      <c r="J9" s="78"/>
      <c r="K9" s="73"/>
      <c r="L9" s="79"/>
      <c r="M9" s="80" t="str">
        <f t="shared" ref="M9:M56" si="8">B9</f>
        <v>T+1M</v>
      </c>
      <c r="N9" s="81">
        <f t="shared" ref="N9:N56" si="9">SUM(C9:J9)+N8</f>
        <v>382534444.44444442</v>
      </c>
      <c r="O9" s="105">
        <f t="shared" ref="O9:O55" si="10">N9/$M$2</f>
        <v>0.3825344444444444</v>
      </c>
      <c r="P9" s="203">
        <f>G9/AF9</f>
        <v>1.9043452230179385E-2</v>
      </c>
      <c r="Q9" s="204">
        <f t="shared" ref="Q9:Q11" si="11">T9+U9+V9+W9+Y9+AC9+AD9+X9</f>
        <v>0</v>
      </c>
      <c r="R9" s="205">
        <f t="shared" ref="R9:R56" si="12">Q9/AF9</f>
        <v>0</v>
      </c>
      <c r="S9" s="205">
        <f t="shared" ref="S9:S56" si="13">Q9/AG9</f>
        <v>0</v>
      </c>
      <c r="T9" s="206"/>
      <c r="U9" s="206"/>
      <c r="V9" s="206"/>
      <c r="W9" s="206"/>
      <c r="X9" s="206"/>
      <c r="Y9" s="206"/>
      <c r="Z9" s="207"/>
      <c r="AA9" s="208"/>
      <c r="AB9" s="208"/>
      <c r="AC9" s="206"/>
      <c r="AD9" s="206"/>
      <c r="AE9" s="209">
        <f t="shared" ref="AE9:AE56" si="14">AE8-Q9+H9+I9+J9</f>
        <v>237777777.77777779</v>
      </c>
      <c r="AF9" s="209">
        <f t="shared" si="5"/>
        <v>144756666.66666663</v>
      </c>
      <c r="AG9" s="81">
        <f t="shared" si="6"/>
        <v>59156666.666666627</v>
      </c>
      <c r="AH9" s="210">
        <f t="shared" ref="AH9:AH56" si="15">AH8+SUM(G9:J9)+($E$67/$B$67*V9)</f>
        <v>146934444.44444445</v>
      </c>
      <c r="AI9" s="211">
        <f t="shared" ref="AI9:AI56" si="16">IF($AN$1="NO",AI8+(AI8/AH8*G9)+H9+I9+J9,AI8+(AI8/AH8*G9)+H9+I9+J9+($AN$2*(U9+V9+W9)))</f>
        <v>42896220.924844772</v>
      </c>
      <c r="AJ9" s="211">
        <f>IF($AN$1="NO",AJ8+(AJ8/AH8*G9)+(($B$77*1000000)/AS8)*H9,AJ8+(AJ8/AH8*G9)+((($B$77*1000000)/AS8)*H9)-($AN$2*U9))</f>
        <v>133196482.25372994</v>
      </c>
      <c r="AK9" s="211">
        <f t="shared" ref="AK9:AK56" si="17">IF($AN$1="NO",AK8+(AK8/AH8*G9)+($E$67/$C$67*V9),AK8+(AK8/AH8*G9)+($E$67/$C$67*V9)-($AN$2*V9))</f>
        <v>-41840347.511815406</v>
      </c>
      <c r="AL9" s="211">
        <f t="shared" ref="AL9:AL56" si="18">IF($AN$1="NO",AL8+(AL8/AH8*G9)+($X$5*Z9),AL8+(AL8/AH8*G9)+($X$5*Z9)-($AN$2*W9))</f>
        <v>108641684.73728108</v>
      </c>
      <c r="AM9" s="210">
        <f>SUM(AJ9:AL9)</f>
        <v>199997819.47919562</v>
      </c>
      <c r="AN9" s="212">
        <f>AM9/AH9</f>
        <v>1.3611363913708763</v>
      </c>
      <c r="AO9" s="213" t="str">
        <f>IF(ABS((AP9+AQ9)-AH9)&lt;1,"OK","Fail")</f>
        <v>OK</v>
      </c>
      <c r="AP9" s="214">
        <f t="shared" ref="AP9:AP56" si="19">AP8+H9+($X$5*Z9)+I9+J9-T9-U9-($F$67/$B$67*V9)-Y9-AC9-AD9</f>
        <v>169077777.77777779</v>
      </c>
      <c r="AQ9" s="214">
        <f t="shared" ref="AQ9:AQ56" si="20">AQ8+G9+T9+U9+V9+Y9+AC9+AD9-($X$5*Z9)</f>
        <v>-22143333.333333332</v>
      </c>
      <c r="AR9" s="214">
        <f t="shared" ref="AR9:AR56" si="21">AP9+(AQ9*$AR$5)</f>
        <v>163541944.44444445</v>
      </c>
      <c r="AS9" s="214">
        <f t="shared" si="7"/>
        <v>8392500</v>
      </c>
      <c r="AT9" s="215">
        <f t="shared" ref="AT9:AT56" si="22">G9/AR9*12</f>
        <v>0.20227226790272967</v>
      </c>
      <c r="AU9" s="215">
        <f t="shared" ref="AU9:AU56" si="23">H9/AS9*12/2</f>
        <v>17.356766954622181</v>
      </c>
      <c r="AV9" s="216" t="str">
        <f t="shared" ref="AV9:AV56" si="24">M9</f>
        <v>T+1M</v>
      </c>
      <c r="AW9" s="80"/>
      <c r="AX9" s="141"/>
      <c r="AY9" s="217">
        <f t="shared" ref="AY9:AY14" si="25">AY8*(1+$BA$2)</f>
        <v>0.3</v>
      </c>
      <c r="AZ9" s="143">
        <f t="shared" ref="AZ9:AZ56" si="26">AY9*AF9</f>
        <v>43426999.999999985</v>
      </c>
      <c r="BA9" s="143">
        <f t="shared" ref="BA9:BA56" si="27">AY9*AG9</f>
        <v>17746999.999999989</v>
      </c>
      <c r="BB9" s="144">
        <f t="shared" ref="BB9:BB56" si="28">AY9*$M$2</f>
        <v>300000000</v>
      </c>
    </row>
    <row r="10" spans="1:54" x14ac:dyDescent="0.45">
      <c r="A10" s="82">
        <v>2</v>
      </c>
      <c r="B10" s="71" t="str">
        <f t="shared" ref="B10:B56" si="29">"T+"&amp;(A10*1)&amp;"M"</f>
        <v>T+2M</v>
      </c>
      <c r="C10" s="83"/>
      <c r="D10" s="84"/>
      <c r="E10" s="84"/>
      <c r="F10" s="84"/>
      <c r="G10" s="85">
        <f>[1]STAKING_SHAPE!C12</f>
        <v>2756666.6666666665</v>
      </c>
      <c r="H10" s="76">
        <f>[1]LP_SHAPE!C11</f>
        <v>24277777.777777776</v>
      </c>
      <c r="I10" s="83"/>
      <c r="J10" s="86"/>
      <c r="K10" s="87"/>
      <c r="L10" s="76"/>
      <c r="M10" s="80" t="str">
        <f t="shared" si="8"/>
        <v>T+2M</v>
      </c>
      <c r="N10" s="81">
        <f t="shared" si="9"/>
        <v>409568888.88888884</v>
      </c>
      <c r="O10" s="105">
        <f t="shared" si="10"/>
        <v>0.40956888888888882</v>
      </c>
      <c r="P10" s="203">
        <f t="shared" ref="P10:P55" si="30">G10/AF10</f>
        <v>1.8687576264292502E-2</v>
      </c>
      <c r="Q10" s="204">
        <f t="shared" si="11"/>
        <v>0</v>
      </c>
      <c r="R10" s="205">
        <f t="shared" si="12"/>
        <v>0</v>
      </c>
      <c r="S10" s="205">
        <f t="shared" si="13"/>
        <v>0</v>
      </c>
      <c r="T10" s="206"/>
      <c r="U10" s="206"/>
      <c r="V10" s="206"/>
      <c r="W10" s="206"/>
      <c r="X10" s="206"/>
      <c r="Y10" s="206"/>
      <c r="Z10" s="207"/>
      <c r="AA10" s="208"/>
      <c r="AB10" s="208"/>
      <c r="AC10" s="206"/>
      <c r="AD10" s="206"/>
      <c r="AE10" s="209">
        <f t="shared" si="14"/>
        <v>262055555.55555558</v>
      </c>
      <c r="AF10" s="209">
        <f t="shared" si="5"/>
        <v>147513333.33333325</v>
      </c>
      <c r="AG10" s="81">
        <f t="shared" si="6"/>
        <v>61913333.333333254</v>
      </c>
      <c r="AH10" s="210">
        <f t="shared" si="15"/>
        <v>173968888.8888889</v>
      </c>
      <c r="AI10" s="211">
        <f t="shared" si="16"/>
        <v>67978783.331554115</v>
      </c>
      <c r="AJ10" s="211">
        <f t="shared" ref="AJ10:AJ56" si="31">IF($AN$1="NO",AJ9+(AJ9/AH9*G10)+(($B$77*1000000)/AS9)*H10,AJ9+(AJ9/AH9*G10)+((($B$77*1000000)/AS9)*H10)-($AN$2*U10))</f>
        <v>208015270.55940396</v>
      </c>
      <c r="AK10" s="211">
        <f t="shared" si="17"/>
        <v>-42625322.687266394</v>
      </c>
      <c r="AL10" s="211">
        <f t="shared" si="18"/>
        <v>110679933.23686287</v>
      </c>
      <c r="AM10" s="210">
        <f t="shared" ref="AM10:AM56" si="32">SUM(AJ10:AL10)</f>
        <v>276069881.10900044</v>
      </c>
      <c r="AN10" s="212">
        <f t="shared" ref="AN10:AN56" si="33">AM10/AH10</f>
        <v>1.586892247643898</v>
      </c>
      <c r="AO10" s="213" t="str">
        <f t="shared" ref="AO10:AO56" si="34">IF(ABS((AP10+AQ10)-AH10)&lt;1,"OK","Fail")</f>
        <v>OK</v>
      </c>
      <c r="AP10" s="214">
        <f t="shared" si="19"/>
        <v>193355555.55555558</v>
      </c>
      <c r="AQ10" s="214">
        <f t="shared" si="20"/>
        <v>-19386666.666666664</v>
      </c>
      <c r="AR10" s="214">
        <f t="shared" si="21"/>
        <v>188508888.88888893</v>
      </c>
      <c r="AS10" s="214">
        <f t="shared" si="7"/>
        <v>10460000.000000002</v>
      </c>
      <c r="AT10" s="218">
        <f t="shared" si="22"/>
        <v>0.17548244114630607</v>
      </c>
      <c r="AU10" s="218">
        <f t="shared" si="23"/>
        <v>13.926067558954744</v>
      </c>
      <c r="AV10" s="216" t="str">
        <f t="shared" si="24"/>
        <v>T+2M</v>
      </c>
      <c r="AW10" s="80"/>
      <c r="AX10" s="141"/>
      <c r="AY10" s="217">
        <f t="shared" si="25"/>
        <v>0.36</v>
      </c>
      <c r="AZ10" s="143">
        <f t="shared" si="26"/>
        <v>53104799.99999997</v>
      </c>
      <c r="BA10" s="143">
        <f t="shared" si="27"/>
        <v>22288799.99999997</v>
      </c>
      <c r="BB10" s="144">
        <f t="shared" si="28"/>
        <v>360000000</v>
      </c>
    </row>
    <row r="11" spans="1:54" x14ac:dyDescent="0.45">
      <c r="A11" s="82">
        <v>3</v>
      </c>
      <c r="B11" s="71" t="str">
        <f t="shared" si="29"/>
        <v>T+3M</v>
      </c>
      <c r="C11" s="83"/>
      <c r="D11" s="84"/>
      <c r="E11" s="84"/>
      <c r="F11" s="84"/>
      <c r="G11" s="85">
        <f>[1]STAKING_SHAPE!C13</f>
        <v>2756666.6666666665</v>
      </c>
      <c r="H11" s="76">
        <f>[1]LP_SHAPE!C12</f>
        <v>24277777.777777776</v>
      </c>
      <c r="I11" s="83"/>
      <c r="J11" s="86"/>
      <c r="K11" s="87"/>
      <c r="L11" s="76"/>
      <c r="M11" s="80" t="str">
        <f t="shared" si="8"/>
        <v>T+3M</v>
      </c>
      <c r="N11" s="81">
        <f t="shared" si="9"/>
        <v>436603333.33333325</v>
      </c>
      <c r="O11" s="105">
        <f t="shared" si="10"/>
        <v>0.43660333333333323</v>
      </c>
      <c r="P11" s="203">
        <f t="shared" si="30"/>
        <v>1.8344757214791167E-2</v>
      </c>
      <c r="Q11" s="204">
        <f t="shared" si="11"/>
        <v>0</v>
      </c>
      <c r="R11" s="205">
        <f t="shared" si="12"/>
        <v>0</v>
      </c>
      <c r="S11" s="205">
        <f t="shared" si="13"/>
        <v>0</v>
      </c>
      <c r="T11" s="206"/>
      <c r="U11" s="206"/>
      <c r="V11" s="206"/>
      <c r="W11" s="206"/>
      <c r="X11" s="206"/>
      <c r="Y11" s="206"/>
      <c r="Z11" s="207"/>
      <c r="AA11" s="208"/>
      <c r="AB11" s="208"/>
      <c r="AC11" s="206"/>
      <c r="AD11" s="206"/>
      <c r="AE11" s="209">
        <f t="shared" si="14"/>
        <v>286333333.33333337</v>
      </c>
      <c r="AF11" s="209">
        <f t="shared" si="5"/>
        <v>150269999.99999988</v>
      </c>
      <c r="AG11" s="81">
        <f t="shared" si="6"/>
        <v>64669999.999999881</v>
      </c>
      <c r="AH11" s="210">
        <f t="shared" si="15"/>
        <v>201003333.33333334</v>
      </c>
      <c r="AI11" s="211">
        <f t="shared" si="16"/>
        <v>93333735.581431538</v>
      </c>
      <c r="AJ11" s="211">
        <f t="shared" si="31"/>
        <v>269336709.00685287</v>
      </c>
      <c r="AK11" s="211">
        <f t="shared" si="17"/>
        <v>-43300752.684884794</v>
      </c>
      <c r="AL11" s="211">
        <f t="shared" si="18"/>
        <v>112433739.24534878</v>
      </c>
      <c r="AM11" s="210">
        <f t="shared" si="32"/>
        <v>338469695.56731689</v>
      </c>
      <c r="AN11" s="212">
        <f t="shared" si="33"/>
        <v>1.6839009082800462</v>
      </c>
      <c r="AO11" s="213" t="str">
        <f t="shared" si="34"/>
        <v>OK</v>
      </c>
      <c r="AP11" s="214">
        <f t="shared" si="19"/>
        <v>217633333.33333337</v>
      </c>
      <c r="AQ11" s="214">
        <f t="shared" si="20"/>
        <v>-16629999.999999998</v>
      </c>
      <c r="AR11" s="214">
        <f t="shared" si="21"/>
        <v>213475833.33333337</v>
      </c>
      <c r="AS11" s="214">
        <f t="shared" si="7"/>
        <v>12527500.000000002</v>
      </c>
      <c r="AT11" s="218">
        <f t="shared" si="22"/>
        <v>0.15495899223565507</v>
      </c>
      <c r="AU11" s="218">
        <f t="shared" si="23"/>
        <v>11.627752278321024</v>
      </c>
      <c r="AV11" s="216" t="str">
        <f t="shared" si="24"/>
        <v>T+3M</v>
      </c>
      <c r="AW11" s="80"/>
      <c r="AX11" s="141"/>
      <c r="AY11" s="217">
        <f t="shared" si="25"/>
        <v>0.432</v>
      </c>
      <c r="AZ11" s="143">
        <f t="shared" si="26"/>
        <v>64916639.999999948</v>
      </c>
      <c r="BA11" s="143">
        <f t="shared" si="27"/>
        <v>27937439.999999948</v>
      </c>
      <c r="BB11" s="144">
        <f t="shared" si="28"/>
        <v>432000000</v>
      </c>
    </row>
    <row r="12" spans="1:54" x14ac:dyDescent="0.45">
      <c r="A12" s="82">
        <v>4</v>
      </c>
      <c r="B12" s="71" t="str">
        <f t="shared" si="29"/>
        <v>T+4M</v>
      </c>
      <c r="C12" s="83"/>
      <c r="D12" s="84"/>
      <c r="E12" s="84"/>
      <c r="F12" s="84"/>
      <c r="G12" s="85">
        <f>[1]STAKING_SHAPE!C14</f>
        <v>9648333.333333334</v>
      </c>
      <c r="H12" s="76">
        <f>[1]LP_SHAPE!C13</f>
        <v>24277777.777777776</v>
      </c>
      <c r="I12" s="83"/>
      <c r="J12" s="86"/>
      <c r="K12" s="87"/>
      <c r="L12" s="83"/>
      <c r="M12" s="80" t="str">
        <f t="shared" si="8"/>
        <v>T+4M</v>
      </c>
      <c r="N12" s="81">
        <f t="shared" si="9"/>
        <v>470529444.44444436</v>
      </c>
      <c r="O12" s="105">
        <f t="shared" si="10"/>
        <v>0.47052944444444433</v>
      </c>
      <c r="P12" s="203">
        <f t="shared" si="30"/>
        <v>5.9430640298676063E-2</v>
      </c>
      <c r="Q12" s="204">
        <f>T12+U12+V12+W12+Y12+AC12+AD12+X12</f>
        <v>2427777.7777777757</v>
      </c>
      <c r="R12" s="205">
        <f t="shared" si="12"/>
        <v>1.4954332821167395E-2</v>
      </c>
      <c r="S12" s="205">
        <f t="shared" si="13"/>
        <v>3.1633886624729469E-2</v>
      </c>
      <c r="T12" s="206"/>
      <c r="U12" s="206"/>
      <c r="V12" s="206"/>
      <c r="W12" s="206">
        <f>(Z12*$X$5)</f>
        <v>1359555.5555555541</v>
      </c>
      <c r="X12" s="206">
        <f>(Z12*$X$4)</f>
        <v>582666.66666666605</v>
      </c>
      <c r="Y12" s="206">
        <f t="shared" ref="Y12:Y55" si="35">AA12+AB12</f>
        <v>485555.5555555555</v>
      </c>
      <c r="Z12" s="219">
        <f t="shared" ref="Z12:Z51" si="36">H9-AA12-AB21</f>
        <v>1942222.2222222202</v>
      </c>
      <c r="AA12" s="219">
        <f t="shared" ref="AA12:AA51" si="37">H9*$AA$5*$AA$4</f>
        <v>485555.5555555555</v>
      </c>
      <c r="AB12" s="208"/>
      <c r="AC12" s="206"/>
      <c r="AD12" s="206"/>
      <c r="AE12" s="209">
        <f t="shared" si="14"/>
        <v>308183333.33333337</v>
      </c>
      <c r="AF12" s="209">
        <f t="shared" si="5"/>
        <v>162346111.11111099</v>
      </c>
      <c r="AG12" s="81">
        <f t="shared" si="6"/>
        <v>76746111.111110985</v>
      </c>
      <c r="AH12" s="210">
        <f t="shared" si="15"/>
        <v>234929444.44444445</v>
      </c>
      <c r="AI12" s="211">
        <f t="shared" si="16"/>
        <v>122091613.15258676</v>
      </c>
      <c r="AJ12" s="211">
        <f t="shared" si="31"/>
        <v>330714071.12549639</v>
      </c>
      <c r="AK12" s="211">
        <f t="shared" si="17"/>
        <v>-45379226.15375594</v>
      </c>
      <c r="AL12" s="211">
        <f t="shared" si="18"/>
        <v>119190211.24085827</v>
      </c>
      <c r="AM12" s="210">
        <f t="shared" si="32"/>
        <v>404525056.21259868</v>
      </c>
      <c r="AN12" s="212">
        <f t="shared" si="33"/>
        <v>1.7219001950530717</v>
      </c>
      <c r="AO12" s="213" t="str">
        <f t="shared" si="34"/>
        <v>OK</v>
      </c>
      <c r="AP12" s="214">
        <f t="shared" si="19"/>
        <v>242785111.11111116</v>
      </c>
      <c r="AQ12" s="214">
        <f t="shared" si="20"/>
        <v>-7855666.6666666623</v>
      </c>
      <c r="AR12" s="214">
        <f t="shared" si="21"/>
        <v>240821194.44444451</v>
      </c>
      <c r="AS12" s="214">
        <f t="shared" si="7"/>
        <v>19108250.000000004</v>
      </c>
      <c r="AT12" s="218">
        <f t="shared" si="22"/>
        <v>0.48077163750929541</v>
      </c>
      <c r="AU12" s="218">
        <f t="shared" si="23"/>
        <v>7.6232342923431835</v>
      </c>
      <c r="AV12" s="216" t="str">
        <f t="shared" si="24"/>
        <v>T+4M</v>
      </c>
      <c r="AW12" s="80"/>
      <c r="AX12" s="141"/>
      <c r="AY12" s="217">
        <f t="shared" si="25"/>
        <v>0.51839999999999997</v>
      </c>
      <c r="AZ12" s="143">
        <f t="shared" si="26"/>
        <v>84160223.999999925</v>
      </c>
      <c r="BA12" s="143">
        <f t="shared" si="27"/>
        <v>39785183.999999933</v>
      </c>
      <c r="BB12" s="144">
        <f t="shared" si="28"/>
        <v>518400000</v>
      </c>
    </row>
    <row r="13" spans="1:54" x14ac:dyDescent="0.45">
      <c r="A13" s="82">
        <v>5</v>
      </c>
      <c r="B13" s="71" t="str">
        <f t="shared" si="29"/>
        <v>T+5M</v>
      </c>
      <c r="C13" s="83"/>
      <c r="D13" s="84"/>
      <c r="E13" s="84"/>
      <c r="F13" s="84"/>
      <c r="G13" s="85">
        <f>[1]STAKING_SHAPE!C15</f>
        <v>9648333.333333334</v>
      </c>
      <c r="H13" s="76">
        <f>[1]LP_SHAPE!C14</f>
        <v>24277777.777777776</v>
      </c>
      <c r="I13" s="83"/>
      <c r="J13" s="86"/>
      <c r="K13" s="87"/>
      <c r="L13" s="83"/>
      <c r="M13" s="80" t="str">
        <f t="shared" si="8"/>
        <v>T+5M</v>
      </c>
      <c r="N13" s="81">
        <f t="shared" si="9"/>
        <v>504455555.55555546</v>
      </c>
      <c r="O13" s="105">
        <f t="shared" si="10"/>
        <v>0.50445555555555543</v>
      </c>
      <c r="P13" s="203">
        <f t="shared" si="30"/>
        <v>5.5315963817046801E-2</v>
      </c>
      <c r="Q13" s="204">
        <f t="shared" ref="Q13:Q56" si="38">T13+U13+V13+W13+Y13+AC13+AD13+X13</f>
        <v>2427777.7777777757</v>
      </c>
      <c r="R13" s="205">
        <f t="shared" si="12"/>
        <v>1.3918970569499298E-2</v>
      </c>
      <c r="S13" s="205">
        <f t="shared" si="13"/>
        <v>2.7332999749812376E-2</v>
      </c>
      <c r="T13" s="206"/>
      <c r="U13" s="206"/>
      <c r="V13" s="206"/>
      <c r="W13" s="206">
        <f t="shared" ref="W13:W20" si="39">(Z13*$X$5)</f>
        <v>1359555.5555555541</v>
      </c>
      <c r="X13" s="206">
        <f t="shared" ref="X13:X42" si="40">(Z13*$X$4)</f>
        <v>582666.66666666605</v>
      </c>
      <c r="Y13" s="206">
        <f t="shared" si="35"/>
        <v>485555.5555555555</v>
      </c>
      <c r="Z13" s="219">
        <f t="shared" si="36"/>
        <v>1942222.2222222202</v>
      </c>
      <c r="AA13" s="219">
        <f t="shared" si="37"/>
        <v>485555.5555555555</v>
      </c>
      <c r="AB13" s="208"/>
      <c r="AC13" s="206"/>
      <c r="AD13" s="206"/>
      <c r="AE13" s="209">
        <f t="shared" si="14"/>
        <v>330033333.33333337</v>
      </c>
      <c r="AF13" s="209">
        <f t="shared" si="5"/>
        <v>174422222.22222209</v>
      </c>
      <c r="AG13" s="81">
        <f t="shared" si="6"/>
        <v>88822222.22222209</v>
      </c>
      <c r="AH13" s="210">
        <f t="shared" si="15"/>
        <v>268855555.55555558</v>
      </c>
      <c r="AI13" s="211">
        <f t="shared" si="16"/>
        <v>151383579.69536248</v>
      </c>
      <c r="AJ13" s="211">
        <f t="shared" si="31"/>
        <v>376059666.02517468</v>
      </c>
      <c r="AK13" s="211">
        <f t="shared" si="17"/>
        <v>-47242908.679271355</v>
      </c>
      <c r="AL13" s="211">
        <f t="shared" si="18"/>
        <v>125444797.68895127</v>
      </c>
      <c r="AM13" s="210">
        <f t="shared" si="32"/>
        <v>454261555.03485459</v>
      </c>
      <c r="AN13" s="212">
        <f t="shared" si="33"/>
        <v>1.6896119334271567</v>
      </c>
      <c r="AO13" s="213" t="str">
        <f t="shared" si="34"/>
        <v>OK</v>
      </c>
      <c r="AP13" s="214">
        <f t="shared" si="19"/>
        <v>267936888.88888896</v>
      </c>
      <c r="AQ13" s="214">
        <f t="shared" si="20"/>
        <v>918666.66666667303</v>
      </c>
      <c r="AR13" s="214">
        <f t="shared" si="21"/>
        <v>268166555.55555561</v>
      </c>
      <c r="AS13" s="214">
        <f t="shared" si="7"/>
        <v>25689000.000000004</v>
      </c>
      <c r="AT13" s="218">
        <f t="shared" si="22"/>
        <v>0.43174660523994413</v>
      </c>
      <c r="AU13" s="218">
        <f t="shared" si="23"/>
        <v>5.6703906990021657</v>
      </c>
      <c r="AV13" s="216" t="str">
        <f t="shared" si="24"/>
        <v>T+5M</v>
      </c>
      <c r="AW13" s="80"/>
      <c r="AX13" s="141"/>
      <c r="AY13" s="217">
        <f t="shared" si="25"/>
        <v>0.62207999999999997</v>
      </c>
      <c r="AZ13" s="143">
        <f t="shared" si="26"/>
        <v>108504575.99999991</v>
      </c>
      <c r="BA13" s="143">
        <f t="shared" si="27"/>
        <v>55254527.999999918</v>
      </c>
      <c r="BB13" s="144">
        <f t="shared" si="28"/>
        <v>622080000</v>
      </c>
    </row>
    <row r="14" spans="1:54" x14ac:dyDescent="0.45">
      <c r="A14" s="82">
        <v>6</v>
      </c>
      <c r="B14" s="71" t="str">
        <f t="shared" si="29"/>
        <v>T+6M</v>
      </c>
      <c r="C14" s="83"/>
      <c r="D14" s="84"/>
      <c r="E14" s="84"/>
      <c r="F14" s="84"/>
      <c r="G14" s="85">
        <f>[1]STAKING_SHAPE!C16</f>
        <v>9648333.333333334</v>
      </c>
      <c r="H14" s="76">
        <f>[1]LP_SHAPE!C15</f>
        <v>24277777.777777776</v>
      </c>
      <c r="I14" s="83"/>
      <c r="J14" s="86"/>
      <c r="K14" s="87"/>
      <c r="L14" s="83"/>
      <c r="M14" s="80" t="str">
        <f t="shared" si="8"/>
        <v>T+6M</v>
      </c>
      <c r="N14" s="81">
        <f t="shared" si="9"/>
        <v>538381666.66666663</v>
      </c>
      <c r="O14" s="105">
        <f t="shared" si="10"/>
        <v>0.53838166666666665</v>
      </c>
      <c r="P14" s="203">
        <f t="shared" si="30"/>
        <v>5.1734153120224516E-2</v>
      </c>
      <c r="Q14" s="204">
        <f t="shared" si="38"/>
        <v>2427777.7777777757</v>
      </c>
      <c r="R14" s="205">
        <f t="shared" si="12"/>
        <v>1.3017691549224443E-2</v>
      </c>
      <c r="S14" s="205">
        <f t="shared" si="13"/>
        <v>2.4061624187163094E-2</v>
      </c>
      <c r="T14" s="206"/>
      <c r="U14" s="206"/>
      <c r="V14" s="206"/>
      <c r="W14" s="206">
        <f t="shared" si="39"/>
        <v>1359555.5555555541</v>
      </c>
      <c r="X14" s="206">
        <f t="shared" si="40"/>
        <v>582666.66666666605</v>
      </c>
      <c r="Y14" s="206">
        <f t="shared" si="35"/>
        <v>485555.5555555555</v>
      </c>
      <c r="Z14" s="219">
        <f t="shared" si="36"/>
        <v>1942222.2222222202</v>
      </c>
      <c r="AA14" s="219">
        <f t="shared" si="37"/>
        <v>485555.5555555555</v>
      </c>
      <c r="AB14" s="208"/>
      <c r="AC14" s="206"/>
      <c r="AD14" s="206"/>
      <c r="AE14" s="209">
        <f t="shared" si="14"/>
        <v>351883333.33333337</v>
      </c>
      <c r="AF14" s="209">
        <f t="shared" si="5"/>
        <v>186498333.33333325</v>
      </c>
      <c r="AG14" s="81">
        <f t="shared" si="6"/>
        <v>100898333.33333325</v>
      </c>
      <c r="AH14" s="210">
        <f t="shared" si="15"/>
        <v>302781666.66666669</v>
      </c>
      <c r="AI14" s="211">
        <f t="shared" si="16"/>
        <v>181094011.58019763</v>
      </c>
      <c r="AJ14" s="211">
        <f t="shared" si="31"/>
        <v>413181826.89602399</v>
      </c>
      <c r="AK14" s="211">
        <f t="shared" si="17"/>
        <v>-48938299.833201401</v>
      </c>
      <c r="AL14" s="211">
        <f t="shared" si="18"/>
        <v>131306150.57777958</v>
      </c>
      <c r="AM14" s="210">
        <f t="shared" si="32"/>
        <v>495549677.64060217</v>
      </c>
      <c r="AN14" s="212">
        <f t="shared" si="33"/>
        <v>1.6366568131291594</v>
      </c>
      <c r="AO14" s="213" t="str">
        <f t="shared" si="34"/>
        <v>OK</v>
      </c>
      <c r="AP14" s="214">
        <f t="shared" si="19"/>
        <v>293088666.66666675</v>
      </c>
      <c r="AQ14" s="214">
        <f t="shared" si="20"/>
        <v>9693000.0000000093</v>
      </c>
      <c r="AR14" s="214">
        <f t="shared" si="21"/>
        <v>295511916.66666675</v>
      </c>
      <c r="AS14" s="214">
        <f t="shared" si="7"/>
        <v>32269750.000000007</v>
      </c>
      <c r="AT14" s="218">
        <f t="shared" si="22"/>
        <v>0.39179469073864182</v>
      </c>
      <c r="AU14" s="218">
        <f t="shared" si="23"/>
        <v>4.5140314587707255</v>
      </c>
      <c r="AV14" s="216" t="str">
        <f t="shared" si="24"/>
        <v>T+6M</v>
      </c>
      <c r="AW14" s="80"/>
      <c r="AX14" s="141"/>
      <c r="AY14" s="217">
        <f t="shared" si="25"/>
        <v>0.74649599999999994</v>
      </c>
      <c r="AZ14" s="143">
        <f t="shared" si="26"/>
        <v>139220259.83999991</v>
      </c>
      <c r="BA14" s="143">
        <f t="shared" si="27"/>
        <v>75320202.239999935</v>
      </c>
      <c r="BB14" s="144">
        <f t="shared" si="28"/>
        <v>746495999.99999988</v>
      </c>
    </row>
    <row r="15" spans="1:54" x14ac:dyDescent="0.45">
      <c r="A15" s="82">
        <v>7</v>
      </c>
      <c r="B15" s="71" t="str">
        <f t="shared" si="29"/>
        <v>T+7M</v>
      </c>
      <c r="C15" s="83"/>
      <c r="D15" s="84"/>
      <c r="E15" s="84"/>
      <c r="F15" s="84"/>
      <c r="G15" s="85">
        <f>[1]STAKING_SHAPE!C17</f>
        <v>9648333.333333334</v>
      </c>
      <c r="H15" s="76">
        <f>[1]LP_SHAPE!C16</f>
        <v>24277777.777777776</v>
      </c>
      <c r="I15" s="83"/>
      <c r="J15" s="86"/>
      <c r="K15" s="87"/>
      <c r="L15" s="83"/>
      <c r="M15" s="80" t="str">
        <f t="shared" si="8"/>
        <v>T+7M</v>
      </c>
      <c r="N15" s="81">
        <f t="shared" si="9"/>
        <v>572307777.77777779</v>
      </c>
      <c r="O15" s="105">
        <f t="shared" si="10"/>
        <v>0.57230777777777775</v>
      </c>
      <c r="P15" s="203">
        <f t="shared" si="30"/>
        <v>4.8587991069680009E-2</v>
      </c>
      <c r="Q15" s="204">
        <f t="shared" si="38"/>
        <v>2427777.7777777757</v>
      </c>
      <c r="R15" s="205">
        <f t="shared" si="12"/>
        <v>1.2226033337623161E-2</v>
      </c>
      <c r="S15" s="205">
        <f t="shared" si="13"/>
        <v>2.148961908789597E-2</v>
      </c>
      <c r="T15" s="206"/>
      <c r="U15" s="206"/>
      <c r="V15" s="206"/>
      <c r="W15" s="206">
        <f t="shared" si="39"/>
        <v>1359555.5555555541</v>
      </c>
      <c r="X15" s="206">
        <f t="shared" si="40"/>
        <v>582666.66666666605</v>
      </c>
      <c r="Y15" s="206">
        <f t="shared" si="35"/>
        <v>485555.5555555555</v>
      </c>
      <c r="Z15" s="219">
        <f t="shared" si="36"/>
        <v>1942222.2222222202</v>
      </c>
      <c r="AA15" s="219">
        <f t="shared" si="37"/>
        <v>485555.5555555555</v>
      </c>
      <c r="AB15" s="208"/>
      <c r="AC15" s="206"/>
      <c r="AD15" s="206"/>
      <c r="AE15" s="209">
        <f t="shared" si="14"/>
        <v>373733333.33333337</v>
      </c>
      <c r="AF15" s="209">
        <f t="shared" si="5"/>
        <v>198574444.44444442</v>
      </c>
      <c r="AG15" s="81">
        <f t="shared" si="6"/>
        <v>112974444.44444442</v>
      </c>
      <c r="AH15" s="210">
        <f t="shared" si="15"/>
        <v>336707777.77777779</v>
      </c>
      <c r="AI15" s="211">
        <f t="shared" si="16"/>
        <v>211142466.98067254</v>
      </c>
      <c r="AJ15" s="211">
        <f t="shared" si="31"/>
        <v>445156597.03887719</v>
      </c>
      <c r="AK15" s="211">
        <f t="shared" si="17"/>
        <v>-50497750.35989777</v>
      </c>
      <c r="AL15" s="211">
        <f t="shared" si="18"/>
        <v>136849861.41406417</v>
      </c>
      <c r="AM15" s="210">
        <f t="shared" si="32"/>
        <v>531508708.09304357</v>
      </c>
      <c r="AN15" s="212">
        <f t="shared" si="33"/>
        <v>1.5785459771702439</v>
      </c>
      <c r="AO15" s="213" t="str">
        <f t="shared" si="34"/>
        <v>OK</v>
      </c>
      <c r="AP15" s="214">
        <f t="shared" si="19"/>
        <v>318240444.44444454</v>
      </c>
      <c r="AQ15" s="214">
        <f t="shared" si="20"/>
        <v>18467333.333333343</v>
      </c>
      <c r="AR15" s="214">
        <f t="shared" si="21"/>
        <v>322857277.77777785</v>
      </c>
      <c r="AS15" s="214">
        <f t="shared" si="7"/>
        <v>38850500.000000007</v>
      </c>
      <c r="AT15" s="218">
        <f t="shared" si="22"/>
        <v>0.35861046960722748</v>
      </c>
      <c r="AU15" s="218">
        <f t="shared" si="23"/>
        <v>3.7494154944380798</v>
      </c>
      <c r="AV15" s="216" t="str">
        <f t="shared" si="24"/>
        <v>T+7M</v>
      </c>
      <c r="AW15" s="80"/>
      <c r="AX15" s="141"/>
      <c r="AY15" s="217">
        <f t="shared" ref="AY15:AY20" si="41">AY14*(1+$BA$3)</f>
        <v>0.85847039999999986</v>
      </c>
      <c r="AZ15" s="143">
        <f t="shared" si="26"/>
        <v>170470282.75199994</v>
      </c>
      <c r="BA15" s="143">
        <f t="shared" si="27"/>
        <v>96985216.511999965</v>
      </c>
      <c r="BB15" s="144">
        <f t="shared" si="28"/>
        <v>858470399.99999988</v>
      </c>
    </row>
    <row r="16" spans="1:54" x14ac:dyDescent="0.45">
      <c r="A16" s="82">
        <v>8</v>
      </c>
      <c r="B16" s="71" t="str">
        <f t="shared" si="29"/>
        <v>T+8M</v>
      </c>
      <c r="C16" s="83"/>
      <c r="D16" s="84"/>
      <c r="E16" s="84"/>
      <c r="F16" s="84"/>
      <c r="G16" s="85">
        <f>[1]STAKING_SHAPE!C18</f>
        <v>9648333.333333334</v>
      </c>
      <c r="H16" s="76">
        <f>[1]LP_SHAPE!C17</f>
        <v>24277777.777777776</v>
      </c>
      <c r="I16" s="83"/>
      <c r="J16" s="86"/>
      <c r="K16" s="87"/>
      <c r="L16" s="83"/>
      <c r="M16" s="80" t="str">
        <f t="shared" si="8"/>
        <v>T+8M</v>
      </c>
      <c r="N16" s="81">
        <f t="shared" si="9"/>
        <v>606233888.88888896</v>
      </c>
      <c r="O16" s="105">
        <f t="shared" si="10"/>
        <v>0.60623388888888896</v>
      </c>
      <c r="P16" s="203">
        <f t="shared" si="30"/>
        <v>4.5802553465323033E-2</v>
      </c>
      <c r="Q16" s="204">
        <f t="shared" si="38"/>
        <v>2427777.7777777757</v>
      </c>
      <c r="R16" s="205">
        <f t="shared" si="12"/>
        <v>1.1525143009354607E-2</v>
      </c>
      <c r="S16" s="205">
        <f t="shared" si="13"/>
        <v>1.9414370188057254E-2</v>
      </c>
      <c r="T16" s="206"/>
      <c r="U16" s="206"/>
      <c r="V16" s="206"/>
      <c r="W16" s="206">
        <f t="shared" si="39"/>
        <v>1359555.5555555541</v>
      </c>
      <c r="X16" s="206">
        <f t="shared" si="40"/>
        <v>582666.66666666605</v>
      </c>
      <c r="Y16" s="206">
        <f t="shared" si="35"/>
        <v>485555.5555555555</v>
      </c>
      <c r="Z16" s="219">
        <f t="shared" si="36"/>
        <v>1942222.2222222202</v>
      </c>
      <c r="AA16" s="219">
        <f t="shared" si="37"/>
        <v>485555.5555555555</v>
      </c>
      <c r="AB16" s="208"/>
      <c r="AC16" s="206"/>
      <c r="AD16" s="206"/>
      <c r="AE16" s="209">
        <f t="shared" si="14"/>
        <v>395583333.33333337</v>
      </c>
      <c r="AF16" s="209">
        <f t="shared" si="5"/>
        <v>210650555.55555558</v>
      </c>
      <c r="AG16" s="81">
        <f t="shared" si="6"/>
        <v>125050555.55555558</v>
      </c>
      <c r="AH16" s="210">
        <f t="shared" si="15"/>
        <v>370633888.8888889</v>
      </c>
      <c r="AI16" s="211">
        <f t="shared" si="16"/>
        <v>241470514.56717557</v>
      </c>
      <c r="AJ16" s="211">
        <f t="shared" si="31"/>
        <v>473535086.81736594</v>
      </c>
      <c r="AK16" s="211">
        <f t="shared" si="17"/>
        <v>-51944759.19132816</v>
      </c>
      <c r="AL16" s="211">
        <f t="shared" si="18"/>
        <v>142130838.35245094</v>
      </c>
      <c r="AM16" s="210">
        <f t="shared" si="32"/>
        <v>563721165.97848868</v>
      </c>
      <c r="AN16" s="212">
        <f t="shared" si="33"/>
        <v>1.5209649815575412</v>
      </c>
      <c r="AO16" s="213" t="str">
        <f t="shared" si="34"/>
        <v>OK</v>
      </c>
      <c r="AP16" s="214">
        <f t="shared" si="19"/>
        <v>343392222.22222233</v>
      </c>
      <c r="AQ16" s="214">
        <f t="shared" si="20"/>
        <v>27241666.666666679</v>
      </c>
      <c r="AR16" s="214">
        <f t="shared" si="21"/>
        <v>350202638.88888901</v>
      </c>
      <c r="AS16" s="214">
        <f t="shared" si="7"/>
        <v>45431250.000000007</v>
      </c>
      <c r="AT16" s="218">
        <f t="shared" si="22"/>
        <v>0.33060858812298743</v>
      </c>
      <c r="AU16" s="218">
        <f t="shared" si="23"/>
        <v>3.206309900490667</v>
      </c>
      <c r="AV16" s="216" t="str">
        <f t="shared" si="24"/>
        <v>T+8M</v>
      </c>
      <c r="AW16" s="80"/>
      <c r="AX16" s="141"/>
      <c r="AY16" s="217">
        <f t="shared" si="41"/>
        <v>0.98724095999999972</v>
      </c>
      <c r="AZ16" s="143">
        <f t="shared" si="26"/>
        <v>207962856.69119996</v>
      </c>
      <c r="BA16" s="143">
        <f t="shared" si="27"/>
        <v>123455030.51519999</v>
      </c>
      <c r="BB16" s="144">
        <f t="shared" si="28"/>
        <v>987240959.99999976</v>
      </c>
    </row>
    <row r="17" spans="1:54" x14ac:dyDescent="0.45">
      <c r="A17" s="82">
        <v>9</v>
      </c>
      <c r="B17" s="71" t="str">
        <f t="shared" si="29"/>
        <v>T+9M</v>
      </c>
      <c r="C17" s="83"/>
      <c r="D17" s="84"/>
      <c r="E17" s="84"/>
      <c r="F17" s="84"/>
      <c r="G17" s="85">
        <f>[1]STAKING_SHAPE!C19</f>
        <v>9648333.333333334</v>
      </c>
      <c r="H17" s="76">
        <f>[1]LP_SHAPE!C18</f>
        <v>24277777.777777776</v>
      </c>
      <c r="I17" s="83"/>
      <c r="J17" s="86"/>
      <c r="K17" s="87"/>
      <c r="L17" s="83"/>
      <c r="M17" s="80" t="str">
        <f t="shared" si="8"/>
        <v>T+9M</v>
      </c>
      <c r="N17" s="81">
        <f t="shared" si="9"/>
        <v>640160000.00000012</v>
      </c>
      <c r="O17" s="105">
        <f t="shared" si="10"/>
        <v>0.64016000000000017</v>
      </c>
      <c r="P17" s="203">
        <f t="shared" si="30"/>
        <v>4.3319165494327863E-2</v>
      </c>
      <c r="Q17" s="204">
        <f t="shared" si="38"/>
        <v>2427777.7777777757</v>
      </c>
      <c r="R17" s="205">
        <f t="shared" si="12"/>
        <v>1.0900256417931282E-2</v>
      </c>
      <c r="S17" s="205">
        <f t="shared" si="13"/>
        <v>1.7704636426985568E-2</v>
      </c>
      <c r="T17" s="206"/>
      <c r="U17" s="206"/>
      <c r="V17" s="206"/>
      <c r="W17" s="206">
        <f t="shared" si="39"/>
        <v>1359555.5555555541</v>
      </c>
      <c r="X17" s="206">
        <f t="shared" si="40"/>
        <v>582666.66666666605</v>
      </c>
      <c r="Y17" s="206">
        <f t="shared" si="35"/>
        <v>485555.5555555555</v>
      </c>
      <c r="Z17" s="219">
        <f t="shared" si="36"/>
        <v>1942222.2222222202</v>
      </c>
      <c r="AA17" s="219">
        <f t="shared" si="37"/>
        <v>485555.5555555555</v>
      </c>
      <c r="AB17" s="208"/>
      <c r="AC17" s="206"/>
      <c r="AD17" s="206"/>
      <c r="AE17" s="209">
        <f t="shared" si="14"/>
        <v>417433333.33333337</v>
      </c>
      <c r="AF17" s="209">
        <f t="shared" si="5"/>
        <v>222726666.66666675</v>
      </c>
      <c r="AG17" s="81">
        <f t="shared" si="6"/>
        <v>137126666.66666675</v>
      </c>
      <c r="AH17" s="210">
        <f t="shared" si="15"/>
        <v>404560000</v>
      </c>
      <c r="AI17" s="211">
        <f t="shared" si="16"/>
        <v>272034247.52757311</v>
      </c>
      <c r="AJ17" s="211">
        <f t="shared" si="31"/>
        <v>499221766.48219049</v>
      </c>
      <c r="AK17" s="211">
        <f t="shared" si="17"/>
        <v>-53296984.032667242</v>
      </c>
      <c r="AL17" s="211">
        <f t="shared" si="18"/>
        <v>147190340.80029315</v>
      </c>
      <c r="AM17" s="210">
        <f t="shared" si="32"/>
        <v>593115123.24981642</v>
      </c>
      <c r="AN17" s="212">
        <f t="shared" si="33"/>
        <v>1.4660745581615</v>
      </c>
      <c r="AO17" s="213" t="str">
        <f t="shared" si="34"/>
        <v>OK</v>
      </c>
      <c r="AP17" s="214">
        <f t="shared" si="19"/>
        <v>368544000.00000012</v>
      </c>
      <c r="AQ17" s="214">
        <f t="shared" si="20"/>
        <v>36016000.000000015</v>
      </c>
      <c r="AR17" s="214">
        <f t="shared" si="21"/>
        <v>377548000.00000012</v>
      </c>
      <c r="AS17" s="214">
        <f t="shared" si="7"/>
        <v>52012000.000000015</v>
      </c>
      <c r="AT17" s="218">
        <f t="shared" si="22"/>
        <v>0.30666299384449119</v>
      </c>
      <c r="AU17" s="218">
        <f t="shared" si="23"/>
        <v>2.800635750724191</v>
      </c>
      <c r="AV17" s="216" t="str">
        <f t="shared" si="24"/>
        <v>T+9M</v>
      </c>
      <c r="AW17" s="80"/>
      <c r="AX17" s="141"/>
      <c r="AY17" s="217">
        <f t="shared" si="41"/>
        <v>1.1353271039999997</v>
      </c>
      <c r="AZ17" s="143">
        <f t="shared" si="26"/>
        <v>252867621.45024002</v>
      </c>
      <c r="BA17" s="143">
        <f t="shared" si="27"/>
        <v>155683621.34784004</v>
      </c>
      <c r="BB17" s="144">
        <f t="shared" si="28"/>
        <v>1135327103.9999998</v>
      </c>
    </row>
    <row r="18" spans="1:54" x14ac:dyDescent="0.45">
      <c r="A18" s="82">
        <v>10</v>
      </c>
      <c r="B18" s="71" t="str">
        <f t="shared" si="29"/>
        <v>T+10M</v>
      </c>
      <c r="C18" s="83"/>
      <c r="D18" s="84"/>
      <c r="E18" s="84"/>
      <c r="F18" s="84"/>
      <c r="G18" s="85">
        <f>[1]STAKING_SHAPE!C20</f>
        <v>18745333.333333332</v>
      </c>
      <c r="H18" s="76">
        <f>[1]LP_SHAPE!C19</f>
        <v>22041666.666666664</v>
      </c>
      <c r="I18" s="83"/>
      <c r="J18" s="86"/>
      <c r="K18" s="87"/>
      <c r="L18" s="83"/>
      <c r="M18" s="80" t="str">
        <f t="shared" si="8"/>
        <v>T+10M</v>
      </c>
      <c r="N18" s="81">
        <f t="shared" si="9"/>
        <v>680947000.00000012</v>
      </c>
      <c r="O18" s="105">
        <f t="shared" si="10"/>
        <v>0.68094700000000008</v>
      </c>
      <c r="P18" s="203">
        <f t="shared" si="30"/>
        <v>7.685670525871735E-2</v>
      </c>
      <c r="Q18" s="204">
        <f t="shared" si="38"/>
        <v>2427777.7777777757</v>
      </c>
      <c r="R18" s="205">
        <f t="shared" si="12"/>
        <v>9.953997498061579E-3</v>
      </c>
      <c r="S18" s="205">
        <f t="shared" si="13"/>
        <v>1.5336583612807746E-2</v>
      </c>
      <c r="T18" s="206"/>
      <c r="U18" s="206"/>
      <c r="V18" s="206"/>
      <c r="W18" s="206">
        <f t="shared" si="39"/>
        <v>1359555.5555555541</v>
      </c>
      <c r="X18" s="206">
        <f t="shared" si="40"/>
        <v>582666.66666666605</v>
      </c>
      <c r="Y18" s="206">
        <f t="shared" si="35"/>
        <v>485555.5555555555</v>
      </c>
      <c r="Z18" s="219">
        <f t="shared" si="36"/>
        <v>1942222.2222222202</v>
      </c>
      <c r="AA18" s="219">
        <f t="shared" si="37"/>
        <v>485555.5555555555</v>
      </c>
      <c r="AB18" s="208"/>
      <c r="AC18" s="206"/>
      <c r="AD18" s="206"/>
      <c r="AE18" s="209">
        <f t="shared" si="14"/>
        <v>437047222.22222227</v>
      </c>
      <c r="AF18" s="209">
        <f t="shared" si="5"/>
        <v>243899777.77777785</v>
      </c>
      <c r="AG18" s="81">
        <f t="shared" si="6"/>
        <v>158299777.77777785</v>
      </c>
      <c r="AH18" s="210">
        <f t="shared" si="15"/>
        <v>445347000</v>
      </c>
      <c r="AI18" s="211">
        <f t="shared" si="16"/>
        <v>306680651.80543929</v>
      </c>
      <c r="AJ18" s="211">
        <f t="shared" si="31"/>
        <v>532947773.70770633</v>
      </c>
      <c r="AK18" s="211">
        <f t="shared" si="17"/>
        <v>-55766505.812758431</v>
      </c>
      <c r="AL18" s="211">
        <f t="shared" si="18"/>
        <v>155369977.4359071</v>
      </c>
      <c r="AM18" s="210">
        <f t="shared" si="32"/>
        <v>632551245.33085501</v>
      </c>
      <c r="AN18" s="212">
        <f t="shared" si="33"/>
        <v>1.4203559142216182</v>
      </c>
      <c r="AO18" s="213" t="str">
        <f t="shared" si="34"/>
        <v>OK</v>
      </c>
      <c r="AP18" s="214">
        <f t="shared" si="19"/>
        <v>391459666.66666681</v>
      </c>
      <c r="AQ18" s="214">
        <f t="shared" si="20"/>
        <v>53887333.333333343</v>
      </c>
      <c r="AR18" s="214">
        <f t="shared" si="21"/>
        <v>404931500.00000012</v>
      </c>
      <c r="AS18" s="214">
        <f t="shared" si="7"/>
        <v>65415500.000000007</v>
      </c>
      <c r="AT18" s="218">
        <f t="shared" si="22"/>
        <v>0.55551124079010872</v>
      </c>
      <c r="AU18" s="218">
        <f t="shared" si="23"/>
        <v>2.0216921066108182</v>
      </c>
      <c r="AV18" s="216" t="str">
        <f t="shared" si="24"/>
        <v>T+10M</v>
      </c>
      <c r="AW18" s="80"/>
      <c r="AX18" s="141"/>
      <c r="AY18" s="217">
        <f t="shared" si="41"/>
        <v>1.3056261695999996</v>
      </c>
      <c r="AZ18" s="143">
        <f t="shared" si="26"/>
        <v>318441932.62629122</v>
      </c>
      <c r="BA18" s="143">
        <f t="shared" si="27"/>
        <v>206680332.50853121</v>
      </c>
      <c r="BB18" s="144">
        <f t="shared" si="28"/>
        <v>1305626169.5999997</v>
      </c>
    </row>
    <row r="19" spans="1:54" x14ac:dyDescent="0.45">
      <c r="A19" s="82">
        <v>11</v>
      </c>
      <c r="B19" s="71" t="str">
        <f t="shared" si="29"/>
        <v>T+11M</v>
      </c>
      <c r="C19" s="83"/>
      <c r="D19" s="84"/>
      <c r="E19" s="84"/>
      <c r="F19" s="84"/>
      <c r="G19" s="85">
        <f>[1]STAKING_SHAPE!C21</f>
        <v>18745333.333333332</v>
      </c>
      <c r="H19" s="76">
        <f>[1]LP_SHAPE!C20</f>
        <v>22041666.666666664</v>
      </c>
      <c r="I19" s="83"/>
      <c r="J19" s="86"/>
      <c r="K19" s="84"/>
      <c r="L19" s="83"/>
      <c r="M19" s="80" t="str">
        <f t="shared" si="8"/>
        <v>T+11M</v>
      </c>
      <c r="N19" s="81">
        <f t="shared" si="9"/>
        <v>721734000.00000012</v>
      </c>
      <c r="O19" s="105">
        <f t="shared" si="10"/>
        <v>0.7217340000000001</v>
      </c>
      <c r="P19" s="203">
        <f t="shared" si="30"/>
        <v>7.0717655856502346E-2</v>
      </c>
      <c r="Q19" s="204">
        <f t="shared" si="38"/>
        <v>2427777.7777777757</v>
      </c>
      <c r="R19" s="205">
        <f t="shared" si="12"/>
        <v>9.1589063972341254E-3</v>
      </c>
      <c r="S19" s="205">
        <f t="shared" si="13"/>
        <v>1.3527267504346043E-2</v>
      </c>
      <c r="T19" s="206"/>
      <c r="U19" s="206"/>
      <c r="V19" s="206"/>
      <c r="W19" s="206">
        <f t="shared" si="39"/>
        <v>1359555.5555555541</v>
      </c>
      <c r="X19" s="206">
        <f t="shared" si="40"/>
        <v>582666.66666666605</v>
      </c>
      <c r="Y19" s="206">
        <f t="shared" si="35"/>
        <v>485555.5555555555</v>
      </c>
      <c r="Z19" s="219">
        <f t="shared" si="36"/>
        <v>1942222.2222222202</v>
      </c>
      <c r="AA19" s="219">
        <f t="shared" si="37"/>
        <v>485555.5555555555</v>
      </c>
      <c r="AB19" s="208"/>
      <c r="AC19" s="206"/>
      <c r="AD19" s="206"/>
      <c r="AE19" s="209">
        <f t="shared" si="14"/>
        <v>456661111.11111116</v>
      </c>
      <c r="AF19" s="209">
        <f t="shared" si="5"/>
        <v>265072888.88888896</v>
      </c>
      <c r="AG19" s="81">
        <f t="shared" si="6"/>
        <v>179472888.88888896</v>
      </c>
      <c r="AH19" s="210">
        <f t="shared" si="15"/>
        <v>486134000</v>
      </c>
      <c r="AI19" s="211">
        <f t="shared" si="16"/>
        <v>341630974.07094663</v>
      </c>
      <c r="AJ19" s="211">
        <f t="shared" si="31"/>
        <v>563804074.10175228</v>
      </c>
      <c r="AK19" s="211">
        <f t="shared" si="17"/>
        <v>-58113802.954752043</v>
      </c>
      <c r="AL19" s="211">
        <f t="shared" si="18"/>
        <v>163269291.91434425</v>
      </c>
      <c r="AM19" s="210">
        <f t="shared" si="32"/>
        <v>668959563.0613445</v>
      </c>
      <c r="AN19" s="212">
        <f t="shared" si="33"/>
        <v>1.3760805931314093</v>
      </c>
      <c r="AO19" s="213" t="str">
        <f t="shared" si="34"/>
        <v>OK</v>
      </c>
      <c r="AP19" s="214">
        <f t="shared" si="19"/>
        <v>414375333.33333349</v>
      </c>
      <c r="AQ19" s="214">
        <f t="shared" si="20"/>
        <v>71758666.666666672</v>
      </c>
      <c r="AR19" s="214">
        <f t="shared" si="21"/>
        <v>432315000.00000018</v>
      </c>
      <c r="AS19" s="214">
        <f t="shared" si="7"/>
        <v>78819000</v>
      </c>
      <c r="AT19" s="218">
        <f t="shared" si="22"/>
        <v>0.52032430056787271</v>
      </c>
      <c r="AU19" s="218">
        <f t="shared" si="23"/>
        <v>1.677894923812786</v>
      </c>
      <c r="AV19" s="216" t="str">
        <f t="shared" si="24"/>
        <v>T+11M</v>
      </c>
      <c r="AW19" s="80"/>
      <c r="AX19" s="141"/>
      <c r="AY19" s="217">
        <f t="shared" si="41"/>
        <v>1.5014700950399993</v>
      </c>
      <c r="AZ19" s="143">
        <f t="shared" si="26"/>
        <v>397999015.67252725</v>
      </c>
      <c r="BA19" s="143">
        <f t="shared" si="27"/>
        <v>269473175.53710335</v>
      </c>
      <c r="BB19" s="144">
        <f t="shared" si="28"/>
        <v>1501470095.0399992</v>
      </c>
    </row>
    <row r="20" spans="1:54" x14ac:dyDescent="0.45">
      <c r="A20" s="82">
        <v>12</v>
      </c>
      <c r="B20" s="71" t="str">
        <f t="shared" si="29"/>
        <v>T+12M</v>
      </c>
      <c r="C20" s="83"/>
      <c r="D20" s="84"/>
      <c r="E20" s="84"/>
      <c r="F20" s="84"/>
      <c r="G20" s="85">
        <f>[1]STAKING_SHAPE!C22</f>
        <v>18745333.333333332</v>
      </c>
      <c r="H20" s="76">
        <f>[1]LP_SHAPE!C21</f>
        <v>22041666.666666664</v>
      </c>
      <c r="I20" s="83"/>
      <c r="J20" s="86"/>
      <c r="K20" s="84"/>
      <c r="L20" s="83"/>
      <c r="M20" s="80" t="str">
        <f t="shared" si="8"/>
        <v>T+12M</v>
      </c>
      <c r="N20" s="81">
        <f t="shared" si="9"/>
        <v>762521000.00000012</v>
      </c>
      <c r="O20" s="105">
        <f t="shared" si="10"/>
        <v>0.76252100000000012</v>
      </c>
      <c r="P20" s="203">
        <f t="shared" si="30"/>
        <v>6.5486795739794892E-2</v>
      </c>
      <c r="Q20" s="204">
        <f t="shared" si="38"/>
        <v>2427777.7777777757</v>
      </c>
      <c r="R20" s="205">
        <f t="shared" si="12"/>
        <v>8.4814382656099134E-3</v>
      </c>
      <c r="S20" s="205">
        <f t="shared" si="13"/>
        <v>1.2099806513849141E-2</v>
      </c>
      <c r="T20" s="206"/>
      <c r="U20" s="206"/>
      <c r="V20" s="206"/>
      <c r="W20" s="206">
        <f t="shared" si="39"/>
        <v>1359555.5555555541</v>
      </c>
      <c r="X20" s="206">
        <f t="shared" si="40"/>
        <v>582666.66666666605</v>
      </c>
      <c r="Y20" s="206">
        <f t="shared" si="35"/>
        <v>485555.5555555555</v>
      </c>
      <c r="Z20" s="219">
        <f t="shared" si="36"/>
        <v>1942222.2222222202</v>
      </c>
      <c r="AA20" s="219">
        <f t="shared" si="37"/>
        <v>485555.5555555555</v>
      </c>
      <c r="AB20" s="208"/>
      <c r="AC20" s="206"/>
      <c r="AD20" s="206"/>
      <c r="AE20" s="209">
        <f t="shared" si="14"/>
        <v>476275000.00000006</v>
      </c>
      <c r="AF20" s="209">
        <f t="shared" si="5"/>
        <v>286246000.00000006</v>
      </c>
      <c r="AG20" s="81">
        <f t="shared" si="6"/>
        <v>200646000.00000006</v>
      </c>
      <c r="AH20" s="210">
        <f t="shared" si="15"/>
        <v>526921000</v>
      </c>
      <c r="AI20" s="211">
        <f t="shared" si="16"/>
        <v>376845935.52043295</v>
      </c>
      <c r="AJ20" s="211">
        <f t="shared" si="31"/>
        <v>592535595.3471607</v>
      </c>
      <c r="AK20" s="211">
        <f t="shared" si="17"/>
        <v>-60354671.949009754</v>
      </c>
      <c r="AL20" s="211">
        <f t="shared" si="18"/>
        <v>170924513.47974831</v>
      </c>
      <c r="AM20" s="210">
        <f t="shared" si="32"/>
        <v>703105436.87789917</v>
      </c>
      <c r="AN20" s="212">
        <f t="shared" si="33"/>
        <v>1.3343659426705317</v>
      </c>
      <c r="AO20" s="213" t="str">
        <f t="shared" si="34"/>
        <v>OK</v>
      </c>
      <c r="AP20" s="214">
        <f t="shared" si="19"/>
        <v>437291000.00000018</v>
      </c>
      <c r="AQ20" s="214">
        <f t="shared" si="20"/>
        <v>89630000</v>
      </c>
      <c r="AR20" s="214">
        <f t="shared" si="21"/>
        <v>459698500.00000018</v>
      </c>
      <c r="AS20" s="214">
        <f t="shared" si="7"/>
        <v>92222500</v>
      </c>
      <c r="AT20" s="218">
        <f t="shared" si="22"/>
        <v>0.4893294191736538</v>
      </c>
      <c r="AU20" s="218">
        <f t="shared" si="23"/>
        <v>1.4340318252053457</v>
      </c>
      <c r="AV20" s="216" t="str">
        <f t="shared" si="24"/>
        <v>T+12M</v>
      </c>
      <c r="AW20" s="80"/>
      <c r="AX20" s="141"/>
      <c r="AY20" s="217">
        <f t="shared" si="41"/>
        <v>1.726690609295999</v>
      </c>
      <c r="AZ20" s="143">
        <f t="shared" si="26"/>
        <v>494258280.14854264</v>
      </c>
      <c r="BA20" s="143">
        <f t="shared" si="27"/>
        <v>346453563.99280512</v>
      </c>
      <c r="BB20" s="144">
        <f t="shared" si="28"/>
        <v>1726690609.2959991</v>
      </c>
    </row>
    <row r="21" spans="1:54" x14ac:dyDescent="0.45">
      <c r="A21" s="82">
        <v>13</v>
      </c>
      <c r="B21" s="71" t="str">
        <f t="shared" si="29"/>
        <v>T+13M</v>
      </c>
      <c r="C21" s="83"/>
      <c r="D21" s="84"/>
      <c r="E21" s="84"/>
      <c r="F21" s="84"/>
      <c r="G21" s="85">
        <f>[1]STAKING_SHAPE!C23</f>
        <v>18745333.333333332</v>
      </c>
      <c r="H21" s="76">
        <f>[1]LP_SHAPE!C22</f>
        <v>22041666.666666664</v>
      </c>
      <c r="I21" s="86">
        <f>$I$2/24</f>
        <v>945833.33333333337</v>
      </c>
      <c r="J21" s="86">
        <f>$J$2/18</f>
        <v>1261111.111111111</v>
      </c>
      <c r="K21" s="84"/>
      <c r="L21" s="83"/>
      <c r="M21" s="80" t="str">
        <f t="shared" si="8"/>
        <v>T+13M</v>
      </c>
      <c r="N21" s="81">
        <f t="shared" si="9"/>
        <v>805514944.44444454</v>
      </c>
      <c r="O21" s="105">
        <f t="shared" si="10"/>
        <v>0.80551494444444449</v>
      </c>
      <c r="P21" s="203">
        <f t="shared" si="30"/>
        <v>5.5008001377254173E-2</v>
      </c>
      <c r="Q21" s="204">
        <f t="shared" si="38"/>
        <v>35783333.333333328</v>
      </c>
      <c r="R21" s="205">
        <f t="shared" si="12"/>
        <v>0.10500584941760144</v>
      </c>
      <c r="S21" s="205">
        <f t="shared" si="13"/>
        <v>0.14023074390874743</v>
      </c>
      <c r="T21" s="206">
        <f t="shared" ref="T21:T32" si="42">$K$8/$H$64</f>
        <v>983333.33333333337</v>
      </c>
      <c r="U21" s="206">
        <f t="shared" ref="U21:U44" si="43">$C$8/$H$66</f>
        <v>1516666.6666666667</v>
      </c>
      <c r="V21" s="206">
        <f t="shared" ref="V21:V44" si="44">$D$8/$H$67</f>
        <v>4545833.333333333</v>
      </c>
      <c r="W21" s="206">
        <f t="shared" ref="W21:W32" si="45">($E$8-($D$68*1000000))/$H$68+(Z21*$X$5)</f>
        <v>5917666.666666667</v>
      </c>
      <c r="X21" s="206">
        <f t="shared" si="40"/>
        <v>528999.99999999965</v>
      </c>
      <c r="Y21" s="206">
        <f t="shared" si="35"/>
        <v>22290833.333333332</v>
      </c>
      <c r="Z21" s="219">
        <f t="shared" si="36"/>
        <v>1763333.3333333321</v>
      </c>
      <c r="AA21" s="219">
        <f t="shared" si="37"/>
        <v>440833.33333333331</v>
      </c>
      <c r="AB21" s="219">
        <f t="shared" ref="AB21:AB51" si="46">H9*$AB$5</f>
        <v>21850000</v>
      </c>
      <c r="AC21" s="206"/>
      <c r="AD21" s="206"/>
      <c r="AE21" s="209">
        <f t="shared" si="14"/>
        <v>464740277.77777785</v>
      </c>
      <c r="AF21" s="209">
        <f t="shared" si="5"/>
        <v>340774666.66666669</v>
      </c>
      <c r="AG21" s="81">
        <f t="shared" si="6"/>
        <v>255174666.66666669</v>
      </c>
      <c r="AH21" s="210">
        <f t="shared" si="15"/>
        <v>576164944.44444442</v>
      </c>
      <c r="AI21" s="211">
        <f t="shared" si="16"/>
        <v>414500925.72184861</v>
      </c>
      <c r="AJ21" s="211">
        <f t="shared" si="31"/>
        <v>619590315.3033185</v>
      </c>
      <c r="AK21" s="211">
        <f t="shared" si="17"/>
        <v>-56251803.006432347</v>
      </c>
      <c r="AL21" s="211">
        <f t="shared" si="18"/>
        <v>178239524.90337548</v>
      </c>
      <c r="AM21" s="210">
        <f t="shared" si="32"/>
        <v>741578037.20026171</v>
      </c>
      <c r="AN21" s="212">
        <f t="shared" si="33"/>
        <v>1.2870932956799612</v>
      </c>
      <c r="AO21" s="213" t="str">
        <f t="shared" si="34"/>
        <v>OK</v>
      </c>
      <c r="AP21" s="214">
        <f t="shared" si="19"/>
        <v>439687277.77777797</v>
      </c>
      <c r="AQ21" s="214">
        <f t="shared" si="20"/>
        <v>136477666.66666666</v>
      </c>
      <c r="AR21" s="214">
        <f t="shared" si="21"/>
        <v>473806694.44444466</v>
      </c>
      <c r="AS21" s="214">
        <f t="shared" si="7"/>
        <v>127358250</v>
      </c>
      <c r="AT21" s="218">
        <f t="shared" si="22"/>
        <v>0.47475901593951708</v>
      </c>
      <c r="AU21" s="218">
        <f t="shared" si="23"/>
        <v>1.0384093688473262</v>
      </c>
      <c r="AV21" s="216" t="str">
        <f t="shared" si="24"/>
        <v>T+13M</v>
      </c>
      <c r="AW21" s="80"/>
      <c r="AX21" s="141"/>
      <c r="AY21" s="217">
        <f t="shared" ref="AY21:AY32" si="47">AY20*(1+$BA$4)</f>
        <v>1.813025139760799</v>
      </c>
      <c r="AZ21" s="143">
        <f t="shared" si="26"/>
        <v>617833037.66027308</v>
      </c>
      <c r="BA21" s="143">
        <f t="shared" si="27"/>
        <v>462638085.69674867</v>
      </c>
      <c r="BB21" s="144">
        <f t="shared" si="28"/>
        <v>1813025139.7607989</v>
      </c>
    </row>
    <row r="22" spans="1:54" x14ac:dyDescent="0.45">
      <c r="A22" s="82">
        <v>14</v>
      </c>
      <c r="B22" s="71" t="str">
        <f t="shared" si="29"/>
        <v>T+14M</v>
      </c>
      <c r="C22" s="83"/>
      <c r="D22" s="84"/>
      <c r="E22" s="84"/>
      <c r="F22" s="84"/>
      <c r="G22" s="85">
        <f>[1]STAKING_SHAPE!C24</f>
        <v>18745333.333333332</v>
      </c>
      <c r="H22" s="76">
        <f>[1]LP_SHAPE!C23</f>
        <v>22041666.666666664</v>
      </c>
      <c r="I22" s="86">
        <f t="shared" ref="I22:I44" si="48">$I$2/24</f>
        <v>945833.33333333337</v>
      </c>
      <c r="J22" s="86">
        <f t="shared" ref="J22:J38" si="49">$J$2/18</f>
        <v>1261111.111111111</v>
      </c>
      <c r="K22" s="84"/>
      <c r="L22" s="83"/>
      <c r="M22" s="80" t="str">
        <f t="shared" si="8"/>
        <v>T+14M</v>
      </c>
      <c r="N22" s="81">
        <f t="shared" si="9"/>
        <v>848508888.88888896</v>
      </c>
      <c r="O22" s="105">
        <f t="shared" si="10"/>
        <v>0.84850888888888898</v>
      </c>
      <c r="P22" s="203">
        <f t="shared" si="30"/>
        <v>4.7420124630030945E-2</v>
      </c>
      <c r="Q22" s="204">
        <f t="shared" si="38"/>
        <v>35783333.333333328</v>
      </c>
      <c r="R22" s="205">
        <f t="shared" si="12"/>
        <v>9.0521203126712815E-2</v>
      </c>
      <c r="S22" s="205">
        <f t="shared" si="13"/>
        <v>0.11554067871403816</v>
      </c>
      <c r="T22" s="206">
        <f t="shared" si="42"/>
        <v>983333.33333333337</v>
      </c>
      <c r="U22" s="206">
        <f t="shared" si="43"/>
        <v>1516666.6666666667</v>
      </c>
      <c r="V22" s="206">
        <f t="shared" si="44"/>
        <v>4545833.333333333</v>
      </c>
      <c r="W22" s="206">
        <f t="shared" si="45"/>
        <v>5917666.666666667</v>
      </c>
      <c r="X22" s="206">
        <f t="shared" si="40"/>
        <v>528999.99999999965</v>
      </c>
      <c r="Y22" s="206">
        <f t="shared" si="35"/>
        <v>22290833.333333332</v>
      </c>
      <c r="Z22" s="219">
        <f t="shared" si="36"/>
        <v>1763333.3333333321</v>
      </c>
      <c r="AA22" s="219">
        <f t="shared" si="37"/>
        <v>440833.33333333331</v>
      </c>
      <c r="AB22" s="219">
        <f t="shared" si="46"/>
        <v>21850000</v>
      </c>
      <c r="AC22" s="206"/>
      <c r="AD22" s="206"/>
      <c r="AE22" s="209">
        <f t="shared" si="14"/>
        <v>453205555.55555564</v>
      </c>
      <c r="AF22" s="209">
        <f t="shared" si="5"/>
        <v>395303333.33333331</v>
      </c>
      <c r="AG22" s="81">
        <f t="shared" si="6"/>
        <v>309703333.33333331</v>
      </c>
      <c r="AH22" s="210">
        <f t="shared" si="15"/>
        <v>625408888.88888884</v>
      </c>
      <c r="AI22" s="211">
        <f t="shared" si="16"/>
        <v>452235185.50796425</v>
      </c>
      <c r="AJ22" s="211">
        <f t="shared" si="31"/>
        <v>644075184.22461438</v>
      </c>
      <c r="AK22" s="211">
        <f t="shared" si="17"/>
        <v>-51831936.561283238</v>
      </c>
      <c r="AL22" s="211">
        <f t="shared" si="18"/>
        <v>185272821.43241382</v>
      </c>
      <c r="AM22" s="210">
        <f t="shared" si="32"/>
        <v>777516069.09574497</v>
      </c>
      <c r="AN22" s="212">
        <f t="shared" si="33"/>
        <v>1.2432123733915776</v>
      </c>
      <c r="AO22" s="213" t="str">
        <f t="shared" si="34"/>
        <v>OK</v>
      </c>
      <c r="AP22" s="214">
        <f t="shared" si="19"/>
        <v>442083555.55555576</v>
      </c>
      <c r="AQ22" s="214">
        <f t="shared" si="20"/>
        <v>183325333.33333334</v>
      </c>
      <c r="AR22" s="214">
        <f t="shared" si="21"/>
        <v>487914888.88888907</v>
      </c>
      <c r="AS22" s="214">
        <f t="shared" ref="AS22:AS56" si="50">AQ22*$AS$5</f>
        <v>137494000</v>
      </c>
      <c r="AT22" s="218">
        <f t="shared" si="22"/>
        <v>0.46103122721312484</v>
      </c>
      <c r="AU22" s="218">
        <f t="shared" si="23"/>
        <v>0.96186015389762458</v>
      </c>
      <c r="AV22" s="216" t="str">
        <f t="shared" si="24"/>
        <v>T+14M</v>
      </c>
      <c r="AW22" s="80"/>
      <c r="AX22" s="141"/>
      <c r="AY22" s="217">
        <f t="shared" si="47"/>
        <v>1.903676396748839</v>
      </c>
      <c r="AZ22" s="143">
        <f t="shared" si="26"/>
        <v>752529625.22280514</v>
      </c>
      <c r="BA22" s="143">
        <f t="shared" si="27"/>
        <v>589574925.66110456</v>
      </c>
      <c r="BB22" s="144">
        <f t="shared" si="28"/>
        <v>1903676396.7488391</v>
      </c>
    </row>
    <row r="23" spans="1:54" x14ac:dyDescent="0.45">
      <c r="A23" s="82">
        <v>15</v>
      </c>
      <c r="B23" s="71" t="str">
        <f t="shared" si="29"/>
        <v>T+15M</v>
      </c>
      <c r="C23" s="83"/>
      <c r="D23" s="84"/>
      <c r="E23" s="84"/>
      <c r="F23" s="84"/>
      <c r="G23" s="85">
        <f>[1]STAKING_SHAPE!C25</f>
        <v>18745333.333333332</v>
      </c>
      <c r="H23" s="76">
        <f>[1]LP_SHAPE!C24</f>
        <v>22041666.666666664</v>
      </c>
      <c r="I23" s="86">
        <f t="shared" si="48"/>
        <v>945833.33333333337</v>
      </c>
      <c r="J23" s="86">
        <f t="shared" si="49"/>
        <v>1261111.111111111</v>
      </c>
      <c r="K23" s="84"/>
      <c r="L23" s="83"/>
      <c r="M23" s="80" t="str">
        <f t="shared" si="8"/>
        <v>T+15M</v>
      </c>
      <c r="N23" s="81">
        <f t="shared" si="9"/>
        <v>891502833.33333337</v>
      </c>
      <c r="O23" s="105">
        <f t="shared" si="10"/>
        <v>0.89150283333333336</v>
      </c>
      <c r="P23" s="203">
        <f t="shared" si="30"/>
        <v>4.1671853788377296E-2</v>
      </c>
      <c r="Q23" s="204">
        <f t="shared" si="38"/>
        <v>35783333.333333328</v>
      </c>
      <c r="R23" s="205">
        <f t="shared" si="12"/>
        <v>7.9548216519352413E-2</v>
      </c>
      <c r="S23" s="205">
        <f t="shared" si="13"/>
        <v>9.8243244232613644E-2</v>
      </c>
      <c r="T23" s="206">
        <f t="shared" si="42"/>
        <v>983333.33333333337</v>
      </c>
      <c r="U23" s="206">
        <f t="shared" si="43"/>
        <v>1516666.6666666667</v>
      </c>
      <c r="V23" s="206">
        <f t="shared" si="44"/>
        <v>4545833.333333333</v>
      </c>
      <c r="W23" s="206">
        <f t="shared" si="45"/>
        <v>5917666.666666667</v>
      </c>
      <c r="X23" s="206">
        <f t="shared" si="40"/>
        <v>528999.99999999965</v>
      </c>
      <c r="Y23" s="206">
        <f t="shared" si="35"/>
        <v>22290833.333333332</v>
      </c>
      <c r="Z23" s="219">
        <f t="shared" si="36"/>
        <v>1763333.3333333321</v>
      </c>
      <c r="AA23" s="219">
        <f t="shared" si="37"/>
        <v>440833.33333333331</v>
      </c>
      <c r="AB23" s="219">
        <f t="shared" si="46"/>
        <v>21850000</v>
      </c>
      <c r="AC23" s="206"/>
      <c r="AD23" s="206"/>
      <c r="AE23" s="209">
        <f t="shared" si="14"/>
        <v>441670833.33333343</v>
      </c>
      <c r="AF23" s="209">
        <f t="shared" si="5"/>
        <v>449831999.99999994</v>
      </c>
      <c r="AG23" s="81">
        <f t="shared" si="6"/>
        <v>364231999.99999994</v>
      </c>
      <c r="AH23" s="210">
        <f t="shared" si="15"/>
        <v>674652833.33333325</v>
      </c>
      <c r="AI23" s="211">
        <f t="shared" si="16"/>
        <v>490038607.63634366</v>
      </c>
      <c r="AJ23" s="211">
        <f t="shared" si="31"/>
        <v>667387751.65774286</v>
      </c>
      <c r="AK23" s="211">
        <f t="shared" si="17"/>
        <v>-47135491.276310734</v>
      </c>
      <c r="AL23" s="211">
        <f t="shared" si="18"/>
        <v>192060323.03223586</v>
      </c>
      <c r="AM23" s="210">
        <f t="shared" si="32"/>
        <v>812312583.41366804</v>
      </c>
      <c r="AN23" s="212">
        <f t="shared" si="33"/>
        <v>1.2040453152774646</v>
      </c>
      <c r="AO23" s="213" t="str">
        <f t="shared" si="34"/>
        <v>OK</v>
      </c>
      <c r="AP23" s="214">
        <f t="shared" si="19"/>
        <v>444479833.33333355</v>
      </c>
      <c r="AQ23" s="214">
        <f t="shared" si="20"/>
        <v>230173000.00000003</v>
      </c>
      <c r="AR23" s="214">
        <f t="shared" si="21"/>
        <v>502023083.33333355</v>
      </c>
      <c r="AS23" s="214">
        <f t="shared" si="50"/>
        <v>172629750.00000003</v>
      </c>
      <c r="AT23" s="218">
        <f t="shared" si="22"/>
        <v>0.44807501381493553</v>
      </c>
      <c r="AU23" s="218">
        <f t="shared" si="23"/>
        <v>0.76609043342760996</v>
      </c>
      <c r="AV23" s="216" t="str">
        <f t="shared" si="24"/>
        <v>T+15M</v>
      </c>
      <c r="AW23" s="80"/>
      <c r="AX23" s="141"/>
      <c r="AY23" s="217">
        <f t="shared" si="47"/>
        <v>1.998860216586281</v>
      </c>
      <c r="AZ23" s="143">
        <f t="shared" si="26"/>
        <v>899151288.94743979</v>
      </c>
      <c r="BA23" s="143">
        <f t="shared" si="27"/>
        <v>728048854.40765417</v>
      </c>
      <c r="BB23" s="144">
        <f t="shared" si="28"/>
        <v>1998860216.5862811</v>
      </c>
    </row>
    <row r="24" spans="1:54" x14ac:dyDescent="0.45">
      <c r="A24" s="82">
        <v>16</v>
      </c>
      <c r="B24" s="71" t="str">
        <f t="shared" si="29"/>
        <v>T+16M</v>
      </c>
      <c r="C24" s="83"/>
      <c r="D24" s="84"/>
      <c r="E24" s="84"/>
      <c r="F24" s="84"/>
      <c r="G24" s="85">
        <f>[1]STAKING_SHAPE!C26</f>
        <v>18745333.333333332</v>
      </c>
      <c r="H24" s="76">
        <f>[1]LP_SHAPE!C25</f>
        <v>22041666.666666664</v>
      </c>
      <c r="I24" s="86">
        <f t="shared" si="48"/>
        <v>945833.33333333337</v>
      </c>
      <c r="J24" s="86">
        <f t="shared" si="49"/>
        <v>1261111.111111111</v>
      </c>
      <c r="K24" s="84"/>
      <c r="L24" s="83"/>
      <c r="M24" s="80" t="str">
        <f t="shared" si="8"/>
        <v>T+16M</v>
      </c>
      <c r="N24" s="81">
        <f t="shared" si="9"/>
        <v>934496777.77777779</v>
      </c>
      <c r="O24" s="105">
        <f t="shared" si="10"/>
        <v>0.93449677777777784</v>
      </c>
      <c r="P24" s="203">
        <f t="shared" si="30"/>
        <v>3.7166525013185014E-2</v>
      </c>
      <c r="Q24" s="204">
        <f t="shared" si="38"/>
        <v>35783333.333333328</v>
      </c>
      <c r="R24" s="205">
        <f t="shared" si="12"/>
        <v>7.0947906326292956E-2</v>
      </c>
      <c r="S24" s="205">
        <f t="shared" si="13"/>
        <v>8.5450559667335849E-2</v>
      </c>
      <c r="T24" s="206">
        <f t="shared" si="42"/>
        <v>983333.33333333337</v>
      </c>
      <c r="U24" s="206">
        <f t="shared" si="43"/>
        <v>1516666.6666666667</v>
      </c>
      <c r="V24" s="206">
        <f t="shared" si="44"/>
        <v>4545833.333333333</v>
      </c>
      <c r="W24" s="206">
        <f t="shared" si="45"/>
        <v>5917666.666666667</v>
      </c>
      <c r="X24" s="206">
        <f t="shared" si="40"/>
        <v>528999.99999999965</v>
      </c>
      <c r="Y24" s="206">
        <f t="shared" si="35"/>
        <v>22290833.333333332</v>
      </c>
      <c r="Z24" s="219">
        <f t="shared" si="36"/>
        <v>1763333.3333333321</v>
      </c>
      <c r="AA24" s="219">
        <f t="shared" si="37"/>
        <v>440833.33333333331</v>
      </c>
      <c r="AB24" s="219">
        <f t="shared" si="46"/>
        <v>21850000</v>
      </c>
      <c r="AC24" s="206"/>
      <c r="AD24" s="206"/>
      <c r="AE24" s="209">
        <f t="shared" si="14"/>
        <v>430136111.11111122</v>
      </c>
      <c r="AF24" s="209">
        <f t="shared" si="5"/>
        <v>504360666.66666657</v>
      </c>
      <c r="AG24" s="81">
        <f t="shared" si="6"/>
        <v>418760666.66666657</v>
      </c>
      <c r="AH24" s="210">
        <f t="shared" si="15"/>
        <v>723896777.77777767</v>
      </c>
      <c r="AI24" s="211">
        <f t="shared" si="16"/>
        <v>527903017.26261079</v>
      </c>
      <c r="AJ24" s="211">
        <f t="shared" si="31"/>
        <v>689123267.04553044</v>
      </c>
      <c r="AK24" s="211">
        <f t="shared" si="17"/>
        <v>-42195158.192610949</v>
      </c>
      <c r="AL24" s="211">
        <f t="shared" si="18"/>
        <v>198631082.15001133</v>
      </c>
      <c r="AM24" s="210">
        <f t="shared" si="32"/>
        <v>845559191.00293076</v>
      </c>
      <c r="AN24" s="212">
        <f t="shared" si="33"/>
        <v>1.1680659687402299</v>
      </c>
      <c r="AO24" s="213" t="str">
        <f t="shared" si="34"/>
        <v>OK</v>
      </c>
      <c r="AP24" s="214">
        <f t="shared" si="19"/>
        <v>446876111.11111134</v>
      </c>
      <c r="AQ24" s="214">
        <f t="shared" si="20"/>
        <v>277020666.66666675</v>
      </c>
      <c r="AR24" s="214">
        <f t="shared" si="21"/>
        <v>516131277.77777803</v>
      </c>
      <c r="AS24" s="214">
        <f t="shared" si="50"/>
        <v>207765500.00000006</v>
      </c>
      <c r="AT24" s="218">
        <f t="shared" si="22"/>
        <v>0.43582710384944029</v>
      </c>
      <c r="AU24" s="218">
        <f t="shared" si="23"/>
        <v>0.63653493963145924</v>
      </c>
      <c r="AV24" s="216" t="str">
        <f t="shared" si="24"/>
        <v>T+16M</v>
      </c>
      <c r="AW24" s="80"/>
      <c r="AX24" s="141"/>
      <c r="AY24" s="217">
        <f t="shared" si="47"/>
        <v>2.098803227415595</v>
      </c>
      <c r="AZ24" s="143">
        <f t="shared" si="26"/>
        <v>1058553794.9814808</v>
      </c>
      <c r="BA24" s="143">
        <f t="shared" si="27"/>
        <v>878896238.71470594</v>
      </c>
      <c r="BB24" s="144">
        <f t="shared" si="28"/>
        <v>2098803227.4155951</v>
      </c>
    </row>
    <row r="25" spans="1:54" x14ac:dyDescent="0.45">
      <c r="A25" s="82">
        <v>17</v>
      </c>
      <c r="B25" s="71" t="str">
        <f t="shared" si="29"/>
        <v>T+17M</v>
      </c>
      <c r="C25" s="83"/>
      <c r="D25" s="84"/>
      <c r="E25" s="84"/>
      <c r="F25" s="84"/>
      <c r="G25" s="85">
        <f>[1]STAKING_SHAPE!C27</f>
        <v>18745333.333333332</v>
      </c>
      <c r="H25" s="76">
        <f>[1]LP_SHAPE!C26</f>
        <v>22041666.666666664</v>
      </c>
      <c r="I25" s="86">
        <f t="shared" si="48"/>
        <v>945833.33333333337</v>
      </c>
      <c r="J25" s="86">
        <f t="shared" si="49"/>
        <v>1261111.111111111</v>
      </c>
      <c r="K25" s="84"/>
      <c r="L25" s="83"/>
      <c r="M25" s="80" t="str">
        <f t="shared" si="8"/>
        <v>T+17M</v>
      </c>
      <c r="N25" s="81">
        <f t="shared" si="9"/>
        <v>977490722.22222221</v>
      </c>
      <c r="O25" s="105">
        <f t="shared" si="10"/>
        <v>0.97749072222222222</v>
      </c>
      <c r="P25" s="203">
        <f t="shared" si="30"/>
        <v>3.3540331180651153E-2</v>
      </c>
      <c r="Q25" s="204">
        <f t="shared" si="38"/>
        <v>35783333.333333328</v>
      </c>
      <c r="R25" s="205">
        <f t="shared" si="12"/>
        <v>6.4025794015273155E-2</v>
      </c>
      <c r="S25" s="205">
        <f t="shared" si="13"/>
        <v>7.5605619677322114E-2</v>
      </c>
      <c r="T25" s="206">
        <f t="shared" si="42"/>
        <v>983333.33333333337</v>
      </c>
      <c r="U25" s="206">
        <f t="shared" si="43"/>
        <v>1516666.6666666667</v>
      </c>
      <c r="V25" s="206">
        <f t="shared" si="44"/>
        <v>4545833.333333333</v>
      </c>
      <c r="W25" s="206">
        <f t="shared" si="45"/>
        <v>5917666.666666667</v>
      </c>
      <c r="X25" s="206">
        <f t="shared" si="40"/>
        <v>528999.99999999965</v>
      </c>
      <c r="Y25" s="206">
        <f t="shared" si="35"/>
        <v>22290833.333333332</v>
      </c>
      <c r="Z25" s="219">
        <f t="shared" si="36"/>
        <v>1763333.3333333321</v>
      </c>
      <c r="AA25" s="219">
        <f t="shared" si="37"/>
        <v>440833.33333333331</v>
      </c>
      <c r="AB25" s="219">
        <f t="shared" si="46"/>
        <v>21850000</v>
      </c>
      <c r="AC25" s="206"/>
      <c r="AD25" s="206"/>
      <c r="AE25" s="209">
        <f t="shared" si="14"/>
        <v>418601388.88888901</v>
      </c>
      <c r="AF25" s="209">
        <f t="shared" si="5"/>
        <v>558889333.33333325</v>
      </c>
      <c r="AG25" s="81">
        <f t="shared" si="6"/>
        <v>473289333.33333325</v>
      </c>
      <c r="AH25" s="210">
        <f t="shared" si="15"/>
        <v>773140722.22222209</v>
      </c>
      <c r="AI25" s="211">
        <f t="shared" si="16"/>
        <v>565821696.16520739</v>
      </c>
      <c r="AJ25" s="211">
        <f t="shared" si="31"/>
        <v>709620367.97152948</v>
      </c>
      <c r="AK25" s="211">
        <f t="shared" si="17"/>
        <v>-37037803.345420338</v>
      </c>
      <c r="AL25" s="211">
        <f t="shared" si="18"/>
        <v>205008974.56464466</v>
      </c>
      <c r="AM25" s="210">
        <f t="shared" si="32"/>
        <v>877591539.19075382</v>
      </c>
      <c r="AN25" s="212">
        <f t="shared" si="33"/>
        <v>1.1350993602669266</v>
      </c>
      <c r="AO25" s="213" t="str">
        <f t="shared" si="34"/>
        <v>OK</v>
      </c>
      <c r="AP25" s="214">
        <f t="shared" si="19"/>
        <v>449272388.88888913</v>
      </c>
      <c r="AQ25" s="214">
        <f t="shared" si="20"/>
        <v>323868333.33333337</v>
      </c>
      <c r="AR25" s="214">
        <f t="shared" si="21"/>
        <v>530239472.22222245</v>
      </c>
      <c r="AS25" s="214">
        <f t="shared" si="50"/>
        <v>242901250.00000003</v>
      </c>
      <c r="AT25" s="218">
        <f t="shared" si="22"/>
        <v>0.42423095937626903</v>
      </c>
      <c r="AU25" s="218">
        <f t="shared" si="23"/>
        <v>0.54445993999619169</v>
      </c>
      <c r="AV25" s="216" t="str">
        <f t="shared" si="24"/>
        <v>T+17M</v>
      </c>
      <c r="AW25" s="80"/>
      <c r="AX25" s="141"/>
      <c r="AY25" s="217">
        <f t="shared" si="47"/>
        <v>2.2037433887863749</v>
      </c>
      <c r="AZ25" s="143">
        <f t="shared" si="26"/>
        <v>1231648673.3965578</v>
      </c>
      <c r="BA25" s="143">
        <f t="shared" si="27"/>
        <v>1043008239.316444</v>
      </c>
      <c r="BB25" s="144">
        <f t="shared" si="28"/>
        <v>2203743388.786375</v>
      </c>
    </row>
    <row r="26" spans="1:54" x14ac:dyDescent="0.45">
      <c r="A26" s="82">
        <v>18</v>
      </c>
      <c r="B26" s="71" t="str">
        <f t="shared" si="29"/>
        <v>T+18M</v>
      </c>
      <c r="C26" s="83"/>
      <c r="D26" s="84"/>
      <c r="E26" s="84"/>
      <c r="F26" s="84"/>
      <c r="G26" s="85">
        <f>[1]STAKING_SHAPE!C28</f>
        <v>18745333.333333332</v>
      </c>
      <c r="H26" s="76">
        <f>[1]LP_SHAPE!C27</f>
        <v>22041666.666666664</v>
      </c>
      <c r="I26" s="86">
        <f t="shared" si="48"/>
        <v>945833.33333333337</v>
      </c>
      <c r="J26" s="86">
        <f t="shared" si="49"/>
        <v>1261111.111111111</v>
      </c>
      <c r="K26" s="84"/>
      <c r="L26" s="83"/>
      <c r="M26" s="80" t="str">
        <f t="shared" si="8"/>
        <v>T+18M</v>
      </c>
      <c r="N26" s="81">
        <f t="shared" si="9"/>
        <v>1020484666.6666666</v>
      </c>
      <c r="O26" s="105">
        <f t="shared" si="10"/>
        <v>1.0204846666666667</v>
      </c>
      <c r="P26" s="203">
        <f t="shared" si="30"/>
        <v>3.0558825031761931E-2</v>
      </c>
      <c r="Q26" s="204">
        <f t="shared" si="38"/>
        <v>35783333.333333328</v>
      </c>
      <c r="R26" s="205">
        <f t="shared" si="12"/>
        <v>5.8334338629341398E-2</v>
      </c>
      <c r="S26" s="205">
        <f t="shared" si="13"/>
        <v>6.7794833320071204E-2</v>
      </c>
      <c r="T26" s="206">
        <f t="shared" si="42"/>
        <v>983333.33333333337</v>
      </c>
      <c r="U26" s="206">
        <f t="shared" si="43"/>
        <v>1516666.6666666667</v>
      </c>
      <c r="V26" s="206">
        <f t="shared" si="44"/>
        <v>4545833.333333333</v>
      </c>
      <c r="W26" s="206">
        <f t="shared" si="45"/>
        <v>5917666.666666667</v>
      </c>
      <c r="X26" s="206">
        <f t="shared" si="40"/>
        <v>528999.99999999965</v>
      </c>
      <c r="Y26" s="206">
        <f t="shared" si="35"/>
        <v>22290833.333333332</v>
      </c>
      <c r="Z26" s="219">
        <f t="shared" si="36"/>
        <v>1763333.3333333321</v>
      </c>
      <c r="AA26" s="219">
        <f t="shared" si="37"/>
        <v>440833.33333333331</v>
      </c>
      <c r="AB26" s="219">
        <f t="shared" si="46"/>
        <v>21850000</v>
      </c>
      <c r="AC26" s="206"/>
      <c r="AD26" s="206"/>
      <c r="AE26" s="209">
        <f t="shared" si="14"/>
        <v>407066666.66666681</v>
      </c>
      <c r="AF26" s="209">
        <f t="shared" si="5"/>
        <v>613417999.99999976</v>
      </c>
      <c r="AG26" s="81">
        <f t="shared" si="6"/>
        <v>527817999.99999976</v>
      </c>
      <c r="AH26" s="210">
        <f t="shared" si="15"/>
        <v>822384666.66666651</v>
      </c>
      <c r="AI26" s="211">
        <f t="shared" si="16"/>
        <v>603789046.95331132</v>
      </c>
      <c r="AJ26" s="211">
        <f t="shared" si="31"/>
        <v>729094189.31925392</v>
      </c>
      <c r="AK26" s="211">
        <f t="shared" si="17"/>
        <v>-31685810.590011962</v>
      </c>
      <c r="AL26" s="211">
        <f t="shared" si="18"/>
        <v>211213892.75281966</v>
      </c>
      <c r="AM26" s="210">
        <f t="shared" si="32"/>
        <v>908622271.48206162</v>
      </c>
      <c r="AN26" s="212">
        <f t="shared" si="33"/>
        <v>1.104862855924756</v>
      </c>
      <c r="AO26" s="213" t="str">
        <f t="shared" si="34"/>
        <v>OK</v>
      </c>
      <c r="AP26" s="214">
        <f t="shared" si="19"/>
        <v>451668666.66666692</v>
      </c>
      <c r="AQ26" s="214">
        <f t="shared" si="20"/>
        <v>370716000</v>
      </c>
      <c r="AR26" s="214">
        <f t="shared" si="21"/>
        <v>544347666.66666698</v>
      </c>
      <c r="AS26" s="214">
        <f t="shared" si="50"/>
        <v>278037000</v>
      </c>
      <c r="AT26" s="218">
        <f t="shared" si="22"/>
        <v>0.4132359037698331</v>
      </c>
      <c r="AU26" s="218">
        <f t="shared" si="23"/>
        <v>0.47565611771095206</v>
      </c>
      <c r="AV26" s="216" t="str">
        <f t="shared" si="24"/>
        <v>T+18M</v>
      </c>
      <c r="AW26" s="80"/>
      <c r="AX26" s="141"/>
      <c r="AY26" s="217">
        <f t="shared" si="47"/>
        <v>2.3139305582256937</v>
      </c>
      <c r="AZ26" s="143">
        <f t="shared" si="26"/>
        <v>1419406655.165688</v>
      </c>
      <c r="BA26" s="143">
        <f t="shared" si="27"/>
        <v>1221334199.3815687</v>
      </c>
      <c r="BB26" s="144">
        <f t="shared" si="28"/>
        <v>2313930558.2256937</v>
      </c>
    </row>
    <row r="27" spans="1:54" x14ac:dyDescent="0.45">
      <c r="A27" s="82">
        <v>19</v>
      </c>
      <c r="B27" s="71" t="str">
        <f t="shared" si="29"/>
        <v>T+19M</v>
      </c>
      <c r="C27" s="83"/>
      <c r="D27" s="84"/>
      <c r="E27" s="84"/>
      <c r="F27" s="84"/>
      <c r="G27" s="85">
        <f>[1]STAKING_SHAPE!C29</f>
        <v>18745333.333333332</v>
      </c>
      <c r="H27" s="76">
        <f>[1]LP_SHAPE!C28</f>
        <v>22041666.666666664</v>
      </c>
      <c r="I27" s="86">
        <f t="shared" si="48"/>
        <v>945833.33333333337</v>
      </c>
      <c r="J27" s="86">
        <f t="shared" si="49"/>
        <v>1261111.111111111</v>
      </c>
      <c r="K27" s="84"/>
      <c r="L27" s="83"/>
      <c r="M27" s="80" t="str">
        <f t="shared" si="8"/>
        <v>T+19M</v>
      </c>
      <c r="N27" s="81">
        <f t="shared" si="9"/>
        <v>1063478611.111111</v>
      </c>
      <c r="O27" s="105">
        <f t="shared" si="10"/>
        <v>1.063478611111111</v>
      </c>
      <c r="P27" s="203">
        <f t="shared" si="30"/>
        <v>2.8064116895560529E-2</v>
      </c>
      <c r="Q27" s="204">
        <f t="shared" si="38"/>
        <v>35783333.333333328</v>
      </c>
      <c r="R27" s="205">
        <f t="shared" si="12"/>
        <v>5.3572141488342391E-2</v>
      </c>
      <c r="S27" s="205">
        <f t="shared" si="13"/>
        <v>6.1446789999084171E-2</v>
      </c>
      <c r="T27" s="206">
        <f t="shared" si="42"/>
        <v>983333.33333333337</v>
      </c>
      <c r="U27" s="206">
        <f t="shared" si="43"/>
        <v>1516666.6666666667</v>
      </c>
      <c r="V27" s="206">
        <f t="shared" si="44"/>
        <v>4545833.333333333</v>
      </c>
      <c r="W27" s="206">
        <f t="shared" si="45"/>
        <v>5917666.666666667</v>
      </c>
      <c r="X27" s="206">
        <f t="shared" si="40"/>
        <v>528999.99999999965</v>
      </c>
      <c r="Y27" s="206">
        <f t="shared" si="35"/>
        <v>22290833.333333332</v>
      </c>
      <c r="Z27" s="219">
        <f t="shared" si="36"/>
        <v>1763333.3333333321</v>
      </c>
      <c r="AA27" s="219">
        <f t="shared" si="37"/>
        <v>440833.33333333331</v>
      </c>
      <c r="AB27" s="219">
        <f t="shared" si="46"/>
        <v>21850000</v>
      </c>
      <c r="AC27" s="206"/>
      <c r="AD27" s="206"/>
      <c r="AE27" s="209">
        <f t="shared" si="14"/>
        <v>395531944.4444446</v>
      </c>
      <c r="AF27" s="209">
        <f t="shared" si="5"/>
        <v>667946666.66666651</v>
      </c>
      <c r="AG27" s="81">
        <f t="shared" si="6"/>
        <v>582346666.66666651</v>
      </c>
      <c r="AH27" s="210">
        <f t="shared" si="15"/>
        <v>871628611.11111093</v>
      </c>
      <c r="AI27" s="211">
        <f t="shared" si="16"/>
        <v>641800350.15598488</v>
      </c>
      <c r="AJ27" s="211">
        <f t="shared" si="31"/>
        <v>747694971.65923095</v>
      </c>
      <c r="AK27" s="211">
        <f t="shared" si="17"/>
        <v>-26158052.997393064</v>
      </c>
      <c r="AL27" s="211">
        <f t="shared" si="18"/>
        <v>217262609.16594759</v>
      </c>
      <c r="AM27" s="210">
        <f t="shared" si="32"/>
        <v>938799527.82778549</v>
      </c>
      <c r="AN27" s="212">
        <f t="shared" si="33"/>
        <v>1.077063689581103</v>
      </c>
      <c r="AO27" s="213" t="str">
        <f t="shared" si="34"/>
        <v>OK</v>
      </c>
      <c r="AP27" s="214">
        <f t="shared" si="19"/>
        <v>454064944.44444472</v>
      </c>
      <c r="AQ27" s="214">
        <f t="shared" si="20"/>
        <v>417563666.66666663</v>
      </c>
      <c r="AR27" s="214">
        <f t="shared" si="21"/>
        <v>558455861.1111114</v>
      </c>
      <c r="AS27" s="214">
        <f t="shared" si="50"/>
        <v>313172750</v>
      </c>
      <c r="AT27" s="218">
        <f t="shared" si="22"/>
        <v>0.40279638135133605</v>
      </c>
      <c r="AU27" s="218">
        <f t="shared" si="23"/>
        <v>0.42229089216734206</v>
      </c>
      <c r="AV27" s="216" t="str">
        <f t="shared" si="24"/>
        <v>T+19M</v>
      </c>
      <c r="AW27" s="80"/>
      <c r="AX27" s="141"/>
      <c r="AY27" s="217">
        <f t="shared" si="47"/>
        <v>2.4296270861369784</v>
      </c>
      <c r="AZ27" s="143">
        <f t="shared" si="26"/>
        <v>1622861313.4282405</v>
      </c>
      <c r="BA27" s="143">
        <f t="shared" si="27"/>
        <v>1414885234.8549151</v>
      </c>
      <c r="BB27" s="144">
        <f t="shared" si="28"/>
        <v>2429627086.1369786</v>
      </c>
    </row>
    <row r="28" spans="1:54" x14ac:dyDescent="0.45">
      <c r="A28" s="82">
        <v>20</v>
      </c>
      <c r="B28" s="71" t="str">
        <f t="shared" si="29"/>
        <v>T+20M</v>
      </c>
      <c r="C28" s="83"/>
      <c r="D28" s="84"/>
      <c r="E28" s="84"/>
      <c r="F28" s="84"/>
      <c r="G28" s="85">
        <f>[1]STAKING_SHAPE!C30</f>
        <v>18745333.333333332</v>
      </c>
      <c r="H28" s="76">
        <f>[1]LP_SHAPE!C29</f>
        <v>22041666.666666664</v>
      </c>
      <c r="I28" s="86">
        <f t="shared" si="48"/>
        <v>945833.33333333337</v>
      </c>
      <c r="J28" s="86">
        <f t="shared" si="49"/>
        <v>1261111.111111111</v>
      </c>
      <c r="K28" s="84"/>
      <c r="L28" s="83"/>
      <c r="M28" s="80" t="str">
        <f t="shared" si="8"/>
        <v>T+20M</v>
      </c>
      <c r="N28" s="81">
        <f t="shared" si="9"/>
        <v>1106472555.5555556</v>
      </c>
      <c r="O28" s="105">
        <f t="shared" si="10"/>
        <v>1.1064725555555557</v>
      </c>
      <c r="P28" s="203">
        <f t="shared" si="30"/>
        <v>2.5945983853658674E-2</v>
      </c>
      <c r="Q28" s="204">
        <f t="shared" si="38"/>
        <v>35783333.333333328</v>
      </c>
      <c r="R28" s="205">
        <f t="shared" si="12"/>
        <v>4.9528795908141729E-2</v>
      </c>
      <c r="S28" s="205">
        <f t="shared" si="13"/>
        <v>5.6185773667897329E-2</v>
      </c>
      <c r="T28" s="206">
        <f t="shared" si="42"/>
        <v>983333.33333333337</v>
      </c>
      <c r="U28" s="206">
        <f t="shared" si="43"/>
        <v>1516666.6666666667</v>
      </c>
      <c r="V28" s="206">
        <f t="shared" si="44"/>
        <v>4545833.333333333</v>
      </c>
      <c r="W28" s="206">
        <f t="shared" si="45"/>
        <v>5917666.666666667</v>
      </c>
      <c r="X28" s="206">
        <f t="shared" si="40"/>
        <v>528999.99999999965</v>
      </c>
      <c r="Y28" s="206">
        <f t="shared" si="35"/>
        <v>22290833.333333332</v>
      </c>
      <c r="Z28" s="219">
        <f t="shared" si="36"/>
        <v>1763333.3333333321</v>
      </c>
      <c r="AA28" s="219">
        <f t="shared" si="37"/>
        <v>440833.33333333331</v>
      </c>
      <c r="AB28" s="219">
        <f t="shared" si="46"/>
        <v>21850000</v>
      </c>
      <c r="AC28" s="206"/>
      <c r="AD28" s="206"/>
      <c r="AE28" s="209">
        <f t="shared" si="14"/>
        <v>383997222.22222239</v>
      </c>
      <c r="AF28" s="209">
        <f t="shared" si="5"/>
        <v>722475333.33333325</v>
      </c>
      <c r="AG28" s="81">
        <f t="shared" si="6"/>
        <v>636875333.33333325</v>
      </c>
      <c r="AH28" s="210">
        <f t="shared" si="15"/>
        <v>920872555.55555534</v>
      </c>
      <c r="AI28" s="211">
        <f t="shared" si="16"/>
        <v>679851584.70529151</v>
      </c>
      <c r="AJ28" s="211">
        <f t="shared" si="31"/>
        <v>765534520.95403588</v>
      </c>
      <c r="AK28" s="211">
        <f t="shared" si="17"/>
        <v>-20470610.738771088</v>
      </c>
      <c r="AL28" s="211">
        <f t="shared" si="18"/>
        <v>223169414.21231222</v>
      </c>
      <c r="AM28" s="210">
        <f t="shared" si="32"/>
        <v>968233324.42757702</v>
      </c>
      <c r="AN28" s="212">
        <f t="shared" si="33"/>
        <v>1.0514303185454901</v>
      </c>
      <c r="AO28" s="213" t="str">
        <f t="shared" si="34"/>
        <v>OK</v>
      </c>
      <c r="AP28" s="214">
        <f t="shared" si="19"/>
        <v>456461222.22222251</v>
      </c>
      <c r="AQ28" s="214">
        <f t="shared" si="20"/>
        <v>464411333.33333325</v>
      </c>
      <c r="AR28" s="214">
        <f t="shared" si="21"/>
        <v>572564055.55555582</v>
      </c>
      <c r="AS28" s="214">
        <f t="shared" si="50"/>
        <v>348308499.99999994</v>
      </c>
      <c r="AT28" s="218">
        <f t="shared" si="22"/>
        <v>0.39287132647846368</v>
      </c>
      <c r="AU28" s="218">
        <f t="shared" si="23"/>
        <v>0.3796921407315641</v>
      </c>
      <c r="AV28" s="216" t="str">
        <f t="shared" si="24"/>
        <v>T+20M</v>
      </c>
      <c r="AW28" s="80"/>
      <c r="AX28" s="141"/>
      <c r="AY28" s="217">
        <f t="shared" si="47"/>
        <v>2.5511084404438273</v>
      </c>
      <c r="AZ28" s="143">
        <f t="shared" si="26"/>
        <v>1843112920.8791342</v>
      </c>
      <c r="BA28" s="143">
        <f t="shared" si="27"/>
        <v>1624738038.3771424</v>
      </c>
      <c r="BB28" s="144">
        <f t="shared" si="28"/>
        <v>2551108440.4438272</v>
      </c>
    </row>
    <row r="29" spans="1:54" x14ac:dyDescent="0.45">
      <c r="A29" s="82">
        <v>21</v>
      </c>
      <c r="B29" s="71" t="str">
        <f t="shared" si="29"/>
        <v>T+21M</v>
      </c>
      <c r="C29" s="83"/>
      <c r="D29" s="84"/>
      <c r="E29" s="84"/>
      <c r="F29" s="84"/>
      <c r="G29" s="85">
        <f>[1]STAKING_SHAPE!C31</f>
        <v>18745333.333333332</v>
      </c>
      <c r="H29" s="76">
        <f>[1]LP_SHAPE!C30</f>
        <v>22041666.666666664</v>
      </c>
      <c r="I29" s="86">
        <f t="shared" si="48"/>
        <v>945833.33333333337</v>
      </c>
      <c r="J29" s="86">
        <f t="shared" si="49"/>
        <v>1261111.111111111</v>
      </c>
      <c r="K29" s="84"/>
      <c r="L29" s="83"/>
      <c r="M29" s="80" t="str">
        <f t="shared" si="8"/>
        <v>T+21M</v>
      </c>
      <c r="N29" s="81">
        <f t="shared" si="9"/>
        <v>1149466500</v>
      </c>
      <c r="O29" s="105">
        <f t="shared" si="10"/>
        <v>1.1494664999999999</v>
      </c>
      <c r="P29" s="203">
        <f t="shared" si="30"/>
        <v>2.4125143928902987E-2</v>
      </c>
      <c r="Q29" s="204">
        <f t="shared" si="38"/>
        <v>35783333.333333328</v>
      </c>
      <c r="R29" s="205">
        <f t="shared" si="12"/>
        <v>4.605295897232619E-2</v>
      </c>
      <c r="S29" s="205">
        <f t="shared" si="13"/>
        <v>5.1754594033782478E-2</v>
      </c>
      <c r="T29" s="206">
        <f t="shared" si="42"/>
        <v>983333.33333333337</v>
      </c>
      <c r="U29" s="206">
        <f t="shared" si="43"/>
        <v>1516666.6666666667</v>
      </c>
      <c r="V29" s="206">
        <f t="shared" si="44"/>
        <v>4545833.333333333</v>
      </c>
      <c r="W29" s="206">
        <f t="shared" si="45"/>
        <v>5917666.666666667</v>
      </c>
      <c r="X29" s="206">
        <f t="shared" si="40"/>
        <v>528999.99999999965</v>
      </c>
      <c r="Y29" s="206">
        <f t="shared" si="35"/>
        <v>22290833.333333332</v>
      </c>
      <c r="Z29" s="219">
        <f t="shared" si="36"/>
        <v>1763333.3333333321</v>
      </c>
      <c r="AA29" s="219">
        <f t="shared" si="37"/>
        <v>440833.33333333331</v>
      </c>
      <c r="AB29" s="219">
        <f t="shared" si="46"/>
        <v>21850000</v>
      </c>
      <c r="AC29" s="206"/>
      <c r="AD29" s="206"/>
      <c r="AE29" s="209">
        <f t="shared" si="14"/>
        <v>372462500.00000018</v>
      </c>
      <c r="AF29" s="209">
        <f t="shared" si="5"/>
        <v>777003999.99999976</v>
      </c>
      <c r="AG29" s="81">
        <f t="shared" si="6"/>
        <v>691403999.99999976</v>
      </c>
      <c r="AH29" s="210">
        <f t="shared" si="15"/>
        <v>970116499.99999976</v>
      </c>
      <c r="AI29" s="211">
        <f t="shared" si="16"/>
        <v>717939292.76376176</v>
      </c>
      <c r="AJ29" s="211">
        <f t="shared" si="31"/>
        <v>782699835.13849449</v>
      </c>
      <c r="AK29" s="211">
        <f t="shared" si="17"/>
        <v>-14637311.637847919</v>
      </c>
      <c r="AL29" s="211">
        <f t="shared" si="18"/>
        <v>228946596.64455342</v>
      </c>
      <c r="AM29" s="210">
        <f t="shared" si="32"/>
        <v>997009120.14520001</v>
      </c>
      <c r="AN29" s="212">
        <f t="shared" si="33"/>
        <v>1.0277210212847634</v>
      </c>
      <c r="AO29" s="213" t="str">
        <f t="shared" si="34"/>
        <v>OK</v>
      </c>
      <c r="AP29" s="214">
        <f t="shared" si="19"/>
        <v>458857500.0000003</v>
      </c>
      <c r="AQ29" s="214">
        <f t="shared" si="20"/>
        <v>511258999.99999988</v>
      </c>
      <c r="AR29" s="214">
        <f t="shared" si="21"/>
        <v>586672250.00000024</v>
      </c>
      <c r="AS29" s="214">
        <f t="shared" si="50"/>
        <v>383444249.99999988</v>
      </c>
      <c r="AT29" s="218">
        <f t="shared" si="22"/>
        <v>0.38342362366721772</v>
      </c>
      <c r="AU29" s="218">
        <f t="shared" si="23"/>
        <v>0.34490020387579168</v>
      </c>
      <c r="AV29" s="216" t="str">
        <f t="shared" si="24"/>
        <v>T+21M</v>
      </c>
      <c r="AW29" s="80"/>
      <c r="AX29" s="141"/>
      <c r="AY29" s="217">
        <f t="shared" si="47"/>
        <v>2.6786638624660188</v>
      </c>
      <c r="AZ29" s="143">
        <f t="shared" si="26"/>
        <v>2081332535.7915459</v>
      </c>
      <c r="BA29" s="143">
        <f t="shared" si="27"/>
        <v>1852038909.1644547</v>
      </c>
      <c r="BB29" s="144">
        <f t="shared" si="28"/>
        <v>2678663862.4660187</v>
      </c>
    </row>
    <row r="30" spans="1:54" x14ac:dyDescent="0.45">
      <c r="A30" s="82">
        <v>22</v>
      </c>
      <c r="B30" s="71" t="str">
        <f t="shared" si="29"/>
        <v>T+22M</v>
      </c>
      <c r="C30" s="83"/>
      <c r="D30" s="84"/>
      <c r="E30" s="84"/>
      <c r="F30" s="84"/>
      <c r="G30" s="85">
        <f>[1]STAKING_SHAPE!C32</f>
        <v>18745333.333333332</v>
      </c>
      <c r="H30" s="76">
        <f>[1]LP_SHAPE!C31</f>
        <v>10222222.222222222</v>
      </c>
      <c r="I30" s="86">
        <f t="shared" si="48"/>
        <v>945833.33333333337</v>
      </c>
      <c r="J30" s="86">
        <f t="shared" si="49"/>
        <v>1261111.111111111</v>
      </c>
      <c r="K30" s="84"/>
      <c r="L30" s="83"/>
      <c r="M30" s="80" t="str">
        <f t="shared" si="8"/>
        <v>T+22M</v>
      </c>
      <c r="N30" s="81">
        <f t="shared" si="9"/>
        <v>1180641000</v>
      </c>
      <c r="O30" s="105">
        <f t="shared" si="10"/>
        <v>1.1806410000000001</v>
      </c>
      <c r="P30" s="203">
        <f t="shared" si="30"/>
        <v>2.2597803027091367E-2</v>
      </c>
      <c r="Q30" s="204">
        <f t="shared" si="38"/>
        <v>33770833.333333328</v>
      </c>
      <c r="R30" s="205">
        <f t="shared" si="12"/>
        <v>4.0711286705707977E-2</v>
      </c>
      <c r="S30" s="205">
        <f t="shared" si="13"/>
        <v>4.5395776114865373E-2</v>
      </c>
      <c r="T30" s="206">
        <f t="shared" si="42"/>
        <v>983333.33333333337</v>
      </c>
      <c r="U30" s="206">
        <f t="shared" si="43"/>
        <v>1516666.6666666667</v>
      </c>
      <c r="V30" s="206">
        <f t="shared" si="44"/>
        <v>4545833.333333333</v>
      </c>
      <c r="W30" s="206">
        <f t="shared" si="45"/>
        <v>5917666.666666667</v>
      </c>
      <c r="X30" s="206">
        <f t="shared" si="40"/>
        <v>528999.99999999965</v>
      </c>
      <c r="Y30" s="206">
        <f t="shared" si="35"/>
        <v>20278333.333333332</v>
      </c>
      <c r="Z30" s="219">
        <f t="shared" si="36"/>
        <v>1763333.3333333321</v>
      </c>
      <c r="AA30" s="219">
        <f t="shared" si="37"/>
        <v>440833.33333333331</v>
      </c>
      <c r="AB30" s="219">
        <f t="shared" si="46"/>
        <v>19837500</v>
      </c>
      <c r="AC30" s="206"/>
      <c r="AD30" s="206"/>
      <c r="AE30" s="209">
        <f t="shared" si="14"/>
        <v>351120833.33333349</v>
      </c>
      <c r="AF30" s="209">
        <f t="shared" si="5"/>
        <v>829520166.66666651</v>
      </c>
      <c r="AG30" s="81">
        <f t="shared" si="6"/>
        <v>743920166.66666651</v>
      </c>
      <c r="AH30" s="210">
        <f t="shared" si="15"/>
        <v>1007540999.9999998</v>
      </c>
      <c r="AI30" s="211">
        <f t="shared" si="16"/>
        <v>744241031.8028748</v>
      </c>
      <c r="AJ30" s="211">
        <f t="shared" si="31"/>
        <v>798490234.08853161</v>
      </c>
      <c r="AK30" s="211">
        <f t="shared" si="17"/>
        <v>-8670144.9735919647</v>
      </c>
      <c r="AL30" s="211">
        <f t="shared" si="18"/>
        <v>234604811.30516484</v>
      </c>
      <c r="AM30" s="210">
        <f t="shared" si="32"/>
        <v>1024424900.4201045</v>
      </c>
      <c r="AN30" s="212">
        <f t="shared" si="33"/>
        <v>1.0167575318722561</v>
      </c>
      <c r="AO30" s="213" t="str">
        <f t="shared" si="34"/>
        <v>OK</v>
      </c>
      <c r="AP30" s="214">
        <f t="shared" si="19"/>
        <v>451446833.33333361</v>
      </c>
      <c r="AQ30" s="214">
        <f t="shared" si="20"/>
        <v>556094166.66666651</v>
      </c>
      <c r="AR30" s="214">
        <f t="shared" si="21"/>
        <v>590470375.00000024</v>
      </c>
      <c r="AS30" s="214">
        <f t="shared" si="50"/>
        <v>417070624.99999988</v>
      </c>
      <c r="AT30" s="218">
        <f t="shared" si="22"/>
        <v>0.38095730035566966</v>
      </c>
      <c r="AU30" s="218">
        <f t="shared" si="23"/>
        <v>0.14705742782372494</v>
      </c>
      <c r="AV30" s="216" t="str">
        <f t="shared" si="24"/>
        <v>T+22M</v>
      </c>
      <c r="AW30" s="80"/>
      <c r="AX30" s="141"/>
      <c r="AY30" s="217">
        <f t="shared" si="47"/>
        <v>2.81259705558932</v>
      </c>
      <c r="AZ30" s="143">
        <f t="shared" si="26"/>
        <v>2333105978.3186283</v>
      </c>
      <c r="BA30" s="143">
        <f t="shared" si="27"/>
        <v>2092347670.3601825</v>
      </c>
      <c r="BB30" s="144">
        <f t="shared" si="28"/>
        <v>2812597055.5893202</v>
      </c>
    </row>
    <row r="31" spans="1:54" x14ac:dyDescent="0.45">
      <c r="A31" s="82">
        <v>23</v>
      </c>
      <c r="B31" s="71" t="str">
        <f t="shared" si="29"/>
        <v>T+23M</v>
      </c>
      <c r="C31" s="83"/>
      <c r="D31" s="84"/>
      <c r="E31" s="84"/>
      <c r="F31" s="84"/>
      <c r="G31" s="85">
        <f>[1]STAKING_SHAPE!C33</f>
        <v>18745333.333333332</v>
      </c>
      <c r="H31" s="76">
        <f>[1]LP_SHAPE!C32</f>
        <v>10222222.222222222</v>
      </c>
      <c r="I31" s="86">
        <f t="shared" si="48"/>
        <v>945833.33333333337</v>
      </c>
      <c r="J31" s="86">
        <f t="shared" si="49"/>
        <v>1261111.111111111</v>
      </c>
      <c r="K31" s="84"/>
      <c r="L31" s="83"/>
      <c r="M31" s="80" t="str">
        <f t="shared" si="8"/>
        <v>T+23M</v>
      </c>
      <c r="N31" s="81">
        <f t="shared" si="9"/>
        <v>1211815500</v>
      </c>
      <c r="O31" s="105">
        <f t="shared" si="10"/>
        <v>1.2118154999999999</v>
      </c>
      <c r="P31" s="203">
        <f t="shared" si="30"/>
        <v>2.1252336921872832E-2</v>
      </c>
      <c r="Q31" s="204">
        <f t="shared" si="38"/>
        <v>33770833.333333328</v>
      </c>
      <c r="R31" s="205">
        <f t="shared" si="12"/>
        <v>3.8287349462928395E-2</v>
      </c>
      <c r="S31" s="205">
        <f t="shared" si="13"/>
        <v>4.2402426810429286E-2</v>
      </c>
      <c r="T31" s="206">
        <f t="shared" si="42"/>
        <v>983333.33333333337</v>
      </c>
      <c r="U31" s="206">
        <f t="shared" si="43"/>
        <v>1516666.6666666667</v>
      </c>
      <c r="V31" s="206">
        <f t="shared" si="44"/>
        <v>4545833.333333333</v>
      </c>
      <c r="W31" s="206">
        <f t="shared" si="45"/>
        <v>5917666.666666667</v>
      </c>
      <c r="X31" s="206">
        <f t="shared" si="40"/>
        <v>528999.99999999965</v>
      </c>
      <c r="Y31" s="206">
        <f t="shared" si="35"/>
        <v>20278333.333333332</v>
      </c>
      <c r="Z31" s="219">
        <f t="shared" si="36"/>
        <v>1763333.3333333321</v>
      </c>
      <c r="AA31" s="219">
        <f t="shared" si="37"/>
        <v>440833.33333333331</v>
      </c>
      <c r="AB31" s="219">
        <f t="shared" si="46"/>
        <v>19837500</v>
      </c>
      <c r="AC31" s="206"/>
      <c r="AD31" s="206"/>
      <c r="AE31" s="209">
        <f t="shared" si="14"/>
        <v>329779166.66666681</v>
      </c>
      <c r="AF31" s="209">
        <f t="shared" si="5"/>
        <v>882036333.33333325</v>
      </c>
      <c r="AG31" s="81">
        <f t="shared" si="6"/>
        <v>796436333.33333325</v>
      </c>
      <c r="AH31" s="210">
        <f t="shared" si="15"/>
        <v>1044965499.9999998</v>
      </c>
      <c r="AI31" s="211">
        <f t="shared" si="16"/>
        <v>770516827.26329672</v>
      </c>
      <c r="AJ31" s="211">
        <f t="shared" si="31"/>
        <v>813958910.35176039</v>
      </c>
      <c r="AK31" s="211">
        <f t="shared" si="17"/>
        <v>-2581453.3050427996</v>
      </c>
      <c r="AL31" s="211">
        <f t="shared" si="18"/>
        <v>240203974.84344178</v>
      </c>
      <c r="AM31" s="210">
        <f t="shared" si="32"/>
        <v>1051581431.8901594</v>
      </c>
      <c r="AN31" s="212">
        <f t="shared" si="33"/>
        <v>1.0063312443235299</v>
      </c>
      <c r="AO31" s="213" t="str">
        <f t="shared" si="34"/>
        <v>OK</v>
      </c>
      <c r="AP31" s="214">
        <f t="shared" si="19"/>
        <v>444036166.66666692</v>
      </c>
      <c r="AQ31" s="214">
        <f t="shared" si="20"/>
        <v>600929333.33333325</v>
      </c>
      <c r="AR31" s="214">
        <f t="shared" si="21"/>
        <v>594268500.00000024</v>
      </c>
      <c r="AS31" s="214">
        <f t="shared" si="50"/>
        <v>450696999.99999994</v>
      </c>
      <c r="AT31" s="218">
        <f t="shared" si="22"/>
        <v>0.37852250287538358</v>
      </c>
      <c r="AU31" s="218">
        <f t="shared" si="23"/>
        <v>0.13608551495424495</v>
      </c>
      <c r="AV31" s="216" t="str">
        <f t="shared" si="24"/>
        <v>T+23M</v>
      </c>
      <c r="AW31" s="80"/>
      <c r="AX31" s="141"/>
      <c r="AY31" s="217">
        <f t="shared" si="47"/>
        <v>2.9532269083687863</v>
      </c>
      <c r="AZ31" s="143">
        <f t="shared" si="26"/>
        <v>2604853433.7589402</v>
      </c>
      <c r="BA31" s="143">
        <f t="shared" si="27"/>
        <v>2352057210.4025722</v>
      </c>
      <c r="BB31" s="144">
        <f t="shared" si="28"/>
        <v>2953226908.3687863</v>
      </c>
    </row>
    <row r="32" spans="1:54" x14ac:dyDescent="0.45">
      <c r="A32" s="82">
        <v>24</v>
      </c>
      <c r="B32" s="71" t="str">
        <f t="shared" si="29"/>
        <v>T+24M</v>
      </c>
      <c r="C32" s="83"/>
      <c r="D32" s="84"/>
      <c r="E32" s="84"/>
      <c r="F32" s="84"/>
      <c r="G32" s="85">
        <f>[1]STAKING_SHAPE!C34</f>
        <v>18745333.333333332</v>
      </c>
      <c r="H32" s="76">
        <f>[1]LP_SHAPE!C33</f>
        <v>10222222.222222222</v>
      </c>
      <c r="I32" s="86">
        <f t="shared" si="48"/>
        <v>945833.33333333337</v>
      </c>
      <c r="J32" s="86">
        <f t="shared" si="49"/>
        <v>1261111.111111111</v>
      </c>
      <c r="K32" s="84"/>
      <c r="L32" s="83"/>
      <c r="M32" s="80" t="str">
        <f t="shared" si="8"/>
        <v>T+24M</v>
      </c>
      <c r="N32" s="81">
        <f t="shared" si="9"/>
        <v>1242990000</v>
      </c>
      <c r="O32" s="105">
        <f t="shared" si="10"/>
        <v>1.24299</v>
      </c>
      <c r="P32" s="203">
        <f t="shared" si="30"/>
        <v>2.005808484096221E-2</v>
      </c>
      <c r="Q32" s="204">
        <f t="shared" si="38"/>
        <v>33770833.333333328</v>
      </c>
      <c r="R32" s="205">
        <f t="shared" si="12"/>
        <v>3.613583328206102E-2</v>
      </c>
      <c r="S32" s="205">
        <f t="shared" si="13"/>
        <v>3.9779414435240294E-2</v>
      </c>
      <c r="T32" s="206">
        <f t="shared" si="42"/>
        <v>983333.33333333337</v>
      </c>
      <c r="U32" s="206">
        <f t="shared" si="43"/>
        <v>1516666.6666666667</v>
      </c>
      <c r="V32" s="206">
        <f t="shared" si="44"/>
        <v>4545833.333333333</v>
      </c>
      <c r="W32" s="206">
        <f t="shared" si="45"/>
        <v>5917666.666666667</v>
      </c>
      <c r="X32" s="206">
        <f t="shared" si="40"/>
        <v>528999.99999999965</v>
      </c>
      <c r="Y32" s="206">
        <f t="shared" si="35"/>
        <v>20278333.333333332</v>
      </c>
      <c r="Z32" s="219">
        <f t="shared" si="36"/>
        <v>1763333.3333333321</v>
      </c>
      <c r="AA32" s="219">
        <f t="shared" si="37"/>
        <v>440833.33333333331</v>
      </c>
      <c r="AB32" s="219">
        <f t="shared" si="46"/>
        <v>19837500</v>
      </c>
      <c r="AC32" s="206"/>
      <c r="AD32" s="206"/>
      <c r="AE32" s="209">
        <f t="shared" si="14"/>
        <v>308437500.00000012</v>
      </c>
      <c r="AF32" s="209">
        <f t="shared" si="5"/>
        <v>934552499.99999988</v>
      </c>
      <c r="AG32" s="81">
        <f t="shared" si="6"/>
        <v>848952499.99999988</v>
      </c>
      <c r="AH32" s="210">
        <f t="shared" si="15"/>
        <v>1082389999.9999998</v>
      </c>
      <c r="AI32" s="211">
        <f t="shared" si="16"/>
        <v>796768072.04258335</v>
      </c>
      <c r="AJ32" s="211">
        <f t="shared" si="31"/>
        <v>829127306.38485205</v>
      </c>
      <c r="AK32" s="211">
        <f t="shared" si="17"/>
        <v>3622238.75207539</v>
      </c>
      <c r="AL32" s="211">
        <f t="shared" si="18"/>
        <v>245747257.68413392</v>
      </c>
      <c r="AM32" s="210">
        <f t="shared" si="32"/>
        <v>1078496802.8210614</v>
      </c>
      <c r="AN32" s="212">
        <f t="shared" si="33"/>
        <v>0.996403147498648</v>
      </c>
      <c r="AO32" s="213" t="str">
        <f t="shared" si="34"/>
        <v>OK</v>
      </c>
      <c r="AP32" s="214">
        <f t="shared" si="19"/>
        <v>436625500.00000024</v>
      </c>
      <c r="AQ32" s="214">
        <f t="shared" si="20"/>
        <v>645764500</v>
      </c>
      <c r="AR32" s="214">
        <f t="shared" si="21"/>
        <v>598066625.00000024</v>
      </c>
      <c r="AS32" s="214">
        <f t="shared" si="50"/>
        <v>484323375</v>
      </c>
      <c r="AT32" s="218">
        <f t="shared" si="22"/>
        <v>0.37611863059571315</v>
      </c>
      <c r="AU32" s="218">
        <f t="shared" si="23"/>
        <v>0.12663715298344486</v>
      </c>
      <c r="AV32" s="216" t="str">
        <f t="shared" si="24"/>
        <v>T+24M</v>
      </c>
      <c r="AW32" s="80"/>
      <c r="AX32" s="141"/>
      <c r="AY32" s="217">
        <f t="shared" si="47"/>
        <v>3.1008882537872258</v>
      </c>
      <c r="AZ32" s="143">
        <f t="shared" si="26"/>
        <v>2897942869.7974858</v>
      </c>
      <c r="BA32" s="143">
        <f t="shared" si="27"/>
        <v>2632506835.2732992</v>
      </c>
      <c r="BB32" s="144">
        <f t="shared" si="28"/>
        <v>3100888253.7872257</v>
      </c>
    </row>
    <row r="33" spans="1:54" x14ac:dyDescent="0.45">
      <c r="A33" s="82">
        <v>25</v>
      </c>
      <c r="B33" s="71" t="str">
        <f t="shared" si="29"/>
        <v>T+25M</v>
      </c>
      <c r="C33" s="83"/>
      <c r="D33" s="84"/>
      <c r="E33" s="84"/>
      <c r="F33" s="84"/>
      <c r="G33" s="85">
        <f>[1]STAKING_SHAPE!C35</f>
        <v>5513333.333333333</v>
      </c>
      <c r="H33" s="76">
        <f>[1]LP_SHAPE!C34</f>
        <v>10222222.222222222</v>
      </c>
      <c r="I33" s="86">
        <f t="shared" si="48"/>
        <v>945833.33333333337</v>
      </c>
      <c r="J33" s="86">
        <f t="shared" si="49"/>
        <v>1261111.111111111</v>
      </c>
      <c r="K33" s="84"/>
      <c r="L33" s="83"/>
      <c r="M33" s="80" t="str">
        <f t="shared" si="8"/>
        <v>T+25M</v>
      </c>
      <c r="N33" s="81">
        <f t="shared" si="9"/>
        <v>1260932500</v>
      </c>
      <c r="O33" s="105">
        <f t="shared" si="10"/>
        <v>1.2609325</v>
      </c>
      <c r="P33" s="203">
        <f t="shared" si="30"/>
        <v>5.688569723671019E-3</v>
      </c>
      <c r="Q33" s="204">
        <f t="shared" si="38"/>
        <v>29129166.666666664</v>
      </c>
      <c r="R33" s="205">
        <f t="shared" si="12"/>
        <v>3.0055011289437796E-2</v>
      </c>
      <c r="S33" s="205">
        <f t="shared" si="13"/>
        <v>3.296664950193999E-2</v>
      </c>
      <c r="T33" s="206"/>
      <c r="U33" s="206">
        <f t="shared" si="43"/>
        <v>1516666.6666666667</v>
      </c>
      <c r="V33" s="206">
        <f t="shared" si="44"/>
        <v>4545833.333333333</v>
      </c>
      <c r="W33" s="206">
        <f t="shared" ref="W33:W42" si="51">(Z33*$X$5)</f>
        <v>572444.4444444445</v>
      </c>
      <c r="X33" s="206">
        <f t="shared" si="40"/>
        <v>245333.33333333337</v>
      </c>
      <c r="Y33" s="206">
        <f t="shared" si="35"/>
        <v>20041944.444444444</v>
      </c>
      <c r="Z33" s="219">
        <f t="shared" si="36"/>
        <v>817777.77777777798</v>
      </c>
      <c r="AA33" s="219">
        <f t="shared" si="37"/>
        <v>204444.44444444447</v>
      </c>
      <c r="AB33" s="219">
        <f t="shared" si="46"/>
        <v>19837500</v>
      </c>
      <c r="AC33" s="220">
        <f t="shared" ref="AC33:AD54" si="52">I21</f>
        <v>945833.33333333337</v>
      </c>
      <c r="AD33" s="220">
        <f t="shared" si="52"/>
        <v>1261111.111111111</v>
      </c>
      <c r="AE33" s="209">
        <f t="shared" si="14"/>
        <v>291737500.00000006</v>
      </c>
      <c r="AF33" s="209">
        <f t="shared" si="5"/>
        <v>969195000</v>
      </c>
      <c r="AG33" s="81">
        <f t="shared" si="6"/>
        <v>883595000</v>
      </c>
      <c r="AH33" s="210">
        <f t="shared" si="15"/>
        <v>1106582499.9999998</v>
      </c>
      <c r="AI33" s="211">
        <f t="shared" si="16"/>
        <v>813255709.28873444</v>
      </c>
      <c r="AJ33" s="211">
        <f t="shared" si="31"/>
        <v>833878258.90591729</v>
      </c>
      <c r="AK33" s="211">
        <f t="shared" si="17"/>
        <v>9890689.2270918898</v>
      </c>
      <c r="AL33" s="211">
        <f t="shared" si="18"/>
        <v>247571456.62313688</v>
      </c>
      <c r="AM33" s="210">
        <f t="shared" si="32"/>
        <v>1091340404.756146</v>
      </c>
      <c r="AN33" s="212">
        <f t="shared" si="33"/>
        <v>0.98622597479731167</v>
      </c>
      <c r="AO33" s="213" t="str">
        <f t="shared" si="34"/>
        <v>OK</v>
      </c>
      <c r="AP33" s="214">
        <f t="shared" si="19"/>
        <v>427565722.22222245</v>
      </c>
      <c r="AQ33" s="214">
        <f t="shared" si="20"/>
        <v>679016777.77777791</v>
      </c>
      <c r="AR33" s="214">
        <f t="shared" si="21"/>
        <v>597319916.66666698</v>
      </c>
      <c r="AS33" s="214">
        <f t="shared" si="50"/>
        <v>509262583.33333343</v>
      </c>
      <c r="AT33" s="218">
        <f t="shared" si="22"/>
        <v>0.11076141637667916</v>
      </c>
      <c r="AU33" s="218">
        <f t="shared" si="23"/>
        <v>0.12043557752050307</v>
      </c>
      <c r="AV33" s="216" t="str">
        <f t="shared" si="24"/>
        <v>T+25M</v>
      </c>
      <c r="AW33" s="80"/>
      <c r="AX33" s="141"/>
      <c r="AY33" s="217">
        <f>AY32*(1+$BA$5)</f>
        <v>3.1008882537872258</v>
      </c>
      <c r="AZ33" s="143">
        <f t="shared" si="26"/>
        <v>3005365391.1293101</v>
      </c>
      <c r="BA33" s="143">
        <f t="shared" si="27"/>
        <v>2739929356.6051235</v>
      </c>
      <c r="BB33" s="144">
        <f t="shared" si="28"/>
        <v>3100888253.7872257</v>
      </c>
    </row>
    <row r="34" spans="1:54" x14ac:dyDescent="0.45">
      <c r="A34" s="82">
        <v>26</v>
      </c>
      <c r="B34" s="71" t="str">
        <f t="shared" si="29"/>
        <v>T+26M</v>
      </c>
      <c r="C34" s="83"/>
      <c r="D34" s="84"/>
      <c r="E34" s="84"/>
      <c r="F34" s="84"/>
      <c r="G34" s="85">
        <f>[1]STAKING_SHAPE!C36</f>
        <v>5513333.333333333</v>
      </c>
      <c r="H34" s="76">
        <f>[1]LP_SHAPE!C35</f>
        <v>10222222.222222222</v>
      </c>
      <c r="I34" s="86">
        <f t="shared" si="48"/>
        <v>945833.33333333337</v>
      </c>
      <c r="J34" s="86">
        <f t="shared" si="49"/>
        <v>1261111.111111111</v>
      </c>
      <c r="K34" s="84"/>
      <c r="L34" s="83"/>
      <c r="M34" s="80" t="str">
        <f t="shared" si="8"/>
        <v>T+26M</v>
      </c>
      <c r="N34" s="81">
        <f t="shared" si="9"/>
        <v>1278875000</v>
      </c>
      <c r="O34" s="105">
        <f t="shared" si="10"/>
        <v>1.278875</v>
      </c>
      <c r="P34" s="203">
        <f t="shared" si="30"/>
        <v>5.4922567978715016E-3</v>
      </c>
      <c r="Q34" s="204">
        <f t="shared" si="38"/>
        <v>29129166.666666664</v>
      </c>
      <c r="R34" s="205">
        <f t="shared" si="12"/>
        <v>2.9017810817653918E-2</v>
      </c>
      <c r="S34" s="205">
        <f t="shared" si="13"/>
        <v>3.1722911193091834E-2</v>
      </c>
      <c r="T34" s="206"/>
      <c r="U34" s="206">
        <f t="shared" si="43"/>
        <v>1516666.6666666667</v>
      </c>
      <c r="V34" s="206">
        <f t="shared" si="44"/>
        <v>4545833.333333333</v>
      </c>
      <c r="W34" s="206">
        <f t="shared" si="51"/>
        <v>572444.4444444445</v>
      </c>
      <c r="X34" s="206">
        <f t="shared" si="40"/>
        <v>245333.33333333337</v>
      </c>
      <c r="Y34" s="206">
        <f t="shared" si="35"/>
        <v>20041944.444444444</v>
      </c>
      <c r="Z34" s="219">
        <f t="shared" si="36"/>
        <v>817777.77777777798</v>
      </c>
      <c r="AA34" s="219">
        <f t="shared" si="37"/>
        <v>204444.44444444447</v>
      </c>
      <c r="AB34" s="219">
        <f t="shared" si="46"/>
        <v>19837500</v>
      </c>
      <c r="AC34" s="220">
        <f t="shared" si="52"/>
        <v>945833.33333333337</v>
      </c>
      <c r="AD34" s="220">
        <f t="shared" si="52"/>
        <v>1261111.111111111</v>
      </c>
      <c r="AE34" s="209">
        <f t="shared" si="14"/>
        <v>275037500.00000006</v>
      </c>
      <c r="AF34" s="209">
        <f t="shared" si="5"/>
        <v>1003837500</v>
      </c>
      <c r="AG34" s="81">
        <f t="shared" si="6"/>
        <v>918237500</v>
      </c>
      <c r="AH34" s="210">
        <f t="shared" si="15"/>
        <v>1130774999.9999998</v>
      </c>
      <c r="AI34" s="211">
        <f t="shared" si="16"/>
        <v>829736765.2727772</v>
      </c>
      <c r="AJ34" s="211">
        <f t="shared" si="31"/>
        <v>838534710.99544334</v>
      </c>
      <c r="AK34" s="211">
        <f t="shared" si="17"/>
        <v>16189967.673665341</v>
      </c>
      <c r="AL34" s="211">
        <f t="shared" si="18"/>
        <v>249377377.97886649</v>
      </c>
      <c r="AM34" s="210">
        <f t="shared" si="32"/>
        <v>1104102056.6479752</v>
      </c>
      <c r="AN34" s="212">
        <f t="shared" si="33"/>
        <v>0.97641180309785358</v>
      </c>
      <c r="AO34" s="213" t="str">
        <f t="shared" si="34"/>
        <v>OK</v>
      </c>
      <c r="AP34" s="214">
        <f t="shared" si="19"/>
        <v>418505944.44444466</v>
      </c>
      <c r="AQ34" s="214">
        <f t="shared" si="20"/>
        <v>712269055.55555582</v>
      </c>
      <c r="AR34" s="214">
        <f t="shared" si="21"/>
        <v>596573208.33333361</v>
      </c>
      <c r="AS34" s="214">
        <f t="shared" si="50"/>
        <v>534201791.66666687</v>
      </c>
      <c r="AT34" s="218">
        <f t="shared" si="22"/>
        <v>0.11090005229171015</v>
      </c>
      <c r="AU34" s="218">
        <f t="shared" si="23"/>
        <v>0.11481304310488782</v>
      </c>
      <c r="AV34" s="216" t="str">
        <f t="shared" si="24"/>
        <v>T+26M</v>
      </c>
      <c r="AW34" s="80"/>
      <c r="AX34" s="141"/>
      <c r="AY34" s="217">
        <f t="shared" ref="AY34:AY56" si="53">AY33*(1+$BA$5)</f>
        <v>3.1008882537872258</v>
      </c>
      <c r="AZ34" s="143">
        <f t="shared" si="26"/>
        <v>3112787912.4611344</v>
      </c>
      <c r="BA34" s="143">
        <f t="shared" si="27"/>
        <v>2847351877.9369478</v>
      </c>
      <c r="BB34" s="144">
        <f t="shared" si="28"/>
        <v>3100888253.7872257</v>
      </c>
    </row>
    <row r="35" spans="1:54" x14ac:dyDescent="0.45">
      <c r="A35" s="82">
        <v>27</v>
      </c>
      <c r="B35" s="71" t="str">
        <f t="shared" si="29"/>
        <v>T+27M</v>
      </c>
      <c r="C35" s="83"/>
      <c r="D35" s="84"/>
      <c r="E35" s="84"/>
      <c r="F35" s="84"/>
      <c r="G35" s="85">
        <f>[1]STAKING_SHAPE!C37</f>
        <v>5513333.333333333</v>
      </c>
      <c r="H35" s="76">
        <f>[1]LP_SHAPE!C36</f>
        <v>10222222.222222222</v>
      </c>
      <c r="I35" s="86">
        <f t="shared" si="48"/>
        <v>945833.33333333337</v>
      </c>
      <c r="J35" s="86">
        <f t="shared" si="49"/>
        <v>1261111.111111111</v>
      </c>
      <c r="K35" s="84"/>
      <c r="L35" s="83"/>
      <c r="M35" s="80" t="str">
        <f t="shared" si="8"/>
        <v>T+27M</v>
      </c>
      <c r="N35" s="81">
        <f t="shared" si="9"/>
        <v>1296817500</v>
      </c>
      <c r="O35" s="105">
        <f t="shared" si="10"/>
        <v>1.2968175</v>
      </c>
      <c r="P35" s="203">
        <f t="shared" si="30"/>
        <v>5.3090414195105665E-3</v>
      </c>
      <c r="Q35" s="204">
        <f t="shared" si="38"/>
        <v>29129166.666666664</v>
      </c>
      <c r="R35" s="205">
        <f t="shared" si="12"/>
        <v>2.8049809978686797E-2</v>
      </c>
      <c r="S35" s="205">
        <f t="shared" si="13"/>
        <v>3.0569606526180279E-2</v>
      </c>
      <c r="T35" s="206"/>
      <c r="U35" s="206">
        <f t="shared" si="43"/>
        <v>1516666.6666666667</v>
      </c>
      <c r="V35" s="206">
        <f t="shared" si="44"/>
        <v>4545833.333333333</v>
      </c>
      <c r="W35" s="206">
        <f t="shared" si="51"/>
        <v>572444.4444444445</v>
      </c>
      <c r="X35" s="206">
        <f t="shared" si="40"/>
        <v>245333.33333333337</v>
      </c>
      <c r="Y35" s="206">
        <f t="shared" si="35"/>
        <v>20041944.444444444</v>
      </c>
      <c r="Z35" s="219">
        <f t="shared" si="36"/>
        <v>817777.77777777798</v>
      </c>
      <c r="AA35" s="219">
        <f t="shared" si="37"/>
        <v>204444.44444444447</v>
      </c>
      <c r="AB35" s="219">
        <f t="shared" si="46"/>
        <v>19837500</v>
      </c>
      <c r="AC35" s="220">
        <f t="shared" si="52"/>
        <v>945833.33333333337</v>
      </c>
      <c r="AD35" s="220">
        <f t="shared" si="52"/>
        <v>1261111.111111111</v>
      </c>
      <c r="AE35" s="209">
        <f t="shared" si="14"/>
        <v>258337500.00000006</v>
      </c>
      <c r="AF35" s="209">
        <f t="shared" si="5"/>
        <v>1038480000</v>
      </c>
      <c r="AG35" s="81">
        <f t="shared" si="6"/>
        <v>952880000</v>
      </c>
      <c r="AH35" s="210">
        <f t="shared" si="15"/>
        <v>1154967499.9999998</v>
      </c>
      <c r="AI35" s="211">
        <f t="shared" si="16"/>
        <v>846211489.51355958</v>
      </c>
      <c r="AJ35" s="211">
        <f t="shared" si="31"/>
        <v>843101552.49944913</v>
      </c>
      <c r="AK35" s="211">
        <f t="shared" si="17"/>
        <v>22518905.294713568</v>
      </c>
      <c r="AL35" s="211">
        <f t="shared" si="18"/>
        <v>251165714.71894017</v>
      </c>
      <c r="AM35" s="210">
        <f t="shared" si="32"/>
        <v>1116786172.513103</v>
      </c>
      <c r="AN35" s="212">
        <f t="shared" si="33"/>
        <v>0.9669416433909207</v>
      </c>
      <c r="AO35" s="213" t="str">
        <f t="shared" si="34"/>
        <v>OK</v>
      </c>
      <c r="AP35" s="214">
        <f t="shared" si="19"/>
        <v>409446166.66666687</v>
      </c>
      <c r="AQ35" s="214">
        <f t="shared" si="20"/>
        <v>745521333.33333373</v>
      </c>
      <c r="AR35" s="214">
        <f t="shared" si="21"/>
        <v>595826500.00000024</v>
      </c>
      <c r="AS35" s="214">
        <f t="shared" si="50"/>
        <v>559141000.00000024</v>
      </c>
      <c r="AT35" s="218">
        <f t="shared" si="22"/>
        <v>0.11103903569243727</v>
      </c>
      <c r="AU35" s="218">
        <f t="shared" si="23"/>
        <v>0.10969206932300316</v>
      </c>
      <c r="AV35" s="216" t="str">
        <f t="shared" si="24"/>
        <v>T+27M</v>
      </c>
      <c r="AW35" s="80"/>
      <c r="AX35" s="141"/>
      <c r="AY35" s="217">
        <f t="shared" si="53"/>
        <v>3.1008882537872258</v>
      </c>
      <c r="AZ35" s="143">
        <f t="shared" si="26"/>
        <v>3220210433.7929583</v>
      </c>
      <c r="BA35" s="143">
        <f t="shared" si="27"/>
        <v>2954774399.2687716</v>
      </c>
      <c r="BB35" s="144">
        <f t="shared" si="28"/>
        <v>3100888253.7872257</v>
      </c>
    </row>
    <row r="36" spans="1:54" x14ac:dyDescent="0.45">
      <c r="A36" s="82">
        <v>28</v>
      </c>
      <c r="B36" s="71" t="str">
        <f t="shared" si="29"/>
        <v>T+28M</v>
      </c>
      <c r="C36" s="83"/>
      <c r="D36" s="84"/>
      <c r="E36" s="84"/>
      <c r="F36" s="87"/>
      <c r="G36" s="85">
        <f>[1]STAKING_SHAPE!C38</f>
        <v>5513333.333333333</v>
      </c>
      <c r="H36" s="76">
        <f>[1]LP_SHAPE!C37</f>
        <v>10222222.222222222</v>
      </c>
      <c r="I36" s="86">
        <f t="shared" si="48"/>
        <v>945833.33333333337</v>
      </c>
      <c r="J36" s="86">
        <f t="shared" si="49"/>
        <v>1261111.111111111</v>
      </c>
      <c r="K36" s="87"/>
      <c r="L36" s="83"/>
      <c r="M36" s="80" t="str">
        <f t="shared" si="8"/>
        <v>T+28M</v>
      </c>
      <c r="N36" s="81">
        <f t="shared" si="9"/>
        <v>1314760000</v>
      </c>
      <c r="O36" s="105">
        <f t="shared" si="10"/>
        <v>1.3147599999999999</v>
      </c>
      <c r="P36" s="203">
        <f t="shared" si="30"/>
        <v>5.1376551449935429E-3</v>
      </c>
      <c r="Q36" s="204">
        <f t="shared" si="38"/>
        <v>29129166.666666664</v>
      </c>
      <c r="R36" s="205">
        <f t="shared" si="12"/>
        <v>2.7144307072740216E-2</v>
      </c>
      <c r="S36" s="205">
        <f t="shared" si="13"/>
        <v>2.9497218206842542E-2</v>
      </c>
      <c r="T36" s="206"/>
      <c r="U36" s="206">
        <f t="shared" si="43"/>
        <v>1516666.6666666667</v>
      </c>
      <c r="V36" s="206">
        <f t="shared" si="44"/>
        <v>4545833.333333333</v>
      </c>
      <c r="W36" s="206">
        <f t="shared" si="51"/>
        <v>572444.4444444445</v>
      </c>
      <c r="X36" s="206">
        <f t="shared" si="40"/>
        <v>245333.33333333337</v>
      </c>
      <c r="Y36" s="206">
        <f t="shared" si="35"/>
        <v>20041944.444444444</v>
      </c>
      <c r="Z36" s="219">
        <f t="shared" si="36"/>
        <v>817777.77777777798</v>
      </c>
      <c r="AA36" s="219">
        <f t="shared" si="37"/>
        <v>204444.44444444447</v>
      </c>
      <c r="AB36" s="219">
        <f t="shared" si="46"/>
        <v>19837500</v>
      </c>
      <c r="AC36" s="220">
        <f t="shared" si="52"/>
        <v>945833.33333333337</v>
      </c>
      <c r="AD36" s="220">
        <f t="shared" si="52"/>
        <v>1261111.111111111</v>
      </c>
      <c r="AE36" s="209">
        <f t="shared" si="14"/>
        <v>241637500.00000006</v>
      </c>
      <c r="AF36" s="209">
        <f t="shared" si="5"/>
        <v>1073122500</v>
      </c>
      <c r="AG36" s="81">
        <f t="shared" si="6"/>
        <v>987522500</v>
      </c>
      <c r="AH36" s="210">
        <f t="shared" si="15"/>
        <v>1179159999.9999998</v>
      </c>
      <c r="AI36" s="211">
        <f t="shared" si="16"/>
        <v>862680117.04140615</v>
      </c>
      <c r="AJ36" s="211">
        <f t="shared" si="31"/>
        <v>847583218.10671771</v>
      </c>
      <c r="AK36" s="211">
        <f t="shared" si="17"/>
        <v>28876401.160347469</v>
      </c>
      <c r="AL36" s="211">
        <f t="shared" si="18"/>
        <v>252937119.57322335</v>
      </c>
      <c r="AM36" s="210">
        <f t="shared" si="32"/>
        <v>1129396738.8402886</v>
      </c>
      <c r="AN36" s="212">
        <f t="shared" si="33"/>
        <v>0.95779770246640727</v>
      </c>
      <c r="AO36" s="213" t="str">
        <f t="shared" si="34"/>
        <v>OK</v>
      </c>
      <c r="AP36" s="214">
        <f t="shared" si="19"/>
        <v>400386388.88888907</v>
      </c>
      <c r="AQ36" s="214">
        <f t="shared" si="20"/>
        <v>778773611.11111164</v>
      </c>
      <c r="AR36" s="214">
        <f t="shared" si="21"/>
        <v>595079791.66666698</v>
      </c>
      <c r="AS36" s="214">
        <f t="shared" si="50"/>
        <v>584080208.33333373</v>
      </c>
      <c r="AT36" s="218">
        <f t="shared" si="22"/>
        <v>0.11117836788693947</v>
      </c>
      <c r="AU36" s="218">
        <f t="shared" si="23"/>
        <v>0.10500840887649199</v>
      </c>
      <c r="AV36" s="216" t="str">
        <f t="shared" si="24"/>
        <v>T+28M</v>
      </c>
      <c r="AW36" s="80"/>
      <c r="AX36" s="141"/>
      <c r="AY36" s="217">
        <f t="shared" si="53"/>
        <v>3.1008882537872258</v>
      </c>
      <c r="AZ36" s="143">
        <f t="shared" si="26"/>
        <v>3327632955.1247821</v>
      </c>
      <c r="BA36" s="143">
        <f t="shared" si="27"/>
        <v>3062196920.6005955</v>
      </c>
      <c r="BB36" s="144">
        <f t="shared" si="28"/>
        <v>3100888253.7872257</v>
      </c>
    </row>
    <row r="37" spans="1:54" x14ac:dyDescent="0.45">
      <c r="A37" s="82">
        <v>29</v>
      </c>
      <c r="B37" s="71" t="str">
        <f t="shared" si="29"/>
        <v>T+29M</v>
      </c>
      <c r="C37" s="83"/>
      <c r="D37" s="84"/>
      <c r="E37" s="84"/>
      <c r="F37" s="87"/>
      <c r="G37" s="85">
        <f>[1]STAKING_SHAPE!C39</f>
        <v>5513333.333333333</v>
      </c>
      <c r="H37" s="76">
        <f>[1]LP_SHAPE!C38</f>
        <v>10222222.222222222</v>
      </c>
      <c r="I37" s="86">
        <f t="shared" si="48"/>
        <v>945833.33333333337</v>
      </c>
      <c r="J37" s="86">
        <f t="shared" si="49"/>
        <v>1261111.111111111</v>
      </c>
      <c r="K37" s="87"/>
      <c r="L37" s="83"/>
      <c r="M37" s="80" t="str">
        <f t="shared" si="8"/>
        <v>T+29M</v>
      </c>
      <c r="N37" s="81">
        <f t="shared" si="9"/>
        <v>1332702500</v>
      </c>
      <c r="O37" s="105">
        <f t="shared" si="10"/>
        <v>1.3327024999999999</v>
      </c>
      <c r="P37" s="203">
        <f t="shared" si="30"/>
        <v>4.9769881999641918E-3</v>
      </c>
      <c r="Q37" s="204">
        <f t="shared" si="38"/>
        <v>29129166.666666664</v>
      </c>
      <c r="R37" s="205">
        <f t="shared" si="12"/>
        <v>2.6295438713686264E-2</v>
      </c>
      <c r="S37" s="205">
        <f t="shared" si="13"/>
        <v>2.8497519154604849E-2</v>
      </c>
      <c r="T37" s="206"/>
      <c r="U37" s="206">
        <f t="shared" si="43"/>
        <v>1516666.6666666667</v>
      </c>
      <c r="V37" s="206">
        <f t="shared" si="44"/>
        <v>4545833.333333333</v>
      </c>
      <c r="W37" s="206">
        <f t="shared" si="51"/>
        <v>572444.4444444445</v>
      </c>
      <c r="X37" s="206">
        <f t="shared" si="40"/>
        <v>245333.33333333337</v>
      </c>
      <c r="Y37" s="206">
        <f t="shared" si="35"/>
        <v>20041944.444444444</v>
      </c>
      <c r="Z37" s="219">
        <f t="shared" si="36"/>
        <v>817777.77777777798</v>
      </c>
      <c r="AA37" s="219">
        <f t="shared" si="37"/>
        <v>204444.44444444447</v>
      </c>
      <c r="AB37" s="219">
        <f t="shared" si="46"/>
        <v>19837500</v>
      </c>
      <c r="AC37" s="220">
        <f t="shared" si="52"/>
        <v>945833.33333333337</v>
      </c>
      <c r="AD37" s="220">
        <f t="shared" si="52"/>
        <v>1261111.111111111</v>
      </c>
      <c r="AE37" s="209">
        <f t="shared" si="14"/>
        <v>224937500.00000006</v>
      </c>
      <c r="AF37" s="209">
        <f t="shared" si="5"/>
        <v>1107765000</v>
      </c>
      <c r="AG37" s="81">
        <f t="shared" si="6"/>
        <v>1022165000</v>
      </c>
      <c r="AH37" s="210">
        <f t="shared" si="15"/>
        <v>1203352499.9999998</v>
      </c>
      <c r="AI37" s="211">
        <f t="shared" si="16"/>
        <v>879142869.51940322</v>
      </c>
      <c r="AJ37" s="211">
        <f t="shared" si="31"/>
        <v>851983751.217893</v>
      </c>
      <c r="AK37" s="211">
        <f t="shared" si="17"/>
        <v>35261416.955544092</v>
      </c>
      <c r="AL37" s="211">
        <f t="shared" si="18"/>
        <v>254692208.14787945</v>
      </c>
      <c r="AM37" s="210">
        <f t="shared" si="32"/>
        <v>1141937376.3213165</v>
      </c>
      <c r="AN37" s="212">
        <f t="shared" si="33"/>
        <v>0.9489633140092506</v>
      </c>
      <c r="AO37" s="213" t="str">
        <f t="shared" si="34"/>
        <v>OK</v>
      </c>
      <c r="AP37" s="214">
        <f t="shared" si="19"/>
        <v>391326611.11111128</v>
      </c>
      <c r="AQ37" s="214">
        <f t="shared" si="20"/>
        <v>812025888.88888955</v>
      </c>
      <c r="AR37" s="214">
        <f t="shared" si="21"/>
        <v>594333083.33333373</v>
      </c>
      <c r="AS37" s="214">
        <f t="shared" si="50"/>
        <v>609019416.66666722</v>
      </c>
      <c r="AT37" s="218">
        <f t="shared" si="22"/>
        <v>0.11131805018986959</v>
      </c>
      <c r="AU37" s="218">
        <f t="shared" si="23"/>
        <v>0.10070833811675124</v>
      </c>
      <c r="AV37" s="216" t="str">
        <f t="shared" si="24"/>
        <v>T+29M</v>
      </c>
      <c r="AW37" s="80"/>
      <c r="AX37" s="141"/>
      <c r="AY37" s="217">
        <f t="shared" si="53"/>
        <v>3.1008882537872258</v>
      </c>
      <c r="AZ37" s="143">
        <f t="shared" si="26"/>
        <v>3435055476.4566064</v>
      </c>
      <c r="BA37" s="143">
        <f t="shared" si="27"/>
        <v>3169619441.9324198</v>
      </c>
      <c r="BB37" s="144">
        <f t="shared" si="28"/>
        <v>3100888253.7872257</v>
      </c>
    </row>
    <row r="38" spans="1:54" x14ac:dyDescent="0.45">
      <c r="A38" s="82">
        <v>30</v>
      </c>
      <c r="B38" s="71" t="str">
        <f t="shared" si="29"/>
        <v>T+30M</v>
      </c>
      <c r="C38" s="83"/>
      <c r="D38" s="84"/>
      <c r="E38" s="84"/>
      <c r="F38" s="87"/>
      <c r="G38" s="85">
        <f>[1]STAKING_SHAPE!C40</f>
        <v>5513333.333333333</v>
      </c>
      <c r="H38" s="76">
        <f>[1]LP_SHAPE!C39</f>
        <v>10222222.222222222</v>
      </c>
      <c r="I38" s="86">
        <f t="shared" si="48"/>
        <v>945833.33333333337</v>
      </c>
      <c r="J38" s="86">
        <f t="shared" si="49"/>
        <v>1261111.111111111</v>
      </c>
      <c r="K38" s="84"/>
      <c r="L38" s="83"/>
      <c r="M38" s="80" t="str">
        <f t="shared" si="8"/>
        <v>T+30M</v>
      </c>
      <c r="N38" s="81">
        <f t="shared" si="9"/>
        <v>1350645000</v>
      </c>
      <c r="O38" s="105">
        <f t="shared" si="10"/>
        <v>1.3506450000000001</v>
      </c>
      <c r="P38" s="203">
        <f t="shared" si="30"/>
        <v>4.8260654217810485E-3</v>
      </c>
      <c r="Q38" s="204">
        <f t="shared" si="38"/>
        <v>29129166.666666664</v>
      </c>
      <c r="R38" s="205">
        <f t="shared" si="12"/>
        <v>2.5498052723451715E-2</v>
      </c>
      <c r="S38" s="205">
        <f t="shared" si="13"/>
        <v>2.756336103468859E-2</v>
      </c>
      <c r="T38" s="206"/>
      <c r="U38" s="206">
        <f t="shared" si="43"/>
        <v>1516666.6666666667</v>
      </c>
      <c r="V38" s="206">
        <f t="shared" si="44"/>
        <v>4545833.333333333</v>
      </c>
      <c r="W38" s="206">
        <f t="shared" si="51"/>
        <v>572444.4444444445</v>
      </c>
      <c r="X38" s="206">
        <f t="shared" si="40"/>
        <v>245333.33333333337</v>
      </c>
      <c r="Y38" s="206">
        <f t="shared" si="35"/>
        <v>20041944.444444444</v>
      </c>
      <c r="Z38" s="219">
        <f t="shared" si="36"/>
        <v>817777.77777777798</v>
      </c>
      <c r="AA38" s="219">
        <f t="shared" si="37"/>
        <v>204444.44444444447</v>
      </c>
      <c r="AB38" s="219">
        <f t="shared" si="46"/>
        <v>19837500</v>
      </c>
      <c r="AC38" s="220">
        <f t="shared" si="52"/>
        <v>945833.33333333337</v>
      </c>
      <c r="AD38" s="220">
        <f t="shared" si="52"/>
        <v>1261111.111111111</v>
      </c>
      <c r="AE38" s="209">
        <f t="shared" si="14"/>
        <v>208237500.00000006</v>
      </c>
      <c r="AF38" s="209">
        <f t="shared" si="5"/>
        <v>1142407500</v>
      </c>
      <c r="AG38" s="81">
        <f t="shared" si="6"/>
        <v>1056807500</v>
      </c>
      <c r="AH38" s="210">
        <f t="shared" si="15"/>
        <v>1227544999.9999998</v>
      </c>
      <c r="AI38" s="211">
        <f t="shared" si="16"/>
        <v>895599956.25710785</v>
      </c>
      <c r="AJ38" s="211">
        <f t="shared" si="31"/>
        <v>856306855.94010019</v>
      </c>
      <c r="AK38" s="211">
        <f t="shared" si="17"/>
        <v>41672972.231725894</v>
      </c>
      <c r="AL38" s="211">
        <f t="shared" si="18"/>
        <v>256431561.74065906</v>
      </c>
      <c r="AM38" s="210">
        <f t="shared" si="32"/>
        <v>1154411389.9124851</v>
      </c>
      <c r="AN38" s="212">
        <f t="shared" si="33"/>
        <v>0.94042286833679034</v>
      </c>
      <c r="AO38" s="213" t="str">
        <f t="shared" si="34"/>
        <v>OK</v>
      </c>
      <c r="AP38" s="214">
        <f t="shared" si="19"/>
        <v>382266833.33333349</v>
      </c>
      <c r="AQ38" s="214">
        <f t="shared" si="20"/>
        <v>845278166.66666746</v>
      </c>
      <c r="AR38" s="214">
        <f t="shared" si="21"/>
        <v>593586375.00000036</v>
      </c>
      <c r="AS38" s="214">
        <f t="shared" si="50"/>
        <v>633958625.0000006</v>
      </c>
      <c r="AT38" s="218">
        <f t="shared" si="22"/>
        <v>0.11145808392249562</v>
      </c>
      <c r="AU38" s="218">
        <f t="shared" si="23"/>
        <v>9.6746587103114609E-2</v>
      </c>
      <c r="AV38" s="216" t="str">
        <f t="shared" si="24"/>
        <v>T+30M</v>
      </c>
      <c r="AW38" s="80"/>
      <c r="AX38" s="141"/>
      <c r="AY38" s="217">
        <f t="shared" si="53"/>
        <v>3.1008882537872258</v>
      </c>
      <c r="AZ38" s="143">
        <f t="shared" si="26"/>
        <v>3542477997.7884302</v>
      </c>
      <c r="BA38" s="143">
        <f t="shared" si="27"/>
        <v>3277041963.2642436</v>
      </c>
      <c r="BB38" s="144">
        <f t="shared" si="28"/>
        <v>3100888253.7872257</v>
      </c>
    </row>
    <row r="39" spans="1:54" x14ac:dyDescent="0.45">
      <c r="A39" s="82">
        <v>31</v>
      </c>
      <c r="B39" s="71" t="str">
        <f t="shared" si="29"/>
        <v>T+31M</v>
      </c>
      <c r="C39" s="83"/>
      <c r="D39" s="84"/>
      <c r="E39" s="84"/>
      <c r="F39" s="87"/>
      <c r="G39" s="85">
        <f>[1]STAKING_SHAPE!C41</f>
        <v>5513333.333333333</v>
      </c>
      <c r="H39" s="76">
        <f>[1]LP_SHAPE!C40</f>
        <v>0</v>
      </c>
      <c r="I39" s="86">
        <f t="shared" si="48"/>
        <v>945833.33333333337</v>
      </c>
      <c r="J39" s="86"/>
      <c r="K39" s="87"/>
      <c r="L39" s="83"/>
      <c r="M39" s="80" t="str">
        <f t="shared" si="8"/>
        <v>T+31M</v>
      </c>
      <c r="N39" s="81">
        <f t="shared" si="9"/>
        <v>1357104166.6666667</v>
      </c>
      <c r="O39" s="105">
        <f t="shared" si="10"/>
        <v>1.3571041666666668</v>
      </c>
      <c r="P39" s="203">
        <f t="shared" si="30"/>
        <v>4.6840264503065568E-3</v>
      </c>
      <c r="Q39" s="204">
        <f t="shared" si="38"/>
        <v>29129166.666666664</v>
      </c>
      <c r="R39" s="205">
        <f t="shared" si="12"/>
        <v>2.4747603471956727E-2</v>
      </c>
      <c r="S39" s="205">
        <f t="shared" si="13"/>
        <v>2.6688503061676361E-2</v>
      </c>
      <c r="T39" s="206"/>
      <c r="U39" s="206">
        <f t="shared" si="43"/>
        <v>1516666.6666666667</v>
      </c>
      <c r="V39" s="206">
        <f t="shared" si="44"/>
        <v>4545833.333333333</v>
      </c>
      <c r="W39" s="206">
        <f t="shared" si="51"/>
        <v>572444.4444444445</v>
      </c>
      <c r="X39" s="206">
        <f t="shared" si="40"/>
        <v>245333.33333333337</v>
      </c>
      <c r="Y39" s="206">
        <f t="shared" si="35"/>
        <v>20041944.444444444</v>
      </c>
      <c r="Z39" s="219">
        <f t="shared" si="36"/>
        <v>817777.77777777798</v>
      </c>
      <c r="AA39" s="219">
        <f t="shared" si="37"/>
        <v>204444.44444444447</v>
      </c>
      <c r="AB39" s="219">
        <f t="shared" si="46"/>
        <v>19837500</v>
      </c>
      <c r="AC39" s="220">
        <f t="shared" si="52"/>
        <v>945833.33333333337</v>
      </c>
      <c r="AD39" s="220">
        <f t="shared" si="52"/>
        <v>1261111.111111111</v>
      </c>
      <c r="AE39" s="209">
        <f t="shared" si="14"/>
        <v>180054166.66666675</v>
      </c>
      <c r="AF39" s="209">
        <f t="shared" si="5"/>
        <v>1177050000</v>
      </c>
      <c r="AG39" s="81">
        <f t="shared" si="6"/>
        <v>1091450000</v>
      </c>
      <c r="AH39" s="210">
        <f t="shared" si="15"/>
        <v>1240254166.6666665</v>
      </c>
      <c r="AI39" s="211">
        <f t="shared" si="16"/>
        <v>900568241.79558575</v>
      </c>
      <c r="AJ39" s="211">
        <f t="shared" si="31"/>
        <v>860152829.10802186</v>
      </c>
      <c r="AK39" s="211">
        <f t="shared" si="17"/>
        <v>48110140.104923412</v>
      </c>
      <c r="AL39" s="211">
        <f t="shared" si="18"/>
        <v>258155729.89141446</v>
      </c>
      <c r="AM39" s="210">
        <f t="shared" si="32"/>
        <v>1166418699.1043596</v>
      </c>
      <c r="AN39" s="212">
        <f t="shared" si="33"/>
        <v>0.94046747066309111</v>
      </c>
      <c r="AO39" s="213" t="str">
        <f t="shared" si="34"/>
        <v>OK</v>
      </c>
      <c r="AP39" s="214">
        <f t="shared" si="19"/>
        <v>361723722.22222239</v>
      </c>
      <c r="AQ39" s="214">
        <f t="shared" si="20"/>
        <v>878530444.44444537</v>
      </c>
      <c r="AR39" s="214">
        <f t="shared" si="21"/>
        <v>581356333.33333373</v>
      </c>
      <c r="AS39" s="214">
        <f t="shared" si="50"/>
        <v>658897833.33333397</v>
      </c>
      <c r="AT39" s="218">
        <f t="shared" si="22"/>
        <v>0.11380283692904343</v>
      </c>
      <c r="AU39" s="218">
        <f t="shared" si="23"/>
        <v>0</v>
      </c>
      <c r="AV39" s="216" t="str">
        <f t="shared" si="24"/>
        <v>T+31M</v>
      </c>
      <c r="AW39" s="80"/>
      <c r="AX39" s="141"/>
      <c r="AY39" s="217">
        <f t="shared" si="53"/>
        <v>3.1008882537872258</v>
      </c>
      <c r="AZ39" s="143">
        <f t="shared" si="26"/>
        <v>3649900519.120254</v>
      </c>
      <c r="BA39" s="143">
        <f t="shared" si="27"/>
        <v>3384464484.5960674</v>
      </c>
      <c r="BB39" s="144">
        <f t="shared" si="28"/>
        <v>3100888253.7872257</v>
      </c>
    </row>
    <row r="40" spans="1:54" x14ac:dyDescent="0.45">
      <c r="A40" s="82">
        <v>32</v>
      </c>
      <c r="B40" s="71" t="str">
        <f t="shared" si="29"/>
        <v>T+32M</v>
      </c>
      <c r="C40" s="83"/>
      <c r="D40" s="84"/>
      <c r="E40" s="84"/>
      <c r="F40" s="87"/>
      <c r="G40" s="85">
        <f>[1]STAKING_SHAPE!C42</f>
        <v>5513333.333333333</v>
      </c>
      <c r="H40" s="76">
        <f>[1]LP_SHAPE!C41</f>
        <v>0</v>
      </c>
      <c r="I40" s="86">
        <f t="shared" si="48"/>
        <v>945833.33333333337</v>
      </c>
      <c r="J40" s="86"/>
      <c r="K40" s="87"/>
      <c r="L40" s="83"/>
      <c r="M40" s="80" t="str">
        <f t="shared" si="8"/>
        <v>T+32M</v>
      </c>
      <c r="N40" s="81">
        <f t="shared" si="9"/>
        <v>1363563333.3333335</v>
      </c>
      <c r="O40" s="105">
        <f t="shared" si="10"/>
        <v>1.3635633333333335</v>
      </c>
      <c r="P40" s="203">
        <f t="shared" si="30"/>
        <v>4.5501093167889814E-3</v>
      </c>
      <c r="Q40" s="204">
        <f t="shared" si="38"/>
        <v>29129166.666666664</v>
      </c>
      <c r="R40" s="205">
        <f t="shared" si="12"/>
        <v>2.4040065170550007E-2</v>
      </c>
      <c r="S40" s="205">
        <f t="shared" si="13"/>
        <v>2.5867472402725942E-2</v>
      </c>
      <c r="T40" s="206"/>
      <c r="U40" s="206">
        <f t="shared" si="43"/>
        <v>1516666.6666666667</v>
      </c>
      <c r="V40" s="206">
        <f t="shared" si="44"/>
        <v>4545833.333333333</v>
      </c>
      <c r="W40" s="206">
        <f t="shared" si="51"/>
        <v>572444.4444444445</v>
      </c>
      <c r="X40" s="206">
        <f t="shared" si="40"/>
        <v>245333.33333333337</v>
      </c>
      <c r="Y40" s="206">
        <f t="shared" si="35"/>
        <v>20041944.444444444</v>
      </c>
      <c r="Z40" s="219">
        <f t="shared" si="36"/>
        <v>817777.77777777798</v>
      </c>
      <c r="AA40" s="219">
        <f t="shared" si="37"/>
        <v>204444.44444444447</v>
      </c>
      <c r="AB40" s="219">
        <f t="shared" si="46"/>
        <v>19837500</v>
      </c>
      <c r="AC40" s="220">
        <f t="shared" si="52"/>
        <v>945833.33333333337</v>
      </c>
      <c r="AD40" s="220">
        <f t="shared" si="52"/>
        <v>1261111.111111111</v>
      </c>
      <c r="AE40" s="209">
        <f t="shared" si="14"/>
        <v>151870833.33333343</v>
      </c>
      <c r="AF40" s="209">
        <f t="shared" si="5"/>
        <v>1211692500</v>
      </c>
      <c r="AG40" s="81">
        <f t="shared" si="6"/>
        <v>1126092500</v>
      </c>
      <c r="AH40" s="210">
        <f t="shared" si="15"/>
        <v>1252963333.3333333</v>
      </c>
      <c r="AI40" s="211">
        <f t="shared" si="16"/>
        <v>905517393.99683905</v>
      </c>
      <c r="AJ40" s="211">
        <f t="shared" si="31"/>
        <v>863976488.31589842</v>
      </c>
      <c r="AK40" s="211">
        <f t="shared" si="17"/>
        <v>54574005.332100756</v>
      </c>
      <c r="AL40" s="211">
        <f t="shared" si="18"/>
        <v>259875760.55572754</v>
      </c>
      <c r="AM40" s="210">
        <f t="shared" si="32"/>
        <v>1178426254.2037268</v>
      </c>
      <c r="AN40" s="212">
        <f t="shared" si="33"/>
        <v>0.94051136442172567</v>
      </c>
      <c r="AO40" s="213" t="str">
        <f t="shared" si="34"/>
        <v>OK</v>
      </c>
      <c r="AP40" s="214">
        <f t="shared" si="19"/>
        <v>341180611.11111128</v>
      </c>
      <c r="AQ40" s="214">
        <f t="shared" si="20"/>
        <v>911782722.22222328</v>
      </c>
      <c r="AR40" s="214">
        <f t="shared" si="21"/>
        <v>569126291.6666671</v>
      </c>
      <c r="AS40" s="214">
        <f t="shared" si="50"/>
        <v>683837041.66666746</v>
      </c>
      <c r="AT40" s="218">
        <f t="shared" si="22"/>
        <v>0.11624836344540097</v>
      </c>
      <c r="AU40" s="218">
        <f t="shared" si="23"/>
        <v>0</v>
      </c>
      <c r="AV40" s="216" t="str">
        <f t="shared" si="24"/>
        <v>T+32M</v>
      </c>
      <c r="AW40" s="80"/>
      <c r="AX40" s="141"/>
      <c r="AY40" s="217">
        <f t="shared" si="53"/>
        <v>3.1008882537872258</v>
      </c>
      <c r="AZ40" s="143">
        <f t="shared" si="26"/>
        <v>3757323040.4520779</v>
      </c>
      <c r="BA40" s="143">
        <f t="shared" si="27"/>
        <v>3491887005.9278917</v>
      </c>
      <c r="BB40" s="144">
        <f t="shared" si="28"/>
        <v>3100888253.7872257</v>
      </c>
    </row>
    <row r="41" spans="1:54" x14ac:dyDescent="0.45">
      <c r="A41" s="82">
        <v>33</v>
      </c>
      <c r="B41" s="71" t="str">
        <f t="shared" si="29"/>
        <v>T+33M</v>
      </c>
      <c r="C41" s="83"/>
      <c r="D41" s="84"/>
      <c r="E41" s="84"/>
      <c r="F41" s="87"/>
      <c r="G41" s="85">
        <f>[1]STAKING_SHAPE!C43</f>
        <v>5513333.333333333</v>
      </c>
      <c r="H41" s="76">
        <f>[1]LP_SHAPE!C42</f>
        <v>0</v>
      </c>
      <c r="I41" s="86">
        <f t="shared" si="48"/>
        <v>945833.33333333337</v>
      </c>
      <c r="J41" s="86"/>
      <c r="K41" s="84"/>
      <c r="L41" s="83"/>
      <c r="M41" s="80" t="str">
        <f t="shared" si="8"/>
        <v>T+33M</v>
      </c>
      <c r="N41" s="81">
        <f t="shared" si="9"/>
        <v>1370022500.0000002</v>
      </c>
      <c r="O41" s="105">
        <f t="shared" si="10"/>
        <v>1.3700225000000001</v>
      </c>
      <c r="P41" s="203">
        <f t="shared" si="30"/>
        <v>4.4236367696753537E-3</v>
      </c>
      <c r="Q41" s="204">
        <f t="shared" si="38"/>
        <v>29129166.666666664</v>
      </c>
      <c r="R41" s="205">
        <f t="shared" si="12"/>
        <v>2.3371859625756043E-2</v>
      </c>
      <c r="S41" s="205">
        <f t="shared" si="13"/>
        <v>2.509544957864341E-2</v>
      </c>
      <c r="T41" s="206"/>
      <c r="U41" s="206">
        <f t="shared" si="43"/>
        <v>1516666.6666666667</v>
      </c>
      <c r="V41" s="206">
        <f t="shared" si="44"/>
        <v>4545833.333333333</v>
      </c>
      <c r="W41" s="206">
        <f t="shared" si="51"/>
        <v>572444.4444444445</v>
      </c>
      <c r="X41" s="206">
        <f t="shared" si="40"/>
        <v>245333.33333333337</v>
      </c>
      <c r="Y41" s="206">
        <f t="shared" si="35"/>
        <v>20041944.444444444</v>
      </c>
      <c r="Z41" s="219">
        <f t="shared" si="36"/>
        <v>817777.77777777798</v>
      </c>
      <c r="AA41" s="219">
        <f t="shared" si="37"/>
        <v>204444.44444444447</v>
      </c>
      <c r="AB41" s="219">
        <f t="shared" si="46"/>
        <v>19837500</v>
      </c>
      <c r="AC41" s="220">
        <f t="shared" si="52"/>
        <v>945833.33333333337</v>
      </c>
      <c r="AD41" s="220">
        <f t="shared" si="52"/>
        <v>1261111.111111111</v>
      </c>
      <c r="AE41" s="209">
        <f t="shared" si="14"/>
        <v>123687500.0000001</v>
      </c>
      <c r="AF41" s="209">
        <f t="shared" si="5"/>
        <v>1246335000.0000002</v>
      </c>
      <c r="AG41" s="81">
        <f t="shared" si="6"/>
        <v>1160735000.0000002</v>
      </c>
      <c r="AH41" s="210">
        <f t="shared" si="15"/>
        <v>1265672500</v>
      </c>
      <c r="AI41" s="211">
        <f t="shared" si="16"/>
        <v>910447716.81954503</v>
      </c>
      <c r="AJ41" s="211">
        <f t="shared" si="31"/>
        <v>867778188.05085874</v>
      </c>
      <c r="AK41" s="211">
        <f t="shared" si="17"/>
        <v>61064143.790047899</v>
      </c>
      <c r="AL41" s="211">
        <f t="shared" si="18"/>
        <v>261591719.46310964</v>
      </c>
      <c r="AM41" s="210">
        <f t="shared" si="32"/>
        <v>1190434051.3040164</v>
      </c>
      <c r="AN41" s="212">
        <f t="shared" si="33"/>
        <v>0.94055456787124347</v>
      </c>
      <c r="AO41" s="213" t="str">
        <f t="shared" si="34"/>
        <v>OK</v>
      </c>
      <c r="AP41" s="214">
        <f t="shared" si="19"/>
        <v>320637500.00000018</v>
      </c>
      <c r="AQ41" s="214">
        <f t="shared" si="20"/>
        <v>945035000.00000119</v>
      </c>
      <c r="AR41" s="214">
        <f t="shared" si="21"/>
        <v>556896250.00000048</v>
      </c>
      <c r="AS41" s="214">
        <f t="shared" si="50"/>
        <v>708776250.00000095</v>
      </c>
      <c r="AT41" s="218">
        <f t="shared" si="22"/>
        <v>0.11880130275612368</v>
      </c>
      <c r="AU41" s="218">
        <f t="shared" si="23"/>
        <v>0</v>
      </c>
      <c r="AV41" s="216" t="str">
        <f t="shared" si="24"/>
        <v>T+33M</v>
      </c>
      <c r="AW41" s="80"/>
      <c r="AX41" s="141"/>
      <c r="AY41" s="217">
        <f t="shared" si="53"/>
        <v>3.1008882537872258</v>
      </c>
      <c r="AZ41" s="143">
        <f t="shared" si="26"/>
        <v>3864745561.7839026</v>
      </c>
      <c r="BA41" s="143">
        <f t="shared" si="27"/>
        <v>3599309527.259716</v>
      </c>
      <c r="BB41" s="144">
        <f t="shared" si="28"/>
        <v>3100888253.7872257</v>
      </c>
    </row>
    <row r="42" spans="1:54" x14ac:dyDescent="0.45">
      <c r="A42" s="82">
        <v>34</v>
      </c>
      <c r="B42" s="71" t="str">
        <f t="shared" si="29"/>
        <v>T+34M</v>
      </c>
      <c r="C42" s="83"/>
      <c r="D42" s="84"/>
      <c r="E42" s="84"/>
      <c r="F42" s="87"/>
      <c r="G42" s="85">
        <f>[1]STAKING_SHAPE!C44</f>
        <v>5513333.333333333</v>
      </c>
      <c r="H42" s="76">
        <f>[1]LP_SHAPE!C43</f>
        <v>0</v>
      </c>
      <c r="I42" s="86">
        <f t="shared" si="48"/>
        <v>945833.33333333337</v>
      </c>
      <c r="J42" s="86"/>
      <c r="K42" s="87"/>
      <c r="L42" s="83"/>
      <c r="M42" s="80" t="str">
        <f t="shared" si="8"/>
        <v>T+34M</v>
      </c>
      <c r="N42" s="81">
        <f t="shared" si="9"/>
        <v>1376481666.666667</v>
      </c>
      <c r="O42" s="105">
        <f t="shared" si="10"/>
        <v>1.376481666666667</v>
      </c>
      <c r="P42" s="203">
        <f t="shared" si="30"/>
        <v>4.3435406246225003E-3</v>
      </c>
      <c r="Q42" s="204">
        <f t="shared" si="38"/>
        <v>17469444.444444444</v>
      </c>
      <c r="R42" s="205">
        <f t="shared" si="12"/>
        <v>1.3762861239546001E-2</v>
      </c>
      <c r="S42" s="205">
        <f t="shared" si="13"/>
        <v>1.4758116142548992E-2</v>
      </c>
      <c r="T42" s="206"/>
      <c r="U42" s="206">
        <f t="shared" si="43"/>
        <v>1516666.6666666667</v>
      </c>
      <c r="V42" s="206">
        <f t="shared" si="44"/>
        <v>4545833.333333333</v>
      </c>
      <c r="W42" s="206">
        <f t="shared" si="51"/>
        <v>0</v>
      </c>
      <c r="X42" s="206">
        <f t="shared" si="40"/>
        <v>0</v>
      </c>
      <c r="Y42" s="206">
        <f t="shared" si="35"/>
        <v>9200000</v>
      </c>
      <c r="Z42" s="219">
        <f t="shared" si="36"/>
        <v>0</v>
      </c>
      <c r="AA42" s="219">
        <f t="shared" si="37"/>
        <v>0</v>
      </c>
      <c r="AB42" s="219">
        <f t="shared" si="46"/>
        <v>9200000</v>
      </c>
      <c r="AC42" s="220">
        <f t="shared" si="52"/>
        <v>945833.33333333337</v>
      </c>
      <c r="AD42" s="220">
        <f t="shared" si="52"/>
        <v>1261111.111111111</v>
      </c>
      <c r="AE42" s="209">
        <f t="shared" si="14"/>
        <v>107163888.88888898</v>
      </c>
      <c r="AF42" s="209">
        <f t="shared" si="5"/>
        <v>1269317777.7777779</v>
      </c>
      <c r="AG42" s="81">
        <f t="shared" si="6"/>
        <v>1183717777.7777779</v>
      </c>
      <c r="AH42" s="210">
        <f t="shared" si="15"/>
        <v>1278381666.6666667</v>
      </c>
      <c r="AI42" s="211">
        <f t="shared" si="16"/>
        <v>915359506.38989735</v>
      </c>
      <c r="AJ42" s="211">
        <f t="shared" si="31"/>
        <v>871558273.6655184</v>
      </c>
      <c r="AK42" s="211">
        <f t="shared" si="17"/>
        <v>67580142.284468159</v>
      </c>
      <c r="AL42" s="211">
        <f t="shared" si="18"/>
        <v>262731226.20489311</v>
      </c>
      <c r="AM42" s="210">
        <f t="shared" si="32"/>
        <v>1201869642.1548796</v>
      </c>
      <c r="AN42" s="212">
        <f t="shared" si="33"/>
        <v>0.94014931025153903</v>
      </c>
      <c r="AO42" s="213" t="str">
        <f t="shared" si="34"/>
        <v>OK</v>
      </c>
      <c r="AP42" s="214">
        <f t="shared" si="19"/>
        <v>310363888.88888907</v>
      </c>
      <c r="AQ42" s="214">
        <f t="shared" si="20"/>
        <v>968017777.7777791</v>
      </c>
      <c r="AR42" s="214">
        <f t="shared" si="21"/>
        <v>552368333.33333385</v>
      </c>
      <c r="AS42" s="214">
        <f t="shared" si="50"/>
        <v>726013333.33333433</v>
      </c>
      <c r="AT42" s="218">
        <f t="shared" si="22"/>
        <v>0.11977515003575501</v>
      </c>
      <c r="AU42" s="218">
        <f t="shared" si="23"/>
        <v>0</v>
      </c>
      <c r="AV42" s="216" t="str">
        <f t="shared" si="24"/>
        <v>T+34M</v>
      </c>
      <c r="AW42" s="80"/>
      <c r="AX42" s="141"/>
      <c r="AY42" s="217">
        <f t="shared" si="53"/>
        <v>3.1008882537872258</v>
      </c>
      <c r="AZ42" s="143">
        <f t="shared" si="26"/>
        <v>3936012587.4344158</v>
      </c>
      <c r="BA42" s="143">
        <f t="shared" si="27"/>
        <v>3670576552.9102292</v>
      </c>
      <c r="BB42" s="144">
        <f t="shared" si="28"/>
        <v>3100888253.7872257</v>
      </c>
    </row>
    <row r="43" spans="1:54" x14ac:dyDescent="0.45">
      <c r="A43" s="82">
        <v>35</v>
      </c>
      <c r="B43" s="71" t="str">
        <f t="shared" si="29"/>
        <v>T+35M</v>
      </c>
      <c r="C43" s="83"/>
      <c r="D43" s="84"/>
      <c r="E43" s="84"/>
      <c r="F43" s="87"/>
      <c r="G43" s="85">
        <f>[1]STAKING_SHAPE!C45</f>
        <v>5513333.333333333</v>
      </c>
      <c r="H43" s="76">
        <f>[1]LP_SHAPE!C44</f>
        <v>0</v>
      </c>
      <c r="I43" s="86">
        <f t="shared" si="48"/>
        <v>945833.33333333337</v>
      </c>
      <c r="J43" s="86"/>
      <c r="K43" s="87"/>
      <c r="L43" s="83"/>
      <c r="M43" s="80" t="str">
        <f t="shared" si="8"/>
        <v>T+35M</v>
      </c>
      <c r="N43" s="81">
        <f t="shared" si="9"/>
        <v>1382940833.3333337</v>
      </c>
      <c r="O43" s="105">
        <f t="shared" si="10"/>
        <v>1.3829408333333337</v>
      </c>
      <c r="P43" s="203">
        <f t="shared" si="30"/>
        <v>4.2662934018187189E-3</v>
      </c>
      <c r="Q43" s="204">
        <f t="shared" si="38"/>
        <v>17469444.444444444</v>
      </c>
      <c r="R43" s="205">
        <f t="shared" si="12"/>
        <v>1.351809714028513E-2</v>
      </c>
      <c r="S43" s="205">
        <f t="shared" si="13"/>
        <v>1.4477033563974489E-2</v>
      </c>
      <c r="T43" s="206"/>
      <c r="U43" s="206">
        <f t="shared" si="43"/>
        <v>1516666.6666666667</v>
      </c>
      <c r="V43" s="206">
        <f t="shared" si="44"/>
        <v>4545833.333333333</v>
      </c>
      <c r="W43" s="220"/>
      <c r="X43" s="206"/>
      <c r="Y43" s="206">
        <f t="shared" si="35"/>
        <v>9200000</v>
      </c>
      <c r="Z43" s="219">
        <f t="shared" si="36"/>
        <v>0</v>
      </c>
      <c r="AA43" s="219">
        <f t="shared" si="37"/>
        <v>0</v>
      </c>
      <c r="AB43" s="219">
        <f t="shared" si="46"/>
        <v>9200000</v>
      </c>
      <c r="AC43" s="220">
        <f t="shared" si="52"/>
        <v>945833.33333333337</v>
      </c>
      <c r="AD43" s="220">
        <f t="shared" si="52"/>
        <v>1261111.111111111</v>
      </c>
      <c r="AE43" s="209">
        <f t="shared" si="14"/>
        <v>90640277.777777866</v>
      </c>
      <c r="AF43" s="209">
        <f t="shared" si="5"/>
        <v>1292300555.5555558</v>
      </c>
      <c r="AG43" s="81">
        <f t="shared" si="6"/>
        <v>1206700555.5555558</v>
      </c>
      <c r="AH43" s="210">
        <f t="shared" si="15"/>
        <v>1291090833.3333335</v>
      </c>
      <c r="AI43" s="211">
        <f t="shared" si="16"/>
        <v>920253051.27929676</v>
      </c>
      <c r="AJ43" s="211">
        <f t="shared" si="31"/>
        <v>875317081.70183194</v>
      </c>
      <c r="AK43" s="211">
        <f t="shared" si="17"/>
        <v>74121598.162507996</v>
      </c>
      <c r="AL43" s="211">
        <f t="shared" si="18"/>
        <v>263864318.82105988</v>
      </c>
      <c r="AM43" s="210">
        <f t="shared" si="32"/>
        <v>1213302998.6853998</v>
      </c>
      <c r="AN43" s="212">
        <f t="shared" si="33"/>
        <v>0.93975030056785291</v>
      </c>
      <c r="AO43" s="213" t="str">
        <f t="shared" si="34"/>
        <v>OK</v>
      </c>
      <c r="AP43" s="214">
        <f t="shared" si="19"/>
        <v>300090277.77777797</v>
      </c>
      <c r="AQ43" s="214">
        <f t="shared" si="20"/>
        <v>991000555.55555701</v>
      </c>
      <c r="AR43" s="214">
        <f t="shared" si="21"/>
        <v>547840416.66666722</v>
      </c>
      <c r="AS43" s="214">
        <f t="shared" si="50"/>
        <v>743250416.6666677</v>
      </c>
      <c r="AT43" s="218">
        <f t="shared" si="22"/>
        <v>0.1207650950664616</v>
      </c>
      <c r="AU43" s="218">
        <f t="shared" si="23"/>
        <v>0</v>
      </c>
      <c r="AV43" s="216" t="str">
        <f t="shared" si="24"/>
        <v>T+35M</v>
      </c>
      <c r="AW43" s="80"/>
      <c r="AX43" s="141"/>
      <c r="AY43" s="217">
        <f t="shared" si="53"/>
        <v>3.1008882537872258</v>
      </c>
      <c r="AZ43" s="143">
        <f t="shared" si="26"/>
        <v>4007279613.0849295</v>
      </c>
      <c r="BA43" s="143">
        <f t="shared" si="27"/>
        <v>3741843578.5607429</v>
      </c>
      <c r="BB43" s="144">
        <f t="shared" si="28"/>
        <v>3100888253.7872257</v>
      </c>
    </row>
    <row r="44" spans="1:54" x14ac:dyDescent="0.45">
      <c r="A44" s="82">
        <v>36</v>
      </c>
      <c r="B44" s="71" t="str">
        <f t="shared" si="29"/>
        <v>T+36M</v>
      </c>
      <c r="C44" s="83"/>
      <c r="D44" s="84"/>
      <c r="E44" s="84"/>
      <c r="F44" s="87"/>
      <c r="G44" s="85">
        <f>[1]STAKING_SHAPE!C46</f>
        <v>5513333.333333333</v>
      </c>
      <c r="H44" s="76">
        <f>[1]LP_SHAPE!C45</f>
        <v>0</v>
      </c>
      <c r="I44" s="86">
        <f t="shared" si="48"/>
        <v>945833.33333333337</v>
      </c>
      <c r="J44" s="86"/>
      <c r="K44" s="87"/>
      <c r="L44" s="83"/>
      <c r="M44" s="80" t="str">
        <f t="shared" si="8"/>
        <v>T+36M</v>
      </c>
      <c r="N44" s="81">
        <f t="shared" si="9"/>
        <v>1389400000.0000005</v>
      </c>
      <c r="O44" s="105">
        <f t="shared" si="10"/>
        <v>1.3894000000000004</v>
      </c>
      <c r="P44" s="203">
        <f t="shared" si="30"/>
        <v>4.1917457582016536E-3</v>
      </c>
      <c r="Q44" s="204">
        <f t="shared" si="38"/>
        <v>17469444.444444444</v>
      </c>
      <c r="R44" s="205">
        <f t="shared" si="12"/>
        <v>1.3281886876929766E-2</v>
      </c>
      <c r="S44" s="205">
        <f t="shared" si="13"/>
        <v>1.4206457850485441E-2</v>
      </c>
      <c r="T44" s="206"/>
      <c r="U44" s="206">
        <f t="shared" si="43"/>
        <v>1516666.6666666667</v>
      </c>
      <c r="V44" s="206">
        <f t="shared" si="44"/>
        <v>4545833.333333333</v>
      </c>
      <c r="W44" s="220"/>
      <c r="X44" s="206"/>
      <c r="Y44" s="206">
        <f t="shared" si="35"/>
        <v>9200000</v>
      </c>
      <c r="Z44" s="219">
        <f t="shared" si="36"/>
        <v>0</v>
      </c>
      <c r="AA44" s="219">
        <f t="shared" si="37"/>
        <v>0</v>
      </c>
      <c r="AB44" s="219">
        <f t="shared" si="46"/>
        <v>9200000</v>
      </c>
      <c r="AC44" s="220">
        <f t="shared" si="52"/>
        <v>945833.33333333337</v>
      </c>
      <c r="AD44" s="220">
        <f t="shared" si="52"/>
        <v>1261111.111111111</v>
      </c>
      <c r="AE44" s="209">
        <f t="shared" si="14"/>
        <v>74116666.666666746</v>
      </c>
      <c r="AF44" s="209">
        <f t="shared" si="5"/>
        <v>1315283333.3333337</v>
      </c>
      <c r="AG44" s="81">
        <f t="shared" si="6"/>
        <v>1229683333.3333337</v>
      </c>
      <c r="AH44" s="210">
        <f t="shared" si="15"/>
        <v>1303800000.0000002</v>
      </c>
      <c r="AI44" s="211">
        <f t="shared" si="16"/>
        <v>925128632.76955938</v>
      </c>
      <c r="AJ44" s="211">
        <f t="shared" si="31"/>
        <v>879054940.20038795</v>
      </c>
      <c r="AK44" s="211">
        <f t="shared" si="17"/>
        <v>80688118.942703009</v>
      </c>
      <c r="AL44" s="211">
        <f t="shared" si="18"/>
        <v>264991096.19943962</v>
      </c>
      <c r="AM44" s="210">
        <f t="shared" si="32"/>
        <v>1224734155.3425305</v>
      </c>
      <c r="AN44" s="212">
        <f t="shared" si="33"/>
        <v>0.93935738252993572</v>
      </c>
      <c r="AO44" s="213" t="str">
        <f t="shared" si="34"/>
        <v>OK</v>
      </c>
      <c r="AP44" s="214">
        <f t="shared" si="19"/>
        <v>289816666.66666687</v>
      </c>
      <c r="AQ44" s="214">
        <f t="shared" si="20"/>
        <v>1013983333.3333349</v>
      </c>
      <c r="AR44" s="214">
        <f t="shared" si="21"/>
        <v>543312500.0000006</v>
      </c>
      <c r="AS44" s="214">
        <f t="shared" si="50"/>
        <v>760487500.00000119</v>
      </c>
      <c r="AT44" s="218">
        <f t="shared" si="22"/>
        <v>0.12177154031979739</v>
      </c>
      <c r="AU44" s="218">
        <f t="shared" si="23"/>
        <v>0</v>
      </c>
      <c r="AV44" s="216" t="str">
        <f t="shared" si="24"/>
        <v>T+36M</v>
      </c>
      <c r="AW44" s="80"/>
      <c r="AX44" s="141"/>
      <c r="AY44" s="217">
        <f t="shared" si="53"/>
        <v>3.1008882537872258</v>
      </c>
      <c r="AZ44" s="143">
        <f t="shared" si="26"/>
        <v>4078546638.7354426</v>
      </c>
      <c r="BA44" s="143">
        <f t="shared" si="27"/>
        <v>3813110604.2112565</v>
      </c>
      <c r="BB44" s="144">
        <f t="shared" si="28"/>
        <v>3100888253.7872257</v>
      </c>
    </row>
    <row r="45" spans="1:54" x14ac:dyDescent="0.45">
      <c r="A45" s="82">
        <v>37</v>
      </c>
      <c r="B45" s="71" t="str">
        <f t="shared" si="29"/>
        <v>T+37M</v>
      </c>
      <c r="C45" s="83"/>
      <c r="D45" s="87"/>
      <c r="E45" s="87"/>
      <c r="F45" s="87"/>
      <c r="G45" s="88"/>
      <c r="H45" s="85"/>
      <c r="I45" s="83"/>
      <c r="J45" s="86"/>
      <c r="K45" s="87"/>
      <c r="L45" s="83"/>
      <c r="M45" s="80" t="str">
        <f t="shared" si="8"/>
        <v>T+37M</v>
      </c>
      <c r="N45" s="81">
        <f t="shared" si="9"/>
        <v>1389400000.0000005</v>
      </c>
      <c r="O45" s="105">
        <f t="shared" si="10"/>
        <v>1.3894000000000004</v>
      </c>
      <c r="P45" s="203">
        <f t="shared" si="30"/>
        <v>0</v>
      </c>
      <c r="Q45" s="204">
        <f t="shared" si="38"/>
        <v>11406944.444444444</v>
      </c>
      <c r="R45" s="205">
        <f t="shared" si="12"/>
        <v>8.5980463078023078E-3</v>
      </c>
      <c r="S45" s="205">
        <f t="shared" si="13"/>
        <v>9.1910674418214239E-3</v>
      </c>
      <c r="T45" s="206"/>
      <c r="U45" s="220"/>
      <c r="V45" s="220"/>
      <c r="W45" s="220"/>
      <c r="X45" s="206"/>
      <c r="Y45" s="206">
        <f t="shared" si="35"/>
        <v>9200000</v>
      </c>
      <c r="Z45" s="219">
        <f t="shared" si="36"/>
        <v>0</v>
      </c>
      <c r="AA45" s="219">
        <f t="shared" si="37"/>
        <v>0</v>
      </c>
      <c r="AB45" s="219">
        <f t="shared" si="46"/>
        <v>9200000</v>
      </c>
      <c r="AC45" s="220">
        <f t="shared" si="52"/>
        <v>945833.33333333337</v>
      </c>
      <c r="AD45" s="220">
        <f t="shared" si="52"/>
        <v>1261111.111111111</v>
      </c>
      <c r="AE45" s="209">
        <f t="shared" si="14"/>
        <v>62709722.222222298</v>
      </c>
      <c r="AF45" s="209">
        <f t="shared" si="5"/>
        <v>1326690277.7777781</v>
      </c>
      <c r="AG45" s="81">
        <f t="shared" si="6"/>
        <v>1241090277.7777781</v>
      </c>
      <c r="AH45" s="210">
        <f t="shared" si="15"/>
        <v>1303800000.0000002</v>
      </c>
      <c r="AI45" s="211">
        <f t="shared" si="16"/>
        <v>925128632.76955938</v>
      </c>
      <c r="AJ45" s="211">
        <f t="shared" si="31"/>
        <v>879054940.20038795</v>
      </c>
      <c r="AK45" s="211">
        <f t="shared" si="17"/>
        <v>80688118.942703009</v>
      </c>
      <c r="AL45" s="211">
        <f t="shared" si="18"/>
        <v>264991096.19943962</v>
      </c>
      <c r="AM45" s="210">
        <f t="shared" si="32"/>
        <v>1224734155.3425305</v>
      </c>
      <c r="AN45" s="212">
        <f t="shared" si="33"/>
        <v>0.93935738252993572</v>
      </c>
      <c r="AO45" s="213" t="str">
        <f t="shared" si="34"/>
        <v>OK</v>
      </c>
      <c r="AP45" s="214">
        <f t="shared" si="19"/>
        <v>278409722.22222245</v>
      </c>
      <c r="AQ45" s="214">
        <f t="shared" si="20"/>
        <v>1025390277.7777795</v>
      </c>
      <c r="AR45" s="214">
        <f t="shared" si="21"/>
        <v>534757291.66666734</v>
      </c>
      <c r="AS45" s="214">
        <f t="shared" si="50"/>
        <v>769042708.33333457</v>
      </c>
      <c r="AT45" s="218">
        <f t="shared" si="22"/>
        <v>0</v>
      </c>
      <c r="AU45" s="218">
        <f t="shared" si="23"/>
        <v>0</v>
      </c>
      <c r="AV45" s="216" t="str">
        <f t="shared" si="24"/>
        <v>T+37M</v>
      </c>
      <c r="AW45" s="80"/>
      <c r="AX45" s="141"/>
      <c r="AY45" s="217">
        <f t="shared" si="53"/>
        <v>3.1008882537872258</v>
      </c>
      <c r="AZ45" s="143">
        <f t="shared" si="26"/>
        <v>4113918298.7748241</v>
      </c>
      <c r="BA45" s="143">
        <f t="shared" si="27"/>
        <v>3848482264.2506375</v>
      </c>
      <c r="BB45" s="144">
        <f t="shared" si="28"/>
        <v>3100888253.7872257</v>
      </c>
    </row>
    <row r="46" spans="1:54" x14ac:dyDescent="0.45">
      <c r="A46" s="82">
        <v>38</v>
      </c>
      <c r="B46" s="71" t="str">
        <f t="shared" si="29"/>
        <v>T+38M</v>
      </c>
      <c r="C46" s="83"/>
      <c r="D46" s="87"/>
      <c r="E46" s="87"/>
      <c r="F46" s="87"/>
      <c r="G46" s="88"/>
      <c r="H46" s="85"/>
      <c r="I46" s="83"/>
      <c r="J46" s="86"/>
      <c r="K46" s="87"/>
      <c r="L46" s="83"/>
      <c r="M46" s="80" t="str">
        <f t="shared" si="8"/>
        <v>T+38M</v>
      </c>
      <c r="N46" s="81">
        <f t="shared" si="9"/>
        <v>1389400000.0000005</v>
      </c>
      <c r="O46" s="105">
        <f t="shared" si="10"/>
        <v>1.3894000000000004</v>
      </c>
      <c r="P46" s="203">
        <f t="shared" si="30"/>
        <v>0</v>
      </c>
      <c r="Q46" s="204">
        <f t="shared" si="38"/>
        <v>11406944.444444444</v>
      </c>
      <c r="R46" s="205">
        <f t="shared" si="12"/>
        <v>8.5247501115804959E-3</v>
      </c>
      <c r="S46" s="205">
        <f t="shared" si="13"/>
        <v>9.1073610719917299E-3</v>
      </c>
      <c r="T46" s="206"/>
      <c r="U46" s="220"/>
      <c r="V46" s="220"/>
      <c r="W46" s="220"/>
      <c r="X46" s="206"/>
      <c r="Y46" s="206">
        <f t="shared" si="35"/>
        <v>9200000</v>
      </c>
      <c r="Z46" s="219">
        <f t="shared" si="36"/>
        <v>0</v>
      </c>
      <c r="AA46" s="219">
        <f t="shared" si="37"/>
        <v>0</v>
      </c>
      <c r="AB46" s="219">
        <f t="shared" si="46"/>
        <v>9200000</v>
      </c>
      <c r="AC46" s="220">
        <f t="shared" si="52"/>
        <v>945833.33333333337</v>
      </c>
      <c r="AD46" s="220">
        <f t="shared" si="52"/>
        <v>1261111.111111111</v>
      </c>
      <c r="AE46" s="209">
        <f t="shared" si="14"/>
        <v>51302777.777777851</v>
      </c>
      <c r="AF46" s="209">
        <f t="shared" si="5"/>
        <v>1338097222.2222226</v>
      </c>
      <c r="AG46" s="81">
        <f t="shared" si="6"/>
        <v>1252497222.2222226</v>
      </c>
      <c r="AH46" s="210">
        <f t="shared" si="15"/>
        <v>1303800000.0000002</v>
      </c>
      <c r="AI46" s="211">
        <f t="shared" si="16"/>
        <v>925128632.76955938</v>
      </c>
      <c r="AJ46" s="211">
        <f t="shared" si="31"/>
        <v>879054940.20038795</v>
      </c>
      <c r="AK46" s="211">
        <f t="shared" si="17"/>
        <v>80688118.942703009</v>
      </c>
      <c r="AL46" s="211">
        <f t="shared" si="18"/>
        <v>264991096.19943962</v>
      </c>
      <c r="AM46" s="210">
        <f t="shared" si="32"/>
        <v>1224734155.3425305</v>
      </c>
      <c r="AN46" s="212">
        <f t="shared" si="33"/>
        <v>0.93935738252993572</v>
      </c>
      <c r="AO46" s="213" t="str">
        <f t="shared" si="34"/>
        <v>OK</v>
      </c>
      <c r="AP46" s="214">
        <f t="shared" si="19"/>
        <v>267002777.777778</v>
      </c>
      <c r="AQ46" s="214">
        <f t="shared" si="20"/>
        <v>1036797222.222224</v>
      </c>
      <c r="AR46" s="214">
        <f t="shared" si="21"/>
        <v>526202083.33333397</v>
      </c>
      <c r="AS46" s="214">
        <f t="shared" si="50"/>
        <v>777597916.66666794</v>
      </c>
      <c r="AT46" s="218">
        <f t="shared" si="22"/>
        <v>0</v>
      </c>
      <c r="AU46" s="218">
        <f t="shared" si="23"/>
        <v>0</v>
      </c>
      <c r="AV46" s="216" t="str">
        <f t="shared" si="24"/>
        <v>T+38M</v>
      </c>
      <c r="AW46" s="80"/>
      <c r="AX46" s="141"/>
      <c r="AY46" s="217">
        <f t="shared" si="53"/>
        <v>3.1008882537872258</v>
      </c>
      <c r="AZ46" s="143">
        <f t="shared" si="26"/>
        <v>4149289958.8142052</v>
      </c>
      <c r="BA46" s="143">
        <f t="shared" si="27"/>
        <v>3883853924.2900186</v>
      </c>
      <c r="BB46" s="144">
        <f t="shared" si="28"/>
        <v>3100888253.7872257</v>
      </c>
    </row>
    <row r="47" spans="1:54" x14ac:dyDescent="0.45">
      <c r="A47" s="82">
        <v>39</v>
      </c>
      <c r="B47" s="71" t="str">
        <f t="shared" si="29"/>
        <v>T+39M</v>
      </c>
      <c r="C47" s="83"/>
      <c r="D47" s="87"/>
      <c r="E47" s="87"/>
      <c r="F47" s="87"/>
      <c r="G47" s="88"/>
      <c r="H47" s="85"/>
      <c r="I47" s="83"/>
      <c r="J47" s="86"/>
      <c r="K47" s="87"/>
      <c r="L47" s="83"/>
      <c r="M47" s="80" t="str">
        <f t="shared" si="8"/>
        <v>T+39M</v>
      </c>
      <c r="N47" s="81">
        <f t="shared" si="9"/>
        <v>1389400000.0000005</v>
      </c>
      <c r="O47" s="105">
        <f t="shared" si="10"/>
        <v>1.3894000000000004</v>
      </c>
      <c r="P47" s="203">
        <f t="shared" si="30"/>
        <v>0</v>
      </c>
      <c r="Q47" s="204">
        <f t="shared" si="38"/>
        <v>11406944.444444444</v>
      </c>
      <c r="R47" s="205">
        <f t="shared" si="12"/>
        <v>8.4526930158504692E-3</v>
      </c>
      <c r="S47" s="205">
        <f t="shared" si="13"/>
        <v>9.02516562986601E-3</v>
      </c>
      <c r="T47" s="206"/>
      <c r="U47" s="220"/>
      <c r="V47" s="220"/>
      <c r="W47" s="220"/>
      <c r="X47" s="206"/>
      <c r="Y47" s="206">
        <f t="shared" si="35"/>
        <v>9200000</v>
      </c>
      <c r="Z47" s="219">
        <f t="shared" si="36"/>
        <v>0</v>
      </c>
      <c r="AA47" s="219">
        <f t="shared" si="37"/>
        <v>0</v>
      </c>
      <c r="AB47" s="219">
        <f t="shared" si="46"/>
        <v>9200000</v>
      </c>
      <c r="AC47" s="220">
        <f t="shared" si="52"/>
        <v>945833.33333333337</v>
      </c>
      <c r="AD47" s="220">
        <f t="shared" si="52"/>
        <v>1261111.111111111</v>
      </c>
      <c r="AE47" s="209">
        <f t="shared" si="14"/>
        <v>39895833.333333403</v>
      </c>
      <c r="AF47" s="209">
        <f t="shared" si="5"/>
        <v>1349504166.666667</v>
      </c>
      <c r="AG47" s="81">
        <f t="shared" si="6"/>
        <v>1263904166.666667</v>
      </c>
      <c r="AH47" s="210">
        <f t="shared" si="15"/>
        <v>1303800000.0000002</v>
      </c>
      <c r="AI47" s="211">
        <f t="shared" si="16"/>
        <v>925128632.76955938</v>
      </c>
      <c r="AJ47" s="211">
        <f t="shared" si="31"/>
        <v>879054940.20038795</v>
      </c>
      <c r="AK47" s="211">
        <f t="shared" si="17"/>
        <v>80688118.942703009</v>
      </c>
      <c r="AL47" s="211">
        <f t="shared" si="18"/>
        <v>264991096.19943962</v>
      </c>
      <c r="AM47" s="210">
        <f t="shared" si="32"/>
        <v>1224734155.3425305</v>
      </c>
      <c r="AN47" s="212">
        <f t="shared" si="33"/>
        <v>0.93935738252993572</v>
      </c>
      <c r="AO47" s="213" t="str">
        <f t="shared" si="34"/>
        <v>OK</v>
      </c>
      <c r="AP47" s="214">
        <f t="shared" si="19"/>
        <v>255595833.33333355</v>
      </c>
      <c r="AQ47" s="214">
        <f t="shared" si="20"/>
        <v>1048204166.6666685</v>
      </c>
      <c r="AR47" s="214">
        <f t="shared" si="21"/>
        <v>517646875.00000072</v>
      </c>
      <c r="AS47" s="214">
        <f t="shared" si="50"/>
        <v>786153125.00000143</v>
      </c>
      <c r="AT47" s="218">
        <f t="shared" si="22"/>
        <v>0</v>
      </c>
      <c r="AU47" s="218">
        <f t="shared" si="23"/>
        <v>0</v>
      </c>
      <c r="AV47" s="216" t="str">
        <f t="shared" si="24"/>
        <v>T+39M</v>
      </c>
      <c r="AW47" s="80"/>
      <c r="AX47" s="141"/>
      <c r="AY47" s="217">
        <f t="shared" si="53"/>
        <v>3.1008882537872258</v>
      </c>
      <c r="AZ47" s="143">
        <f t="shared" si="26"/>
        <v>4184661618.8535862</v>
      </c>
      <c r="BA47" s="143">
        <f t="shared" si="27"/>
        <v>3919225584.3293996</v>
      </c>
      <c r="BB47" s="144">
        <f t="shared" si="28"/>
        <v>3100888253.7872257</v>
      </c>
    </row>
    <row r="48" spans="1:54" x14ac:dyDescent="0.45">
      <c r="A48" s="82">
        <v>40</v>
      </c>
      <c r="B48" s="71" t="str">
        <f t="shared" si="29"/>
        <v>T+40M</v>
      </c>
      <c r="C48" s="83"/>
      <c r="D48" s="87"/>
      <c r="E48" s="87"/>
      <c r="F48" s="87"/>
      <c r="G48" s="88"/>
      <c r="H48" s="85"/>
      <c r="I48" s="83"/>
      <c r="J48" s="86"/>
      <c r="K48" s="87"/>
      <c r="L48" s="83"/>
      <c r="M48" s="80" t="str">
        <f t="shared" si="8"/>
        <v>T+40M</v>
      </c>
      <c r="N48" s="81">
        <f t="shared" si="9"/>
        <v>1389400000.0000005</v>
      </c>
      <c r="O48" s="105">
        <f t="shared" si="10"/>
        <v>1.3894000000000004</v>
      </c>
      <c r="P48" s="203">
        <f t="shared" si="30"/>
        <v>0</v>
      </c>
      <c r="Q48" s="204">
        <f t="shared" si="38"/>
        <v>11406944.444444444</v>
      </c>
      <c r="R48" s="205">
        <f t="shared" si="12"/>
        <v>8.38184386277167E-3</v>
      </c>
      <c r="S48" s="205">
        <f t="shared" si="13"/>
        <v>8.9444405722350958E-3</v>
      </c>
      <c r="T48" s="206"/>
      <c r="U48" s="220"/>
      <c r="V48" s="220"/>
      <c r="W48" s="220"/>
      <c r="X48" s="206"/>
      <c r="Y48" s="206">
        <f t="shared" si="35"/>
        <v>9200000</v>
      </c>
      <c r="Z48" s="219">
        <f t="shared" si="36"/>
        <v>0</v>
      </c>
      <c r="AA48" s="219">
        <f t="shared" si="37"/>
        <v>0</v>
      </c>
      <c r="AB48" s="219">
        <f t="shared" si="46"/>
        <v>9200000</v>
      </c>
      <c r="AC48" s="220">
        <f t="shared" si="52"/>
        <v>945833.33333333337</v>
      </c>
      <c r="AD48" s="220">
        <f t="shared" si="52"/>
        <v>1261111.111111111</v>
      </c>
      <c r="AE48" s="209">
        <f t="shared" si="14"/>
        <v>28488888.888888959</v>
      </c>
      <c r="AF48" s="209">
        <f t="shared" si="5"/>
        <v>1360911111.1111114</v>
      </c>
      <c r="AG48" s="81">
        <f t="shared" si="6"/>
        <v>1275311111.1111114</v>
      </c>
      <c r="AH48" s="210">
        <f t="shared" si="15"/>
        <v>1303800000.0000002</v>
      </c>
      <c r="AI48" s="211">
        <f t="shared" si="16"/>
        <v>925128632.76955938</v>
      </c>
      <c r="AJ48" s="211">
        <f t="shared" si="31"/>
        <v>879054940.20038795</v>
      </c>
      <c r="AK48" s="211">
        <f t="shared" si="17"/>
        <v>80688118.942703009</v>
      </c>
      <c r="AL48" s="211">
        <f t="shared" si="18"/>
        <v>264991096.19943962</v>
      </c>
      <c r="AM48" s="210">
        <f t="shared" si="32"/>
        <v>1224734155.3425305</v>
      </c>
      <c r="AN48" s="212">
        <f t="shared" si="33"/>
        <v>0.93935738252993572</v>
      </c>
      <c r="AO48" s="213" t="str">
        <f t="shared" si="34"/>
        <v>OK</v>
      </c>
      <c r="AP48" s="214">
        <f t="shared" si="19"/>
        <v>244188888.8888891</v>
      </c>
      <c r="AQ48" s="214">
        <f t="shared" si="20"/>
        <v>1059611111.1111131</v>
      </c>
      <c r="AR48" s="214">
        <f t="shared" si="21"/>
        <v>509091666.66666734</v>
      </c>
      <c r="AS48" s="214">
        <f t="shared" si="50"/>
        <v>794708333.3333348</v>
      </c>
      <c r="AT48" s="218">
        <f t="shared" si="22"/>
        <v>0</v>
      </c>
      <c r="AU48" s="218">
        <f t="shared" si="23"/>
        <v>0</v>
      </c>
      <c r="AV48" s="216" t="str">
        <f t="shared" si="24"/>
        <v>T+40M</v>
      </c>
      <c r="AW48" s="80"/>
      <c r="AX48" s="141"/>
      <c r="AY48" s="217">
        <f t="shared" si="53"/>
        <v>3.1008882537872258</v>
      </c>
      <c r="AZ48" s="143">
        <f t="shared" si="26"/>
        <v>4220033278.8929672</v>
      </c>
      <c r="BA48" s="143">
        <f t="shared" si="27"/>
        <v>3954597244.3687811</v>
      </c>
      <c r="BB48" s="144">
        <f t="shared" si="28"/>
        <v>3100888253.7872257</v>
      </c>
    </row>
    <row r="49" spans="1:54" x14ac:dyDescent="0.45">
      <c r="A49" s="82">
        <v>41</v>
      </c>
      <c r="B49" s="71" t="str">
        <f t="shared" si="29"/>
        <v>T+41M</v>
      </c>
      <c r="C49" s="83"/>
      <c r="D49" s="87"/>
      <c r="E49" s="87"/>
      <c r="F49" s="87"/>
      <c r="G49" s="88"/>
      <c r="H49" s="85"/>
      <c r="I49" s="83"/>
      <c r="J49" s="86"/>
      <c r="K49" s="87"/>
      <c r="L49" s="83"/>
      <c r="M49" s="80" t="str">
        <f t="shared" si="8"/>
        <v>T+41M</v>
      </c>
      <c r="N49" s="81">
        <f t="shared" si="9"/>
        <v>1389400000.0000005</v>
      </c>
      <c r="O49" s="105">
        <f t="shared" si="10"/>
        <v>1.3894000000000004</v>
      </c>
      <c r="P49" s="203">
        <f t="shared" si="30"/>
        <v>0</v>
      </c>
      <c r="Q49" s="204">
        <f t="shared" si="38"/>
        <v>11406944.444444444</v>
      </c>
      <c r="R49" s="205">
        <f t="shared" si="12"/>
        <v>8.3121725304609265E-3</v>
      </c>
      <c r="S49" s="205">
        <f t="shared" si="13"/>
        <v>8.8651467935758135E-3</v>
      </c>
      <c r="T49" s="206"/>
      <c r="U49" s="220"/>
      <c r="V49" s="220"/>
      <c r="W49" s="220"/>
      <c r="X49" s="206"/>
      <c r="Y49" s="206">
        <f t="shared" si="35"/>
        <v>9200000</v>
      </c>
      <c r="Z49" s="219">
        <f t="shared" si="36"/>
        <v>0</v>
      </c>
      <c r="AA49" s="219">
        <f t="shared" si="37"/>
        <v>0</v>
      </c>
      <c r="AB49" s="219">
        <f t="shared" si="46"/>
        <v>9200000</v>
      </c>
      <c r="AC49" s="220">
        <f t="shared" si="52"/>
        <v>945833.33333333337</v>
      </c>
      <c r="AD49" s="220">
        <f t="shared" si="52"/>
        <v>1261111.111111111</v>
      </c>
      <c r="AE49" s="209">
        <f t="shared" si="14"/>
        <v>17081944.444444515</v>
      </c>
      <c r="AF49" s="209">
        <f t="shared" si="5"/>
        <v>1372318055.5555561</v>
      </c>
      <c r="AG49" s="81">
        <f t="shared" si="6"/>
        <v>1286718055.5555561</v>
      </c>
      <c r="AH49" s="210">
        <f t="shared" si="15"/>
        <v>1303800000.0000002</v>
      </c>
      <c r="AI49" s="211">
        <f t="shared" si="16"/>
        <v>925128632.76955938</v>
      </c>
      <c r="AJ49" s="211">
        <f t="shared" si="31"/>
        <v>879054940.20038795</v>
      </c>
      <c r="AK49" s="211">
        <f t="shared" si="17"/>
        <v>80688118.942703009</v>
      </c>
      <c r="AL49" s="211">
        <f t="shared" si="18"/>
        <v>264991096.19943962</v>
      </c>
      <c r="AM49" s="210">
        <f t="shared" si="32"/>
        <v>1224734155.3425305</v>
      </c>
      <c r="AN49" s="212">
        <f t="shared" si="33"/>
        <v>0.93935738252993572</v>
      </c>
      <c r="AO49" s="213" t="str">
        <f t="shared" si="34"/>
        <v>OK</v>
      </c>
      <c r="AP49" s="214">
        <f t="shared" si="19"/>
        <v>232781944.44444466</v>
      </c>
      <c r="AQ49" s="214">
        <f t="shared" si="20"/>
        <v>1071018055.5555576</v>
      </c>
      <c r="AR49" s="214">
        <f t="shared" si="21"/>
        <v>500536458.33333409</v>
      </c>
      <c r="AS49" s="214">
        <f t="shared" si="50"/>
        <v>803263541.66666818</v>
      </c>
      <c r="AT49" s="218">
        <f t="shared" si="22"/>
        <v>0</v>
      </c>
      <c r="AU49" s="218">
        <f t="shared" si="23"/>
        <v>0</v>
      </c>
      <c r="AV49" s="216" t="str">
        <f t="shared" si="24"/>
        <v>T+41M</v>
      </c>
      <c r="AW49" s="80"/>
      <c r="AX49" s="141"/>
      <c r="AY49" s="217">
        <f t="shared" si="53"/>
        <v>3.1008882537872258</v>
      </c>
      <c r="AZ49" s="143">
        <f t="shared" si="26"/>
        <v>4255404938.9323492</v>
      </c>
      <c r="BA49" s="143">
        <f t="shared" si="27"/>
        <v>3989968904.4081626</v>
      </c>
      <c r="BB49" s="144">
        <f t="shared" si="28"/>
        <v>3100888253.7872257</v>
      </c>
    </row>
    <row r="50" spans="1:54" x14ac:dyDescent="0.45">
      <c r="A50" s="82">
        <v>42</v>
      </c>
      <c r="B50" s="71" t="str">
        <f t="shared" si="29"/>
        <v>T+42M</v>
      </c>
      <c r="C50" s="83"/>
      <c r="D50" s="87"/>
      <c r="E50" s="87"/>
      <c r="F50" s="87"/>
      <c r="G50" s="88"/>
      <c r="H50" s="85"/>
      <c r="I50" s="83"/>
      <c r="J50" s="86"/>
      <c r="K50" s="87"/>
      <c r="L50" s="83"/>
      <c r="M50" s="80" t="str">
        <f t="shared" si="8"/>
        <v>T+42M</v>
      </c>
      <c r="N50" s="81">
        <f t="shared" si="9"/>
        <v>1389400000.0000005</v>
      </c>
      <c r="O50" s="105">
        <f t="shared" si="10"/>
        <v>1.3894000000000004</v>
      </c>
      <c r="P50" s="203">
        <f t="shared" si="30"/>
        <v>0</v>
      </c>
      <c r="Q50" s="204">
        <f t="shared" si="38"/>
        <v>11406944.444444444</v>
      </c>
      <c r="R50" s="205">
        <f t="shared" si="12"/>
        <v>8.2436498902921027E-3</v>
      </c>
      <c r="S50" s="205">
        <f t="shared" si="13"/>
        <v>8.787246562884498E-3</v>
      </c>
      <c r="T50" s="206"/>
      <c r="U50" s="220"/>
      <c r="V50" s="220"/>
      <c r="W50" s="220"/>
      <c r="X50" s="206"/>
      <c r="Y50" s="206">
        <f t="shared" si="35"/>
        <v>9200000</v>
      </c>
      <c r="Z50" s="219">
        <f t="shared" si="36"/>
        <v>0</v>
      </c>
      <c r="AA50" s="219">
        <f t="shared" si="37"/>
        <v>0</v>
      </c>
      <c r="AB50" s="219">
        <f t="shared" si="46"/>
        <v>9200000</v>
      </c>
      <c r="AC50" s="220">
        <f t="shared" si="52"/>
        <v>945833.33333333337</v>
      </c>
      <c r="AD50" s="220">
        <f t="shared" si="52"/>
        <v>1261111.111111111</v>
      </c>
      <c r="AE50" s="209">
        <f t="shared" si="14"/>
        <v>5675000.0000000708</v>
      </c>
      <c r="AF50" s="209">
        <f t="shared" si="5"/>
        <v>1383725000.0000005</v>
      </c>
      <c r="AG50" s="81">
        <f t="shared" si="6"/>
        <v>1298125000.0000005</v>
      </c>
      <c r="AH50" s="210">
        <f t="shared" si="15"/>
        <v>1303800000.0000002</v>
      </c>
      <c r="AI50" s="211">
        <f t="shared" si="16"/>
        <v>925128632.76955938</v>
      </c>
      <c r="AJ50" s="211">
        <f t="shared" si="31"/>
        <v>879054940.20038795</v>
      </c>
      <c r="AK50" s="211">
        <f t="shared" si="17"/>
        <v>80688118.942703009</v>
      </c>
      <c r="AL50" s="211">
        <f t="shared" si="18"/>
        <v>264991096.19943962</v>
      </c>
      <c r="AM50" s="210">
        <f t="shared" si="32"/>
        <v>1224734155.3425305</v>
      </c>
      <c r="AN50" s="212">
        <f t="shared" si="33"/>
        <v>0.93935738252993572</v>
      </c>
      <c r="AO50" s="213" t="str">
        <f t="shared" si="34"/>
        <v>OK</v>
      </c>
      <c r="AP50" s="214">
        <f t="shared" si="19"/>
        <v>221375000.00000021</v>
      </c>
      <c r="AQ50" s="214">
        <f t="shared" si="20"/>
        <v>1082425000.0000021</v>
      </c>
      <c r="AR50" s="214">
        <f t="shared" si="21"/>
        <v>491981250.00000072</v>
      </c>
      <c r="AS50" s="214">
        <f t="shared" si="50"/>
        <v>811818750.00000167</v>
      </c>
      <c r="AT50" s="218">
        <f t="shared" si="22"/>
        <v>0</v>
      </c>
      <c r="AU50" s="218">
        <f t="shared" si="23"/>
        <v>0</v>
      </c>
      <c r="AV50" s="216" t="str">
        <f t="shared" si="24"/>
        <v>T+42M</v>
      </c>
      <c r="AW50" s="80"/>
      <c r="AX50" s="141"/>
      <c r="AY50" s="217">
        <f t="shared" si="53"/>
        <v>3.1008882537872258</v>
      </c>
      <c r="AZ50" s="143">
        <f t="shared" si="26"/>
        <v>4290776598.9717302</v>
      </c>
      <c r="BA50" s="143">
        <f t="shared" si="27"/>
        <v>4025340564.4475441</v>
      </c>
      <c r="BB50" s="144">
        <f t="shared" si="28"/>
        <v>3100888253.7872257</v>
      </c>
    </row>
    <row r="51" spans="1:54" x14ac:dyDescent="0.45">
      <c r="A51" s="82">
        <v>43</v>
      </c>
      <c r="B51" s="71" t="str">
        <f t="shared" si="29"/>
        <v>T+43M</v>
      </c>
      <c r="C51" s="83"/>
      <c r="D51" s="87"/>
      <c r="E51" s="87"/>
      <c r="F51" s="87"/>
      <c r="G51" s="88"/>
      <c r="H51" s="85"/>
      <c r="I51" s="83"/>
      <c r="J51" s="86"/>
      <c r="K51" s="87"/>
      <c r="L51" s="83"/>
      <c r="M51" s="80" t="str">
        <f t="shared" si="8"/>
        <v>T+43M</v>
      </c>
      <c r="N51" s="81">
        <f t="shared" si="9"/>
        <v>1389400000.0000005</v>
      </c>
      <c r="O51" s="105">
        <f t="shared" si="10"/>
        <v>1.3894000000000004</v>
      </c>
      <c r="P51" s="203">
        <f t="shared" si="30"/>
        <v>0</v>
      </c>
      <c r="Q51" s="204">
        <f t="shared" si="38"/>
        <v>945833.33333333337</v>
      </c>
      <c r="R51" s="205">
        <f t="shared" si="12"/>
        <v>6.8307449724814239E-4</v>
      </c>
      <c r="S51" s="205">
        <f t="shared" si="13"/>
        <v>7.280844962906178E-4</v>
      </c>
      <c r="T51" s="206"/>
      <c r="U51" s="220"/>
      <c r="V51" s="220"/>
      <c r="W51" s="220"/>
      <c r="X51" s="206"/>
      <c r="Y51" s="206">
        <f t="shared" si="35"/>
        <v>0</v>
      </c>
      <c r="Z51" s="219">
        <f t="shared" si="36"/>
        <v>0</v>
      </c>
      <c r="AA51" s="219">
        <f t="shared" si="37"/>
        <v>0</v>
      </c>
      <c r="AB51" s="219">
        <f t="shared" si="46"/>
        <v>0</v>
      </c>
      <c r="AC51" s="220">
        <f t="shared" si="52"/>
        <v>945833.33333333337</v>
      </c>
      <c r="AD51" s="220">
        <f t="shared" si="52"/>
        <v>0</v>
      </c>
      <c r="AE51" s="209">
        <f t="shared" si="14"/>
        <v>4729166.6666667378</v>
      </c>
      <c r="AF51" s="209">
        <f t="shared" si="5"/>
        <v>1384670833.3333337</v>
      </c>
      <c r="AG51" s="81">
        <f t="shared" si="6"/>
        <v>1299070833.3333337</v>
      </c>
      <c r="AH51" s="210">
        <f t="shared" si="15"/>
        <v>1303800000.0000002</v>
      </c>
      <c r="AI51" s="211">
        <f t="shared" si="16"/>
        <v>925128632.76955938</v>
      </c>
      <c r="AJ51" s="211">
        <f t="shared" si="31"/>
        <v>879054940.20038795</v>
      </c>
      <c r="AK51" s="211">
        <f t="shared" si="17"/>
        <v>80688118.942703009</v>
      </c>
      <c r="AL51" s="211">
        <f t="shared" si="18"/>
        <v>264991096.19943962</v>
      </c>
      <c r="AM51" s="210">
        <f t="shared" si="32"/>
        <v>1224734155.3425305</v>
      </c>
      <c r="AN51" s="212">
        <f t="shared" si="33"/>
        <v>0.93935738252993572</v>
      </c>
      <c r="AO51" s="213" t="str">
        <f t="shared" si="34"/>
        <v>OK</v>
      </c>
      <c r="AP51" s="214">
        <f t="shared" si="19"/>
        <v>220429166.66666687</v>
      </c>
      <c r="AQ51" s="214">
        <f t="shared" si="20"/>
        <v>1083370833.3333354</v>
      </c>
      <c r="AR51" s="214">
        <f t="shared" si="21"/>
        <v>491271875.00000072</v>
      </c>
      <c r="AS51" s="214">
        <f t="shared" si="50"/>
        <v>812528125.00000155</v>
      </c>
      <c r="AT51" s="218">
        <f t="shared" si="22"/>
        <v>0</v>
      </c>
      <c r="AU51" s="218">
        <f t="shared" si="23"/>
        <v>0</v>
      </c>
      <c r="AV51" s="216" t="str">
        <f t="shared" si="24"/>
        <v>T+43M</v>
      </c>
      <c r="AW51" s="80"/>
      <c r="AX51" s="141"/>
      <c r="AY51" s="217">
        <f t="shared" si="53"/>
        <v>3.1008882537872258</v>
      </c>
      <c r="AZ51" s="143">
        <f t="shared" si="26"/>
        <v>4293709522.4451041</v>
      </c>
      <c r="BA51" s="143">
        <f t="shared" si="27"/>
        <v>4028273487.9209175</v>
      </c>
      <c r="BB51" s="144">
        <f t="shared" si="28"/>
        <v>3100888253.7872257</v>
      </c>
    </row>
    <row r="52" spans="1:54" x14ac:dyDescent="0.45">
      <c r="A52" s="82">
        <v>44</v>
      </c>
      <c r="B52" s="71" t="str">
        <f t="shared" si="29"/>
        <v>T+44M</v>
      </c>
      <c r="C52" s="83"/>
      <c r="D52" s="87"/>
      <c r="E52" s="87"/>
      <c r="F52" s="87"/>
      <c r="G52" s="88"/>
      <c r="H52" s="85"/>
      <c r="I52" s="83"/>
      <c r="J52" s="86"/>
      <c r="K52" s="87"/>
      <c r="L52" s="83"/>
      <c r="M52" s="80" t="str">
        <f t="shared" si="8"/>
        <v>T+44M</v>
      </c>
      <c r="N52" s="81">
        <f t="shared" si="9"/>
        <v>1389400000.0000005</v>
      </c>
      <c r="O52" s="105">
        <f t="shared" si="10"/>
        <v>1.3894000000000004</v>
      </c>
      <c r="P52" s="203">
        <f t="shared" si="30"/>
        <v>0</v>
      </c>
      <c r="Q52" s="204">
        <f t="shared" si="38"/>
        <v>945833.33333333337</v>
      </c>
      <c r="R52" s="205">
        <f t="shared" si="12"/>
        <v>6.8260822497804815E-4</v>
      </c>
      <c r="S52" s="205">
        <f t="shared" si="13"/>
        <v>7.2755477493878268E-4</v>
      </c>
      <c r="T52" s="206"/>
      <c r="U52" s="220"/>
      <c r="V52" s="220"/>
      <c r="W52" s="220"/>
      <c r="X52" s="206"/>
      <c r="Y52" s="206">
        <f t="shared" si="35"/>
        <v>0</v>
      </c>
      <c r="Z52" s="219"/>
      <c r="AA52" s="219"/>
      <c r="AB52" s="221"/>
      <c r="AC52" s="220">
        <f t="shared" si="52"/>
        <v>945833.33333333337</v>
      </c>
      <c r="AD52" s="220">
        <f t="shared" si="52"/>
        <v>0</v>
      </c>
      <c r="AE52" s="209">
        <f t="shared" si="14"/>
        <v>3783333.3333334043</v>
      </c>
      <c r="AF52" s="209">
        <f t="shared" si="5"/>
        <v>1385616666.666667</v>
      </c>
      <c r="AG52" s="81">
        <f t="shared" si="6"/>
        <v>1300016666.666667</v>
      </c>
      <c r="AH52" s="210">
        <f t="shared" si="15"/>
        <v>1303800000.0000002</v>
      </c>
      <c r="AI52" s="211">
        <f t="shared" si="16"/>
        <v>925128632.76955938</v>
      </c>
      <c r="AJ52" s="211">
        <f t="shared" si="31"/>
        <v>879054940.20038795</v>
      </c>
      <c r="AK52" s="211">
        <f t="shared" si="17"/>
        <v>80688118.942703009</v>
      </c>
      <c r="AL52" s="211">
        <f t="shared" si="18"/>
        <v>264991096.19943962</v>
      </c>
      <c r="AM52" s="210">
        <f t="shared" si="32"/>
        <v>1224734155.3425305</v>
      </c>
      <c r="AN52" s="212">
        <f t="shared" si="33"/>
        <v>0.93935738252993572</v>
      </c>
      <c r="AO52" s="213" t="str">
        <f t="shared" si="34"/>
        <v>OK</v>
      </c>
      <c r="AP52" s="214">
        <f t="shared" si="19"/>
        <v>219483333.33333352</v>
      </c>
      <c r="AQ52" s="214">
        <f t="shared" si="20"/>
        <v>1084316666.6666687</v>
      </c>
      <c r="AR52" s="214">
        <f t="shared" si="21"/>
        <v>490562500.00000072</v>
      </c>
      <c r="AS52" s="214">
        <f t="shared" si="50"/>
        <v>813237500.00000143</v>
      </c>
      <c r="AT52" s="218">
        <f t="shared" si="22"/>
        <v>0</v>
      </c>
      <c r="AU52" s="218">
        <f t="shared" si="23"/>
        <v>0</v>
      </c>
      <c r="AV52" s="216" t="str">
        <f t="shared" si="24"/>
        <v>T+44M</v>
      </c>
      <c r="AW52" s="80"/>
      <c r="AX52" s="141"/>
      <c r="AY52" s="217">
        <f t="shared" si="53"/>
        <v>3.1008882537872258</v>
      </c>
      <c r="AZ52" s="143">
        <f t="shared" si="26"/>
        <v>4296642445.9184771</v>
      </c>
      <c r="BA52" s="143">
        <f t="shared" si="27"/>
        <v>4031206411.3942909</v>
      </c>
      <c r="BB52" s="144">
        <f t="shared" si="28"/>
        <v>3100888253.7872257</v>
      </c>
    </row>
    <row r="53" spans="1:54" x14ac:dyDescent="0.45">
      <c r="A53" s="82">
        <v>45</v>
      </c>
      <c r="B53" s="71" t="str">
        <f t="shared" si="29"/>
        <v>T+45M</v>
      </c>
      <c r="C53" s="83"/>
      <c r="D53" s="87"/>
      <c r="E53" s="87"/>
      <c r="F53" s="87"/>
      <c r="G53" s="88"/>
      <c r="H53" s="85"/>
      <c r="I53" s="83"/>
      <c r="J53" s="86"/>
      <c r="K53" s="87"/>
      <c r="L53" s="83"/>
      <c r="M53" s="80" t="str">
        <f t="shared" si="8"/>
        <v>T+45M</v>
      </c>
      <c r="N53" s="81">
        <f t="shared" si="9"/>
        <v>1389400000.0000005</v>
      </c>
      <c r="O53" s="105">
        <f t="shared" si="10"/>
        <v>1.3894000000000004</v>
      </c>
      <c r="P53" s="203">
        <f t="shared" si="30"/>
        <v>0</v>
      </c>
      <c r="Q53" s="204">
        <f t="shared" si="38"/>
        <v>945833.33333333337</v>
      </c>
      <c r="R53" s="205">
        <f t="shared" si="12"/>
        <v>6.8214258883630063E-4</v>
      </c>
      <c r="S53" s="205">
        <f t="shared" si="13"/>
        <v>7.2702582382915188E-4</v>
      </c>
      <c r="T53" s="206"/>
      <c r="U53" s="220"/>
      <c r="V53" s="220"/>
      <c r="W53" s="220"/>
      <c r="X53" s="206"/>
      <c r="Y53" s="206">
        <f t="shared" si="35"/>
        <v>0</v>
      </c>
      <c r="Z53" s="219"/>
      <c r="AA53" s="219"/>
      <c r="AB53" s="221"/>
      <c r="AC53" s="220">
        <f t="shared" si="52"/>
        <v>945833.33333333337</v>
      </c>
      <c r="AD53" s="220">
        <f t="shared" si="52"/>
        <v>0</v>
      </c>
      <c r="AE53" s="209">
        <f t="shared" si="14"/>
        <v>2837500.0000000708</v>
      </c>
      <c r="AF53" s="209">
        <f t="shared" si="5"/>
        <v>1386562500.0000005</v>
      </c>
      <c r="AG53" s="81">
        <f t="shared" si="6"/>
        <v>1300962500.0000005</v>
      </c>
      <c r="AH53" s="210">
        <f t="shared" si="15"/>
        <v>1303800000.0000002</v>
      </c>
      <c r="AI53" s="211">
        <f t="shared" si="16"/>
        <v>925128632.76955938</v>
      </c>
      <c r="AJ53" s="211">
        <f t="shared" si="31"/>
        <v>879054940.20038795</v>
      </c>
      <c r="AK53" s="211">
        <f t="shared" si="17"/>
        <v>80688118.942703009</v>
      </c>
      <c r="AL53" s="211">
        <f t="shared" si="18"/>
        <v>264991096.19943962</v>
      </c>
      <c r="AM53" s="210">
        <f t="shared" si="32"/>
        <v>1224734155.3425305</v>
      </c>
      <c r="AN53" s="212">
        <f t="shared" si="33"/>
        <v>0.93935738252993572</v>
      </c>
      <c r="AO53" s="213" t="str">
        <f t="shared" si="34"/>
        <v>OK</v>
      </c>
      <c r="AP53" s="214">
        <f t="shared" si="19"/>
        <v>218537500.00000018</v>
      </c>
      <c r="AQ53" s="214">
        <f t="shared" si="20"/>
        <v>1085262500.0000019</v>
      </c>
      <c r="AR53" s="214">
        <f t="shared" si="21"/>
        <v>489853125.00000066</v>
      </c>
      <c r="AS53" s="214">
        <f t="shared" si="50"/>
        <v>813946875.00000143</v>
      </c>
      <c r="AT53" s="218">
        <f t="shared" si="22"/>
        <v>0</v>
      </c>
      <c r="AU53" s="218">
        <f t="shared" si="23"/>
        <v>0</v>
      </c>
      <c r="AV53" s="216" t="str">
        <f t="shared" si="24"/>
        <v>T+45M</v>
      </c>
      <c r="AW53" s="80"/>
      <c r="AX53" s="141"/>
      <c r="AY53" s="217">
        <f t="shared" si="53"/>
        <v>3.1008882537872258</v>
      </c>
      <c r="AZ53" s="143">
        <f t="shared" si="26"/>
        <v>4299575369.3918514</v>
      </c>
      <c r="BA53" s="143">
        <f t="shared" si="27"/>
        <v>4034139334.8676653</v>
      </c>
      <c r="BB53" s="144">
        <f t="shared" si="28"/>
        <v>3100888253.7872257</v>
      </c>
    </row>
    <row r="54" spans="1:54" x14ac:dyDescent="0.45">
      <c r="A54" s="82">
        <v>46</v>
      </c>
      <c r="B54" s="71" t="str">
        <f t="shared" si="29"/>
        <v>T+46M</v>
      </c>
      <c r="C54" s="83"/>
      <c r="D54" s="87"/>
      <c r="E54" s="87"/>
      <c r="F54" s="87"/>
      <c r="G54" s="88"/>
      <c r="H54" s="85"/>
      <c r="I54" s="83"/>
      <c r="J54" s="86"/>
      <c r="K54" s="87"/>
      <c r="L54" s="83"/>
      <c r="M54" s="80" t="str">
        <f t="shared" si="8"/>
        <v>T+46M</v>
      </c>
      <c r="N54" s="81">
        <f t="shared" si="9"/>
        <v>1389400000.0000005</v>
      </c>
      <c r="O54" s="105">
        <f t="shared" si="10"/>
        <v>1.3894000000000004</v>
      </c>
      <c r="P54" s="203">
        <f t="shared" si="30"/>
        <v>0</v>
      </c>
      <c r="Q54" s="204">
        <f t="shared" si="38"/>
        <v>945833.33333333337</v>
      </c>
      <c r="R54" s="205">
        <f t="shared" si="12"/>
        <v>6.8167758752199666E-4</v>
      </c>
      <c r="S54" s="205">
        <f t="shared" si="13"/>
        <v>7.2649764128298829E-4</v>
      </c>
      <c r="T54" s="206"/>
      <c r="U54" s="220"/>
      <c r="V54" s="220"/>
      <c r="W54" s="220"/>
      <c r="X54" s="206"/>
      <c r="Y54" s="206">
        <f t="shared" si="35"/>
        <v>0</v>
      </c>
      <c r="Z54" s="219"/>
      <c r="AA54" s="219"/>
      <c r="AB54" s="221"/>
      <c r="AC54" s="220">
        <f t="shared" si="52"/>
        <v>945833.33333333337</v>
      </c>
      <c r="AD54" s="220">
        <f t="shared" si="52"/>
        <v>0</v>
      </c>
      <c r="AE54" s="209">
        <f t="shared" si="14"/>
        <v>1891666.6666667373</v>
      </c>
      <c r="AF54" s="209">
        <f t="shared" si="5"/>
        <v>1387508333.3333337</v>
      </c>
      <c r="AG54" s="81">
        <f t="shared" si="6"/>
        <v>1301908333.3333337</v>
      </c>
      <c r="AH54" s="210">
        <f t="shared" si="15"/>
        <v>1303800000.0000002</v>
      </c>
      <c r="AI54" s="211">
        <f t="shared" si="16"/>
        <v>925128632.76955938</v>
      </c>
      <c r="AJ54" s="211">
        <f t="shared" si="31"/>
        <v>879054940.20038795</v>
      </c>
      <c r="AK54" s="211">
        <f t="shared" si="17"/>
        <v>80688118.942703009</v>
      </c>
      <c r="AL54" s="211">
        <f t="shared" si="18"/>
        <v>264991096.19943962</v>
      </c>
      <c r="AM54" s="210">
        <f t="shared" si="32"/>
        <v>1224734155.3425305</v>
      </c>
      <c r="AN54" s="212">
        <f t="shared" si="33"/>
        <v>0.93935738252993572</v>
      </c>
      <c r="AO54" s="213" t="str">
        <f t="shared" si="34"/>
        <v>OK</v>
      </c>
      <c r="AP54" s="214">
        <f t="shared" si="19"/>
        <v>217591666.66666684</v>
      </c>
      <c r="AQ54" s="214">
        <f t="shared" si="20"/>
        <v>1086208333.3333352</v>
      </c>
      <c r="AR54" s="214">
        <f t="shared" si="21"/>
        <v>489143750.0000006</v>
      </c>
      <c r="AS54" s="214">
        <f t="shared" si="50"/>
        <v>814656250.00000143</v>
      </c>
      <c r="AT54" s="218">
        <f t="shared" si="22"/>
        <v>0</v>
      </c>
      <c r="AU54" s="218">
        <f t="shared" si="23"/>
        <v>0</v>
      </c>
      <c r="AV54" s="216" t="str">
        <f t="shared" si="24"/>
        <v>T+46M</v>
      </c>
      <c r="AW54" s="80"/>
      <c r="AX54" s="141"/>
      <c r="AY54" s="217">
        <f t="shared" si="53"/>
        <v>3.1008882537872258</v>
      </c>
      <c r="AZ54" s="143">
        <f t="shared" si="26"/>
        <v>4302508292.8652248</v>
      </c>
      <c r="BA54" s="143">
        <f t="shared" si="27"/>
        <v>4037072258.3410387</v>
      </c>
      <c r="BB54" s="144">
        <f t="shared" si="28"/>
        <v>3100888253.7872257</v>
      </c>
    </row>
    <row r="55" spans="1:54" x14ac:dyDescent="0.45">
      <c r="A55" s="82">
        <v>47</v>
      </c>
      <c r="B55" s="71" t="str">
        <f t="shared" si="29"/>
        <v>T+47M</v>
      </c>
      <c r="C55" s="83"/>
      <c r="D55" s="87"/>
      <c r="E55" s="87"/>
      <c r="F55" s="87"/>
      <c r="G55" s="88"/>
      <c r="H55" s="85"/>
      <c r="I55" s="83"/>
      <c r="J55" s="86"/>
      <c r="K55" s="87"/>
      <c r="L55" s="83"/>
      <c r="M55" s="80" t="str">
        <f t="shared" si="8"/>
        <v>T+47M</v>
      </c>
      <c r="N55" s="81">
        <f t="shared" si="9"/>
        <v>1389400000.0000005</v>
      </c>
      <c r="O55" s="105">
        <f t="shared" si="10"/>
        <v>1.3894000000000004</v>
      </c>
      <c r="P55" s="203">
        <f t="shared" si="30"/>
        <v>0</v>
      </c>
      <c r="Q55" s="204">
        <f t="shared" si="38"/>
        <v>945833.33333333337</v>
      </c>
      <c r="R55" s="205">
        <f t="shared" si="12"/>
        <v>6.8121321973777784E-4</v>
      </c>
      <c r="S55" s="205">
        <f t="shared" si="13"/>
        <v>7.2597022562642904E-4</v>
      </c>
      <c r="T55" s="206"/>
      <c r="U55" s="220"/>
      <c r="V55" s="220"/>
      <c r="W55" s="220"/>
      <c r="X55" s="206"/>
      <c r="Y55" s="206">
        <f t="shared" si="35"/>
        <v>0</v>
      </c>
      <c r="Z55" s="219"/>
      <c r="AA55" s="219"/>
      <c r="AB55" s="221"/>
      <c r="AC55" s="220">
        <f>I43</f>
        <v>945833.33333333337</v>
      </c>
      <c r="AD55" s="220"/>
      <c r="AE55" s="209">
        <f t="shared" si="14"/>
        <v>945833.33333340392</v>
      </c>
      <c r="AF55" s="209">
        <f t="shared" si="5"/>
        <v>1388454166.666667</v>
      </c>
      <c r="AG55" s="81">
        <f t="shared" si="6"/>
        <v>1302854166.666667</v>
      </c>
      <c r="AH55" s="210">
        <f t="shared" si="15"/>
        <v>1303800000.0000002</v>
      </c>
      <c r="AI55" s="211">
        <f t="shared" si="16"/>
        <v>925128632.76955938</v>
      </c>
      <c r="AJ55" s="211">
        <f t="shared" si="31"/>
        <v>879054940.20038795</v>
      </c>
      <c r="AK55" s="211">
        <f t="shared" si="17"/>
        <v>80688118.942703009</v>
      </c>
      <c r="AL55" s="211">
        <f t="shared" si="18"/>
        <v>264991096.19943962</v>
      </c>
      <c r="AM55" s="210">
        <f t="shared" si="32"/>
        <v>1224734155.3425305</v>
      </c>
      <c r="AN55" s="212">
        <f t="shared" si="33"/>
        <v>0.93935738252993572</v>
      </c>
      <c r="AO55" s="213" t="str">
        <f t="shared" si="34"/>
        <v>OK</v>
      </c>
      <c r="AP55" s="214">
        <f t="shared" si="19"/>
        <v>216645833.33333349</v>
      </c>
      <c r="AQ55" s="214">
        <f t="shared" si="20"/>
        <v>1087154166.6666684</v>
      </c>
      <c r="AR55" s="214">
        <f t="shared" si="21"/>
        <v>488434375.0000006</v>
      </c>
      <c r="AS55" s="214">
        <f t="shared" si="50"/>
        <v>815365625.00000131</v>
      </c>
      <c r="AT55" s="218">
        <f t="shared" si="22"/>
        <v>0</v>
      </c>
      <c r="AU55" s="218">
        <f t="shared" si="23"/>
        <v>0</v>
      </c>
      <c r="AV55" s="216" t="str">
        <f t="shared" si="24"/>
        <v>T+47M</v>
      </c>
      <c r="AW55" s="80"/>
      <c r="AX55" s="141"/>
      <c r="AY55" s="217">
        <f t="shared" si="53"/>
        <v>3.1008882537872258</v>
      </c>
      <c r="AZ55" s="143">
        <f t="shared" si="26"/>
        <v>4305441216.3385983</v>
      </c>
      <c r="BA55" s="143">
        <f t="shared" si="27"/>
        <v>4040005181.8144121</v>
      </c>
      <c r="BB55" s="144">
        <f t="shared" si="28"/>
        <v>3100888253.7872257</v>
      </c>
    </row>
    <row r="56" spans="1:54" ht="14.65" thickBot="1" x14ac:dyDescent="0.5">
      <c r="A56" s="82">
        <v>48</v>
      </c>
      <c r="B56" s="71" t="str">
        <f t="shared" si="29"/>
        <v>T+48M</v>
      </c>
      <c r="C56" s="83"/>
      <c r="D56" s="87"/>
      <c r="E56" s="87"/>
      <c r="F56" s="87"/>
      <c r="G56" s="88"/>
      <c r="H56" s="85"/>
      <c r="I56" s="83"/>
      <c r="J56" s="86"/>
      <c r="K56" s="87"/>
      <c r="L56" s="83"/>
      <c r="M56" s="80" t="str">
        <f t="shared" si="8"/>
        <v>T+48M</v>
      </c>
      <c r="N56" s="89">
        <f t="shared" si="9"/>
        <v>1389400000.0000005</v>
      </c>
      <c r="O56" s="106">
        <f>N56/$M$2</f>
        <v>1.3894000000000004</v>
      </c>
      <c r="P56" s="222"/>
      <c r="Q56" s="223">
        <f t="shared" si="38"/>
        <v>945833.33333333337</v>
      </c>
      <c r="R56" s="224">
        <f t="shared" si="12"/>
        <v>6.8074948418981793E-4</v>
      </c>
      <c r="S56" s="224">
        <f t="shared" si="13"/>
        <v>7.254435751904687E-4</v>
      </c>
      <c r="T56" s="225"/>
      <c r="U56" s="226"/>
      <c r="V56" s="226"/>
      <c r="W56" s="226"/>
      <c r="X56" s="226"/>
      <c r="Y56" s="226"/>
      <c r="Z56" s="227"/>
      <c r="AA56" s="227"/>
      <c r="AB56" s="227"/>
      <c r="AC56" s="226">
        <f>I44</f>
        <v>945833.33333333337</v>
      </c>
      <c r="AD56" s="226"/>
      <c r="AE56" s="209">
        <f t="shared" si="14"/>
        <v>7.0547685027122498E-8</v>
      </c>
      <c r="AF56" s="228">
        <f t="shared" si="5"/>
        <v>1389400000.0000005</v>
      </c>
      <c r="AG56" s="89">
        <f t="shared" si="6"/>
        <v>1303800000.0000005</v>
      </c>
      <c r="AH56" s="210">
        <f t="shared" si="15"/>
        <v>1303800000.0000002</v>
      </c>
      <c r="AI56" s="211">
        <f t="shared" si="16"/>
        <v>925128632.76955938</v>
      </c>
      <c r="AJ56" s="211">
        <f t="shared" si="31"/>
        <v>879054940.20038795</v>
      </c>
      <c r="AK56" s="211">
        <f t="shared" si="17"/>
        <v>80688118.942703009</v>
      </c>
      <c r="AL56" s="211">
        <f t="shared" si="18"/>
        <v>264991096.19943962</v>
      </c>
      <c r="AM56" s="229">
        <f t="shared" si="32"/>
        <v>1224734155.3425305</v>
      </c>
      <c r="AN56" s="230">
        <f t="shared" si="33"/>
        <v>0.93935738252993572</v>
      </c>
      <c r="AO56" s="213" t="str">
        <f t="shared" si="34"/>
        <v>OK</v>
      </c>
      <c r="AP56" s="214">
        <f t="shared" si="19"/>
        <v>215700000.00000015</v>
      </c>
      <c r="AQ56" s="214">
        <f t="shared" si="20"/>
        <v>1088100000.0000017</v>
      </c>
      <c r="AR56" s="231">
        <f t="shared" si="21"/>
        <v>487725000.0000006</v>
      </c>
      <c r="AS56" s="231">
        <f t="shared" si="50"/>
        <v>816075000.00000119</v>
      </c>
      <c r="AT56" s="232">
        <f t="shared" si="22"/>
        <v>0</v>
      </c>
      <c r="AU56" s="232">
        <f t="shared" si="23"/>
        <v>0</v>
      </c>
      <c r="AV56" s="233" t="str">
        <f t="shared" si="24"/>
        <v>T+48M</v>
      </c>
      <c r="AW56" s="80"/>
      <c r="AX56" s="234"/>
      <c r="AY56" s="235">
        <f t="shared" si="53"/>
        <v>3.1008882537872258</v>
      </c>
      <c r="AZ56" s="236">
        <f t="shared" si="26"/>
        <v>4308374139.8119726</v>
      </c>
      <c r="BA56" s="236">
        <f t="shared" si="27"/>
        <v>4042938105.2877865</v>
      </c>
      <c r="BB56" s="237">
        <f t="shared" si="28"/>
        <v>3100888253.7872257</v>
      </c>
    </row>
    <row r="57" spans="1:54" ht="14.65" thickBot="1" x14ac:dyDescent="0.5">
      <c r="A57" s="90"/>
      <c r="B57" s="91"/>
      <c r="C57" s="90"/>
      <c r="D57" s="92"/>
      <c r="E57" s="92"/>
      <c r="F57" s="92"/>
      <c r="G57" s="93"/>
      <c r="H57" s="94"/>
      <c r="I57" s="90"/>
      <c r="J57" s="95"/>
      <c r="K57" s="92"/>
      <c r="L57" s="90"/>
      <c r="M57" s="59"/>
      <c r="N57" s="96"/>
      <c r="O57" s="107"/>
      <c r="P57" s="107"/>
      <c r="Q57" s="107"/>
      <c r="R57" s="107"/>
      <c r="S57" s="238"/>
      <c r="T57" s="239"/>
      <c r="U57" s="239"/>
      <c r="V57" s="239"/>
      <c r="W57" s="239"/>
      <c r="X57" s="239"/>
      <c r="Y57" s="239"/>
      <c r="Z57" s="239"/>
      <c r="AA57" s="239"/>
      <c r="AB57" s="239"/>
      <c r="AC57" s="239"/>
      <c r="AD57" s="239"/>
      <c r="AE57" s="240"/>
      <c r="AF57" s="240"/>
      <c r="AG57" s="240"/>
      <c r="AH57" s="241" t="s">
        <v>92</v>
      </c>
      <c r="AI57" s="242">
        <f>AI56/$AH$56</f>
        <v>0.709563301710047</v>
      </c>
      <c r="AJ57" s="242">
        <f t="shared" ref="AJ57:AL57" si="54">AJ56/$AH$56</f>
        <v>0.67422529544438392</v>
      </c>
      <c r="AK57" s="242">
        <f t="shared" si="54"/>
        <v>6.1886883680551459E-2</v>
      </c>
      <c r="AL57" s="242">
        <f t="shared" si="54"/>
        <v>0.20324520340500044</v>
      </c>
      <c r="AM57" s="242">
        <f>SUM(AI57:AL57)</f>
        <v>1.6489206842399828</v>
      </c>
      <c r="AN57" s="242"/>
      <c r="AO57" s="243"/>
      <c r="AP57" s="239"/>
      <c r="AQ57" s="239"/>
      <c r="AR57" s="140"/>
      <c r="AS57" s="140"/>
      <c r="AT57" s="140"/>
      <c r="AU57" s="140"/>
      <c r="AV57" s="140"/>
      <c r="AW57" s="140"/>
      <c r="AX57" s="240"/>
      <c r="AY57" s="240"/>
      <c r="AZ57" s="240"/>
      <c r="BA57" s="244"/>
      <c r="BB57" s="244"/>
    </row>
    <row r="58" spans="1:54" ht="14.65" thickBot="1" x14ac:dyDescent="0.5">
      <c r="A58" s="23"/>
      <c r="B58" s="23"/>
      <c r="C58" s="97">
        <f>SUM(C8:C56)</f>
        <v>36400000</v>
      </c>
      <c r="D58" s="97">
        <f t="shared" ref="D58:F58" si="55">SUM(D8:D56)</f>
        <v>109100000</v>
      </c>
      <c r="E58" s="97">
        <f t="shared" si="55"/>
        <v>131200000.00000001</v>
      </c>
      <c r="F58" s="97">
        <f t="shared" si="55"/>
        <v>60600000</v>
      </c>
      <c r="G58" s="98">
        <f>SUM(G8:G56)</f>
        <v>413499999.99999976</v>
      </c>
      <c r="H58" s="98">
        <f t="shared" ref="H58:J58" si="56">SUM(H8:H56)</f>
        <v>575000000.00000012</v>
      </c>
      <c r="I58" s="98">
        <f t="shared" si="56"/>
        <v>22699999.999999996</v>
      </c>
      <c r="J58" s="98">
        <f t="shared" si="56"/>
        <v>22700000.000000007</v>
      </c>
      <c r="K58" s="97">
        <f>SUM(K8:K56)</f>
        <v>11800000</v>
      </c>
      <c r="L58" s="97">
        <f>SUM(L8:L56)</f>
        <v>6400000</v>
      </c>
      <c r="M58" s="59"/>
      <c r="N58" s="97">
        <f>SUM(C58:L58)</f>
        <v>1389400000</v>
      </c>
      <c r="O58" s="107"/>
      <c r="P58" s="107"/>
      <c r="Q58" s="107"/>
      <c r="R58" s="107"/>
      <c r="S58" s="238"/>
      <c r="T58" s="107"/>
      <c r="U58" s="107"/>
      <c r="V58" s="107"/>
      <c r="W58" s="107"/>
      <c r="X58" s="107"/>
      <c r="Y58" s="107"/>
      <c r="Z58" s="245">
        <f>SUM(Z9:Z56)*X5</f>
        <v>32199999.999999955</v>
      </c>
      <c r="AA58" s="246" t="s">
        <v>93</v>
      </c>
      <c r="AB58" s="247"/>
      <c r="AC58" s="247"/>
      <c r="AD58" s="248"/>
      <c r="AE58" s="107"/>
      <c r="AF58" s="107"/>
      <c r="AG58" s="107"/>
      <c r="AH58" s="249" t="s">
        <v>94</v>
      </c>
      <c r="AI58" s="238">
        <f>AI56/AI8-1</f>
        <v>49.831243558767</v>
      </c>
      <c r="AJ58" s="238">
        <f>AJ56/AJ8-1</f>
        <v>23.149860994516153</v>
      </c>
      <c r="AK58" s="238">
        <f>AK56/D8-1</f>
        <v>-0.26042054131344627</v>
      </c>
      <c r="AL58" s="238">
        <f>AL56/AL8-1</f>
        <v>1.4952080621416157</v>
      </c>
      <c r="AM58" s="107"/>
      <c r="AN58" s="250"/>
      <c r="AO58" s="251"/>
      <c r="AP58" s="252"/>
      <c r="AQ58" s="252"/>
      <c r="AR58" s="253"/>
      <c r="AS58" s="253"/>
      <c r="AT58" s="253"/>
      <c r="AU58" s="253"/>
      <c r="AV58" s="253"/>
      <c r="AW58" s="253"/>
      <c r="AX58" s="240"/>
      <c r="AY58" s="240"/>
      <c r="AZ58" s="240"/>
      <c r="BA58" s="244"/>
      <c r="BB58" s="107"/>
    </row>
    <row r="59" spans="1:54" ht="14.65" thickBot="1" x14ac:dyDescent="0.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254"/>
      <c r="T59" s="145"/>
      <c r="U59" s="145"/>
      <c r="V59" s="145"/>
      <c r="W59" s="145"/>
      <c r="X59" s="145"/>
      <c r="Y59" s="145"/>
      <c r="Z59" s="245">
        <f>SUM(Z9:Z56)*X4</f>
        <v>13799999.999999981</v>
      </c>
      <c r="AA59" s="246" t="s">
        <v>95</v>
      </c>
      <c r="AB59" s="247"/>
      <c r="AC59" s="247"/>
      <c r="AD59" s="248"/>
      <c r="AE59" s="145"/>
      <c r="AF59" s="145"/>
      <c r="AG59" s="145"/>
      <c r="AH59" s="145"/>
      <c r="AI59" s="145"/>
      <c r="AJ59" s="145"/>
      <c r="AK59" s="145"/>
      <c r="AL59" s="145"/>
      <c r="AM59" s="145"/>
      <c r="AN59" s="255"/>
      <c r="AO59" s="148"/>
      <c r="AP59" s="256"/>
      <c r="AQ59" s="256"/>
      <c r="AR59" s="257"/>
      <c r="AS59" s="257"/>
      <c r="AT59" s="258">
        <f>25/35.5*H9</f>
        <v>17097026.604068857</v>
      </c>
      <c r="AU59" s="257"/>
      <c r="AV59" s="257"/>
      <c r="AW59" s="257"/>
      <c r="AX59" s="145"/>
      <c r="AY59" s="145"/>
      <c r="AZ59" s="145"/>
      <c r="BA59" s="145"/>
      <c r="BB59" s="145"/>
    </row>
    <row r="60" spans="1:54" x14ac:dyDescent="0.4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254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255"/>
      <c r="AO60" s="148"/>
      <c r="AP60" s="259"/>
      <c r="AQ60" s="259"/>
      <c r="AR60" s="259"/>
      <c r="AS60" s="259"/>
      <c r="AT60" s="260"/>
      <c r="AU60" s="257"/>
      <c r="AV60" s="257"/>
      <c r="AW60" s="257"/>
      <c r="AX60" s="145"/>
      <c r="AY60" s="145"/>
      <c r="AZ60" s="145"/>
      <c r="BA60" s="145"/>
      <c r="BB60" s="145"/>
    </row>
    <row r="61" spans="1:54" x14ac:dyDescent="0.45">
      <c r="A61" s="261" t="s">
        <v>96</v>
      </c>
      <c r="B61" s="262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254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5"/>
      <c r="AN61" s="255"/>
      <c r="AO61" s="148"/>
      <c r="AP61" s="259"/>
      <c r="AQ61" s="259"/>
      <c r="AR61" s="259"/>
      <c r="AS61" s="259"/>
      <c r="AT61" s="259"/>
      <c r="AU61" s="257"/>
      <c r="AV61" s="257"/>
      <c r="AW61" s="257"/>
      <c r="AX61" s="145"/>
      <c r="AY61" s="145"/>
      <c r="AZ61" s="145"/>
      <c r="BA61" s="145"/>
      <c r="BB61" s="145"/>
    </row>
    <row r="62" spans="1:54" x14ac:dyDescent="0.4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254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255"/>
      <c r="AO62" s="148"/>
      <c r="AP62" s="257"/>
      <c r="AQ62" s="257"/>
      <c r="AR62" s="257"/>
      <c r="AS62" s="257"/>
      <c r="AT62" s="257"/>
      <c r="AU62" s="257"/>
      <c r="AV62" s="257"/>
      <c r="AW62" s="257"/>
      <c r="AX62" s="145"/>
      <c r="AY62" s="145"/>
      <c r="AZ62" s="145"/>
      <c r="BA62" s="145"/>
      <c r="BB62" s="145"/>
    </row>
    <row r="63" spans="1:54" x14ac:dyDescent="0.45">
      <c r="A63" s="41"/>
      <c r="B63" s="263" t="s">
        <v>15</v>
      </c>
      <c r="C63" s="263" t="s">
        <v>16</v>
      </c>
      <c r="D63" s="263" t="s">
        <v>97</v>
      </c>
      <c r="E63" s="263" t="s">
        <v>18</v>
      </c>
      <c r="F63" s="263" t="s">
        <v>19</v>
      </c>
      <c r="G63" s="263" t="s">
        <v>20</v>
      </c>
      <c r="H63" s="263" t="s">
        <v>21</v>
      </c>
      <c r="I63" s="263" t="s">
        <v>22</v>
      </c>
      <c r="O63" s="145"/>
      <c r="P63" s="145"/>
      <c r="Q63" s="145"/>
      <c r="R63" s="145"/>
      <c r="S63" s="254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45"/>
      <c r="AF63" s="145"/>
      <c r="AG63" s="145"/>
      <c r="AH63" s="145"/>
      <c r="AI63" s="145"/>
      <c r="AJ63" s="145"/>
      <c r="AK63" s="145"/>
      <c r="AL63" s="145"/>
      <c r="AM63" s="145"/>
      <c r="AN63" s="255"/>
      <c r="AO63" s="148"/>
      <c r="AP63" s="257"/>
      <c r="AQ63" s="257"/>
      <c r="AR63" s="257"/>
      <c r="AS63" s="257"/>
      <c r="AT63" s="257"/>
      <c r="AU63" s="257"/>
      <c r="AV63" s="257"/>
      <c r="AW63" s="257"/>
      <c r="AX63" s="145"/>
      <c r="AY63" s="145"/>
    </row>
    <row r="64" spans="1:54" x14ac:dyDescent="0.45">
      <c r="A64" s="33" t="s">
        <v>46</v>
      </c>
      <c r="B64" s="264">
        <f>K2/1000000</f>
        <v>11.8</v>
      </c>
      <c r="C64" s="264">
        <f t="shared" ref="C64:C69" si="57">B64</f>
        <v>11.8</v>
      </c>
      <c r="D64" s="32"/>
      <c r="E64" s="32"/>
      <c r="F64" s="265">
        <v>19.5</v>
      </c>
      <c r="G64" s="33">
        <v>12</v>
      </c>
      <c r="H64" s="33">
        <v>12</v>
      </c>
      <c r="I64" s="33" t="s">
        <v>24</v>
      </c>
      <c r="S64" s="266"/>
      <c r="AC64" s="145"/>
      <c r="AN64" s="267"/>
      <c r="AO64" s="268"/>
      <c r="AP64" s="269"/>
      <c r="AQ64" s="269"/>
      <c r="AR64" s="269"/>
      <c r="AS64" s="269"/>
      <c r="AT64" s="269"/>
      <c r="AU64" s="269"/>
      <c r="AV64" s="269"/>
      <c r="AW64" s="269"/>
    </row>
    <row r="65" spans="1:49" x14ac:dyDescent="0.45">
      <c r="A65" s="41" t="s">
        <v>7</v>
      </c>
      <c r="B65" s="270">
        <f>L2/1000000</f>
        <v>6.4</v>
      </c>
      <c r="C65" s="270">
        <f t="shared" si="57"/>
        <v>6.4</v>
      </c>
      <c r="D65" s="271">
        <f>C65</f>
        <v>6.4</v>
      </c>
      <c r="E65" s="272"/>
      <c r="F65" s="272"/>
      <c r="G65" s="41"/>
      <c r="H65" s="41"/>
      <c r="I65" s="41"/>
      <c r="S65" s="266"/>
      <c r="AN65" s="267"/>
      <c r="AO65" s="268"/>
      <c r="AP65" s="269"/>
      <c r="AQ65" s="269"/>
      <c r="AR65" s="269"/>
      <c r="AS65" s="269"/>
      <c r="AT65" s="269"/>
      <c r="AU65" s="269"/>
      <c r="AV65" s="269"/>
      <c r="AW65" s="269"/>
    </row>
    <row r="66" spans="1:49" x14ac:dyDescent="0.45">
      <c r="A66" s="41" t="s">
        <v>0</v>
      </c>
      <c r="B66" s="270">
        <f>C2/1000000</f>
        <v>36.4</v>
      </c>
      <c r="C66" s="270">
        <f t="shared" si="57"/>
        <v>36.4</v>
      </c>
      <c r="D66" s="272"/>
      <c r="E66" s="272"/>
      <c r="F66" s="272">
        <v>60</v>
      </c>
      <c r="G66" s="41">
        <v>12</v>
      </c>
      <c r="H66" s="41">
        <v>24</v>
      </c>
      <c r="I66" s="41" t="s">
        <v>24</v>
      </c>
      <c r="S66" s="266"/>
      <c r="AN66" s="267"/>
      <c r="AO66" s="268"/>
      <c r="AP66" s="269"/>
      <c r="AQ66" s="269"/>
      <c r="AR66" s="269"/>
      <c r="AS66" s="269"/>
      <c r="AT66" s="269"/>
      <c r="AU66" s="269"/>
      <c r="AV66" s="269"/>
      <c r="AW66" s="269"/>
    </row>
    <row r="67" spans="1:49" x14ac:dyDescent="0.45">
      <c r="A67" s="33" t="s">
        <v>1</v>
      </c>
      <c r="B67" s="264">
        <f>D2/1000000</f>
        <v>109.1</v>
      </c>
      <c r="C67" s="264">
        <f t="shared" si="57"/>
        <v>109.1</v>
      </c>
      <c r="D67" s="265"/>
      <c r="E67" s="265">
        <v>150</v>
      </c>
      <c r="F67" s="32">
        <f>C67-E67</f>
        <v>-40.900000000000006</v>
      </c>
      <c r="G67" s="33">
        <v>12</v>
      </c>
      <c r="H67" s="33">
        <v>24</v>
      </c>
      <c r="I67" s="33" t="s">
        <v>24</v>
      </c>
      <c r="S67" s="266"/>
      <c r="AN67" s="267"/>
      <c r="AO67" s="268"/>
      <c r="AP67" s="269"/>
      <c r="AQ67" s="269"/>
      <c r="AR67" s="269"/>
      <c r="AS67" s="269"/>
      <c r="AT67" s="269"/>
      <c r="AU67" s="269"/>
      <c r="AV67" s="269"/>
      <c r="AW67" s="269"/>
    </row>
    <row r="68" spans="1:49" x14ac:dyDescent="0.45">
      <c r="A68" s="33" t="s">
        <v>2</v>
      </c>
      <c r="B68" s="264">
        <f>E2/1000000</f>
        <v>131.20000000000002</v>
      </c>
      <c r="C68" s="264">
        <f t="shared" si="57"/>
        <v>131.20000000000002</v>
      </c>
      <c r="D68" s="265">
        <v>75</v>
      </c>
      <c r="E68" s="265"/>
      <c r="F68" s="32">
        <f>C68-D68</f>
        <v>56.200000000000017</v>
      </c>
      <c r="G68" s="33">
        <v>12</v>
      </c>
      <c r="H68" s="33">
        <v>12</v>
      </c>
      <c r="I68" s="33" t="s">
        <v>24</v>
      </c>
      <c r="S68" s="266"/>
      <c r="AN68" s="267"/>
      <c r="AO68" s="268"/>
      <c r="AP68" s="269"/>
      <c r="AQ68" s="269"/>
      <c r="AR68" s="269"/>
      <c r="AS68" s="269"/>
      <c r="AT68" s="269"/>
      <c r="AU68" s="269"/>
      <c r="AV68" s="269"/>
      <c r="AW68" s="269"/>
    </row>
    <row r="69" spans="1:49" x14ac:dyDescent="0.45">
      <c r="A69" s="41" t="s">
        <v>98</v>
      </c>
      <c r="B69" s="270">
        <f>F2/1000000</f>
        <v>60.6</v>
      </c>
      <c r="C69" s="270">
        <f t="shared" si="57"/>
        <v>60.6</v>
      </c>
      <c r="D69" s="271">
        <f>C69</f>
        <v>60.6</v>
      </c>
      <c r="E69" s="272"/>
      <c r="F69" s="263"/>
      <c r="G69" s="41"/>
      <c r="H69" s="41"/>
      <c r="I69" s="41"/>
      <c r="S69" s="266"/>
      <c r="AN69" s="267"/>
      <c r="AO69" s="268"/>
      <c r="AP69" s="269"/>
      <c r="AQ69" s="269"/>
      <c r="AR69" s="269"/>
      <c r="AS69" s="269"/>
      <c r="AT69" s="269"/>
      <c r="AU69" s="269"/>
      <c r="AV69" s="269"/>
      <c r="AW69" s="269"/>
    </row>
    <row r="70" spans="1:49" x14ac:dyDescent="0.45">
      <c r="A70" s="41" t="s">
        <v>4</v>
      </c>
      <c r="B70" s="270">
        <f>G2/1000000</f>
        <v>250.6</v>
      </c>
      <c r="C70" s="270"/>
      <c r="D70" s="263"/>
      <c r="E70" s="263"/>
      <c r="F70" s="263"/>
      <c r="G70" s="41"/>
      <c r="H70" s="41"/>
      <c r="I70" s="41"/>
      <c r="S70" s="266"/>
      <c r="AN70" s="267"/>
      <c r="AO70" s="268"/>
      <c r="AP70" s="269"/>
      <c r="AQ70" s="269"/>
      <c r="AR70" s="269"/>
      <c r="AS70" s="269"/>
      <c r="AT70" s="269"/>
      <c r="AU70" s="269"/>
      <c r="AV70" s="269"/>
      <c r="AW70" s="269"/>
    </row>
    <row r="71" spans="1:49" x14ac:dyDescent="0.45">
      <c r="A71" s="41" t="s">
        <v>99</v>
      </c>
      <c r="B71" s="270">
        <f>H2/1000000</f>
        <v>348.5</v>
      </c>
      <c r="C71" s="270"/>
      <c r="D71" s="263"/>
      <c r="E71" s="263"/>
      <c r="F71" s="263"/>
      <c r="G71" s="41">
        <v>12</v>
      </c>
      <c r="H71" s="41"/>
      <c r="I71" s="41"/>
      <c r="S71" s="266"/>
      <c r="AN71" s="267"/>
      <c r="AO71" s="268"/>
      <c r="AP71" s="269"/>
      <c r="AQ71" s="269"/>
      <c r="AR71" s="269"/>
      <c r="AS71" s="269"/>
      <c r="AT71" s="269"/>
      <c r="AU71" s="269"/>
      <c r="AV71" s="269"/>
      <c r="AW71" s="269"/>
    </row>
    <row r="72" spans="1:49" x14ac:dyDescent="0.45">
      <c r="A72" s="41" t="s">
        <v>102</v>
      </c>
      <c r="B72" s="270">
        <f>I2/1000000</f>
        <v>22.7</v>
      </c>
      <c r="C72" s="270"/>
      <c r="D72" s="263"/>
      <c r="E72" s="263"/>
      <c r="F72" s="263"/>
      <c r="G72" s="41">
        <v>12</v>
      </c>
      <c r="H72" s="41"/>
      <c r="I72" s="41"/>
      <c r="S72" s="266"/>
      <c r="AN72" s="267"/>
      <c r="AO72" s="268"/>
      <c r="AP72" s="269"/>
      <c r="AQ72" s="269"/>
      <c r="AR72" s="269"/>
      <c r="AS72" s="269"/>
      <c r="AT72" s="269"/>
      <c r="AU72" s="269"/>
      <c r="AV72" s="269"/>
      <c r="AW72" s="269"/>
    </row>
    <row r="73" spans="1:49" x14ac:dyDescent="0.45">
      <c r="A73" s="41" t="s">
        <v>103</v>
      </c>
      <c r="B73" s="270">
        <f>J2/1000000</f>
        <v>22.7</v>
      </c>
      <c r="C73" s="270"/>
      <c r="D73" s="263"/>
      <c r="E73" s="263"/>
      <c r="F73" s="263"/>
      <c r="G73" s="41">
        <v>12</v>
      </c>
      <c r="H73" s="41"/>
      <c r="I73" s="41"/>
      <c r="S73" s="266"/>
      <c r="AN73" s="267"/>
      <c r="AO73" s="268"/>
      <c r="AP73" s="269"/>
      <c r="AQ73" s="269"/>
      <c r="AR73" s="269"/>
      <c r="AS73" s="269"/>
      <c r="AT73" s="269"/>
      <c r="AU73" s="269"/>
      <c r="AV73" s="269"/>
      <c r="AW73" s="269"/>
    </row>
    <row r="74" spans="1:49" x14ac:dyDescent="0.45">
      <c r="A74" s="41" t="s">
        <v>100</v>
      </c>
      <c r="B74" s="41">
        <f>SUM(B64:B73)</f>
        <v>1000.0000000000001</v>
      </c>
      <c r="C74" s="41">
        <f>SUM(C64:C73)</f>
        <v>355.5</v>
      </c>
      <c r="D74" s="41">
        <f>SUM(D64:D73)</f>
        <v>142</v>
      </c>
      <c r="E74" s="41"/>
      <c r="F74" s="41"/>
      <c r="G74" s="41"/>
      <c r="H74" s="41"/>
      <c r="I74" s="41"/>
      <c r="S74" s="266"/>
      <c r="AN74" s="267"/>
      <c r="AO74" s="268"/>
      <c r="AP74" s="269"/>
      <c r="AQ74" s="269"/>
      <c r="AR74" s="269"/>
      <c r="AS74" s="269"/>
      <c r="AT74" s="269"/>
      <c r="AU74" s="269"/>
      <c r="AV74" s="269"/>
      <c r="AW74" s="269"/>
    </row>
    <row r="75" spans="1:49" x14ac:dyDescent="0.45">
      <c r="A75" s="41" t="s">
        <v>25</v>
      </c>
      <c r="B75" s="41"/>
      <c r="C75" s="41"/>
      <c r="D75" s="273">
        <f>D74/1500</f>
        <v>9.4666666666666663E-2</v>
      </c>
      <c r="E75" s="41"/>
      <c r="F75" s="41"/>
      <c r="G75" s="41"/>
      <c r="H75" s="41"/>
      <c r="I75" s="41"/>
      <c r="S75" s="266"/>
      <c r="AN75" s="267"/>
      <c r="AO75" s="268"/>
      <c r="AP75" s="269"/>
      <c r="AQ75" s="269"/>
      <c r="AR75" s="269"/>
      <c r="AS75" s="269"/>
      <c r="AT75" s="269"/>
      <c r="AU75" s="269"/>
      <c r="AV75" s="269"/>
      <c r="AW75" s="269"/>
    </row>
    <row r="76" spans="1:49" x14ac:dyDescent="0.45">
      <c r="A76" s="274"/>
      <c r="B76" s="275"/>
      <c r="C76" s="275"/>
      <c r="D76" s="275"/>
      <c r="E76" s="275"/>
      <c r="F76" s="275"/>
      <c r="G76" s="275"/>
      <c r="H76" s="275"/>
      <c r="I76" s="276"/>
      <c r="S76" s="266"/>
      <c r="AN76" s="267"/>
      <c r="AO76" s="268"/>
      <c r="AP76" s="269"/>
      <c r="AQ76" s="269"/>
      <c r="AR76" s="269"/>
      <c r="AS76" s="269"/>
      <c r="AT76" s="269"/>
      <c r="AU76" s="269"/>
      <c r="AV76" s="269"/>
      <c r="AW76" s="269"/>
    </row>
    <row r="77" spans="1:49" x14ac:dyDescent="0.45">
      <c r="A77" s="277" t="s">
        <v>23</v>
      </c>
      <c r="B77" s="278">
        <v>25</v>
      </c>
      <c r="C77" s="279" t="s">
        <v>101</v>
      </c>
      <c r="D77" s="279"/>
      <c r="E77" s="279"/>
      <c r="F77" s="279"/>
      <c r="G77" s="279"/>
      <c r="H77" s="279"/>
      <c r="I77" s="280"/>
      <c r="S77" s="266"/>
      <c r="AN77" s="267"/>
      <c r="AO77" s="268"/>
      <c r="AP77" s="269"/>
      <c r="AQ77" s="269"/>
      <c r="AR77" s="269"/>
      <c r="AS77" s="269"/>
      <c r="AT77" s="269"/>
      <c r="AU77" s="269"/>
      <c r="AV77" s="269"/>
      <c r="AW77" s="269"/>
    </row>
    <row r="78" spans="1:49" x14ac:dyDescent="0.45">
      <c r="A78" s="145"/>
      <c r="B78" s="145"/>
      <c r="C78" s="145"/>
      <c r="D78" s="145"/>
      <c r="E78" s="145"/>
      <c r="F78" s="145"/>
      <c r="G78" s="145"/>
      <c r="H78" s="145"/>
      <c r="S78" s="266"/>
      <c r="AN78" s="267"/>
      <c r="AO78" s="268"/>
      <c r="AP78" s="269"/>
      <c r="AQ78" s="269"/>
      <c r="AR78" s="269"/>
      <c r="AS78" s="269"/>
      <c r="AT78" s="269"/>
      <c r="AU78" s="269"/>
      <c r="AV78" s="269"/>
      <c r="AW78" s="269"/>
    </row>
    <row r="79" spans="1:49" x14ac:dyDescent="0.45">
      <c r="A79" s="145"/>
      <c r="B79" s="145"/>
      <c r="C79" s="145"/>
      <c r="D79" s="145"/>
      <c r="E79" s="145"/>
      <c r="F79" s="145"/>
      <c r="G79" s="145"/>
      <c r="H79" s="145"/>
      <c r="S79" s="266"/>
      <c r="AN79" s="267"/>
      <c r="AO79" s="268"/>
      <c r="AP79" s="269"/>
      <c r="AQ79" s="269"/>
      <c r="AR79" s="269"/>
      <c r="AS79" s="269"/>
      <c r="AT79" s="269"/>
      <c r="AU79" s="269"/>
      <c r="AV79" s="269"/>
      <c r="AW79" s="269"/>
    </row>
    <row r="80" spans="1:49" x14ac:dyDescent="0.45">
      <c r="S80" s="266"/>
      <c r="AN80" s="267"/>
      <c r="AO80" s="268"/>
      <c r="AP80" s="269"/>
      <c r="AQ80" s="269"/>
      <c r="AR80" s="269"/>
      <c r="AS80" s="269"/>
      <c r="AT80" s="269"/>
      <c r="AU80" s="269"/>
      <c r="AV80" s="269"/>
      <c r="AW80" s="269"/>
    </row>
    <row r="81" spans="1:49" x14ac:dyDescent="0.45">
      <c r="A81" s="145"/>
      <c r="B81" s="281"/>
      <c r="C81" s="282"/>
      <c r="D81" s="283"/>
      <c r="S81" s="266"/>
      <c r="AN81" s="267"/>
      <c r="AO81" s="268"/>
      <c r="AP81" s="269"/>
      <c r="AQ81" s="269"/>
      <c r="AR81" s="269"/>
      <c r="AS81" s="269"/>
      <c r="AT81" s="269"/>
      <c r="AU81" s="269"/>
      <c r="AV81" s="269"/>
      <c r="AW81" s="269"/>
    </row>
    <row r="82" spans="1:49" x14ac:dyDescent="0.45">
      <c r="A82" s="145"/>
      <c r="B82" s="281"/>
      <c r="C82" s="282"/>
      <c r="D82" s="283"/>
      <c r="S82" s="266"/>
      <c r="AN82" s="267"/>
      <c r="AO82" s="268"/>
      <c r="AP82" s="269"/>
      <c r="AQ82" s="269"/>
      <c r="AR82" s="269"/>
      <c r="AS82" s="269"/>
      <c r="AT82" s="269"/>
      <c r="AU82" s="269"/>
      <c r="AV82" s="269"/>
      <c r="AW82" s="269"/>
    </row>
    <row r="83" spans="1:49" x14ac:dyDescent="0.45">
      <c r="A83" s="145"/>
      <c r="B83" s="281"/>
      <c r="C83" s="282"/>
      <c r="D83" s="283"/>
      <c r="S83" s="266"/>
      <c r="AN83" s="267"/>
      <c r="AO83" s="268"/>
      <c r="AP83" s="269"/>
      <c r="AQ83" s="269"/>
      <c r="AR83" s="269"/>
      <c r="AS83" s="269"/>
      <c r="AT83" s="269"/>
      <c r="AU83" s="269"/>
      <c r="AV83" s="269"/>
      <c r="AW83" s="269"/>
    </row>
    <row r="84" spans="1:49" x14ac:dyDescent="0.45">
      <c r="A84" s="145"/>
      <c r="B84" s="281"/>
      <c r="C84" s="282"/>
      <c r="D84" s="283"/>
      <c r="S84" s="266"/>
      <c r="AN84" s="267"/>
      <c r="AO84" s="268"/>
      <c r="AP84" s="269"/>
      <c r="AQ84" s="269"/>
      <c r="AR84" s="269"/>
      <c r="AS84" s="269"/>
      <c r="AT84" s="269"/>
      <c r="AU84" s="269"/>
      <c r="AV84" s="269"/>
      <c r="AW84" s="269"/>
    </row>
    <row r="85" spans="1:49" x14ac:dyDescent="0.45">
      <c r="A85" s="145"/>
      <c r="B85" s="145"/>
      <c r="C85" s="145"/>
      <c r="D85" s="283"/>
      <c r="S85" s="266"/>
      <c r="AN85" s="267"/>
      <c r="AO85" s="268"/>
      <c r="AP85" s="269"/>
      <c r="AQ85" s="269"/>
      <c r="AR85" s="269"/>
      <c r="AS85" s="269"/>
      <c r="AT85" s="269"/>
      <c r="AU85" s="269"/>
      <c r="AV85" s="269"/>
      <c r="AW85" s="269"/>
    </row>
    <row r="86" spans="1:49" x14ac:dyDescent="0.45">
      <c r="A86" s="145"/>
      <c r="B86" s="145"/>
      <c r="C86" s="145"/>
      <c r="K86" s="145"/>
      <c r="L86" s="145"/>
      <c r="S86" s="266"/>
      <c r="AN86" s="267"/>
      <c r="AO86" s="268"/>
      <c r="AP86" s="269"/>
      <c r="AQ86" s="269"/>
      <c r="AR86" s="269"/>
      <c r="AS86" s="269"/>
      <c r="AT86" s="269"/>
      <c r="AU86" s="269"/>
      <c r="AV86" s="269"/>
      <c r="AW86" s="269"/>
    </row>
    <row r="87" spans="1:49" x14ac:dyDescent="0.45">
      <c r="A87" s="145"/>
      <c r="B87" s="145"/>
      <c r="C87" s="145"/>
      <c r="K87" s="145"/>
      <c r="L87" s="145"/>
      <c r="S87" s="266"/>
      <c r="AN87" s="267"/>
      <c r="AO87" s="268"/>
      <c r="AP87" s="269"/>
      <c r="AQ87" s="269"/>
      <c r="AR87" s="269"/>
      <c r="AS87" s="269"/>
      <c r="AT87" s="269"/>
      <c r="AU87" s="269"/>
      <c r="AV87" s="269"/>
      <c r="AW87" s="269"/>
    </row>
    <row r="88" spans="1:49" x14ac:dyDescent="0.45">
      <c r="S88" s="266"/>
      <c r="AN88" s="267"/>
      <c r="AO88" s="268"/>
      <c r="AP88" s="269"/>
      <c r="AQ88" s="269"/>
      <c r="AR88" s="269"/>
      <c r="AS88" s="269"/>
      <c r="AT88" s="269"/>
      <c r="AU88" s="269"/>
      <c r="AV88" s="269"/>
      <c r="AW88" s="269"/>
    </row>
    <row r="89" spans="1:49" x14ac:dyDescent="0.45">
      <c r="S89" s="266"/>
      <c r="AN89" s="267"/>
      <c r="AO89" s="268"/>
      <c r="AP89" s="269"/>
      <c r="AQ89" s="269"/>
      <c r="AR89" s="269"/>
      <c r="AS89" s="269"/>
      <c r="AT89" s="269"/>
      <c r="AU89" s="269"/>
      <c r="AV89" s="269"/>
      <c r="AW89" s="269"/>
    </row>
    <row r="90" spans="1:49" x14ac:dyDescent="0.45">
      <c r="S90" s="266"/>
      <c r="AN90" s="267"/>
      <c r="AO90" s="268"/>
      <c r="AP90" s="269"/>
      <c r="AQ90" s="269"/>
      <c r="AR90" s="269"/>
      <c r="AS90" s="269"/>
      <c r="AT90" s="269"/>
      <c r="AU90" s="269"/>
      <c r="AV90" s="269"/>
      <c r="AW90" s="269"/>
    </row>
    <row r="91" spans="1:49" x14ac:dyDescent="0.45">
      <c r="S91" s="266"/>
      <c r="AN91" s="267"/>
      <c r="AO91" s="268"/>
      <c r="AP91" s="269"/>
      <c r="AQ91" s="269"/>
      <c r="AR91" s="269"/>
      <c r="AS91" s="269"/>
      <c r="AT91" s="269"/>
      <c r="AU91" s="269"/>
      <c r="AV91" s="269"/>
      <c r="AW91" s="269"/>
    </row>
    <row r="92" spans="1:49" x14ac:dyDescent="0.45">
      <c r="S92" s="266"/>
      <c r="AN92" s="267"/>
      <c r="AO92" s="268"/>
      <c r="AP92" s="269"/>
      <c r="AQ92" s="269"/>
      <c r="AR92" s="269"/>
      <c r="AS92" s="269"/>
      <c r="AT92" s="269"/>
      <c r="AU92" s="269"/>
      <c r="AV92" s="269"/>
      <c r="AW92" s="269"/>
    </row>
    <row r="93" spans="1:49" x14ac:dyDescent="0.45">
      <c r="S93" s="266"/>
      <c r="AN93" s="267"/>
      <c r="AO93" s="268"/>
      <c r="AP93" s="269"/>
      <c r="AQ93" s="269"/>
      <c r="AR93" s="269"/>
      <c r="AS93" s="269"/>
      <c r="AT93" s="269"/>
      <c r="AU93" s="269"/>
      <c r="AV93" s="269"/>
      <c r="AW93" s="269"/>
    </row>
    <row r="94" spans="1:49" x14ac:dyDescent="0.45">
      <c r="S94" s="266"/>
      <c r="AN94" s="267"/>
      <c r="AO94" s="268"/>
      <c r="AP94" s="269"/>
      <c r="AQ94" s="269"/>
      <c r="AR94" s="269"/>
      <c r="AS94" s="269"/>
      <c r="AT94" s="269"/>
      <c r="AU94" s="269"/>
      <c r="AV94" s="269"/>
      <c r="AW94" s="269"/>
    </row>
    <row r="95" spans="1:49" x14ac:dyDescent="0.45">
      <c r="S95" s="266"/>
      <c r="AN95" s="267"/>
      <c r="AO95" s="268"/>
      <c r="AP95" s="269"/>
      <c r="AQ95" s="269"/>
      <c r="AR95" s="269"/>
      <c r="AS95" s="269"/>
      <c r="AT95" s="269"/>
      <c r="AU95" s="269"/>
      <c r="AV95" s="269"/>
      <c r="AW95" s="269"/>
    </row>
    <row r="96" spans="1:49" x14ac:dyDescent="0.45">
      <c r="S96" s="266"/>
      <c r="AN96" s="267"/>
      <c r="AO96" s="268"/>
      <c r="AP96" s="269"/>
      <c r="AQ96" s="269"/>
      <c r="AR96" s="269"/>
      <c r="AS96" s="269"/>
      <c r="AT96" s="269"/>
      <c r="AU96" s="269"/>
      <c r="AV96" s="269"/>
      <c r="AW96" s="269"/>
    </row>
    <row r="97" spans="19:49" x14ac:dyDescent="0.45">
      <c r="S97" s="266"/>
      <c r="AN97" s="267"/>
      <c r="AO97" s="268"/>
      <c r="AP97" s="269"/>
      <c r="AQ97" s="269"/>
      <c r="AR97" s="269"/>
      <c r="AS97" s="269"/>
      <c r="AT97" s="269"/>
      <c r="AU97" s="269"/>
      <c r="AV97" s="269"/>
      <c r="AW97" s="269"/>
    </row>
    <row r="98" spans="19:49" x14ac:dyDescent="0.45">
      <c r="S98" s="266"/>
      <c r="AN98" s="267"/>
      <c r="AO98" s="268"/>
      <c r="AP98" s="269"/>
      <c r="AQ98" s="269"/>
      <c r="AR98" s="269"/>
      <c r="AS98" s="269"/>
      <c r="AT98" s="269"/>
      <c r="AU98" s="269"/>
      <c r="AV98" s="269"/>
      <c r="AW98" s="269"/>
    </row>
    <row r="99" spans="19:49" x14ac:dyDescent="0.45">
      <c r="S99" s="266"/>
      <c r="AN99" s="267"/>
      <c r="AO99" s="268"/>
      <c r="AP99" s="269"/>
      <c r="AQ99" s="269"/>
      <c r="AR99" s="269"/>
      <c r="AS99" s="269"/>
      <c r="AT99" s="269"/>
      <c r="AU99" s="269"/>
      <c r="AV99" s="269"/>
      <c r="AW99" s="269"/>
    </row>
    <row r="100" spans="19:49" x14ac:dyDescent="0.45">
      <c r="S100" s="266"/>
      <c r="AN100" s="267"/>
      <c r="AO100" s="268"/>
      <c r="AP100" s="269"/>
      <c r="AQ100" s="269"/>
      <c r="AR100" s="269"/>
      <c r="AS100" s="269"/>
      <c r="AT100" s="269"/>
      <c r="AU100" s="269"/>
      <c r="AV100" s="269"/>
      <c r="AW100" s="269"/>
    </row>
  </sheetData>
  <mergeCells count="11">
    <mergeCell ref="D4:E4"/>
    <mergeCell ref="G4:L4"/>
    <mergeCell ref="D5:E5"/>
    <mergeCell ref="G5:L5"/>
    <mergeCell ref="AX1:BB1"/>
    <mergeCell ref="Q2:AD2"/>
    <mergeCell ref="T3:AD3"/>
    <mergeCell ref="AH3:AN3"/>
    <mergeCell ref="AP3:AV3"/>
    <mergeCell ref="AI4:AL4"/>
    <mergeCell ref="AI5:AL5"/>
  </mergeCells>
  <conditionalFormatting sqref="D8:H8 C9:G9 D45:H57 B8:B9 K8:K31 B57 K36:K57 D10:G43">
    <cfRule type="expression" dxfId="75" priority="73">
      <formula>$B8=#REF!</formula>
    </cfRule>
  </conditionalFormatting>
  <conditionalFormatting sqref="AG9:AM9 AG10:AH20 AX33:AY33 AG8:AQ8 AT9 AV8:AX8 AX9:AY31 AZ8 N57:Z57 AF45:AF57 AX32 N56:P56 AX34:AX56 AC57:AE57 AC8:AD56 N9:P9 T9:Y12 N8:Y8 AG57:BB57 AK10:AM56 AH21:AH56 AI10:AI56 AO9:AQ56 N10:O31 N33:O55 T53:Y56 T13:X52">
    <cfRule type="expression" dxfId="74" priority="74">
      <formula>$B8=#REF!</formula>
    </cfRule>
  </conditionalFormatting>
  <conditionalFormatting sqref="K8 D8:F8">
    <cfRule type="expression" dxfId="73" priority="75">
      <formula>#REF!=#REF!</formula>
    </cfRule>
  </conditionalFormatting>
  <conditionalFormatting sqref="E9:F31 K9 D10:D31 C9:D9 D36:E43">
    <cfRule type="expression" dxfId="72" priority="76">
      <formula>$B8=#REF!</formula>
    </cfRule>
  </conditionalFormatting>
  <conditionalFormatting sqref="AZ57:BB57 AZ8 BB5:BB6 AZ7:BB7 AZ2">
    <cfRule type="cellIs" dxfId="71" priority="72" operator="greaterThan">
      <formula>0</formula>
    </cfRule>
  </conditionalFormatting>
  <conditionalFormatting sqref="AX58:BA58">
    <cfRule type="expression" dxfId="70" priority="71">
      <formula>$B58=#REF!</formula>
    </cfRule>
  </conditionalFormatting>
  <conditionalFormatting sqref="AZ58:BB58">
    <cfRule type="cellIs" dxfId="69" priority="70" operator="greaterThan">
      <formula>0</formula>
    </cfRule>
  </conditionalFormatting>
  <conditionalFormatting sqref="AE8">
    <cfRule type="expression" dxfId="68" priority="69">
      <formula>$B8=#REF!</formula>
    </cfRule>
  </conditionalFormatting>
  <conditionalFormatting sqref="AF8:AF43">
    <cfRule type="expression" dxfId="67" priority="68">
      <formula>$B8=#REF!</formula>
    </cfRule>
  </conditionalFormatting>
  <conditionalFormatting sqref="N32:O32">
    <cfRule type="expression" dxfId="66" priority="67">
      <formula>$B32=#REF!</formula>
    </cfRule>
  </conditionalFormatting>
  <conditionalFormatting sqref="AF32">
    <cfRule type="expression" dxfId="65" priority="66">
      <formula>$B32=#REF!</formula>
    </cfRule>
  </conditionalFormatting>
  <conditionalFormatting sqref="K32:K35">
    <cfRule type="expression" dxfId="64" priority="64">
      <formula>$B32=#REF!</formula>
    </cfRule>
  </conditionalFormatting>
  <conditionalFormatting sqref="D32:F35">
    <cfRule type="expression" dxfId="63" priority="65">
      <formula>$B31=#REF!</formula>
    </cfRule>
  </conditionalFormatting>
  <conditionalFormatting sqref="AH56">
    <cfRule type="expression" dxfId="62" priority="63">
      <formula>$B56=#REF!</formula>
    </cfRule>
  </conditionalFormatting>
  <conditionalFormatting sqref="AF56">
    <cfRule type="expression" dxfId="61" priority="62">
      <formula>$B56=#REF!</formula>
    </cfRule>
  </conditionalFormatting>
  <conditionalFormatting sqref="AE9">
    <cfRule type="expression" dxfId="60" priority="61">
      <formula>$B9=#REF!</formula>
    </cfRule>
  </conditionalFormatting>
  <conditionalFormatting sqref="AH44">
    <cfRule type="expression" dxfId="59" priority="60">
      <formula>$B44=#REF!</formula>
    </cfRule>
  </conditionalFormatting>
  <conditionalFormatting sqref="AF44">
    <cfRule type="expression" dxfId="58" priority="59">
      <formula>$B44=#REF!</formula>
    </cfRule>
  </conditionalFormatting>
  <conditionalFormatting sqref="D44:G44">
    <cfRule type="expression" dxfId="57" priority="57">
      <formula>$B44=#REF!</formula>
    </cfRule>
  </conditionalFormatting>
  <conditionalFormatting sqref="D44:E44">
    <cfRule type="expression" dxfId="56" priority="58">
      <formula>$B43=#REF!</formula>
    </cfRule>
  </conditionalFormatting>
  <conditionalFormatting sqref="AI10:AI56">
    <cfRule type="expression" dxfId="55" priority="56">
      <formula>$B10=#REF!</formula>
    </cfRule>
  </conditionalFormatting>
  <conditionalFormatting sqref="AG21:AG56">
    <cfRule type="expression" dxfId="54" priority="55">
      <formula>$B21=#REF!</formula>
    </cfRule>
  </conditionalFormatting>
  <conditionalFormatting sqref="AU8:AU9">
    <cfRule type="expression" dxfId="53" priority="54">
      <formula>$B8=#REF!</formula>
    </cfRule>
  </conditionalFormatting>
  <conditionalFormatting sqref="AT8">
    <cfRule type="expression" dxfId="52" priority="53">
      <formula>$B8=#REF!</formula>
    </cfRule>
  </conditionalFormatting>
  <conditionalFormatting sqref="AN9:AN56">
    <cfRule type="cellIs" dxfId="51" priority="52" operator="lessThan">
      <formula>0.51</formula>
    </cfRule>
  </conditionalFormatting>
  <conditionalFormatting sqref="AR8:AR56">
    <cfRule type="expression" dxfId="50" priority="51">
      <formula>$B8=#REF!</formula>
    </cfRule>
  </conditionalFormatting>
  <conditionalFormatting sqref="AS8:AS56">
    <cfRule type="expression" dxfId="49" priority="50">
      <formula>$B8=#REF!</formula>
    </cfRule>
  </conditionalFormatting>
  <conditionalFormatting sqref="AO8:AO56">
    <cfRule type="containsText" dxfId="48" priority="49" operator="containsText" text="Fail">
      <formula>NOT(ISERROR(SEARCH("Fail",AO8)))</formula>
    </cfRule>
  </conditionalFormatting>
  <conditionalFormatting sqref="AT10:AT21">
    <cfRule type="expression" dxfId="47" priority="48">
      <formula>$B10=#REF!</formula>
    </cfRule>
  </conditionalFormatting>
  <conditionalFormatting sqref="AU10:AU21">
    <cfRule type="expression" dxfId="46" priority="47">
      <formula>$B10=#REF!</formula>
    </cfRule>
  </conditionalFormatting>
  <conditionalFormatting sqref="BA8">
    <cfRule type="expression" dxfId="45" priority="46">
      <formula>$B8=#REF!</formula>
    </cfRule>
  </conditionalFormatting>
  <conditionalFormatting sqref="BA8">
    <cfRule type="cellIs" dxfId="44" priority="45" operator="greaterThan">
      <formula>0</formula>
    </cfRule>
  </conditionalFormatting>
  <conditionalFormatting sqref="BB8">
    <cfRule type="expression" dxfId="43" priority="44">
      <formula>$B8=#REF!</formula>
    </cfRule>
  </conditionalFormatting>
  <conditionalFormatting sqref="BB8">
    <cfRule type="cellIs" dxfId="42" priority="43" operator="greaterThan">
      <formula>0</formula>
    </cfRule>
  </conditionalFormatting>
  <conditionalFormatting sqref="AY32">
    <cfRule type="expression" dxfId="41" priority="42">
      <formula>$B32=#REF!</formula>
    </cfRule>
  </conditionalFormatting>
  <conditionalFormatting sqref="AY34:AY56">
    <cfRule type="expression" dxfId="40" priority="41">
      <formula>$B34=#REF!</formula>
    </cfRule>
  </conditionalFormatting>
  <conditionalFormatting sqref="BB9:BB56">
    <cfRule type="expression" dxfId="39" priority="40">
      <formula>$B9=#REF!</formula>
    </cfRule>
  </conditionalFormatting>
  <conditionalFormatting sqref="BB9:BB56">
    <cfRule type="cellIs" dxfId="38" priority="39" operator="greaterThan">
      <formula>0</formula>
    </cfRule>
  </conditionalFormatting>
  <conditionalFormatting sqref="BA9:BA56">
    <cfRule type="expression" dxfId="37" priority="38">
      <formula>$B9=#REF!</formula>
    </cfRule>
  </conditionalFormatting>
  <conditionalFormatting sqref="BA9:BA56">
    <cfRule type="cellIs" dxfId="36" priority="37" operator="greaterThan">
      <formula>0</formula>
    </cfRule>
  </conditionalFormatting>
  <conditionalFormatting sqref="AZ9:AZ56">
    <cfRule type="expression" dxfId="35" priority="36">
      <formula>$B9=#REF!</formula>
    </cfRule>
  </conditionalFormatting>
  <conditionalFormatting sqref="AZ9:AZ56">
    <cfRule type="cellIs" dxfId="34" priority="35" operator="greaterThan">
      <formula>0</formula>
    </cfRule>
  </conditionalFormatting>
  <conditionalFormatting sqref="AE10:AE56">
    <cfRule type="expression" dxfId="33" priority="34">
      <formula>$B10=#REF!</formula>
    </cfRule>
  </conditionalFormatting>
  <conditionalFormatting sqref="AT22:AT56">
    <cfRule type="expression" dxfId="32" priority="33">
      <formula>$B22=#REF!</formula>
    </cfRule>
  </conditionalFormatting>
  <conditionalFormatting sqref="AU22:AU56">
    <cfRule type="expression" dxfId="31" priority="32">
      <formula>$B22=#REF!</formula>
    </cfRule>
  </conditionalFormatting>
  <conditionalFormatting sqref="B10:B56">
    <cfRule type="expression" dxfId="30" priority="31">
      <formula>$B10=#REF!</formula>
    </cfRule>
  </conditionalFormatting>
  <conditionalFormatting sqref="AA8:AB47 AA52:AB57">
    <cfRule type="expression" dxfId="29" priority="30">
      <formula>$B8=#REF!</formula>
    </cfRule>
  </conditionalFormatting>
  <conditionalFormatting sqref="AA22:AB42 AA43:AA47 AA52:AA55">
    <cfRule type="expression" dxfId="28" priority="29">
      <formula>$B22=#REF!</formula>
    </cfRule>
  </conditionalFormatting>
  <conditionalFormatting sqref="AA43:AB43">
    <cfRule type="expression" dxfId="27" priority="28">
      <formula>$B43=#REF!</formula>
    </cfRule>
  </conditionalFormatting>
  <conditionalFormatting sqref="AA44:AB44">
    <cfRule type="expression" dxfId="26" priority="27">
      <formula>$B44=#REF!</formula>
    </cfRule>
  </conditionalFormatting>
  <conditionalFormatting sqref="Z9:Z47 Z52:Z56">
    <cfRule type="expression" dxfId="25" priority="26">
      <formula>$B9=#REF!</formula>
    </cfRule>
  </conditionalFormatting>
  <conditionalFormatting sqref="Z22:Z42">
    <cfRule type="expression" dxfId="24" priority="25">
      <formula>$B22=#REF!</formula>
    </cfRule>
  </conditionalFormatting>
  <conditionalFormatting sqref="Z43">
    <cfRule type="expression" dxfId="23" priority="24">
      <formula>$B43=#REF!</formula>
    </cfRule>
  </conditionalFormatting>
  <conditionalFormatting sqref="Z44">
    <cfRule type="expression" dxfId="22" priority="23">
      <formula>$B44=#REF!</formula>
    </cfRule>
  </conditionalFormatting>
  <conditionalFormatting sqref="Z8">
    <cfRule type="expression" dxfId="21" priority="22">
      <formula>$B8=#REF!</formula>
    </cfRule>
  </conditionalFormatting>
  <conditionalFormatting sqref="AB4">
    <cfRule type="containsText" dxfId="20" priority="20" operator="containsText" text="FAIL">
      <formula>NOT(ISERROR(SEARCH("FAIL",AB4)))</formula>
    </cfRule>
    <cfRule type="cellIs" dxfId="19" priority="21" operator="equal">
      <formula>"""FAIL"""</formula>
    </cfRule>
  </conditionalFormatting>
  <conditionalFormatting sqref="Q12:Q56">
    <cfRule type="expression" dxfId="18" priority="19">
      <formula>$B12=#REF!</formula>
    </cfRule>
  </conditionalFormatting>
  <conditionalFormatting sqref="R9:S56">
    <cfRule type="cellIs" dxfId="17" priority="18" operator="greaterThanOrEqual">
      <formula>0.095</formula>
    </cfRule>
  </conditionalFormatting>
  <conditionalFormatting sqref="Q9:Q11">
    <cfRule type="expression" dxfId="16" priority="17">
      <formula>$B9=#REF!</formula>
    </cfRule>
  </conditionalFormatting>
  <conditionalFormatting sqref="P10:P55">
    <cfRule type="expression" dxfId="15" priority="16">
      <formula>$B10=#REF!</formula>
    </cfRule>
  </conditionalFormatting>
  <conditionalFormatting sqref="AJ10">
    <cfRule type="expression" dxfId="14" priority="15">
      <formula>$B10=#REF!</formula>
    </cfRule>
  </conditionalFormatting>
  <conditionalFormatting sqref="AJ11:AJ56">
    <cfRule type="expression" dxfId="13" priority="14">
      <formula>$B11=#REF!</formula>
    </cfRule>
  </conditionalFormatting>
  <conditionalFormatting sqref="AA48:AB48">
    <cfRule type="expression" dxfId="12" priority="13">
      <formula>$B48=#REF!</formula>
    </cfRule>
  </conditionalFormatting>
  <conditionalFormatting sqref="AA48">
    <cfRule type="expression" dxfId="11" priority="12">
      <formula>$B48=#REF!</formula>
    </cfRule>
  </conditionalFormatting>
  <conditionalFormatting sqref="Z48">
    <cfRule type="expression" dxfId="10" priority="11">
      <formula>$B48=#REF!</formula>
    </cfRule>
  </conditionalFormatting>
  <conditionalFormatting sqref="AA49:AB49">
    <cfRule type="expression" dxfId="9" priority="10">
      <formula>$B49=#REF!</formula>
    </cfRule>
  </conditionalFormatting>
  <conditionalFormatting sqref="AA49">
    <cfRule type="expression" dxfId="8" priority="9">
      <formula>$B49=#REF!</formula>
    </cfRule>
  </conditionalFormatting>
  <conditionalFormatting sqref="Z49">
    <cfRule type="expression" dxfId="7" priority="8">
      <formula>$B49=#REF!</formula>
    </cfRule>
  </conditionalFormatting>
  <conditionalFormatting sqref="AA50:AB50">
    <cfRule type="expression" dxfId="6" priority="7">
      <formula>$B50=#REF!</formula>
    </cfRule>
  </conditionalFormatting>
  <conditionalFormatting sqref="AA50">
    <cfRule type="expression" dxfId="5" priority="6">
      <formula>$B50=#REF!</formula>
    </cfRule>
  </conditionalFormatting>
  <conditionalFormatting sqref="Z50">
    <cfRule type="expression" dxfId="4" priority="5">
      <formula>$B50=#REF!</formula>
    </cfRule>
  </conditionalFormatting>
  <conditionalFormatting sqref="AA51:AB51">
    <cfRule type="expression" dxfId="3" priority="4">
      <formula>$B51=#REF!</formula>
    </cfRule>
  </conditionalFormatting>
  <conditionalFormatting sqref="AA51">
    <cfRule type="expression" dxfId="2" priority="3">
      <formula>$B51=#REF!</formula>
    </cfRule>
  </conditionalFormatting>
  <conditionalFormatting sqref="Z51">
    <cfRule type="expression" dxfId="1" priority="2">
      <formula>$B51=#REF!</formula>
    </cfRule>
  </conditionalFormatting>
  <conditionalFormatting sqref="Y13:Y52">
    <cfRule type="expression" dxfId="0" priority="1">
      <formula>$B13=#REF!</formula>
    </cfRule>
  </conditionalFormatting>
  <dataValidations disablePrompts="1" count="1">
    <dataValidation type="list" allowBlank="1" showInputMessage="1" showErrorMessage="1" promptTitle="Account for Insider Sell down?" prompt="Account for Insider Sell down?" sqref="AN1" xr:uid="{DFFC938B-C3E5-4530-85CC-A7A84113DC75}">
      <formula1>"YES, 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BB15-26B4-4B4B-9845-B38FE2A99C5E}">
  <dimension ref="A1:M50"/>
  <sheetViews>
    <sheetView tabSelected="1" topLeftCell="A30" workbookViewId="0">
      <selection activeCell="N50" sqref="N50"/>
    </sheetView>
  </sheetViews>
  <sheetFormatPr defaultRowHeight="14.25" x14ac:dyDescent="0.45"/>
  <sheetData>
    <row r="1" spans="1:13" x14ac:dyDescent="0.45">
      <c r="A1" t="s">
        <v>122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121</v>
      </c>
      <c r="K1" t="s">
        <v>7</v>
      </c>
      <c r="L1" t="s">
        <v>112</v>
      </c>
      <c r="M1" t="s">
        <v>111</v>
      </c>
    </row>
    <row r="2" spans="1:13" x14ac:dyDescent="0.45">
      <c r="A2" s="289">
        <v>44621</v>
      </c>
      <c r="B2">
        <v>36400000</v>
      </c>
      <c r="C2">
        <v>109100000</v>
      </c>
      <c r="D2">
        <v>131200000.00000001</v>
      </c>
      <c r="E2">
        <v>60600000</v>
      </c>
      <c r="F2">
        <v>0</v>
      </c>
      <c r="G2">
        <v>0</v>
      </c>
      <c r="H2">
        <v>0</v>
      </c>
      <c r="I2">
        <v>0</v>
      </c>
      <c r="J2">
        <v>11800000</v>
      </c>
      <c r="K2">
        <v>6400000</v>
      </c>
      <c r="L2">
        <v>355500000</v>
      </c>
      <c r="M2">
        <v>0.35549999999999998</v>
      </c>
    </row>
    <row r="3" spans="1:13" x14ac:dyDescent="0.45">
      <c r="A3" s="289">
        <v>44652</v>
      </c>
      <c r="B3">
        <v>0</v>
      </c>
      <c r="C3">
        <v>0</v>
      </c>
      <c r="D3">
        <v>0</v>
      </c>
      <c r="E3">
        <v>0</v>
      </c>
      <c r="F3">
        <v>2756666.6666666665</v>
      </c>
      <c r="G3">
        <v>24277777.777777776</v>
      </c>
      <c r="H3">
        <v>0</v>
      </c>
      <c r="I3">
        <v>0</v>
      </c>
      <c r="J3">
        <v>0</v>
      </c>
      <c r="K3">
        <v>0</v>
      </c>
      <c r="L3">
        <v>382534444.44444442</v>
      </c>
      <c r="M3">
        <v>0.3825344444444444</v>
      </c>
    </row>
    <row r="4" spans="1:13" x14ac:dyDescent="0.45">
      <c r="A4" s="289">
        <v>44682</v>
      </c>
      <c r="B4">
        <v>0</v>
      </c>
      <c r="C4">
        <v>0</v>
      </c>
      <c r="D4">
        <v>0</v>
      </c>
      <c r="E4">
        <v>0</v>
      </c>
      <c r="F4">
        <v>2756666.6666666665</v>
      </c>
      <c r="G4">
        <v>24277777.777777776</v>
      </c>
      <c r="H4">
        <v>0</v>
      </c>
      <c r="I4">
        <v>0</v>
      </c>
      <c r="J4">
        <v>0</v>
      </c>
      <c r="K4">
        <v>0</v>
      </c>
      <c r="L4">
        <v>409568888.88888884</v>
      </c>
      <c r="M4">
        <v>0.40956888888888882</v>
      </c>
    </row>
    <row r="5" spans="1:13" x14ac:dyDescent="0.45">
      <c r="A5" s="289">
        <v>44713</v>
      </c>
      <c r="B5">
        <v>0</v>
      </c>
      <c r="C5">
        <v>0</v>
      </c>
      <c r="D5">
        <v>0</v>
      </c>
      <c r="E5">
        <v>0</v>
      </c>
      <c r="F5">
        <v>2756666.6666666665</v>
      </c>
      <c r="G5">
        <v>24277777.777777776</v>
      </c>
      <c r="H5">
        <v>0</v>
      </c>
      <c r="I5">
        <v>0</v>
      </c>
      <c r="J5">
        <v>0</v>
      </c>
      <c r="K5">
        <v>0</v>
      </c>
      <c r="L5">
        <v>436603333.33333325</v>
      </c>
      <c r="M5">
        <v>0.43660333333333323</v>
      </c>
    </row>
    <row r="6" spans="1:13" x14ac:dyDescent="0.45">
      <c r="A6" s="289">
        <v>44743</v>
      </c>
      <c r="B6">
        <v>0</v>
      </c>
      <c r="C6">
        <v>0</v>
      </c>
      <c r="D6">
        <v>0</v>
      </c>
      <c r="E6">
        <v>0</v>
      </c>
      <c r="F6">
        <v>9648333.333333334</v>
      </c>
      <c r="G6">
        <v>24277777.777777776</v>
      </c>
      <c r="H6">
        <v>0</v>
      </c>
      <c r="I6">
        <v>0</v>
      </c>
      <c r="J6">
        <v>0</v>
      </c>
      <c r="K6">
        <v>0</v>
      </c>
      <c r="L6">
        <v>470529444.44444436</v>
      </c>
      <c r="M6">
        <v>0.47052944444444433</v>
      </c>
    </row>
    <row r="7" spans="1:13" x14ac:dyDescent="0.45">
      <c r="A7" s="289">
        <v>44774</v>
      </c>
      <c r="B7">
        <v>0</v>
      </c>
      <c r="C7">
        <v>0</v>
      </c>
      <c r="D7">
        <v>0</v>
      </c>
      <c r="E7">
        <v>0</v>
      </c>
      <c r="F7">
        <v>9648333.333333334</v>
      </c>
      <c r="G7">
        <v>24277777.777777776</v>
      </c>
      <c r="H7">
        <v>0</v>
      </c>
      <c r="I7">
        <v>0</v>
      </c>
      <c r="J7">
        <v>0</v>
      </c>
      <c r="K7">
        <v>0</v>
      </c>
      <c r="L7">
        <v>504455555.55555546</v>
      </c>
      <c r="M7">
        <v>0.50445555555555543</v>
      </c>
    </row>
    <row r="8" spans="1:13" x14ac:dyDescent="0.45">
      <c r="A8" s="289">
        <v>44805</v>
      </c>
      <c r="B8">
        <v>0</v>
      </c>
      <c r="C8">
        <v>0</v>
      </c>
      <c r="D8">
        <v>0</v>
      </c>
      <c r="E8">
        <v>0</v>
      </c>
      <c r="F8">
        <v>9648333.333333334</v>
      </c>
      <c r="G8">
        <v>24277777.777777776</v>
      </c>
      <c r="H8">
        <v>0</v>
      </c>
      <c r="I8">
        <v>0</v>
      </c>
      <c r="J8">
        <v>0</v>
      </c>
      <c r="K8">
        <v>0</v>
      </c>
      <c r="L8">
        <v>538381666.66666663</v>
      </c>
      <c r="M8">
        <v>0.53838166666666665</v>
      </c>
    </row>
    <row r="9" spans="1:13" x14ac:dyDescent="0.45">
      <c r="A9" s="289">
        <v>44835</v>
      </c>
      <c r="B9">
        <v>0</v>
      </c>
      <c r="C9">
        <v>0</v>
      </c>
      <c r="D9">
        <v>0</v>
      </c>
      <c r="E9">
        <v>0</v>
      </c>
      <c r="F9">
        <v>9648333.333333334</v>
      </c>
      <c r="G9">
        <v>24277777.777777776</v>
      </c>
      <c r="H9">
        <v>0</v>
      </c>
      <c r="I9">
        <v>0</v>
      </c>
      <c r="J9">
        <v>0</v>
      </c>
      <c r="K9">
        <v>0</v>
      </c>
      <c r="L9">
        <v>572307777.77777779</v>
      </c>
      <c r="M9">
        <v>0.57230777777777775</v>
      </c>
    </row>
    <row r="10" spans="1:13" x14ac:dyDescent="0.45">
      <c r="A10" s="289">
        <v>44866</v>
      </c>
      <c r="B10">
        <v>0</v>
      </c>
      <c r="C10">
        <v>0</v>
      </c>
      <c r="D10">
        <v>0</v>
      </c>
      <c r="E10">
        <v>0</v>
      </c>
      <c r="F10">
        <v>9648333.333333334</v>
      </c>
      <c r="G10">
        <v>24277777.777777776</v>
      </c>
      <c r="H10">
        <v>0</v>
      </c>
      <c r="I10">
        <v>0</v>
      </c>
      <c r="J10">
        <v>0</v>
      </c>
      <c r="K10">
        <v>0</v>
      </c>
      <c r="L10">
        <v>606233888.88888896</v>
      </c>
      <c r="M10">
        <v>0.60623388888888896</v>
      </c>
    </row>
    <row r="11" spans="1:13" x14ac:dyDescent="0.45">
      <c r="A11" s="289">
        <v>44896</v>
      </c>
      <c r="B11">
        <v>0</v>
      </c>
      <c r="C11">
        <v>0</v>
      </c>
      <c r="D11">
        <v>0</v>
      </c>
      <c r="E11">
        <v>0</v>
      </c>
      <c r="F11">
        <v>9648333.333333334</v>
      </c>
      <c r="G11">
        <v>24277777.777777776</v>
      </c>
      <c r="H11">
        <v>0</v>
      </c>
      <c r="I11">
        <v>0</v>
      </c>
      <c r="J11">
        <v>0</v>
      </c>
      <c r="K11">
        <v>0</v>
      </c>
      <c r="L11">
        <v>640160000.00000012</v>
      </c>
      <c r="M11">
        <v>0.64016000000000017</v>
      </c>
    </row>
    <row r="12" spans="1:13" x14ac:dyDescent="0.45">
      <c r="A12" s="289">
        <v>44927</v>
      </c>
      <c r="B12">
        <v>0</v>
      </c>
      <c r="C12">
        <v>0</v>
      </c>
      <c r="D12">
        <v>0</v>
      </c>
      <c r="E12">
        <v>0</v>
      </c>
      <c r="F12">
        <v>18745333.333333332</v>
      </c>
      <c r="G12">
        <v>22041666.666666664</v>
      </c>
      <c r="H12">
        <v>0</v>
      </c>
      <c r="I12">
        <v>0</v>
      </c>
      <c r="J12">
        <v>0</v>
      </c>
      <c r="K12">
        <v>0</v>
      </c>
      <c r="L12">
        <v>680947000.00000012</v>
      </c>
      <c r="M12">
        <v>0.68094700000000008</v>
      </c>
    </row>
    <row r="13" spans="1:13" x14ac:dyDescent="0.45">
      <c r="A13" s="289">
        <v>44958</v>
      </c>
      <c r="B13">
        <v>0</v>
      </c>
      <c r="C13">
        <v>0</v>
      </c>
      <c r="D13">
        <v>0</v>
      </c>
      <c r="E13">
        <v>0</v>
      </c>
      <c r="F13">
        <v>18745333.333333332</v>
      </c>
      <c r="G13">
        <v>22041666.666666664</v>
      </c>
      <c r="H13">
        <v>0</v>
      </c>
      <c r="I13">
        <v>0</v>
      </c>
      <c r="J13">
        <v>0</v>
      </c>
      <c r="K13">
        <v>0</v>
      </c>
      <c r="L13">
        <v>721734000.00000012</v>
      </c>
      <c r="M13">
        <v>0.7217340000000001</v>
      </c>
    </row>
    <row r="14" spans="1:13" x14ac:dyDescent="0.45">
      <c r="A14" s="289">
        <v>44986</v>
      </c>
      <c r="B14">
        <v>0</v>
      </c>
      <c r="C14">
        <v>0</v>
      </c>
      <c r="D14">
        <v>0</v>
      </c>
      <c r="E14">
        <v>0</v>
      </c>
      <c r="F14">
        <v>18745333.333333332</v>
      </c>
      <c r="G14">
        <v>22041666.666666664</v>
      </c>
      <c r="H14">
        <v>0</v>
      </c>
      <c r="I14">
        <v>0</v>
      </c>
      <c r="J14">
        <v>0</v>
      </c>
      <c r="K14">
        <v>0</v>
      </c>
      <c r="L14">
        <v>762521000.00000012</v>
      </c>
      <c r="M14">
        <v>0.76252100000000012</v>
      </c>
    </row>
    <row r="15" spans="1:13" x14ac:dyDescent="0.45">
      <c r="A15" s="289">
        <v>45017</v>
      </c>
      <c r="B15">
        <v>0</v>
      </c>
      <c r="C15">
        <v>0</v>
      </c>
      <c r="D15">
        <v>0</v>
      </c>
      <c r="E15">
        <v>0</v>
      </c>
      <c r="F15">
        <v>18745333.333333332</v>
      </c>
      <c r="G15">
        <v>22041666.666666664</v>
      </c>
      <c r="H15">
        <v>945833.33333333337</v>
      </c>
      <c r="I15">
        <v>1261111.111111111</v>
      </c>
      <c r="J15">
        <v>0</v>
      </c>
      <c r="K15">
        <v>0</v>
      </c>
      <c r="L15">
        <v>805514944.44444454</v>
      </c>
      <c r="M15">
        <v>0.80551494444444449</v>
      </c>
    </row>
    <row r="16" spans="1:13" x14ac:dyDescent="0.45">
      <c r="A16" s="289">
        <v>45047</v>
      </c>
      <c r="B16">
        <v>0</v>
      </c>
      <c r="C16">
        <v>0</v>
      </c>
      <c r="D16">
        <v>0</v>
      </c>
      <c r="E16">
        <v>0</v>
      </c>
      <c r="F16">
        <v>18745333.333333332</v>
      </c>
      <c r="G16">
        <v>22041666.666666664</v>
      </c>
      <c r="H16">
        <v>945833.33333333337</v>
      </c>
      <c r="I16">
        <v>1261111.111111111</v>
      </c>
      <c r="J16">
        <v>0</v>
      </c>
      <c r="K16">
        <v>0</v>
      </c>
      <c r="L16">
        <v>848508888.88888896</v>
      </c>
      <c r="M16">
        <v>0.84850888888888898</v>
      </c>
    </row>
    <row r="17" spans="1:13" x14ac:dyDescent="0.45">
      <c r="A17" s="289">
        <v>45078</v>
      </c>
      <c r="B17">
        <v>0</v>
      </c>
      <c r="C17">
        <v>0</v>
      </c>
      <c r="D17">
        <v>0</v>
      </c>
      <c r="E17">
        <v>0</v>
      </c>
      <c r="F17">
        <v>18745333.333333332</v>
      </c>
      <c r="G17">
        <v>22041666.666666664</v>
      </c>
      <c r="H17">
        <v>945833.33333333337</v>
      </c>
      <c r="I17">
        <v>1261111.111111111</v>
      </c>
      <c r="J17">
        <v>0</v>
      </c>
      <c r="K17">
        <v>0</v>
      </c>
      <c r="L17">
        <v>891502833.33333337</v>
      </c>
      <c r="M17">
        <v>0.89150283333333336</v>
      </c>
    </row>
    <row r="18" spans="1:13" x14ac:dyDescent="0.45">
      <c r="A18" s="289">
        <v>45108</v>
      </c>
      <c r="B18">
        <v>0</v>
      </c>
      <c r="C18">
        <v>0</v>
      </c>
      <c r="D18">
        <v>0</v>
      </c>
      <c r="E18">
        <v>0</v>
      </c>
      <c r="F18">
        <v>18745333.333333332</v>
      </c>
      <c r="G18">
        <v>22041666.666666664</v>
      </c>
      <c r="H18">
        <v>945833.33333333337</v>
      </c>
      <c r="I18">
        <v>1261111.111111111</v>
      </c>
      <c r="J18">
        <v>0</v>
      </c>
      <c r="K18">
        <v>0</v>
      </c>
      <c r="L18">
        <v>934496777.77777779</v>
      </c>
      <c r="M18">
        <v>0.93449677777777784</v>
      </c>
    </row>
    <row r="19" spans="1:13" x14ac:dyDescent="0.45">
      <c r="A19" s="289">
        <v>45139</v>
      </c>
      <c r="B19">
        <v>0</v>
      </c>
      <c r="C19">
        <v>0</v>
      </c>
      <c r="D19">
        <v>0</v>
      </c>
      <c r="E19">
        <v>0</v>
      </c>
      <c r="F19">
        <v>18745333.333333332</v>
      </c>
      <c r="G19">
        <v>22041666.666666664</v>
      </c>
      <c r="H19">
        <v>945833.33333333337</v>
      </c>
      <c r="I19">
        <v>1261111.111111111</v>
      </c>
      <c r="J19">
        <v>0</v>
      </c>
      <c r="K19">
        <v>0</v>
      </c>
      <c r="L19">
        <v>977490722.22222221</v>
      </c>
      <c r="M19">
        <v>0.97749072222222222</v>
      </c>
    </row>
    <row r="20" spans="1:13" x14ac:dyDescent="0.45">
      <c r="A20" s="289">
        <v>45170</v>
      </c>
      <c r="B20">
        <v>0</v>
      </c>
      <c r="C20">
        <v>0</v>
      </c>
      <c r="D20">
        <v>0</v>
      </c>
      <c r="E20">
        <v>0</v>
      </c>
      <c r="F20">
        <v>18745333.333333332</v>
      </c>
      <c r="G20">
        <v>22041666.666666664</v>
      </c>
      <c r="H20">
        <v>945833.33333333337</v>
      </c>
      <c r="I20">
        <v>1261111.111111111</v>
      </c>
      <c r="J20">
        <v>0</v>
      </c>
      <c r="K20">
        <v>0</v>
      </c>
      <c r="L20">
        <v>1020484666.6666666</v>
      </c>
      <c r="M20">
        <v>1.0204846666666667</v>
      </c>
    </row>
    <row r="21" spans="1:13" x14ac:dyDescent="0.45">
      <c r="A21" s="289">
        <v>45200</v>
      </c>
      <c r="B21">
        <v>0</v>
      </c>
      <c r="C21">
        <v>0</v>
      </c>
      <c r="D21">
        <v>0</v>
      </c>
      <c r="E21">
        <v>0</v>
      </c>
      <c r="F21">
        <v>18745333.333333332</v>
      </c>
      <c r="G21">
        <v>22041666.666666664</v>
      </c>
      <c r="H21">
        <v>945833.33333333337</v>
      </c>
      <c r="I21">
        <v>1261111.111111111</v>
      </c>
      <c r="J21">
        <v>0</v>
      </c>
      <c r="K21">
        <v>0</v>
      </c>
      <c r="L21">
        <v>1063478611.111111</v>
      </c>
      <c r="M21">
        <v>1.063478611111111</v>
      </c>
    </row>
    <row r="22" spans="1:13" x14ac:dyDescent="0.45">
      <c r="A22" s="289">
        <v>45231</v>
      </c>
      <c r="B22">
        <v>0</v>
      </c>
      <c r="C22">
        <v>0</v>
      </c>
      <c r="D22">
        <v>0</v>
      </c>
      <c r="E22">
        <v>0</v>
      </c>
      <c r="F22">
        <v>18745333.333333332</v>
      </c>
      <c r="G22">
        <v>22041666.666666664</v>
      </c>
      <c r="H22">
        <v>945833.33333333337</v>
      </c>
      <c r="I22">
        <v>1261111.111111111</v>
      </c>
      <c r="J22">
        <v>0</v>
      </c>
      <c r="K22">
        <v>0</v>
      </c>
      <c r="L22">
        <v>1106472555.5555556</v>
      </c>
      <c r="M22">
        <v>1.1064725555555557</v>
      </c>
    </row>
    <row r="23" spans="1:13" x14ac:dyDescent="0.45">
      <c r="A23" s="289">
        <v>45261</v>
      </c>
      <c r="B23">
        <v>0</v>
      </c>
      <c r="C23">
        <v>0</v>
      </c>
      <c r="D23">
        <v>0</v>
      </c>
      <c r="E23">
        <v>0</v>
      </c>
      <c r="F23">
        <v>18745333.333333332</v>
      </c>
      <c r="G23">
        <v>22041666.666666664</v>
      </c>
      <c r="H23">
        <v>945833.33333333337</v>
      </c>
      <c r="I23">
        <v>1261111.111111111</v>
      </c>
      <c r="J23">
        <v>0</v>
      </c>
      <c r="K23">
        <v>0</v>
      </c>
      <c r="L23">
        <v>1149466500</v>
      </c>
      <c r="M23">
        <v>1.1494664999999999</v>
      </c>
    </row>
    <row r="24" spans="1:13" x14ac:dyDescent="0.45">
      <c r="A24" s="289">
        <v>45292</v>
      </c>
      <c r="B24">
        <v>0</v>
      </c>
      <c r="C24">
        <v>0</v>
      </c>
      <c r="D24">
        <v>0</v>
      </c>
      <c r="E24">
        <v>0</v>
      </c>
      <c r="F24">
        <v>18745333.333333332</v>
      </c>
      <c r="G24">
        <v>10222222.222222222</v>
      </c>
      <c r="H24">
        <v>945833.33333333337</v>
      </c>
      <c r="I24">
        <v>1261111.111111111</v>
      </c>
      <c r="J24">
        <v>0</v>
      </c>
      <c r="K24">
        <v>0</v>
      </c>
      <c r="L24">
        <v>1180641000</v>
      </c>
      <c r="M24">
        <v>1.1806410000000001</v>
      </c>
    </row>
    <row r="25" spans="1:13" x14ac:dyDescent="0.45">
      <c r="A25" s="289">
        <v>45323</v>
      </c>
      <c r="B25">
        <v>0</v>
      </c>
      <c r="C25">
        <v>0</v>
      </c>
      <c r="D25">
        <v>0</v>
      </c>
      <c r="E25">
        <v>0</v>
      </c>
      <c r="F25">
        <v>18745333.333333332</v>
      </c>
      <c r="G25">
        <v>10222222.222222222</v>
      </c>
      <c r="H25">
        <v>945833.33333333337</v>
      </c>
      <c r="I25">
        <v>1261111.111111111</v>
      </c>
      <c r="J25">
        <v>0</v>
      </c>
      <c r="K25">
        <v>0</v>
      </c>
      <c r="L25">
        <v>1211815500</v>
      </c>
      <c r="M25">
        <v>1.2118154999999999</v>
      </c>
    </row>
    <row r="26" spans="1:13" x14ac:dyDescent="0.45">
      <c r="A26" s="289">
        <v>45352</v>
      </c>
      <c r="B26">
        <v>0</v>
      </c>
      <c r="C26">
        <v>0</v>
      </c>
      <c r="D26">
        <v>0</v>
      </c>
      <c r="E26">
        <v>0</v>
      </c>
      <c r="F26">
        <v>18745333.333333332</v>
      </c>
      <c r="G26">
        <v>10222222.222222222</v>
      </c>
      <c r="H26">
        <v>945833.33333333337</v>
      </c>
      <c r="I26">
        <v>1261111.111111111</v>
      </c>
      <c r="J26">
        <v>0</v>
      </c>
      <c r="K26">
        <v>0</v>
      </c>
      <c r="L26">
        <v>1242990000</v>
      </c>
      <c r="M26">
        <v>1.24299</v>
      </c>
    </row>
    <row r="27" spans="1:13" x14ac:dyDescent="0.45">
      <c r="A27" s="289">
        <v>45383</v>
      </c>
      <c r="B27">
        <v>0</v>
      </c>
      <c r="C27">
        <v>0</v>
      </c>
      <c r="D27">
        <v>0</v>
      </c>
      <c r="E27">
        <v>0</v>
      </c>
      <c r="F27">
        <v>5513333.333333333</v>
      </c>
      <c r="G27">
        <v>10222222.222222222</v>
      </c>
      <c r="H27">
        <v>945833.33333333337</v>
      </c>
      <c r="I27">
        <v>1261111.111111111</v>
      </c>
      <c r="J27">
        <v>0</v>
      </c>
      <c r="K27">
        <v>0</v>
      </c>
      <c r="L27">
        <v>1260932500</v>
      </c>
      <c r="M27">
        <v>1.2609325</v>
      </c>
    </row>
    <row r="28" spans="1:13" x14ac:dyDescent="0.45">
      <c r="A28" s="289">
        <v>45413</v>
      </c>
      <c r="B28">
        <v>0</v>
      </c>
      <c r="C28">
        <v>0</v>
      </c>
      <c r="D28">
        <v>0</v>
      </c>
      <c r="E28">
        <v>0</v>
      </c>
      <c r="F28">
        <v>5513333.333333333</v>
      </c>
      <c r="G28">
        <v>10222222.222222222</v>
      </c>
      <c r="H28">
        <v>945833.33333333337</v>
      </c>
      <c r="I28">
        <v>1261111.111111111</v>
      </c>
      <c r="J28">
        <v>0</v>
      </c>
      <c r="K28">
        <v>0</v>
      </c>
      <c r="L28">
        <v>1278875000</v>
      </c>
      <c r="M28">
        <v>1.278875</v>
      </c>
    </row>
    <row r="29" spans="1:13" x14ac:dyDescent="0.45">
      <c r="A29" s="289">
        <v>45444</v>
      </c>
      <c r="B29">
        <v>0</v>
      </c>
      <c r="C29">
        <v>0</v>
      </c>
      <c r="D29">
        <v>0</v>
      </c>
      <c r="E29">
        <v>0</v>
      </c>
      <c r="F29">
        <v>5513333.333333333</v>
      </c>
      <c r="G29">
        <v>10222222.222222222</v>
      </c>
      <c r="H29">
        <v>945833.33333333337</v>
      </c>
      <c r="I29">
        <v>1261111.111111111</v>
      </c>
      <c r="J29">
        <v>0</v>
      </c>
      <c r="K29">
        <v>0</v>
      </c>
      <c r="L29">
        <v>1296817500</v>
      </c>
      <c r="M29">
        <v>1.2968175</v>
      </c>
    </row>
    <row r="30" spans="1:13" x14ac:dyDescent="0.45">
      <c r="A30" s="289">
        <v>45474</v>
      </c>
      <c r="B30">
        <v>0</v>
      </c>
      <c r="C30">
        <v>0</v>
      </c>
      <c r="D30">
        <v>0</v>
      </c>
      <c r="E30">
        <v>0</v>
      </c>
      <c r="F30">
        <v>5513333.333333333</v>
      </c>
      <c r="G30">
        <v>10222222.222222222</v>
      </c>
      <c r="H30">
        <v>945833.33333333337</v>
      </c>
      <c r="I30">
        <v>1261111.111111111</v>
      </c>
      <c r="J30">
        <v>0</v>
      </c>
      <c r="K30">
        <v>0</v>
      </c>
      <c r="L30">
        <v>1314760000</v>
      </c>
      <c r="M30">
        <v>1.3147599999999999</v>
      </c>
    </row>
    <row r="31" spans="1:13" x14ac:dyDescent="0.45">
      <c r="A31" s="289">
        <v>45505</v>
      </c>
      <c r="B31">
        <v>0</v>
      </c>
      <c r="C31">
        <v>0</v>
      </c>
      <c r="D31">
        <v>0</v>
      </c>
      <c r="E31">
        <v>0</v>
      </c>
      <c r="F31">
        <v>5513333.333333333</v>
      </c>
      <c r="G31">
        <v>10222222.222222222</v>
      </c>
      <c r="H31">
        <v>945833.33333333337</v>
      </c>
      <c r="I31">
        <v>1261111.111111111</v>
      </c>
      <c r="J31">
        <v>0</v>
      </c>
      <c r="K31">
        <v>0</v>
      </c>
      <c r="L31">
        <v>1332702500</v>
      </c>
      <c r="M31">
        <v>1.3327024999999999</v>
      </c>
    </row>
    <row r="32" spans="1:13" x14ac:dyDescent="0.45">
      <c r="A32" s="289">
        <v>45536</v>
      </c>
      <c r="B32">
        <v>0</v>
      </c>
      <c r="C32">
        <v>0</v>
      </c>
      <c r="D32">
        <v>0</v>
      </c>
      <c r="E32">
        <v>0</v>
      </c>
      <c r="F32">
        <v>5513333.333333333</v>
      </c>
      <c r="G32">
        <v>10222222.222222222</v>
      </c>
      <c r="H32">
        <v>945833.33333333337</v>
      </c>
      <c r="I32">
        <v>1261111.111111111</v>
      </c>
      <c r="J32">
        <v>0</v>
      </c>
      <c r="K32">
        <v>0</v>
      </c>
      <c r="L32">
        <v>1350645000</v>
      </c>
      <c r="M32">
        <v>1.3506450000000001</v>
      </c>
    </row>
    <row r="33" spans="1:13" x14ac:dyDescent="0.45">
      <c r="A33" s="289">
        <v>45566</v>
      </c>
      <c r="B33">
        <v>0</v>
      </c>
      <c r="C33">
        <v>0</v>
      </c>
      <c r="D33">
        <v>0</v>
      </c>
      <c r="E33">
        <v>0</v>
      </c>
      <c r="F33">
        <v>5513333.333333333</v>
      </c>
      <c r="G33">
        <v>0</v>
      </c>
      <c r="H33">
        <v>945833.33333333337</v>
      </c>
      <c r="I33">
        <v>0</v>
      </c>
      <c r="J33">
        <v>0</v>
      </c>
      <c r="K33">
        <v>0</v>
      </c>
      <c r="L33">
        <v>1357104166.6666667</v>
      </c>
      <c r="M33">
        <v>1.3571041666666668</v>
      </c>
    </row>
    <row r="34" spans="1:13" x14ac:dyDescent="0.45">
      <c r="A34" s="289">
        <v>45597</v>
      </c>
      <c r="B34">
        <v>0</v>
      </c>
      <c r="C34">
        <v>0</v>
      </c>
      <c r="D34">
        <v>0</v>
      </c>
      <c r="E34">
        <v>0</v>
      </c>
      <c r="F34">
        <v>5513333.333333333</v>
      </c>
      <c r="G34">
        <v>0</v>
      </c>
      <c r="H34">
        <v>945833.33333333337</v>
      </c>
      <c r="I34">
        <v>0</v>
      </c>
      <c r="J34">
        <v>0</v>
      </c>
      <c r="K34">
        <v>0</v>
      </c>
      <c r="L34">
        <v>1363563333.3333335</v>
      </c>
      <c r="M34">
        <v>1.3635633333333335</v>
      </c>
    </row>
    <row r="35" spans="1:13" x14ac:dyDescent="0.45">
      <c r="A35" s="289">
        <v>45627</v>
      </c>
      <c r="B35">
        <v>0</v>
      </c>
      <c r="C35">
        <v>0</v>
      </c>
      <c r="D35">
        <v>0</v>
      </c>
      <c r="E35">
        <v>0</v>
      </c>
      <c r="F35">
        <v>5513333.333333333</v>
      </c>
      <c r="G35">
        <v>0</v>
      </c>
      <c r="H35">
        <v>945833.33333333337</v>
      </c>
      <c r="I35">
        <v>0</v>
      </c>
      <c r="J35">
        <v>0</v>
      </c>
      <c r="K35">
        <v>0</v>
      </c>
      <c r="L35">
        <v>1370022500.0000002</v>
      </c>
      <c r="M35">
        <v>1.3700225000000001</v>
      </c>
    </row>
    <row r="36" spans="1:13" x14ac:dyDescent="0.45">
      <c r="A36" s="289">
        <v>45658</v>
      </c>
      <c r="B36">
        <v>0</v>
      </c>
      <c r="C36">
        <v>0</v>
      </c>
      <c r="D36">
        <v>0</v>
      </c>
      <c r="E36">
        <v>0</v>
      </c>
      <c r="F36">
        <v>5513333.333333333</v>
      </c>
      <c r="G36">
        <v>0</v>
      </c>
      <c r="H36">
        <v>945833.33333333337</v>
      </c>
      <c r="I36">
        <v>0</v>
      </c>
      <c r="J36">
        <v>0</v>
      </c>
      <c r="K36">
        <v>0</v>
      </c>
      <c r="L36">
        <v>1376481666.666667</v>
      </c>
      <c r="M36">
        <v>1.376481666666667</v>
      </c>
    </row>
    <row r="37" spans="1:13" x14ac:dyDescent="0.45">
      <c r="A37" s="289">
        <v>45689</v>
      </c>
      <c r="B37">
        <v>0</v>
      </c>
      <c r="C37">
        <v>0</v>
      </c>
      <c r="D37">
        <v>0</v>
      </c>
      <c r="E37">
        <v>0</v>
      </c>
      <c r="F37">
        <v>5513333.333333333</v>
      </c>
      <c r="G37">
        <v>0</v>
      </c>
      <c r="H37">
        <v>945833.33333333337</v>
      </c>
      <c r="I37">
        <v>0</v>
      </c>
      <c r="J37">
        <v>0</v>
      </c>
      <c r="K37">
        <v>0</v>
      </c>
      <c r="L37">
        <v>1382940833.3333337</v>
      </c>
      <c r="M37">
        <v>1.3829408333333337</v>
      </c>
    </row>
    <row r="38" spans="1:13" x14ac:dyDescent="0.45">
      <c r="A38" s="289">
        <v>45717</v>
      </c>
      <c r="B38">
        <v>0</v>
      </c>
      <c r="C38">
        <v>0</v>
      </c>
      <c r="D38">
        <v>0</v>
      </c>
      <c r="E38">
        <v>0</v>
      </c>
      <c r="F38">
        <v>5513333.333333333</v>
      </c>
      <c r="G38">
        <v>0</v>
      </c>
      <c r="H38">
        <v>945833.33333333337</v>
      </c>
      <c r="I38">
        <v>0</v>
      </c>
      <c r="J38">
        <v>0</v>
      </c>
      <c r="K38">
        <v>0</v>
      </c>
      <c r="L38">
        <v>1389400000.0000005</v>
      </c>
      <c r="M38">
        <v>1.3894000000000004</v>
      </c>
    </row>
    <row r="39" spans="1:13" x14ac:dyDescent="0.45">
      <c r="A39" s="289">
        <v>45748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1389400000.0000005</v>
      </c>
      <c r="M39">
        <v>1.3894000000000004</v>
      </c>
    </row>
    <row r="40" spans="1:13" x14ac:dyDescent="0.45">
      <c r="A40" s="289">
        <v>45778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1389400000.0000005</v>
      </c>
      <c r="M40">
        <v>1.3894000000000004</v>
      </c>
    </row>
    <row r="41" spans="1:13" x14ac:dyDescent="0.45">
      <c r="A41" s="289">
        <v>45809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1389400000.0000005</v>
      </c>
      <c r="M41">
        <v>1.3894000000000004</v>
      </c>
    </row>
    <row r="42" spans="1:13" x14ac:dyDescent="0.45">
      <c r="A42" s="289">
        <v>45839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1389400000.0000005</v>
      </c>
      <c r="M42">
        <v>1.3894000000000004</v>
      </c>
    </row>
    <row r="43" spans="1:13" x14ac:dyDescent="0.45">
      <c r="A43" s="289">
        <v>45870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1389400000.0000005</v>
      </c>
      <c r="M43">
        <v>1.3894000000000004</v>
      </c>
    </row>
    <row r="44" spans="1:13" x14ac:dyDescent="0.45">
      <c r="A44" s="289">
        <v>45901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1389400000.0000005</v>
      </c>
      <c r="M44">
        <v>1.3894000000000004</v>
      </c>
    </row>
    <row r="45" spans="1:13" x14ac:dyDescent="0.45">
      <c r="A45" s="289">
        <v>45931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1389400000.0000005</v>
      </c>
      <c r="M45">
        <v>1.3894000000000004</v>
      </c>
    </row>
    <row r="46" spans="1:13" x14ac:dyDescent="0.45">
      <c r="A46" s="289">
        <v>45962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1389400000.0000005</v>
      </c>
      <c r="M46">
        <v>1.3894000000000004</v>
      </c>
    </row>
    <row r="47" spans="1:13" x14ac:dyDescent="0.45">
      <c r="A47" s="289">
        <v>45992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1389400000.0000005</v>
      </c>
      <c r="M47">
        <v>1.3894000000000004</v>
      </c>
    </row>
    <row r="48" spans="1:13" x14ac:dyDescent="0.45">
      <c r="A48" s="289">
        <v>46023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1389400000.0000005</v>
      </c>
      <c r="M48">
        <v>1.3894000000000004</v>
      </c>
    </row>
    <row r="49" spans="1:13" x14ac:dyDescent="0.45">
      <c r="A49" s="289">
        <v>46054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1389400000.0000005</v>
      </c>
      <c r="M49">
        <v>1.3894000000000004</v>
      </c>
    </row>
    <row r="50" spans="1:13" x14ac:dyDescent="0.45">
      <c r="A50" s="289">
        <v>46082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1389400000.0000005</v>
      </c>
      <c r="M50">
        <v>1.3894000000000004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MATRIX</vt:lpstr>
      <vt:lpstr>STAKING_SHAPE</vt:lpstr>
      <vt:lpstr>LP_SHAPE</vt:lpstr>
      <vt:lpstr>TES</vt:lpstr>
      <vt:lpstr>token_distribution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Sankha Banerjee</dc:creator>
  <cp:lastModifiedBy>Unique Divine</cp:lastModifiedBy>
  <dcterms:created xsi:type="dcterms:W3CDTF">2022-01-11T19:16:03Z</dcterms:created>
  <dcterms:modified xsi:type="dcterms:W3CDTF">2022-01-18T23:34:28Z</dcterms:modified>
</cp:coreProperties>
</file>