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56200980ef07617/Documents/Thomas Edison University/DSI 625 Risk Sim and Queing/"/>
    </mc:Choice>
  </mc:AlternateContent>
  <xr:revisionPtr revIDLastSave="2" documentId="8_{CA288E30-CC54-4677-8784-A359CF0B99B3}" xr6:coauthVersionLast="47" xr6:coauthVersionMax="47" xr10:uidLastSave="{143493D8-0B67-46F2-B534-24F491CEDE3D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30" i="1" l="1"/>
  <c r="B229" i="1"/>
  <c r="C56" i="1"/>
  <c r="F60" i="1" s="1"/>
  <c r="D112" i="1"/>
  <c r="D171" i="1" s="1"/>
  <c r="D111" i="1"/>
  <c r="D127" i="1" s="1"/>
  <c r="D110" i="1"/>
  <c r="D169" i="1" s="1"/>
  <c r="C104" i="1"/>
  <c r="D85" i="1"/>
  <c r="D86" i="1" s="1"/>
  <c r="D87" i="1" s="1"/>
  <c r="G70" i="1"/>
  <c r="F70" i="1"/>
  <c r="E70" i="1"/>
  <c r="D70" i="1"/>
  <c r="D69" i="1"/>
  <c r="D68" i="1"/>
  <c r="D71" i="1" s="1"/>
  <c r="D15" i="1"/>
  <c r="E13" i="1"/>
  <c r="F13" i="1" s="1"/>
  <c r="G13" i="1" s="1"/>
  <c r="E12" i="1"/>
  <c r="D6" i="1"/>
  <c r="D7" i="1" s="1"/>
  <c r="E15" i="1" l="1"/>
  <c r="D128" i="1"/>
  <c r="D144" i="1" s="1"/>
  <c r="F61" i="1"/>
  <c r="C60" i="1"/>
  <c r="D60" i="1"/>
  <c r="E68" i="1" s="1"/>
  <c r="C61" i="1"/>
  <c r="E81" i="1" s="1"/>
  <c r="F81" i="1" s="1"/>
  <c r="E61" i="1"/>
  <c r="E83" i="1" s="1"/>
  <c r="F83" i="1" s="1"/>
  <c r="G83" i="1" s="1"/>
  <c r="E60" i="1"/>
  <c r="E127" i="1" s="1"/>
  <c r="D61" i="1"/>
  <c r="E82" i="1" s="1"/>
  <c r="F82" i="1" s="1"/>
  <c r="E111" i="1"/>
  <c r="F12" i="1"/>
  <c r="G12" i="1" s="1"/>
  <c r="G15" i="1" s="1"/>
  <c r="D126" i="1"/>
  <c r="E128" i="1"/>
  <c r="F128" i="1" s="1"/>
  <c r="G128" i="1" s="1"/>
  <c r="G188" i="1" s="1"/>
  <c r="D67" i="1"/>
  <c r="E7" i="1"/>
  <c r="D20" i="1"/>
  <c r="D25" i="1" s="1"/>
  <c r="D108" i="1"/>
  <c r="D187" i="1"/>
  <c r="D143" i="1"/>
  <c r="D88" i="1"/>
  <c r="D89" i="1"/>
  <c r="D205" i="1"/>
  <c r="E144" i="1"/>
  <c r="F15" i="1"/>
  <c r="D170" i="1"/>
  <c r="E110" i="1"/>
  <c r="E112" i="1"/>
  <c r="D129" i="1"/>
  <c r="D189" i="1" s="1"/>
  <c r="D186" i="1"/>
  <c r="D188" i="1"/>
  <c r="E188" i="1"/>
  <c r="D113" i="1"/>
  <c r="D172" i="1" s="1"/>
  <c r="F188" i="1" l="1"/>
  <c r="D90" i="1"/>
  <c r="E85" i="1"/>
  <c r="E86" i="1" s="1"/>
  <c r="E87" i="1" s="1"/>
  <c r="E88" i="1" s="1"/>
  <c r="E89" i="1" s="1"/>
  <c r="E90" i="1" s="1"/>
  <c r="E69" i="1"/>
  <c r="F69" i="1" s="1"/>
  <c r="G69" i="1" s="1"/>
  <c r="D142" i="1"/>
  <c r="E126" i="1"/>
  <c r="E129" i="1" s="1"/>
  <c r="E189" i="1" s="1"/>
  <c r="E170" i="1"/>
  <c r="F111" i="1"/>
  <c r="D124" i="1"/>
  <c r="D167" i="1"/>
  <c r="D109" i="1"/>
  <c r="E108" i="1"/>
  <c r="D30" i="1"/>
  <c r="D35" i="1" s="1"/>
  <c r="D40" i="1" s="1"/>
  <c r="E187" i="1"/>
  <c r="F127" i="1"/>
  <c r="F7" i="1"/>
  <c r="E20" i="1"/>
  <c r="E25" i="1" s="1"/>
  <c r="E205" i="1"/>
  <c r="F144" i="1"/>
  <c r="F68" i="1"/>
  <c r="E171" i="1"/>
  <c r="F112" i="1"/>
  <c r="D72" i="1"/>
  <c r="D73" i="1" s="1"/>
  <c r="E67" i="1"/>
  <c r="E169" i="1"/>
  <c r="E113" i="1"/>
  <c r="E172" i="1" s="1"/>
  <c r="F110" i="1"/>
  <c r="G82" i="1"/>
  <c r="G85" i="1" s="1"/>
  <c r="F85" i="1"/>
  <c r="F86" i="1" s="1"/>
  <c r="F87" i="1" s="1"/>
  <c r="E143" i="1"/>
  <c r="D204" i="1"/>
  <c r="G81" i="1"/>
  <c r="E71" i="1" l="1"/>
  <c r="E72" i="1" s="1"/>
  <c r="E73" i="1" s="1"/>
  <c r="G111" i="1"/>
  <c r="G170" i="1" s="1"/>
  <c r="F170" i="1"/>
  <c r="F126" i="1"/>
  <c r="F129" i="1" s="1"/>
  <c r="F189" i="1" s="1"/>
  <c r="E186" i="1"/>
  <c r="E142" i="1"/>
  <c r="D203" i="1"/>
  <c r="D145" i="1"/>
  <c r="D206" i="1" s="1"/>
  <c r="F88" i="1"/>
  <c r="F89" i="1" s="1"/>
  <c r="F90" i="1" s="1"/>
  <c r="E167" i="1"/>
  <c r="E109" i="1"/>
  <c r="F108" i="1"/>
  <c r="F113" i="1"/>
  <c r="F172" i="1" s="1"/>
  <c r="F169" i="1"/>
  <c r="G110" i="1"/>
  <c r="F171" i="1"/>
  <c r="G112" i="1"/>
  <c r="G171" i="1" s="1"/>
  <c r="D168" i="1"/>
  <c r="D114" i="1"/>
  <c r="F67" i="1"/>
  <c r="E30" i="1"/>
  <c r="E35" i="1" s="1"/>
  <c r="E40" i="1" s="1"/>
  <c r="G7" i="1"/>
  <c r="G20" i="1" s="1"/>
  <c r="G25" i="1" s="1"/>
  <c r="F20" i="1"/>
  <c r="F25" i="1" s="1"/>
  <c r="E124" i="1"/>
  <c r="D140" i="1"/>
  <c r="D184" i="1"/>
  <c r="D125" i="1"/>
  <c r="G86" i="1"/>
  <c r="G87" i="1" s="1"/>
  <c r="F71" i="1"/>
  <c r="G68" i="1"/>
  <c r="G71" i="1" s="1"/>
  <c r="D74" i="1"/>
  <c r="D75" i="1" s="1"/>
  <c r="D76" i="1" s="1"/>
  <c r="F187" i="1"/>
  <c r="G127" i="1"/>
  <c r="E204" i="1"/>
  <c r="F143" i="1"/>
  <c r="G144" i="1"/>
  <c r="G205" i="1" s="1"/>
  <c r="F205" i="1"/>
  <c r="G126" i="1" l="1"/>
  <c r="G186" i="1" s="1"/>
  <c r="F186" i="1"/>
  <c r="E145" i="1"/>
  <c r="E206" i="1" s="1"/>
  <c r="F142" i="1"/>
  <c r="E203" i="1"/>
  <c r="E74" i="1"/>
  <c r="E75" i="1" s="1"/>
  <c r="E76" i="1" s="1"/>
  <c r="F124" i="1"/>
  <c r="E184" i="1"/>
  <c r="E125" i="1"/>
  <c r="G187" i="1"/>
  <c r="G169" i="1"/>
  <c r="G113" i="1"/>
  <c r="G172" i="1" s="1"/>
  <c r="G30" i="1"/>
  <c r="G35" i="1" s="1"/>
  <c r="G40" i="1" s="1"/>
  <c r="D173" i="1"/>
  <c r="D115" i="1"/>
  <c r="E168" i="1"/>
  <c r="E114" i="1"/>
  <c r="D141" i="1"/>
  <c r="D201" i="1"/>
  <c r="E140" i="1"/>
  <c r="F30" i="1"/>
  <c r="F35" i="1"/>
  <c r="F40" i="1" s="1"/>
  <c r="F167" i="1"/>
  <c r="G108" i="1"/>
  <c r="F109" i="1"/>
  <c r="F204" i="1"/>
  <c r="G143" i="1"/>
  <c r="G204" i="1" s="1"/>
  <c r="G88" i="1"/>
  <c r="G89" i="1" s="1"/>
  <c r="G90" i="1" s="1"/>
  <c r="D91" i="1" s="1"/>
  <c r="D97" i="1" s="1"/>
  <c r="D185" i="1"/>
  <c r="D130" i="1"/>
  <c r="F72" i="1"/>
  <c r="F73" i="1" s="1"/>
  <c r="G67" i="1"/>
  <c r="G72" i="1" s="1"/>
  <c r="G73" i="1" s="1"/>
  <c r="G129" i="1" l="1"/>
  <c r="G189" i="1" s="1"/>
  <c r="G142" i="1"/>
  <c r="G203" i="1" s="1"/>
  <c r="F145" i="1"/>
  <c r="F206" i="1" s="1"/>
  <c r="F203" i="1"/>
  <c r="D46" i="1"/>
  <c r="D95" i="1" s="1"/>
  <c r="E97" i="1" s="1"/>
  <c r="C100" i="1" s="1"/>
  <c r="B233" i="1" s="1"/>
  <c r="D190" i="1"/>
  <c r="D131" i="1"/>
  <c r="D174" i="1"/>
  <c r="D116" i="1"/>
  <c r="D175" i="1" s="1"/>
  <c r="E185" i="1"/>
  <c r="E130" i="1"/>
  <c r="E201" i="1"/>
  <c r="E141" i="1"/>
  <c r="F140" i="1"/>
  <c r="G167" i="1"/>
  <c r="G109" i="1"/>
  <c r="F184" i="1"/>
  <c r="F125" i="1"/>
  <c r="G124" i="1"/>
  <c r="G74" i="1"/>
  <c r="G75" i="1" s="1"/>
  <c r="G76" i="1" s="1"/>
  <c r="D202" i="1"/>
  <c r="D146" i="1"/>
  <c r="F74" i="1"/>
  <c r="F75" i="1" s="1"/>
  <c r="F76" i="1" s="1"/>
  <c r="F168" i="1"/>
  <c r="F114" i="1"/>
  <c r="E173" i="1"/>
  <c r="E115" i="1"/>
  <c r="G145" i="1" l="1"/>
  <c r="G206" i="1" s="1"/>
  <c r="E190" i="1"/>
  <c r="E131" i="1"/>
  <c r="E174" i="1"/>
  <c r="E116" i="1"/>
  <c r="E175" i="1" s="1"/>
  <c r="G168" i="1"/>
  <c r="G114" i="1"/>
  <c r="F115" i="1"/>
  <c r="F173" i="1"/>
  <c r="G140" i="1"/>
  <c r="F201" i="1"/>
  <c r="F141" i="1"/>
  <c r="D191" i="1"/>
  <c r="D132" i="1"/>
  <c r="D192" i="1" s="1"/>
  <c r="D133" i="1"/>
  <c r="D77" i="1"/>
  <c r="D96" i="1" s="1"/>
  <c r="E96" i="1" s="1"/>
  <c r="C99" i="1" s="1"/>
  <c r="B232" i="1" s="1"/>
  <c r="D207" i="1"/>
  <c r="D147" i="1"/>
  <c r="D117" i="1"/>
  <c r="G184" i="1"/>
  <c r="G125" i="1"/>
  <c r="F185" i="1"/>
  <c r="F130" i="1"/>
  <c r="E202" i="1"/>
  <c r="E146" i="1"/>
  <c r="F174" i="1" l="1"/>
  <c r="F116" i="1"/>
  <c r="F175" i="1" s="1"/>
  <c r="F117" i="1"/>
  <c r="G173" i="1"/>
  <c r="G115" i="1"/>
  <c r="E117" i="1"/>
  <c r="D193" i="1"/>
  <c r="D134" i="1"/>
  <c r="F202" i="1"/>
  <c r="F146" i="1"/>
  <c r="D176" i="1"/>
  <c r="D118" i="1"/>
  <c r="D208" i="1"/>
  <c r="D148" i="1"/>
  <c r="D209" i="1" s="1"/>
  <c r="G201" i="1"/>
  <c r="G141" i="1"/>
  <c r="E132" i="1"/>
  <c r="E192" i="1" s="1"/>
  <c r="E191" i="1"/>
  <c r="F190" i="1"/>
  <c r="F131" i="1"/>
  <c r="G185" i="1"/>
  <c r="G130" i="1"/>
  <c r="E207" i="1"/>
  <c r="E147" i="1"/>
  <c r="E133" i="1" l="1"/>
  <c r="E193" i="1" s="1"/>
  <c r="G190" i="1"/>
  <c r="G131" i="1"/>
  <c r="G202" i="1"/>
  <c r="G146" i="1"/>
  <c r="F191" i="1"/>
  <c r="F132" i="1"/>
  <c r="F192" i="1" s="1"/>
  <c r="D149" i="1"/>
  <c r="F176" i="1"/>
  <c r="F118" i="1"/>
  <c r="F177" i="1" s="1"/>
  <c r="D194" i="1"/>
  <c r="E176" i="1"/>
  <c r="E118" i="1"/>
  <c r="E177" i="1" s="1"/>
  <c r="G174" i="1"/>
  <c r="G116" i="1"/>
  <c r="G175" i="1" s="1"/>
  <c r="D177" i="1"/>
  <c r="E208" i="1"/>
  <c r="E148" i="1"/>
  <c r="E209" i="1" s="1"/>
  <c r="F207" i="1"/>
  <c r="F147" i="1"/>
  <c r="F133" i="1" l="1"/>
  <c r="F193" i="1" s="1"/>
  <c r="E134" i="1"/>
  <c r="E194" i="1" s="1"/>
  <c r="E195" i="1" s="1"/>
  <c r="G117" i="1"/>
  <c r="E178" i="1"/>
  <c r="E179" i="1" s="1"/>
  <c r="E149" i="1"/>
  <c r="D195" i="1"/>
  <c r="D196" i="1" s="1"/>
  <c r="D178" i="1"/>
  <c r="D179" i="1" s="1"/>
  <c r="F178" i="1"/>
  <c r="F179" i="1" s="1"/>
  <c r="G207" i="1"/>
  <c r="G147" i="1"/>
  <c r="G176" i="1"/>
  <c r="G118" i="1"/>
  <c r="G177" i="1" s="1"/>
  <c r="D210" i="1"/>
  <c r="D150" i="1"/>
  <c r="F208" i="1"/>
  <c r="F148" i="1"/>
  <c r="F209" i="1" s="1"/>
  <c r="G191" i="1"/>
  <c r="G132" i="1"/>
  <c r="G192" i="1" s="1"/>
  <c r="F134" i="1" l="1"/>
  <c r="F194" i="1" s="1"/>
  <c r="E196" i="1"/>
  <c r="F149" i="1"/>
  <c r="F210" i="1" s="1"/>
  <c r="G133" i="1"/>
  <c r="G193" i="1" s="1"/>
  <c r="G178" i="1"/>
  <c r="G179" i="1" s="1"/>
  <c r="D180" i="1" s="1"/>
  <c r="D218" i="1" s="1"/>
  <c r="E210" i="1"/>
  <c r="E150" i="1"/>
  <c r="E211" i="1" s="1"/>
  <c r="G208" i="1"/>
  <c r="G148" i="1"/>
  <c r="G209" i="1" s="1"/>
  <c r="D211" i="1"/>
  <c r="D119" i="1"/>
  <c r="D156" i="1" s="1"/>
  <c r="F150" i="1" l="1"/>
  <c r="F211" i="1" s="1"/>
  <c r="F212" i="1" s="1"/>
  <c r="F213" i="1" s="1"/>
  <c r="G134" i="1"/>
  <c r="G194" i="1" s="1"/>
  <c r="G195" i="1" s="1"/>
  <c r="G196" i="1" s="1"/>
  <c r="E212" i="1"/>
  <c r="E213" i="1" s="1"/>
  <c r="D212" i="1"/>
  <c r="D213" i="1" s="1"/>
  <c r="G149" i="1"/>
  <c r="F195" i="1"/>
  <c r="F196" i="1" s="1"/>
  <c r="D135" i="1" l="1"/>
  <c r="D157" i="1" s="1"/>
  <c r="E157" i="1" s="1"/>
  <c r="C160" i="1" s="1"/>
  <c r="B235" i="1" s="1"/>
  <c r="D197" i="1"/>
  <c r="D219" i="1" s="1"/>
  <c r="E219" i="1" s="1"/>
  <c r="C222" i="1" s="1"/>
  <c r="B238" i="1" s="1"/>
  <c r="G210" i="1"/>
  <c r="G150" i="1"/>
  <c r="G211" i="1" l="1"/>
  <c r="D151" i="1"/>
  <c r="D158" i="1" s="1"/>
  <c r="E158" i="1" s="1"/>
  <c r="C161" i="1" s="1"/>
  <c r="B236" i="1" s="1"/>
  <c r="G212" i="1" l="1"/>
  <c r="G213" i="1" s="1"/>
  <c r="D214" i="1" s="1"/>
  <c r="D220" i="1" s="1"/>
  <c r="E220" i="1" s="1"/>
  <c r="C223" i="1" s="1"/>
  <c r="B239" i="1" s="1"/>
</calcChain>
</file>

<file path=xl/sharedStrings.xml><?xml version="1.0" encoding="utf-8"?>
<sst xmlns="http://schemas.openxmlformats.org/spreadsheetml/2006/main" count="274" uniqueCount="79">
  <si>
    <t>Step 1: Calculate the net revenue for each year:</t>
  </si>
  <si>
    <t>Remark</t>
  </si>
  <si>
    <t>Particulars</t>
  </si>
  <si>
    <t>Year 1</t>
  </si>
  <si>
    <t>Year 2</t>
  </si>
  <si>
    <t>Year 3</t>
  </si>
  <si>
    <t>Year 4</t>
  </si>
  <si>
    <t>Projected sales revenue/ gross revenue</t>
  </si>
  <si>
    <t>Revenue/ allowances are estimated at 3% of gross revenue</t>
  </si>
  <si>
    <t>Returns/ allowances for Year 1</t>
  </si>
  <si>
    <t>Assuming 9% annual growth rate for additional years</t>
  </si>
  <si>
    <t>Net Revenue</t>
  </si>
  <si>
    <t>Step 2: Calculate the cost of goods sold (COGS) for each year)</t>
  </si>
  <si>
    <t>Assuming 4% annual growth rate for additional years</t>
  </si>
  <si>
    <t>Labor Cost</t>
  </si>
  <si>
    <t>Assuming 3% annual growth rate for additional years</t>
  </si>
  <si>
    <t>Materials Cost</t>
  </si>
  <si>
    <t>Assuming no annual growth rate for additional years</t>
  </si>
  <si>
    <t>Overhead Costs</t>
  </si>
  <si>
    <t>COGS</t>
  </si>
  <si>
    <t>Step 3: Calculate the gross profit for each year</t>
  </si>
  <si>
    <t>Net Revenue - COGS</t>
  </si>
  <si>
    <t>Gross Profit</t>
  </si>
  <si>
    <t>Step 4: Calculate pre-tax net profit for each year</t>
  </si>
  <si>
    <t>Gross profit - (19% of Gross profit)</t>
  </si>
  <si>
    <t>Pre-tax net profit</t>
  </si>
  <si>
    <t>Step 5: Calculate the tax expense for each year</t>
  </si>
  <si>
    <t>Pre-tax net profit * 30% (tax rate)</t>
  </si>
  <si>
    <t>Tax Expense</t>
  </si>
  <si>
    <t>Step 6: Calculate the after tax net profit for each year</t>
  </si>
  <si>
    <t>Pre-tax net profit - Tax expense</t>
  </si>
  <si>
    <t>After-tax net profit</t>
  </si>
  <si>
    <t>Step 7: Calculate the discounted cash flow (DCF) for each year</t>
  </si>
  <si>
    <t>1. DCF for the first year = After-tax net profit/ (1+ discount rate) ^(year number)</t>
  </si>
  <si>
    <t>DCF</t>
  </si>
  <si>
    <t>2. Assuming a discount rate of 10%</t>
  </si>
  <si>
    <t>Step 8: Calculate Net Present Value (NPV)</t>
  </si>
  <si>
    <t>Sum of DCFs for all years</t>
  </si>
  <si>
    <t>NPV</t>
  </si>
  <si>
    <t>Step 9: Consider Uncertainty and quantify it (using sensitivity analysis)</t>
  </si>
  <si>
    <t>Assumptions for variables:</t>
  </si>
  <si>
    <t>Case 1 (Optimistic scenario): If the assumed growth rate is increased by x%.</t>
  </si>
  <si>
    <t>Case 2 (Base scenario): If the assumed growth rate does not change.</t>
  </si>
  <si>
    <t>Case 3 (Pessimistic scenario): If the assumed growth rate is decreased by x%.</t>
  </si>
  <si>
    <t>x% =</t>
  </si>
  <si>
    <t>Scenario</t>
  </si>
  <si>
    <t>Sales growth rate/ net revenue growth rate</t>
  </si>
  <si>
    <t>Labor cost growth rate</t>
  </si>
  <si>
    <t>Materials cost growth rate</t>
  </si>
  <si>
    <t>Discount rate</t>
  </si>
  <si>
    <t>Base</t>
  </si>
  <si>
    <t>Optimistic</t>
  </si>
  <si>
    <t>Pessimistic</t>
  </si>
  <si>
    <t>Assess the impact on NPV calculations if there is a change in the assumed growth rate. (Basically, repeat all the above steps with the new growth rates as per the optimistic and pessimistic cases)</t>
  </si>
  <si>
    <t>Optimistic scenario</t>
  </si>
  <si>
    <t>Labor Costs</t>
  </si>
  <si>
    <t>Materials Costs</t>
  </si>
  <si>
    <t>Tax-expense</t>
  </si>
  <si>
    <t>Pessimistic scenario</t>
  </si>
  <si>
    <t>Summary:</t>
  </si>
  <si>
    <t>NPV change from base</t>
  </si>
  <si>
    <t>If there is no change in assumed growth rates, then NPV will be $5,954,486.18</t>
  </si>
  <si>
    <t>Step 10: Evaluate potential competition:</t>
  </si>
  <si>
    <t>Due to competition, sales are reduced by one-third</t>
  </si>
  <si>
    <t>Accounting for competition, and adjusting our projections- Base case</t>
  </si>
  <si>
    <t>Adjusted net revenue</t>
  </si>
  <si>
    <t>Accounting for competition, and adjusting our projections- Optimistic case</t>
  </si>
  <si>
    <t>Accounting for competition, and adjusting our projections- Pessimistic case</t>
  </si>
  <si>
    <t>After accounting for potential competition, here is its impact on NPV</t>
  </si>
  <si>
    <t xml:space="preserve">If there is no change in assumed growth rates, then NPV will be $2,008,773.55 </t>
  </si>
  <si>
    <t>Step 11: Assess financing options by factoring in interest expenses</t>
  </si>
  <si>
    <t>Accounting for competition as well as interest expenses, and adjusting our projections- Base case</t>
  </si>
  <si>
    <t>Interest expense</t>
  </si>
  <si>
    <t>Net DCF or DCF_new</t>
  </si>
  <si>
    <t>If there is no change in assumed growth rates, then NPV will be $1,888,247.14</t>
  </si>
  <si>
    <t>RANDOMLY GENERATED NUMBER BETWEEN 10% to 30%</t>
  </si>
  <si>
    <t>Conclusion</t>
  </si>
  <si>
    <t>Furthermore, to factor in interest expenses, new estimated NPV becomes:</t>
  </si>
  <si>
    <t>If we further add a layer of competition to the uncertainty, then the NPV is estimated at (for both of the scenarios):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</si>
</sst>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0.0%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7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3" fillId="3" borderId="1" xfId="0" applyFont="1" applyFill="1" applyBorder="1" applyAlignment="1">
      <alignment horizontal="center" wrapText="1"/>
    </xf>
    <xf numFmtId="9" fontId="1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6" fillId="0" borderId="0" xfId="0" applyFont="1" applyAlignment="1">
      <alignment vertical="center"/>
    </xf>
    <xf numFmtId="164" fontId="1" fillId="0" borderId="0" xfId="0" applyNumberFormat="1" applyFont="1"/>
    <xf numFmtId="0" fontId="8" fillId="0" borderId="0" xfId="0" applyFont="1"/>
    <xf numFmtId="2" fontId="1" fillId="0" borderId="0" xfId="0" applyNumberFormat="1" applyFont="1" applyAlignment="1">
      <alignment wrapText="1"/>
    </xf>
    <xf numFmtId="165" fontId="5" fillId="4" borderId="2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topLeftCell="A226" workbookViewId="0">
      <selection activeCell="C243" sqref="C243"/>
    </sheetView>
  </sheetViews>
  <sheetFormatPr defaultColWidth="12.5703125" defaultRowHeight="15.75" customHeight="1" x14ac:dyDescent="0.2"/>
  <cols>
    <col min="2" max="2" width="24" customWidth="1"/>
    <col min="3" max="3" width="22.28515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 t="s">
        <v>7</v>
      </c>
      <c r="D5" s="4">
        <v>6000000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1.65" customHeight="1" x14ac:dyDescent="0.2">
      <c r="A6" s="1"/>
      <c r="B6" s="1" t="s">
        <v>8</v>
      </c>
      <c r="C6" s="1" t="s">
        <v>9</v>
      </c>
      <c r="D6" s="4">
        <f>D5*3%</f>
        <v>180000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8.25" x14ac:dyDescent="0.2">
      <c r="A7" s="1"/>
      <c r="B7" s="1" t="s">
        <v>10</v>
      </c>
      <c r="C7" s="5" t="s">
        <v>11</v>
      </c>
      <c r="D7" s="4">
        <f>D5-D6</f>
        <v>5820000</v>
      </c>
      <c r="E7" s="4">
        <f t="shared" ref="E7:G7" si="0">D7*(1+9%)</f>
        <v>6343800</v>
      </c>
      <c r="F7" s="4">
        <f t="shared" si="0"/>
        <v>6914742.0000000009</v>
      </c>
      <c r="G7" s="4">
        <f t="shared" si="0"/>
        <v>7537068.7800000012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8.25" x14ac:dyDescent="0.2">
      <c r="A12" s="1"/>
      <c r="B12" s="1" t="s">
        <v>13</v>
      </c>
      <c r="C12" s="1" t="s">
        <v>14</v>
      </c>
      <c r="D12" s="4">
        <v>875000</v>
      </c>
      <c r="E12" s="4">
        <f t="shared" ref="E12:G12" si="1">D12*(1+4%)</f>
        <v>910000</v>
      </c>
      <c r="F12" s="4">
        <f t="shared" si="1"/>
        <v>946400</v>
      </c>
      <c r="G12" s="4">
        <f t="shared" si="1"/>
        <v>984256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x14ac:dyDescent="0.2">
      <c r="A13" s="1"/>
      <c r="B13" s="1" t="s">
        <v>15</v>
      </c>
      <c r="C13" s="1" t="s">
        <v>16</v>
      </c>
      <c r="D13" s="4">
        <v>910000</v>
      </c>
      <c r="E13" s="4">
        <f t="shared" ref="E13:G13" si="2">D13*(1+3%)</f>
        <v>937300</v>
      </c>
      <c r="F13" s="4">
        <f t="shared" si="2"/>
        <v>965419</v>
      </c>
      <c r="G13" s="4">
        <f t="shared" si="2"/>
        <v>994381.57000000007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8.25" x14ac:dyDescent="0.2">
      <c r="A14" s="1"/>
      <c r="B14" s="1" t="s">
        <v>17</v>
      </c>
      <c r="C14" s="1" t="s">
        <v>18</v>
      </c>
      <c r="D14" s="4">
        <v>1400000</v>
      </c>
      <c r="E14" s="4">
        <v>1400000</v>
      </c>
      <c r="F14" s="4">
        <v>1400000</v>
      </c>
      <c r="G14" s="4">
        <v>1400000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5" t="s">
        <v>19</v>
      </c>
      <c r="D15" s="4">
        <f t="shared" ref="D15:G15" si="3">SUM(D12:D14)</f>
        <v>3185000</v>
      </c>
      <c r="E15" s="4">
        <f t="shared" si="3"/>
        <v>3247300</v>
      </c>
      <c r="F15" s="4">
        <f t="shared" si="3"/>
        <v>3311819</v>
      </c>
      <c r="G15" s="4">
        <f t="shared" si="3"/>
        <v>3378637.5700000003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 t="s">
        <v>21</v>
      </c>
      <c r="C20" s="1" t="s">
        <v>22</v>
      </c>
      <c r="D20" s="4">
        <f t="shared" ref="D20:G20" si="4">D7-D15</f>
        <v>2635000</v>
      </c>
      <c r="E20" s="4">
        <f t="shared" si="4"/>
        <v>3096500</v>
      </c>
      <c r="F20" s="4">
        <f t="shared" si="4"/>
        <v>3602923.0000000009</v>
      </c>
      <c r="G20" s="4">
        <f t="shared" si="4"/>
        <v>4158431.2100000009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 t="s">
        <v>24</v>
      </c>
      <c r="C25" s="1" t="s">
        <v>25</v>
      </c>
      <c r="D25" s="4">
        <f t="shared" ref="D25:G25" si="5">D20-(19%*D20)</f>
        <v>2134350</v>
      </c>
      <c r="E25" s="4">
        <f t="shared" si="5"/>
        <v>2508165</v>
      </c>
      <c r="F25" s="4">
        <f t="shared" si="5"/>
        <v>2918367.6300000008</v>
      </c>
      <c r="G25" s="4">
        <f t="shared" si="5"/>
        <v>3368329.2801000006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" t="s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 t="s">
        <v>27</v>
      </c>
      <c r="C30" s="1" t="s">
        <v>28</v>
      </c>
      <c r="D30" s="4">
        <f t="shared" ref="D30:G30" si="6">D25*30%</f>
        <v>640305</v>
      </c>
      <c r="E30" s="4">
        <f t="shared" si="6"/>
        <v>752449.5</v>
      </c>
      <c r="F30" s="4">
        <f t="shared" si="6"/>
        <v>875510.28900000022</v>
      </c>
      <c r="G30" s="4">
        <f t="shared" si="6"/>
        <v>1010498.7840300001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" t="s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 t="s">
        <v>30</v>
      </c>
      <c r="C35" s="1" t="s">
        <v>31</v>
      </c>
      <c r="D35" s="4">
        <f t="shared" ref="D35:G35" si="7">D25-D30</f>
        <v>1494045</v>
      </c>
      <c r="E35" s="4">
        <f t="shared" si="7"/>
        <v>1755715.5</v>
      </c>
      <c r="F35" s="4">
        <f t="shared" si="7"/>
        <v>2042857.3410000005</v>
      </c>
      <c r="G35" s="4">
        <f t="shared" si="7"/>
        <v>2357830.4960700003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" t="s">
        <v>32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1" x14ac:dyDescent="0.2">
      <c r="A40" s="1"/>
      <c r="B40" s="1" t="s">
        <v>33</v>
      </c>
      <c r="C40" s="1" t="s">
        <v>34</v>
      </c>
      <c r="D40" s="4">
        <f>D35/(1+10%)^1</f>
        <v>1358222.7272727271</v>
      </c>
      <c r="E40" s="4">
        <f>E35/(1+10%)^2</f>
        <v>1451004.5454545452</v>
      </c>
      <c r="F40" s="4">
        <f>F35/(1+10%)^3</f>
        <v>1534828.9564237415</v>
      </c>
      <c r="G40" s="4">
        <f>G35/(1+10%)^4</f>
        <v>1610429.9542859092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x14ac:dyDescent="0.2">
      <c r="A41" s="1"/>
      <c r="B41" s="6" t="s">
        <v>35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" t="s">
        <v>36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" t="s">
        <v>1</v>
      </c>
      <c r="C45" s="3" t="s">
        <v>2</v>
      </c>
      <c r="D45" s="3" t="s">
        <v>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 t="s">
        <v>37</v>
      </c>
      <c r="C46" s="1" t="s">
        <v>38</v>
      </c>
      <c r="D46" s="4">
        <f>SUM(D40:G40)</f>
        <v>5954486.1834369237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" t="s">
        <v>39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x14ac:dyDescent="0.2">
      <c r="A51" s="1"/>
      <c r="B51" s="5" t="s">
        <v>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7" t="s">
        <v>41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7" t="s">
        <v>42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7" t="s">
        <v>43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8" t="s">
        <v>44</v>
      </c>
      <c r="C56" s="17">
        <f ca="1">RAND()*(0.3-0.1)+0.1</f>
        <v>0.17113618790853286</v>
      </c>
      <c r="D56" s="15" t="s">
        <v>75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8.25" x14ac:dyDescent="0.2">
      <c r="A58" s="1"/>
      <c r="B58" s="3" t="s">
        <v>45</v>
      </c>
      <c r="C58" s="3" t="s">
        <v>46</v>
      </c>
      <c r="D58" s="3" t="s">
        <v>47</v>
      </c>
      <c r="E58" s="3" t="s">
        <v>48</v>
      </c>
      <c r="F58" s="3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 t="s">
        <v>50</v>
      </c>
      <c r="C59" s="9">
        <v>0.09</v>
      </c>
      <c r="D59" s="9">
        <v>0.04</v>
      </c>
      <c r="E59" s="9">
        <v>0.03</v>
      </c>
      <c r="F59" s="9">
        <v>0.1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 t="s">
        <v>51</v>
      </c>
      <c r="C60" s="9">
        <f t="shared" ref="C60:F60" ca="1" si="8">C59*(1+$C$56)</f>
        <v>0.10540225691176795</v>
      </c>
      <c r="D60" s="9">
        <f t="shared" ca="1" si="8"/>
        <v>4.6845447516341315E-2</v>
      </c>
      <c r="E60" s="9">
        <f t="shared" ca="1" si="8"/>
        <v>3.5134085637255986E-2</v>
      </c>
      <c r="F60" s="9">
        <f t="shared" ca="1" si="8"/>
        <v>0.1171136187908533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 t="s">
        <v>52</v>
      </c>
      <c r="C61" s="9">
        <f t="shared" ref="C61:F61" ca="1" si="9">C59*(1-$C$56)</f>
        <v>7.4597743088232041E-2</v>
      </c>
      <c r="D61" s="9">
        <f t="shared" ca="1" si="9"/>
        <v>3.3154552483658686E-2</v>
      </c>
      <c r="E61" s="9">
        <f t="shared" ca="1" si="9"/>
        <v>2.4865914362744011E-2</v>
      </c>
      <c r="F61" s="9">
        <f t="shared" ca="1" si="9"/>
        <v>8.2886381209146709E-2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0" t="s">
        <v>53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C65" s="11" t="s">
        <v>54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 t="s">
        <v>11</v>
      </c>
      <c r="D67" s="4">
        <f>D7</f>
        <v>5820000</v>
      </c>
      <c r="E67" s="4">
        <f t="shared" ref="E67:G67" ca="1" si="10">D67*(1+$C$60)</f>
        <v>6433441.135226489</v>
      </c>
      <c r="F67" s="4">
        <f t="shared" ca="1" si="10"/>
        <v>7111540.3505883673</v>
      </c>
      <c r="G67" s="4">
        <f t="shared" ca="1" si="10"/>
        <v>7861112.7536594858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 t="s">
        <v>55</v>
      </c>
      <c r="D68" s="4">
        <f t="shared" ref="D68:D70" si="11">D12</f>
        <v>875000</v>
      </c>
      <c r="E68" s="4">
        <f t="shared" ref="E68:G68" ca="1" si="12">D68*(1+$D$60)</f>
        <v>915989.76657679863</v>
      </c>
      <c r="F68" s="4">
        <f t="shared" ca="1" si="12"/>
        <v>958899.71711247787</v>
      </c>
      <c r="G68" s="4">
        <f t="shared" ca="1" si="12"/>
        <v>1003819.803483905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 t="s">
        <v>56</v>
      </c>
      <c r="D69" s="4">
        <f t="shared" si="11"/>
        <v>910000</v>
      </c>
      <c r="E69" s="4">
        <f t="shared" ref="E69:G69" ca="1" si="13">D69*(1+$E$60)</f>
        <v>941972.01792990288</v>
      </c>
      <c r="F69" s="4">
        <f t="shared" ca="1" si="13"/>
        <v>975067.34347575088</v>
      </c>
      <c r="G69" s="4">
        <f t="shared" ca="1" si="13"/>
        <v>1009325.4430235196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 t="s">
        <v>18</v>
      </c>
      <c r="D70" s="4">
        <f t="shared" si="11"/>
        <v>1400000</v>
      </c>
      <c r="E70" s="4">
        <f t="shared" ref="E70:G70" si="14">E14</f>
        <v>1400000</v>
      </c>
      <c r="F70" s="4">
        <f t="shared" si="14"/>
        <v>1400000</v>
      </c>
      <c r="G70" s="4">
        <f t="shared" si="14"/>
        <v>1400000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 t="s">
        <v>19</v>
      </c>
      <c r="D71" s="4">
        <f t="shared" ref="D71:G71" si="15">SUM(D68:D70)</f>
        <v>3185000</v>
      </c>
      <c r="E71" s="4">
        <f t="shared" ca="1" si="15"/>
        <v>3257961.7845067014</v>
      </c>
      <c r="F71" s="4">
        <f t="shared" ca="1" si="15"/>
        <v>3333967.0605882285</v>
      </c>
      <c r="G71" s="4">
        <f t="shared" ca="1" si="15"/>
        <v>3413145.2465074249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 t="s">
        <v>22</v>
      </c>
      <c r="D72" s="4">
        <f t="shared" ref="D72:G72" si="16">D67-D71</f>
        <v>2635000</v>
      </c>
      <c r="E72" s="4">
        <f t="shared" ca="1" si="16"/>
        <v>3175479.3507197876</v>
      </c>
      <c r="F72" s="4">
        <f t="shared" ca="1" si="16"/>
        <v>3777573.2900001388</v>
      </c>
      <c r="G72" s="4">
        <f t="shared" ca="1" si="16"/>
        <v>4447967.507152061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 t="s">
        <v>25</v>
      </c>
      <c r="D73" s="4">
        <f t="shared" ref="D73:G73" si="17">D72-(19%*D72)</f>
        <v>2134350</v>
      </c>
      <c r="E73" s="4">
        <f t="shared" ca="1" si="17"/>
        <v>2572138.2740830281</v>
      </c>
      <c r="F73" s="4">
        <f t="shared" ca="1" si="17"/>
        <v>3059834.3649001122</v>
      </c>
      <c r="G73" s="4">
        <f t="shared" ca="1" si="17"/>
        <v>3602853.6807931694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 t="s">
        <v>57</v>
      </c>
      <c r="D74" s="4">
        <f t="shared" ref="D74:G74" si="18">D73*30%</f>
        <v>640305</v>
      </c>
      <c r="E74" s="4">
        <f t="shared" ca="1" si="18"/>
        <v>771641.48222490842</v>
      </c>
      <c r="F74" s="4">
        <f t="shared" ca="1" si="18"/>
        <v>917950.30947003362</v>
      </c>
      <c r="G74" s="4">
        <f t="shared" ca="1" si="18"/>
        <v>1080856.1042379509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 t="s">
        <v>31</v>
      </c>
      <c r="D75" s="4">
        <f t="shared" ref="D75:G75" si="19">D73-D74</f>
        <v>1494045</v>
      </c>
      <c r="E75" s="4">
        <f t="shared" ca="1" si="19"/>
        <v>1800496.7918581197</v>
      </c>
      <c r="F75" s="4">
        <f t="shared" ca="1" si="19"/>
        <v>2141884.0554300784</v>
      </c>
      <c r="G75" s="4">
        <f t="shared" ca="1" si="19"/>
        <v>2521997.5765552185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 t="s">
        <v>34</v>
      </c>
      <c r="D76" s="4">
        <f ca="1">D75/(1+$F$60)^1</f>
        <v>1337415.4382050517</v>
      </c>
      <c r="E76" s="4">
        <f ca="1">E75/(1+$F$60)^2</f>
        <v>1442771.8466423696</v>
      </c>
      <c r="F76" s="4">
        <f ca="1">F75/(1+$F$60)^3</f>
        <v>1536398.6568622834</v>
      </c>
      <c r="G76" s="4">
        <f ca="1">G75/(1+$F$60)^4</f>
        <v>1619404.2678766742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 t="s">
        <v>38</v>
      </c>
      <c r="D77" s="4">
        <f ca="1">SUM(D76:G76)</f>
        <v>5935990.2095863791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1" t="s">
        <v>58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3" t="s">
        <v>2</v>
      </c>
      <c r="D80" s="3" t="s">
        <v>3</v>
      </c>
      <c r="E80" s="3" t="s">
        <v>4</v>
      </c>
      <c r="F80" s="3" t="s">
        <v>5</v>
      </c>
      <c r="G80" s="3" t="s">
        <v>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 t="s">
        <v>11</v>
      </c>
      <c r="D81" s="4">
        <v>5820000</v>
      </c>
      <c r="E81" s="4">
        <f t="shared" ref="E81:G81" ca="1" si="20">D81*(1+$C$61)</f>
        <v>6254158.864773511</v>
      </c>
      <c r="F81" s="4">
        <f t="shared" ca="1" si="20"/>
        <v>6720705.0010008747</v>
      </c>
      <c r="G81" s="4">
        <f t="shared" ca="1" si="20"/>
        <v>7222054.4260373348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 t="s">
        <v>55</v>
      </c>
      <c r="D82" s="4">
        <v>875000</v>
      </c>
      <c r="E82" s="4">
        <f t="shared" ref="E82:G82" ca="1" si="21">D82*(1+$D$61)</f>
        <v>904010.23342320137</v>
      </c>
      <c r="F82" s="4">
        <f t="shared" ca="1" si="21"/>
        <v>933982.28815299552</v>
      </c>
      <c r="G82" s="4">
        <f t="shared" ca="1" si="21"/>
        <v>964948.05294437171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 t="s">
        <v>56</v>
      </c>
      <c r="D83" s="4">
        <v>910000</v>
      </c>
      <c r="E83" s="4">
        <f t="shared" ref="E83:G83" ca="1" si="22">D83*(1+$E$61)</f>
        <v>932627.98207009712</v>
      </c>
      <c r="F83" s="4">
        <f t="shared" ca="1" si="22"/>
        <v>955818.62960455101</v>
      </c>
      <c r="G83" s="4">
        <f t="shared" ca="1" si="22"/>
        <v>979585.93379461323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 t="s">
        <v>18</v>
      </c>
      <c r="D84" s="4">
        <v>1400000</v>
      </c>
      <c r="E84" s="4">
        <v>1400000</v>
      </c>
      <c r="F84" s="4">
        <v>1400000</v>
      </c>
      <c r="G84" s="4">
        <v>1400000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 t="s">
        <v>19</v>
      </c>
      <c r="D85" s="4">
        <f t="shared" ref="D85:G85" si="23">SUM(D82:D84)</f>
        <v>3185000</v>
      </c>
      <c r="E85" s="4">
        <f t="shared" ca="1" si="23"/>
        <v>3236638.2154932986</v>
      </c>
      <c r="F85" s="4">
        <f t="shared" ca="1" si="23"/>
        <v>3289800.9177575465</v>
      </c>
      <c r="G85" s="4">
        <f t="shared" ca="1" si="23"/>
        <v>3344533.9867389849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 t="s">
        <v>22</v>
      </c>
      <c r="D86" s="4">
        <f t="shared" ref="D86:G86" si="24">D81-D85</f>
        <v>2635000</v>
      </c>
      <c r="E86" s="4">
        <f t="shared" ca="1" si="24"/>
        <v>3017520.6492802124</v>
      </c>
      <c r="F86" s="4">
        <f t="shared" ca="1" si="24"/>
        <v>3430904.0832433281</v>
      </c>
      <c r="G86" s="4">
        <f t="shared" ca="1" si="24"/>
        <v>3877520.4392983499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 t="s">
        <v>25</v>
      </c>
      <c r="D87" s="4">
        <f t="shared" ref="D87:G87" si="25">D86-(19%*D86)</f>
        <v>2134350</v>
      </c>
      <c r="E87" s="4">
        <f t="shared" ca="1" si="25"/>
        <v>2444191.7259169719</v>
      </c>
      <c r="F87" s="4">
        <f t="shared" ca="1" si="25"/>
        <v>2779032.3074270957</v>
      </c>
      <c r="G87" s="4">
        <f t="shared" ca="1" si="25"/>
        <v>3140791.5558316633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 t="s">
        <v>57</v>
      </c>
      <c r="D88" s="4">
        <f t="shared" ref="D88:G88" si="26">D87*30%</f>
        <v>640305</v>
      </c>
      <c r="E88" s="4">
        <f t="shared" ca="1" si="26"/>
        <v>733257.51777509158</v>
      </c>
      <c r="F88" s="4">
        <f t="shared" ca="1" si="26"/>
        <v>833709.69222812867</v>
      </c>
      <c r="G88" s="4">
        <f t="shared" ca="1" si="26"/>
        <v>942237.46674949897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 t="s">
        <v>31</v>
      </c>
      <c r="D89" s="4">
        <f t="shared" ref="D89:G89" si="27">D87-D88</f>
        <v>1494045</v>
      </c>
      <c r="E89" s="4">
        <f t="shared" ca="1" si="27"/>
        <v>1710934.2081418803</v>
      </c>
      <c r="F89" s="4">
        <f t="shared" ca="1" si="27"/>
        <v>1945322.615198967</v>
      </c>
      <c r="G89" s="4">
        <f t="shared" ca="1" si="27"/>
        <v>2198554.0890821642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 t="s">
        <v>34</v>
      </c>
      <c r="D90" s="4">
        <f ca="1">D89/(1+$F$61)^1</f>
        <v>1379687.6809289588</v>
      </c>
      <c r="E90" s="4">
        <f t="shared" ref="E90:G90" ca="1" si="28">E89/(1+$F$61)^2</f>
        <v>1459041.1000892564</v>
      </c>
      <c r="F90" s="4">
        <f t="shared" ca="1" si="28"/>
        <v>1658921.5616834762</v>
      </c>
      <c r="G90" s="4">
        <f t="shared" ca="1" si="28"/>
        <v>1874870.9105675714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 t="s">
        <v>38</v>
      </c>
      <c r="D91" s="4">
        <f ca="1">SUM(D90:G90)</f>
        <v>6372521.2532692626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5" t="s">
        <v>59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x14ac:dyDescent="0.2">
      <c r="A94" s="1"/>
      <c r="B94" s="1"/>
      <c r="C94" s="3" t="s">
        <v>45</v>
      </c>
      <c r="D94" s="3" t="s">
        <v>38</v>
      </c>
      <c r="E94" s="3" t="s">
        <v>60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 t="s">
        <v>50</v>
      </c>
      <c r="D95" s="4">
        <f>D46</f>
        <v>5954486.1834369237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 t="s">
        <v>51</v>
      </c>
      <c r="D96" s="4">
        <f ca="1">D77</f>
        <v>5935990.2095863791</v>
      </c>
      <c r="E96" s="12">
        <f ca="1">1-(D95/D96)</f>
        <v>-3.1159036988763766E-3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 t="s">
        <v>52</v>
      </c>
      <c r="D97" s="4">
        <f ca="1">D91</f>
        <v>6372521.2532692626</v>
      </c>
      <c r="E97" s="12">
        <f ca="1">1-(D95/D97)</f>
        <v>6.5599635249215749E-2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1" x14ac:dyDescent="0.2">
      <c r="A98" s="1"/>
      <c r="B98" s="1"/>
      <c r="C98" s="1" t="s">
        <v>61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8" t="str">
        <f ca="1">" (Optimistic case) If assumed growth rates are increased by x%, i.e. by "&amp;TEXT($C$56,"0.0%")&amp;", then NPV will decrease by "&amp;TEXT(E96,"0.0%")&amp;" making it to " &amp; TEXT(D96, "$0,000,000.0")</f>
        <v xml:space="preserve"> (Optimistic case) If assumed growth rates are increased by x%, i.e. by 17.1%, then NPV will decrease by -0.3% making it to $5,935,990.2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8" t="str">
        <f ca="1">"(Pessimistic Case) If assumed growth rates are decreased by x%, i.e. by "&amp;TEXT($C$56,"-0.0%")&amp;", then NPV will increase by "&amp;TEXT(E97,"-0.0%")&amp;" making it to " &amp; TEXT(D97, "$0,000,000.0")</f>
        <v>(Pessimistic Case) If assumed growth rates are decreased by x%, i.e. by -17.1%, then NPV will increase by -6.6% making it to $6,372,521.3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" t="s">
        <v>62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x14ac:dyDescent="0.2">
      <c r="A104" s="1"/>
      <c r="B104" s="1" t="s">
        <v>63</v>
      </c>
      <c r="C104" s="1">
        <f>1/3</f>
        <v>0.33333333333333331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3" t="s">
        <v>64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 t="s">
        <v>11</v>
      </c>
      <c r="D108" s="4">
        <f>D7</f>
        <v>5820000</v>
      </c>
      <c r="E108" s="4">
        <f t="shared" ref="E108:G108" si="29">D108*(1+$C$59)</f>
        <v>6343800</v>
      </c>
      <c r="F108" s="4">
        <f t="shared" si="29"/>
        <v>6914742.0000000009</v>
      </c>
      <c r="G108" s="4">
        <f t="shared" si="29"/>
        <v>7537068.7800000012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7" t="s">
        <v>65</v>
      </c>
      <c r="D109" s="14">
        <f t="shared" ref="D109:G109" si="30">D108*(1-$C$104)</f>
        <v>3880000.0000000005</v>
      </c>
      <c r="E109" s="14">
        <f t="shared" si="30"/>
        <v>4229200.0000000009</v>
      </c>
      <c r="F109" s="14">
        <f t="shared" si="30"/>
        <v>4609828.0000000009</v>
      </c>
      <c r="G109" s="14">
        <f t="shared" si="30"/>
        <v>5024712.5200000014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 t="s">
        <v>55</v>
      </c>
      <c r="D110" s="4">
        <f t="shared" ref="D110:D112" si="31">D12</f>
        <v>875000</v>
      </c>
      <c r="E110" s="4">
        <f t="shared" ref="E110:G110" si="32">D110*(1+$D$59)</f>
        <v>910000</v>
      </c>
      <c r="F110" s="4">
        <f t="shared" si="32"/>
        <v>946400</v>
      </c>
      <c r="G110" s="4">
        <f t="shared" si="32"/>
        <v>984256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 t="s">
        <v>56</v>
      </c>
      <c r="D111" s="4">
        <f t="shared" si="31"/>
        <v>910000</v>
      </c>
      <c r="E111" s="4">
        <f t="shared" ref="E111:G111" si="33">D111*(1+$E$59)</f>
        <v>937300</v>
      </c>
      <c r="F111" s="4">
        <f t="shared" si="33"/>
        <v>965419</v>
      </c>
      <c r="G111" s="4">
        <f t="shared" si="33"/>
        <v>994381.57000000007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 t="s">
        <v>18</v>
      </c>
      <c r="D112" s="4">
        <f t="shared" si="31"/>
        <v>1400000</v>
      </c>
      <c r="E112" s="4">
        <f t="shared" ref="E112:G112" si="34">D112</f>
        <v>1400000</v>
      </c>
      <c r="F112" s="4">
        <f t="shared" si="34"/>
        <v>1400000</v>
      </c>
      <c r="G112" s="4">
        <f t="shared" si="34"/>
        <v>1400000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 t="s">
        <v>19</v>
      </c>
      <c r="D113" s="4">
        <f t="shared" ref="D113:G113" si="35">SUM(D110:D112)</f>
        <v>3185000</v>
      </c>
      <c r="E113" s="4">
        <f t="shared" si="35"/>
        <v>3247300</v>
      </c>
      <c r="F113" s="4">
        <f t="shared" si="35"/>
        <v>3311819</v>
      </c>
      <c r="G113" s="4">
        <f t="shared" si="35"/>
        <v>3378637.5700000003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 t="s">
        <v>22</v>
      </c>
      <c r="D114" s="4">
        <f t="shared" ref="D114:G114" si="36">D109-D113</f>
        <v>695000.00000000047</v>
      </c>
      <c r="E114" s="4">
        <f t="shared" si="36"/>
        <v>981900.00000000093</v>
      </c>
      <c r="F114" s="4">
        <f t="shared" si="36"/>
        <v>1298009.0000000009</v>
      </c>
      <c r="G114" s="4">
        <f t="shared" si="36"/>
        <v>1646074.9500000011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 t="s">
        <v>25</v>
      </c>
      <c r="D115" s="4">
        <f t="shared" ref="D115:G115" si="37">D114-(19%*D114)</f>
        <v>562950.00000000035</v>
      </c>
      <c r="E115" s="4">
        <f t="shared" si="37"/>
        <v>795339.0000000007</v>
      </c>
      <c r="F115" s="4">
        <f t="shared" si="37"/>
        <v>1051387.2900000007</v>
      </c>
      <c r="G115" s="4">
        <f t="shared" si="37"/>
        <v>1333320.7095000008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 t="s">
        <v>57</v>
      </c>
      <c r="D116" s="4">
        <f t="shared" ref="D116:G116" si="38">D115*30%</f>
        <v>168885.00000000009</v>
      </c>
      <c r="E116" s="4">
        <f t="shared" si="38"/>
        <v>238601.70000000019</v>
      </c>
      <c r="F116" s="4">
        <f t="shared" si="38"/>
        <v>315416.18700000021</v>
      </c>
      <c r="G116" s="4">
        <f t="shared" si="38"/>
        <v>399996.21285000024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 t="s">
        <v>31</v>
      </c>
      <c r="D117" s="4">
        <f t="shared" ref="D117:G117" si="39">D115-D116</f>
        <v>394065.00000000023</v>
      </c>
      <c r="E117" s="4">
        <f t="shared" si="39"/>
        <v>556737.30000000051</v>
      </c>
      <c r="F117" s="4">
        <f t="shared" si="39"/>
        <v>735971.10300000058</v>
      </c>
      <c r="G117" s="4">
        <f t="shared" si="39"/>
        <v>933324.49665000057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 t="s">
        <v>34</v>
      </c>
      <c r="D118" s="4">
        <f>D117/(1+$F$59)^1</f>
        <v>358240.90909090929</v>
      </c>
      <c r="E118" s="4">
        <f>E117/(1+$F$59)^2</f>
        <v>460113.4710743805</v>
      </c>
      <c r="F118" s="4">
        <f>F117/(1+$F$59)^3</f>
        <v>552945.98271975981</v>
      </c>
      <c r="G118" s="4">
        <f>G117/(1+$F$59)^4</f>
        <v>637473.18943378201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 t="s">
        <v>38</v>
      </c>
      <c r="D119" s="4">
        <f>SUM(D118:G118)</f>
        <v>2008773.5523188314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3" t="s">
        <v>66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3" t="s">
        <v>2</v>
      </c>
      <c r="D123" s="3" t="s">
        <v>3</v>
      </c>
      <c r="E123" s="3" t="s">
        <v>4</v>
      </c>
      <c r="F123" s="3" t="s">
        <v>5</v>
      </c>
      <c r="G123" s="3" t="s">
        <v>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 t="s">
        <v>11</v>
      </c>
      <c r="D124" s="4">
        <f>D108</f>
        <v>5820000</v>
      </c>
      <c r="E124" s="4">
        <f t="shared" ref="E124:G124" ca="1" si="40">D124*(1+$C$60)</f>
        <v>6433441.135226489</v>
      </c>
      <c r="F124" s="4">
        <f t="shared" ca="1" si="40"/>
        <v>7111540.3505883673</v>
      </c>
      <c r="G124" s="4">
        <f t="shared" ca="1" si="40"/>
        <v>7861112.7536594858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7" t="s">
        <v>65</v>
      </c>
      <c r="D125" s="14">
        <f t="shared" ref="D125:G125" si="41">D124*(1-$C$104)</f>
        <v>3880000.0000000005</v>
      </c>
      <c r="E125" s="14">
        <f t="shared" ca="1" si="41"/>
        <v>4288960.7568176603</v>
      </c>
      <c r="F125" s="14">
        <f t="shared" ca="1" si="41"/>
        <v>4741026.9003922455</v>
      </c>
      <c r="G125" s="14">
        <f t="shared" ca="1" si="41"/>
        <v>5240741.8357729912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 t="s">
        <v>55</v>
      </c>
      <c r="D126" s="4">
        <f t="shared" ref="D126:D128" si="42">D110</f>
        <v>875000</v>
      </c>
      <c r="E126" s="4">
        <f t="shared" ref="E126:G126" ca="1" si="43">D126*(1+$D$60)</f>
        <v>915989.76657679863</v>
      </c>
      <c r="F126" s="4">
        <f t="shared" ca="1" si="43"/>
        <v>958899.71711247787</v>
      </c>
      <c r="G126" s="4">
        <f t="shared" ca="1" si="43"/>
        <v>1003819.803483905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 t="s">
        <v>56</v>
      </c>
      <c r="D127" s="4">
        <f t="shared" si="42"/>
        <v>910000</v>
      </c>
      <c r="E127" s="4">
        <f t="shared" ref="E127:G127" ca="1" si="44">D127*(1+$E$60)</f>
        <v>941972.01792990288</v>
      </c>
      <c r="F127" s="4">
        <f t="shared" ca="1" si="44"/>
        <v>975067.34347575088</v>
      </c>
      <c r="G127" s="4">
        <f t="shared" ca="1" si="44"/>
        <v>1009325.4430235196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 t="s">
        <v>18</v>
      </c>
      <c r="D128" s="4">
        <f t="shared" si="42"/>
        <v>1400000</v>
      </c>
      <c r="E128" s="4">
        <f t="shared" ref="E128:G128" si="45">D128</f>
        <v>1400000</v>
      </c>
      <c r="F128" s="4">
        <f t="shared" si="45"/>
        <v>1400000</v>
      </c>
      <c r="G128" s="4">
        <f t="shared" si="45"/>
        <v>1400000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 t="s">
        <v>19</v>
      </c>
      <c r="D129" s="4">
        <f t="shared" ref="D129:G129" si="46">SUM(D126:D128)</f>
        <v>3185000</v>
      </c>
      <c r="E129" s="4">
        <f t="shared" ca="1" si="46"/>
        <v>3257961.7845067014</v>
      </c>
      <c r="F129" s="4">
        <f t="shared" ca="1" si="46"/>
        <v>3333967.0605882285</v>
      </c>
      <c r="G129" s="4">
        <f t="shared" ca="1" si="46"/>
        <v>3413145.2465074249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 t="s">
        <v>22</v>
      </c>
      <c r="D130" s="4">
        <f t="shared" ref="D130:G130" si="47">D125-D129</f>
        <v>695000.00000000047</v>
      </c>
      <c r="E130" s="4">
        <f t="shared" ca="1" si="47"/>
        <v>1030998.9723109589</v>
      </c>
      <c r="F130" s="4">
        <f t="shared" ca="1" si="47"/>
        <v>1407059.839804017</v>
      </c>
      <c r="G130" s="4">
        <f t="shared" ca="1" si="47"/>
        <v>1827596.5892655663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 t="s">
        <v>25</v>
      </c>
      <c r="D131" s="4">
        <f t="shared" ref="D131:G131" si="48">D130-(19%*D130)</f>
        <v>562950.00000000035</v>
      </c>
      <c r="E131" s="4">
        <f t="shared" ca="1" si="48"/>
        <v>835109.16757187666</v>
      </c>
      <c r="F131" s="4">
        <f t="shared" ca="1" si="48"/>
        <v>1139718.4702412537</v>
      </c>
      <c r="G131" s="4">
        <f t="shared" ca="1" si="48"/>
        <v>1480353.2373051087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 t="s">
        <v>57</v>
      </c>
      <c r="D132" s="4">
        <f t="shared" ref="D132:G132" si="49">D131*30%</f>
        <v>168885.00000000009</v>
      </c>
      <c r="E132" s="4">
        <f t="shared" ca="1" si="49"/>
        <v>250532.75027156298</v>
      </c>
      <c r="F132" s="4">
        <f t="shared" ca="1" si="49"/>
        <v>341915.54107237613</v>
      </c>
      <c r="G132" s="4">
        <f t="shared" ca="1" si="49"/>
        <v>444105.97119153262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 t="s">
        <v>31</v>
      </c>
      <c r="D133" s="4">
        <f t="shared" ref="D133:G133" si="50">D131-D132</f>
        <v>394065.00000000023</v>
      </c>
      <c r="E133" s="4">
        <f t="shared" ca="1" si="50"/>
        <v>584576.41730031371</v>
      </c>
      <c r="F133" s="4">
        <f t="shared" ca="1" si="50"/>
        <v>797802.92916887766</v>
      </c>
      <c r="G133" s="4">
        <f t="shared" ca="1" si="50"/>
        <v>1036247.266113576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 t="s">
        <v>34</v>
      </c>
      <c r="D134" s="4">
        <f ca="1">D133/(1+$F$60)^1</f>
        <v>352752.83853985253</v>
      </c>
      <c r="E134" s="4">
        <f ca="1">E133/(1+$F$60)^2</f>
        <v>468432.04659173609</v>
      </c>
      <c r="F134" s="4">
        <f ca="1">F133/(1+$F$60)^3</f>
        <v>572273.43642078538</v>
      </c>
      <c r="G134" s="4">
        <f ca="1">G133/(1+$F$60)^4</f>
        <v>665386.5415731176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 t="s">
        <v>38</v>
      </c>
      <c r="D135" s="4">
        <f ca="1">SUM(D134:G134)</f>
        <v>2058844.8631254914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3" t="s">
        <v>67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3" t="s">
        <v>2</v>
      </c>
      <c r="D139" s="3" t="s">
        <v>3</v>
      </c>
      <c r="E139" s="3" t="s">
        <v>4</v>
      </c>
      <c r="F139" s="3" t="s">
        <v>5</v>
      </c>
      <c r="G139" s="3" t="s">
        <v>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 t="s">
        <v>11</v>
      </c>
      <c r="D140" s="4">
        <f>D124</f>
        <v>5820000</v>
      </c>
      <c r="E140" s="4">
        <f t="shared" ref="E140:G140" ca="1" si="51">D140*(1+$C$61)</f>
        <v>6254158.864773511</v>
      </c>
      <c r="F140" s="4">
        <f t="shared" ca="1" si="51"/>
        <v>6720705.0010008747</v>
      </c>
      <c r="G140" s="4">
        <f t="shared" ca="1" si="51"/>
        <v>7222054.4260373348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7" t="s">
        <v>65</v>
      </c>
      <c r="D141" s="14">
        <f t="shared" ref="D141:G141" si="52">D140*(1-$C$104)</f>
        <v>3880000.0000000005</v>
      </c>
      <c r="E141" s="14">
        <f t="shared" ca="1" si="52"/>
        <v>4169439.2431823411</v>
      </c>
      <c r="F141" s="14">
        <f t="shared" ca="1" si="52"/>
        <v>4480470.0006672507</v>
      </c>
      <c r="G141" s="14">
        <f t="shared" ca="1" si="52"/>
        <v>4814702.9506915575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 t="s">
        <v>55</v>
      </c>
      <c r="D142" s="4">
        <f t="shared" ref="D142:D144" si="53">D126</f>
        <v>875000</v>
      </c>
      <c r="E142" s="4">
        <f t="shared" ref="E142:G142" ca="1" si="54">D142*(1+$D$61)</f>
        <v>904010.23342320137</v>
      </c>
      <c r="F142" s="4">
        <f t="shared" ca="1" si="54"/>
        <v>933982.28815299552</v>
      </c>
      <c r="G142" s="4">
        <f t="shared" ca="1" si="54"/>
        <v>964948.05294437171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 t="s">
        <v>56</v>
      </c>
      <c r="D143" s="4">
        <f t="shared" si="53"/>
        <v>910000</v>
      </c>
      <c r="E143" s="4">
        <f t="shared" ref="E143:G143" ca="1" si="55">D143*(1+$E$61)</f>
        <v>932627.98207009712</v>
      </c>
      <c r="F143" s="4">
        <f t="shared" ca="1" si="55"/>
        <v>955818.62960455101</v>
      </c>
      <c r="G143" s="4">
        <f t="shared" ca="1" si="55"/>
        <v>979585.93379461323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 t="s">
        <v>18</v>
      </c>
      <c r="D144" s="4">
        <f t="shared" si="53"/>
        <v>1400000</v>
      </c>
      <c r="E144" s="4">
        <f t="shared" ref="E144:G144" si="56">D144</f>
        <v>1400000</v>
      </c>
      <c r="F144" s="4">
        <f t="shared" si="56"/>
        <v>1400000</v>
      </c>
      <c r="G144" s="4">
        <f t="shared" si="56"/>
        <v>1400000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 t="s">
        <v>19</v>
      </c>
      <c r="D145" s="4">
        <f t="shared" ref="D145:G145" si="57">SUM(D142:D144)</f>
        <v>3185000</v>
      </c>
      <c r="E145" s="4">
        <f t="shared" ca="1" si="57"/>
        <v>3236638.2154932986</v>
      </c>
      <c r="F145" s="4">
        <f t="shared" ca="1" si="57"/>
        <v>3289800.9177575465</v>
      </c>
      <c r="G145" s="4">
        <f t="shared" ca="1" si="57"/>
        <v>3344533.9867389849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 t="s">
        <v>22</v>
      </c>
      <c r="D146" s="4">
        <f t="shared" ref="D146:G146" si="58">D141-D145</f>
        <v>695000.00000000047</v>
      </c>
      <c r="E146" s="4">
        <f t="shared" ca="1" si="58"/>
        <v>932801.0276890425</v>
      </c>
      <c r="F146" s="4">
        <f t="shared" ca="1" si="58"/>
        <v>1190669.0829097042</v>
      </c>
      <c r="G146" s="4">
        <f t="shared" ca="1" si="58"/>
        <v>1470168.9639525726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 t="s">
        <v>25</v>
      </c>
      <c r="D147" s="4">
        <f t="shared" ref="D147:G147" si="59">D146-(19%*D146)</f>
        <v>562950.00000000035</v>
      </c>
      <c r="E147" s="4">
        <f t="shared" ca="1" si="59"/>
        <v>755568.83242812438</v>
      </c>
      <c r="F147" s="4">
        <f t="shared" ca="1" si="59"/>
        <v>964441.95715686039</v>
      </c>
      <c r="G147" s="4">
        <f t="shared" ca="1" si="59"/>
        <v>1190836.8608015836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 t="s">
        <v>57</v>
      </c>
      <c r="D148" s="4">
        <f t="shared" ref="D148:G148" si="60">D147*30%</f>
        <v>168885.00000000009</v>
      </c>
      <c r="E148" s="4">
        <f t="shared" ca="1" si="60"/>
        <v>226670.6497284373</v>
      </c>
      <c r="F148" s="4">
        <f t="shared" ca="1" si="60"/>
        <v>289332.5871470581</v>
      </c>
      <c r="G148" s="4">
        <f t="shared" ca="1" si="60"/>
        <v>357251.05824047507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 t="s">
        <v>31</v>
      </c>
      <c r="D149" s="4">
        <f t="shared" ref="D149:G149" si="61">D147-D148</f>
        <v>394065.00000000023</v>
      </c>
      <c r="E149" s="4">
        <f t="shared" ca="1" si="61"/>
        <v>528898.18269968708</v>
      </c>
      <c r="F149" s="4">
        <f t="shared" ca="1" si="61"/>
        <v>675109.37000980228</v>
      </c>
      <c r="G149" s="4">
        <f t="shared" ca="1" si="61"/>
        <v>833585.80256110849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 t="s">
        <v>34</v>
      </c>
      <c r="D150" s="4">
        <f ca="1">D149/(1+$F$61)^1</f>
        <v>363902.44335697417</v>
      </c>
      <c r="E150" s="4">
        <f ca="1">E149/(1+$F$61)^2</f>
        <v>451030.89449560386</v>
      </c>
      <c r="F150" s="4">
        <f ca="1">F149/(1+$F$61)^3</f>
        <v>531649.56151705433</v>
      </c>
      <c r="G150" s="4">
        <f ca="1">G149/(1+$F$61)^4</f>
        <v>606203.92173234443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 t="s">
        <v>38</v>
      </c>
      <c r="D151" s="4">
        <f ca="1">SUM(D150:G150)</f>
        <v>1952786.8211019768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5" t="s">
        <v>59</v>
      </c>
      <c r="C154" s="7" t="s">
        <v>68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3" t="s">
        <v>45</v>
      </c>
      <c r="D155" s="3" t="s">
        <v>38</v>
      </c>
      <c r="E155" s="3" t="s">
        <v>60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 t="s">
        <v>50</v>
      </c>
      <c r="D156" s="4">
        <f>D119</f>
        <v>2008773.5523188314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 t="s">
        <v>51</v>
      </c>
      <c r="D157" s="4">
        <f ca="1">D135</f>
        <v>2058844.8631254914</v>
      </c>
      <c r="E157" s="12">
        <f ca="1">1-(D156/D157)</f>
        <v>2.4320098956192249E-2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 t="s">
        <v>52</v>
      </c>
      <c r="D158" s="4">
        <f ca="1">D151</f>
        <v>1952786.8211019768</v>
      </c>
      <c r="E158" s="12">
        <f ca="1">1-(D156/D158)</f>
        <v>-2.8670170554131902E-2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51" x14ac:dyDescent="0.2">
      <c r="A159" s="1"/>
      <c r="B159" s="1"/>
      <c r="C159" s="1" t="s">
        <v>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8" t="str">
        <f ca="1">" (Optimistic case) If assumed growth rates are increased by x%, i.e. by "&amp;TEXT($C$56,"0.0%")&amp;", then NPV will decrease by "&amp;TEXT(E157,"0.0%")&amp;" making it to " &amp; TEXT(D157, "$0,000,000.0")</f>
        <v xml:space="preserve"> (Optimistic case) If assumed growth rates are increased by x%, i.e. by 17.1%, then NPV will decrease by 2.4% making it to $2,058,844.9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8" t="str">
        <f ca="1">"(Pessimistic Case) If assumed growth rates are decreased by x%, i.e. by "&amp;TEXT($C$56,"-0.0%")&amp;", then NPV will increase by "&amp;TEXT(E158,"0.0%")&amp;" making it to " &amp; TEXT(D158, "$0,000,000.0")</f>
        <v>(Pessimistic Case) If assumed growth rates are decreased by x%, i.e. by -17.1%, then NPV will increase by -2.9% making it to $1,952,786.8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2" t="s">
        <v>70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3" t="s">
        <v>71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3" t="s">
        <v>2</v>
      </c>
      <c r="D166" s="3" t="s">
        <v>3</v>
      </c>
      <c r="E166" s="3" t="s">
        <v>4</v>
      </c>
      <c r="F166" s="3" t="s">
        <v>5</v>
      </c>
      <c r="G166" s="3" t="s">
        <v>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 t="s">
        <v>11</v>
      </c>
      <c r="D167" s="4">
        <f t="shared" ref="D167:G167" si="62">D108</f>
        <v>5820000</v>
      </c>
      <c r="E167" s="4">
        <f t="shared" si="62"/>
        <v>6343800</v>
      </c>
      <c r="F167" s="4">
        <f t="shared" si="62"/>
        <v>6914742.0000000009</v>
      </c>
      <c r="G167" s="4">
        <f t="shared" si="62"/>
        <v>7537068.7800000012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7" t="s">
        <v>65</v>
      </c>
      <c r="D168" s="4">
        <f t="shared" ref="D168:G168" si="63">D109</f>
        <v>3880000.0000000005</v>
      </c>
      <c r="E168" s="4">
        <f t="shared" si="63"/>
        <v>4229200.0000000009</v>
      </c>
      <c r="F168" s="4">
        <f t="shared" si="63"/>
        <v>4609828.0000000009</v>
      </c>
      <c r="G168" s="4">
        <f t="shared" si="63"/>
        <v>5024712.5200000014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 t="s">
        <v>55</v>
      </c>
      <c r="D169" s="4">
        <f t="shared" ref="D169:G169" si="64">D110</f>
        <v>875000</v>
      </c>
      <c r="E169" s="4">
        <f t="shared" si="64"/>
        <v>910000</v>
      </c>
      <c r="F169" s="4">
        <f t="shared" si="64"/>
        <v>946400</v>
      </c>
      <c r="G169" s="4">
        <f t="shared" si="64"/>
        <v>984256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 t="s">
        <v>56</v>
      </c>
      <c r="D170" s="4">
        <f t="shared" ref="D170:G170" si="65">D111</f>
        <v>910000</v>
      </c>
      <c r="E170" s="4">
        <f t="shared" si="65"/>
        <v>937300</v>
      </c>
      <c r="F170" s="4">
        <f t="shared" si="65"/>
        <v>965419</v>
      </c>
      <c r="G170" s="4">
        <f t="shared" si="65"/>
        <v>994381.57000000007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 t="s">
        <v>18</v>
      </c>
      <c r="D171" s="4">
        <f t="shared" ref="D171:G171" si="66">D112</f>
        <v>1400000</v>
      </c>
      <c r="E171" s="4">
        <f t="shared" si="66"/>
        <v>1400000</v>
      </c>
      <c r="F171" s="4">
        <f t="shared" si="66"/>
        <v>1400000</v>
      </c>
      <c r="G171" s="4">
        <f t="shared" si="66"/>
        <v>1400000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 t="s">
        <v>19</v>
      </c>
      <c r="D172" s="4">
        <f t="shared" ref="D172:G172" si="67">D113</f>
        <v>3185000</v>
      </c>
      <c r="E172" s="4">
        <f t="shared" si="67"/>
        <v>3247300</v>
      </c>
      <c r="F172" s="4">
        <f t="shared" si="67"/>
        <v>3311819</v>
      </c>
      <c r="G172" s="4">
        <f t="shared" si="67"/>
        <v>3378637.5700000003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 t="s">
        <v>22</v>
      </c>
      <c r="D173" s="4">
        <f t="shared" ref="D173:G173" si="68">D114</f>
        <v>695000.00000000047</v>
      </c>
      <c r="E173" s="4">
        <f t="shared" si="68"/>
        <v>981900.00000000093</v>
      </c>
      <c r="F173" s="4">
        <f t="shared" si="68"/>
        <v>1298009.0000000009</v>
      </c>
      <c r="G173" s="4">
        <f t="shared" si="68"/>
        <v>1646074.9500000011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 t="s">
        <v>25</v>
      </c>
      <c r="D174" s="4">
        <f t="shared" ref="D174:G174" si="69">D115</f>
        <v>562950.00000000035</v>
      </c>
      <c r="E174" s="4">
        <f t="shared" si="69"/>
        <v>795339.0000000007</v>
      </c>
      <c r="F174" s="4">
        <f t="shared" si="69"/>
        <v>1051387.2900000007</v>
      </c>
      <c r="G174" s="4">
        <f t="shared" si="69"/>
        <v>1333320.7095000008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 t="s">
        <v>57</v>
      </c>
      <c r="D175" s="4">
        <f t="shared" ref="D175:G175" si="70">D116</f>
        <v>168885.00000000009</v>
      </c>
      <c r="E175" s="4">
        <f t="shared" si="70"/>
        <v>238601.70000000019</v>
      </c>
      <c r="F175" s="4">
        <f t="shared" si="70"/>
        <v>315416.18700000021</v>
      </c>
      <c r="G175" s="4">
        <f t="shared" si="70"/>
        <v>399996.21285000024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 t="s">
        <v>31</v>
      </c>
      <c r="D176" s="4">
        <f t="shared" ref="D176:G176" si="71">D117</f>
        <v>394065.00000000023</v>
      </c>
      <c r="E176" s="4">
        <f t="shared" si="71"/>
        <v>556737.30000000051</v>
      </c>
      <c r="F176" s="4">
        <f t="shared" si="71"/>
        <v>735971.10300000058</v>
      </c>
      <c r="G176" s="4">
        <f t="shared" si="71"/>
        <v>933324.49665000057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 t="s">
        <v>34</v>
      </c>
      <c r="D177" s="4">
        <f t="shared" ref="D177:G177" si="72">D118</f>
        <v>358240.90909090929</v>
      </c>
      <c r="E177" s="4">
        <f t="shared" si="72"/>
        <v>460113.4710743805</v>
      </c>
      <c r="F177" s="4">
        <f t="shared" si="72"/>
        <v>552945.98271975981</v>
      </c>
      <c r="G177" s="4">
        <f t="shared" si="72"/>
        <v>637473.18943378201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7" t="s">
        <v>72</v>
      </c>
      <c r="D178" s="14">
        <f t="shared" ref="D178:G178" si="73">D177*6%</f>
        <v>21494.454545454555</v>
      </c>
      <c r="E178" s="14">
        <f t="shared" si="73"/>
        <v>27606.80826446283</v>
      </c>
      <c r="F178" s="14">
        <f t="shared" si="73"/>
        <v>33176.758963185588</v>
      </c>
      <c r="G178" s="14">
        <f t="shared" si="73"/>
        <v>38248.391366026917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 t="s">
        <v>73</v>
      </c>
      <c r="D179" s="4">
        <f t="shared" ref="D179:G179" si="74">D177-D178</f>
        <v>336746.45454545476</v>
      </c>
      <c r="E179" s="4">
        <f t="shared" si="74"/>
        <v>432506.6628099177</v>
      </c>
      <c r="F179" s="4">
        <f t="shared" si="74"/>
        <v>519769.22375657421</v>
      </c>
      <c r="G179" s="4">
        <f t="shared" si="74"/>
        <v>599224.79806775507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 t="s">
        <v>38</v>
      </c>
      <c r="D180" s="4">
        <f>SUM(D179:G179)</f>
        <v>1888247.1391797019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3" t="s">
        <v>66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3" t="s">
        <v>2</v>
      </c>
      <c r="D183" s="3" t="s">
        <v>3</v>
      </c>
      <c r="E183" s="3" t="s">
        <v>4</v>
      </c>
      <c r="F183" s="3" t="s">
        <v>5</v>
      </c>
      <c r="G183" s="3" t="s">
        <v>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 t="s">
        <v>11</v>
      </c>
      <c r="D184" s="4">
        <f t="shared" ref="D184:G184" si="75">D124</f>
        <v>5820000</v>
      </c>
      <c r="E184" s="4">
        <f t="shared" ca="1" si="75"/>
        <v>6433441.135226489</v>
      </c>
      <c r="F184" s="4">
        <f t="shared" ca="1" si="75"/>
        <v>7111540.3505883673</v>
      </c>
      <c r="G184" s="4">
        <f t="shared" ca="1" si="75"/>
        <v>7861112.7536594858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7" t="s">
        <v>65</v>
      </c>
      <c r="D185" s="4">
        <f t="shared" ref="D185:G185" si="76">D125</f>
        <v>3880000.0000000005</v>
      </c>
      <c r="E185" s="4">
        <f t="shared" ca="1" si="76"/>
        <v>4288960.7568176603</v>
      </c>
      <c r="F185" s="4">
        <f t="shared" ca="1" si="76"/>
        <v>4741026.9003922455</v>
      </c>
      <c r="G185" s="4">
        <f t="shared" ca="1" si="76"/>
        <v>5240741.8357729912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 t="s">
        <v>55</v>
      </c>
      <c r="D186" s="4">
        <f t="shared" ref="D186:G186" si="77">D126</f>
        <v>875000</v>
      </c>
      <c r="E186" s="4">
        <f t="shared" ca="1" si="77"/>
        <v>915989.76657679863</v>
      </c>
      <c r="F186" s="4">
        <f t="shared" ca="1" si="77"/>
        <v>958899.71711247787</v>
      </c>
      <c r="G186" s="4">
        <f t="shared" ca="1" si="77"/>
        <v>1003819.803483905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 t="s">
        <v>56</v>
      </c>
      <c r="D187" s="4">
        <f t="shared" ref="D187:G187" si="78">D127</f>
        <v>910000</v>
      </c>
      <c r="E187" s="4">
        <f t="shared" ca="1" si="78"/>
        <v>941972.01792990288</v>
      </c>
      <c r="F187" s="4">
        <f t="shared" ca="1" si="78"/>
        <v>975067.34347575088</v>
      </c>
      <c r="G187" s="4">
        <f t="shared" ca="1" si="78"/>
        <v>1009325.4430235196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 t="s">
        <v>18</v>
      </c>
      <c r="D188" s="4">
        <f t="shared" ref="D188:G188" si="79">D128</f>
        <v>1400000</v>
      </c>
      <c r="E188" s="4">
        <f t="shared" si="79"/>
        <v>1400000</v>
      </c>
      <c r="F188" s="4">
        <f t="shared" si="79"/>
        <v>1400000</v>
      </c>
      <c r="G188" s="4">
        <f t="shared" si="79"/>
        <v>1400000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 t="s">
        <v>19</v>
      </c>
      <c r="D189" s="4">
        <f t="shared" ref="D189:G189" si="80">D129</f>
        <v>3185000</v>
      </c>
      <c r="E189" s="4">
        <f t="shared" ca="1" si="80"/>
        <v>3257961.7845067014</v>
      </c>
      <c r="F189" s="4">
        <f t="shared" ca="1" si="80"/>
        <v>3333967.0605882285</v>
      </c>
      <c r="G189" s="4">
        <f t="shared" ca="1" si="80"/>
        <v>3413145.2465074249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 t="s">
        <v>22</v>
      </c>
      <c r="D190" s="4">
        <f t="shared" ref="D190:G190" si="81">D130</f>
        <v>695000.00000000047</v>
      </c>
      <c r="E190" s="4">
        <f t="shared" ca="1" si="81"/>
        <v>1030998.9723109589</v>
      </c>
      <c r="F190" s="4">
        <f t="shared" ca="1" si="81"/>
        <v>1407059.839804017</v>
      </c>
      <c r="G190" s="4">
        <f t="shared" ca="1" si="81"/>
        <v>1827596.5892655663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 t="s">
        <v>25</v>
      </c>
      <c r="D191" s="4">
        <f t="shared" ref="D191:G191" si="82">D131</f>
        <v>562950.00000000035</v>
      </c>
      <c r="E191" s="4">
        <f t="shared" ca="1" si="82"/>
        <v>835109.16757187666</v>
      </c>
      <c r="F191" s="4">
        <f t="shared" ca="1" si="82"/>
        <v>1139718.4702412537</v>
      </c>
      <c r="G191" s="4">
        <f t="shared" ca="1" si="82"/>
        <v>1480353.2373051087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 t="s">
        <v>57</v>
      </c>
      <c r="D192" s="4">
        <f t="shared" ref="D192:G192" si="83">D132</f>
        <v>168885.00000000009</v>
      </c>
      <c r="E192" s="4">
        <f t="shared" ca="1" si="83"/>
        <v>250532.75027156298</v>
      </c>
      <c r="F192" s="4">
        <f t="shared" ca="1" si="83"/>
        <v>341915.54107237613</v>
      </c>
      <c r="G192" s="4">
        <f t="shared" ca="1" si="83"/>
        <v>444105.97119153262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 t="s">
        <v>31</v>
      </c>
      <c r="D193" s="4">
        <f t="shared" ref="D193:G193" si="84">D133</f>
        <v>394065.00000000023</v>
      </c>
      <c r="E193" s="4">
        <f t="shared" ca="1" si="84"/>
        <v>584576.41730031371</v>
      </c>
      <c r="F193" s="4">
        <f t="shared" ca="1" si="84"/>
        <v>797802.92916887766</v>
      </c>
      <c r="G193" s="4">
        <f t="shared" ca="1" si="84"/>
        <v>1036247.266113576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 t="s">
        <v>34</v>
      </c>
      <c r="D194" s="4">
        <f t="shared" ref="D194:G194" ca="1" si="85">D134</f>
        <v>352752.83853985253</v>
      </c>
      <c r="E194" s="4">
        <f t="shared" ca="1" si="85"/>
        <v>468432.04659173609</v>
      </c>
      <c r="F194" s="4">
        <f t="shared" ca="1" si="85"/>
        <v>572273.43642078538</v>
      </c>
      <c r="G194" s="4">
        <f t="shared" ca="1" si="85"/>
        <v>665386.5415731176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7" t="s">
        <v>72</v>
      </c>
      <c r="D195" s="14">
        <f t="shared" ref="D195:G195" ca="1" si="86">D194*6%</f>
        <v>21165.17031239115</v>
      </c>
      <c r="E195" s="14">
        <f t="shared" ca="1" si="86"/>
        <v>28105.922795504164</v>
      </c>
      <c r="F195" s="14">
        <f t="shared" ca="1" si="86"/>
        <v>34336.40618524712</v>
      </c>
      <c r="G195" s="14">
        <f t="shared" ca="1" si="86"/>
        <v>39923.192494387054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 t="s">
        <v>73</v>
      </c>
      <c r="D196" s="4">
        <f t="shared" ref="D196:G196" ca="1" si="87">D194-D195</f>
        <v>331587.6682274614</v>
      </c>
      <c r="E196" s="4">
        <f t="shared" ca="1" si="87"/>
        <v>440326.12379623193</v>
      </c>
      <c r="F196" s="4">
        <f t="shared" ca="1" si="87"/>
        <v>537937.03023553826</v>
      </c>
      <c r="G196" s="4">
        <f t="shared" ca="1" si="87"/>
        <v>625463.34907873056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 t="s">
        <v>38</v>
      </c>
      <c r="D197" s="4">
        <f ca="1">SUM(D196:G196)</f>
        <v>1935314.1713379622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3" t="s">
        <v>67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3" t="s">
        <v>2</v>
      </c>
      <c r="D200" s="3" t="s">
        <v>3</v>
      </c>
      <c r="E200" s="3" t="s">
        <v>4</v>
      </c>
      <c r="F200" s="3" t="s">
        <v>5</v>
      </c>
      <c r="G200" s="3" t="s">
        <v>6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 t="s">
        <v>11</v>
      </c>
      <c r="D201" s="4">
        <f t="shared" ref="D201:G201" si="88">D140</f>
        <v>5820000</v>
      </c>
      <c r="E201" s="4">
        <f t="shared" ca="1" si="88"/>
        <v>6254158.864773511</v>
      </c>
      <c r="F201" s="4">
        <f t="shared" ca="1" si="88"/>
        <v>6720705.0010008747</v>
      </c>
      <c r="G201" s="4">
        <f t="shared" ca="1" si="88"/>
        <v>7222054.4260373348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7" t="s">
        <v>65</v>
      </c>
      <c r="D202" s="4">
        <f t="shared" ref="D202:G202" si="89">D141</f>
        <v>3880000.0000000005</v>
      </c>
      <c r="E202" s="4">
        <f t="shared" ca="1" si="89"/>
        <v>4169439.2431823411</v>
      </c>
      <c r="F202" s="4">
        <f t="shared" ca="1" si="89"/>
        <v>4480470.0006672507</v>
      </c>
      <c r="G202" s="4">
        <f t="shared" ca="1" si="89"/>
        <v>4814702.9506915575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 t="s">
        <v>55</v>
      </c>
      <c r="D203" s="4">
        <f t="shared" ref="D203:G203" si="90">D142</f>
        <v>875000</v>
      </c>
      <c r="E203" s="4">
        <f t="shared" ca="1" si="90"/>
        <v>904010.23342320137</v>
      </c>
      <c r="F203" s="4">
        <f t="shared" ca="1" si="90"/>
        <v>933982.28815299552</v>
      </c>
      <c r="G203" s="4">
        <f t="shared" ca="1" si="90"/>
        <v>964948.05294437171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 t="s">
        <v>56</v>
      </c>
      <c r="D204" s="4">
        <f t="shared" ref="D204:G204" si="91">D143</f>
        <v>910000</v>
      </c>
      <c r="E204" s="4">
        <f t="shared" ca="1" si="91"/>
        <v>932627.98207009712</v>
      </c>
      <c r="F204" s="4">
        <f t="shared" ca="1" si="91"/>
        <v>955818.62960455101</v>
      </c>
      <c r="G204" s="4">
        <f t="shared" ca="1" si="91"/>
        <v>979585.93379461323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 t="s">
        <v>18</v>
      </c>
      <c r="D205" s="4">
        <f t="shared" ref="D205:G205" si="92">D144</f>
        <v>1400000</v>
      </c>
      <c r="E205" s="4">
        <f t="shared" si="92"/>
        <v>1400000</v>
      </c>
      <c r="F205" s="4">
        <f t="shared" si="92"/>
        <v>1400000</v>
      </c>
      <c r="G205" s="4">
        <f t="shared" si="92"/>
        <v>1400000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 t="s">
        <v>19</v>
      </c>
      <c r="D206" s="4">
        <f t="shared" ref="D206:G206" si="93">D145</f>
        <v>3185000</v>
      </c>
      <c r="E206" s="4">
        <f t="shared" ca="1" si="93"/>
        <v>3236638.2154932986</v>
      </c>
      <c r="F206" s="4">
        <f t="shared" ca="1" si="93"/>
        <v>3289800.9177575465</v>
      </c>
      <c r="G206" s="4">
        <f t="shared" ca="1" si="93"/>
        <v>3344533.9867389849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 t="s">
        <v>22</v>
      </c>
      <c r="D207" s="4">
        <f t="shared" ref="D207:G207" si="94">D146</f>
        <v>695000.00000000047</v>
      </c>
      <c r="E207" s="4">
        <f t="shared" ca="1" si="94"/>
        <v>932801.0276890425</v>
      </c>
      <c r="F207" s="4">
        <f t="shared" ca="1" si="94"/>
        <v>1190669.0829097042</v>
      </c>
      <c r="G207" s="4">
        <f t="shared" ca="1" si="94"/>
        <v>1470168.9639525726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 t="s">
        <v>25</v>
      </c>
      <c r="D208" s="4">
        <f t="shared" ref="D208:G208" si="95">D147</f>
        <v>562950.00000000035</v>
      </c>
      <c r="E208" s="4">
        <f t="shared" ca="1" si="95"/>
        <v>755568.83242812438</v>
      </c>
      <c r="F208" s="4">
        <f t="shared" ca="1" si="95"/>
        <v>964441.95715686039</v>
      </c>
      <c r="G208" s="4">
        <f t="shared" ca="1" si="95"/>
        <v>1190836.8608015836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 t="s">
        <v>57</v>
      </c>
      <c r="D209" s="4">
        <f t="shared" ref="D209:G209" si="96">D148</f>
        <v>168885.00000000009</v>
      </c>
      <c r="E209" s="4">
        <f t="shared" ca="1" si="96"/>
        <v>226670.6497284373</v>
      </c>
      <c r="F209" s="4">
        <f t="shared" ca="1" si="96"/>
        <v>289332.5871470581</v>
      </c>
      <c r="G209" s="4">
        <f t="shared" ca="1" si="96"/>
        <v>357251.05824047507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 t="s">
        <v>31</v>
      </c>
      <c r="D210" s="4">
        <f t="shared" ref="D210:G210" si="97">D149</f>
        <v>394065.00000000023</v>
      </c>
      <c r="E210" s="4">
        <f t="shared" ca="1" si="97"/>
        <v>528898.18269968708</v>
      </c>
      <c r="F210" s="4">
        <f t="shared" ca="1" si="97"/>
        <v>675109.37000980228</v>
      </c>
      <c r="G210" s="4">
        <f t="shared" ca="1" si="97"/>
        <v>833585.80256110849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 t="s">
        <v>34</v>
      </c>
      <c r="D211" s="4">
        <f t="shared" ref="D211:G211" ca="1" si="98">D150</f>
        <v>363902.44335697417</v>
      </c>
      <c r="E211" s="4">
        <f t="shared" ca="1" si="98"/>
        <v>451030.89449560386</v>
      </c>
      <c r="F211" s="4">
        <f t="shared" ca="1" si="98"/>
        <v>531649.56151705433</v>
      </c>
      <c r="G211" s="4">
        <f t="shared" ca="1" si="98"/>
        <v>606203.92173234443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7" t="s">
        <v>72</v>
      </c>
      <c r="D212" s="14">
        <f t="shared" ref="D212:G212" ca="1" si="99">D211*6%</f>
        <v>21834.146601418448</v>
      </c>
      <c r="E212" s="14">
        <f t="shared" ca="1" si="99"/>
        <v>27061.853669736232</v>
      </c>
      <c r="F212" s="14">
        <f t="shared" ca="1" si="99"/>
        <v>31898.97369102326</v>
      </c>
      <c r="G212" s="14">
        <f t="shared" ca="1" si="99"/>
        <v>36372.235303940666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 t="s">
        <v>73</v>
      </c>
      <c r="D213" s="4">
        <f t="shared" ref="D213:G213" ca="1" si="100">D211-D212</f>
        <v>342068.29675555573</v>
      </c>
      <c r="E213" s="4">
        <f t="shared" ca="1" si="100"/>
        <v>423969.04082586762</v>
      </c>
      <c r="F213" s="4">
        <f t="shared" ca="1" si="100"/>
        <v>499750.58782603109</v>
      </c>
      <c r="G213" s="4">
        <f t="shared" ca="1" si="100"/>
        <v>569831.68642840371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 t="s">
        <v>38</v>
      </c>
      <c r="D214" s="4">
        <f ca="1">SUM(D213:G213)</f>
        <v>1835619.6118358581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5" t="s">
        <v>59</v>
      </c>
      <c r="C216" s="7" t="s">
        <v>68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x14ac:dyDescent="0.2">
      <c r="A217" s="1"/>
      <c r="B217" s="1"/>
      <c r="C217" s="3" t="s">
        <v>45</v>
      </c>
      <c r="D217" s="3" t="s">
        <v>38</v>
      </c>
      <c r="E217" s="3" t="s">
        <v>60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 t="s">
        <v>50</v>
      </c>
      <c r="D218" s="4">
        <f>D180</f>
        <v>1888247.1391797019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 t="s">
        <v>51</v>
      </c>
      <c r="D219" s="4">
        <f ca="1">D197</f>
        <v>1935314.1713379622</v>
      </c>
      <c r="E219" s="12">
        <f ca="1">1-(D218/D219)</f>
        <v>2.4320098956192138E-2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 t="s">
        <v>52</v>
      </c>
      <c r="D220" s="4">
        <f ca="1">D214</f>
        <v>1835619.6118358581</v>
      </c>
      <c r="E220" s="12">
        <f ca="1">1-(D218/D220)</f>
        <v>-2.8670170554132124E-2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7" t="s">
        <v>74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8" t="str">
        <f ca="1">" (Optimistic case) If assumed growth rates are increased by x%, i.e. by "&amp;TEXT($C$56,"0.0%")&amp;", then NPV will decrease by "&amp;TEXT(E219,"0.0%")&amp;" making it to " &amp; TEXT(D219, "$0,000,000.0")</f>
        <v xml:space="preserve"> (Optimistic case) If assumed growth rates are increased by x%, i.e. by 17.1%, then NPV will decrease by 2.4% making it to $1,935,314.2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8" t="str">
        <f ca="1">"(Pessimistic Case) If assumed growth rates are decreased by x%, i.e. by "&amp;TEXT($C$56,"-0.0%")&amp;", then NPV will increase by "&amp;TEXT(E220,"0.0%")&amp;" making it to " &amp; TEXT(D220, "$0,000,000.0")</f>
        <v>(Pessimistic Case) If assumed growth rates are decreased by x%, i.e. by -17.1%, then NPV will increase by -2.9% making it to $1,835,619.6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5" t="s">
        <v>76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>
        <v>1</v>
      </c>
      <c r="B229" s="2" t="str">
        <f>CONCATENATE("Based on the problem statement, the calculated NPV is ", TEXT(D46, "$0,000,000.00"))</f>
        <v>Based on the problem statement, the calculated NPV is $59,54,486.18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>
        <v>2</v>
      </c>
      <c r="B230" s="19" t="str">
        <f>"After considering uncertainty and quantifying it using sensitivity analysis, a random number generator generates a random growth" &amp;" rate for different uncertain variables such as sales growth rate, labor growth rate, materials growth rate and discount growth rate" &amp; "in the form of different scenarios - optimistic and pessimistic" &amp;". Here's the summary: "</f>
        <v xml:space="preserve">After considering uncertainty and quantifying it using sensitivity analysis, a random number generator generates a random growth rate for different uncertain variables such as sales growth rate, labor growth rate, materials growth rate and discount growth ratein the form of different scenarios - optimistic and pessimistic. Here's the summary: </v>
      </c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5" t="str">
        <f ca="1">C99</f>
        <v xml:space="preserve"> (Optimistic case) If assumed growth rates are increased by x%, i.e. by 17.1%, then NPV will decrease by -0.3% making it to $5,935,990.2</v>
      </c>
      <c r="C232" s="7"/>
      <c r="D232" s="7"/>
      <c r="E232" s="7"/>
      <c r="F232" s="7"/>
      <c r="G232" s="7"/>
      <c r="H232" s="7"/>
      <c r="I232" s="7"/>
      <c r="J232" s="7"/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5" t="str">
        <f ca="1">C100</f>
        <v>(Pessimistic Case) If assumed growth rates are decreased by x%, i.e. by -17.1%, then NPV will increase by -6.6% making it to $6,372,521.3</v>
      </c>
      <c r="C233" s="7"/>
      <c r="D233" s="7"/>
      <c r="E233" s="7"/>
      <c r="F233" s="7"/>
      <c r="G233" s="7"/>
      <c r="H233" s="7"/>
      <c r="I233" s="7"/>
      <c r="J233" s="7"/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3</v>
      </c>
      <c r="B234" s="2" t="s">
        <v>78</v>
      </c>
      <c r="C234" s="7"/>
      <c r="D234" s="7"/>
      <c r="E234" s="7"/>
      <c r="F234" s="7"/>
      <c r="G234" s="7"/>
      <c r="H234" s="7"/>
      <c r="I234" s="7"/>
      <c r="J234" s="7"/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5" t="str">
        <f ca="1">C160</f>
        <v xml:space="preserve"> (Optimistic case) If assumed growth rates are increased by x%, i.e. by 17.1%, then NPV will decrease by 2.4% making it to $2,058,844.9</v>
      </c>
      <c r="C235" s="7"/>
      <c r="D235" s="7"/>
      <c r="E235" s="7"/>
      <c r="F235" s="7"/>
      <c r="G235" s="7"/>
      <c r="H235" s="7"/>
      <c r="I235" s="7"/>
      <c r="J235" s="7"/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5" t="str">
        <f ca="1">C161</f>
        <v>(Pessimistic Case) If assumed growth rates are decreased by x%, i.e. by -17.1%, then NPV will increase by -2.9% making it to $1,952,786.8</v>
      </c>
      <c r="C236" s="7"/>
      <c r="D236" s="7"/>
      <c r="E236" s="7"/>
      <c r="F236" s="7"/>
      <c r="G236" s="7"/>
      <c r="H236" s="7"/>
      <c r="I236" s="7"/>
      <c r="J236" s="7"/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4</v>
      </c>
      <c r="B237" s="2" t="s">
        <v>77</v>
      </c>
      <c r="C237" s="7"/>
      <c r="D237" s="7"/>
      <c r="E237" s="7"/>
      <c r="F237" s="7"/>
      <c r="G237" s="7"/>
      <c r="H237" s="7"/>
      <c r="I237" s="7"/>
      <c r="J237" s="7"/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7" t="str">
        <f ca="1">C222</f>
        <v xml:space="preserve"> (Optimistic case) If assumed growth rates are increased by x%, i.e. by 17.1%, then NPV will decrease by 2.4% making it to $1,935,314.2</v>
      </c>
      <c r="C238" s="7"/>
      <c r="D238" s="7"/>
      <c r="E238" s="7"/>
      <c r="F238" s="7"/>
      <c r="G238" s="7"/>
      <c r="H238" s="7"/>
      <c r="I238" s="7"/>
      <c r="J238" s="7"/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7" t="str">
        <f ca="1">C223</f>
        <v>(Pessimistic Case) If assumed growth rates are decreased by x%, i.e. by -17.1%, then NPV will increase by -2.9% making it to $1,835,619.6</v>
      </c>
      <c r="C239" s="7"/>
      <c r="D239" s="7"/>
      <c r="E239" s="7"/>
      <c r="F239" s="7"/>
      <c r="G239" s="7"/>
      <c r="H239" s="7"/>
      <c r="I239" s="7"/>
      <c r="J239" s="7"/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30:L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Dolce</dc:creator>
  <cp:lastModifiedBy>Nicolas Dolce</cp:lastModifiedBy>
  <dcterms:created xsi:type="dcterms:W3CDTF">2023-06-27T00:45:25Z</dcterms:created>
  <dcterms:modified xsi:type="dcterms:W3CDTF">2023-07-03T20:58:31Z</dcterms:modified>
</cp:coreProperties>
</file>