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6b01a46faf3ffdc/Documents/byui/BUS115/"/>
    </mc:Choice>
  </mc:AlternateContent>
  <xr:revisionPtr revIDLastSave="20" documentId="8_{65DE1A7F-D01A-4601-A1C8-43F93B2BF7AB}" xr6:coauthVersionLast="47" xr6:coauthVersionMax="47" xr10:uidLastSave="{6B0443E9-F79A-4A64-86B7-0199C39F1023}"/>
  <bookViews>
    <workbookView xWindow="-120" yWindow="-16320" windowWidth="29040" windowHeight="15720" xr2:uid="{DD48EB59-D422-440A-B3D8-B7024E933AC0}"/>
    <workbookView xWindow="-120" yWindow="-16320" windowWidth="29040" windowHeight="15720" xr2:uid="{1FF96C99-AF01-4D55-8AB1-CAC542A30514}"/>
  </bookViews>
  <sheets>
    <sheet name="Lookup Sheet" sheetId="3" r:id="rId1"/>
    <sheet name="Data" sheetId="2" r:id="rId2"/>
    <sheet name="Misc." sheetId="4" r:id="rId3"/>
  </sheets>
  <definedNames>
    <definedName name="_xlnm._FilterDatabase" localSheetId="1" hidden="1">Data!$A$1:$M$587</definedName>
    <definedName name="BUS_115_CID" hidden="1">"FALL_2022"</definedName>
    <definedName name="customer_names">Data!$A$2:$A$587</definedName>
    <definedName name="FA22_BUS_115_CID" hidden="1">"FALL_2022"</definedName>
    <definedName name="phone">Data!$E$2:$E$587</definedName>
    <definedName name="SP22_BUS_115_CID" hidden="1">"SPRING_2022"</definedName>
    <definedName name="total_money_spent">Data!$M$2:$M$587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3" l="1"/>
  <c r="G16" i="3"/>
  <c r="E11" i="3"/>
  <c r="C11" i="3"/>
  <c r="C8" i="3"/>
  <c r="N3" i="2" a="1"/>
  <c r="N3" i="2" s="1"/>
  <c r="N4" i="2" a="1"/>
  <c r="N4" i="2"/>
  <c r="N5" i="2" a="1"/>
  <c r="N5" i="2" s="1"/>
  <c r="N6" i="2" a="1"/>
  <c r="N6" i="2" s="1"/>
  <c r="N7" i="2" a="1"/>
  <c r="N7" i="2" s="1"/>
  <c r="N8" i="2" a="1"/>
  <c r="N8" i="2" s="1"/>
  <c r="N9" i="2" a="1"/>
  <c r="N9" i="2" s="1"/>
  <c r="N10" i="2" a="1"/>
  <c r="N10" i="2"/>
  <c r="N11" i="2" a="1"/>
  <c r="N11" i="2" s="1"/>
  <c r="N12" i="2" a="1"/>
  <c r="N12" i="2"/>
  <c r="N13" i="2" a="1"/>
  <c r="N13" i="2" s="1"/>
  <c r="N14" i="2" a="1"/>
  <c r="N14" i="2"/>
  <c r="N15" i="2" a="1"/>
  <c r="N15" i="2" s="1"/>
  <c r="N16" i="2" a="1"/>
  <c r="N16" i="2" s="1"/>
  <c r="N17" i="2" a="1"/>
  <c r="N17" i="2" s="1"/>
  <c r="N18" i="2" a="1"/>
  <c r="N18" i="2"/>
  <c r="N19" i="2" a="1"/>
  <c r="N19" i="2" s="1"/>
  <c r="N20" i="2" a="1"/>
  <c r="N20" i="2"/>
  <c r="N21" i="2" a="1"/>
  <c r="N21" i="2" s="1"/>
  <c r="N22" i="2" a="1"/>
  <c r="N22" i="2"/>
  <c r="N23" i="2" a="1"/>
  <c r="N23" i="2" s="1"/>
  <c r="N24" i="2" a="1"/>
  <c r="N24" i="2" s="1"/>
  <c r="N25" i="2" a="1"/>
  <c r="N25" i="2" s="1"/>
  <c r="N26" i="2" a="1"/>
  <c r="N26" i="2"/>
  <c r="N27" i="2" a="1"/>
  <c r="N27" i="2" s="1"/>
  <c r="N28" i="2" a="1"/>
  <c r="N28" i="2"/>
  <c r="N29" i="2" a="1"/>
  <c r="N29" i="2" s="1"/>
  <c r="N30" i="2" a="1"/>
  <c r="N30" i="2"/>
  <c r="N31" i="2" a="1"/>
  <c r="N31" i="2" s="1"/>
  <c r="N32" i="2" a="1"/>
  <c r="N32" i="2" s="1"/>
  <c r="N33" i="2" a="1"/>
  <c r="N33" i="2" s="1"/>
  <c r="N34" i="2" a="1"/>
  <c r="N34" i="2"/>
  <c r="N35" i="2" a="1"/>
  <c r="N35" i="2" s="1"/>
  <c r="N36" i="2" a="1"/>
  <c r="N36" i="2"/>
  <c r="N37" i="2" a="1"/>
  <c r="N37" i="2" s="1"/>
  <c r="N38" i="2" a="1"/>
  <c r="N38" i="2"/>
  <c r="N39" i="2" a="1"/>
  <c r="N39" i="2" s="1"/>
  <c r="N40" i="2" a="1"/>
  <c r="N40" i="2" s="1"/>
  <c r="N41" i="2" a="1"/>
  <c r="N41" i="2" s="1"/>
  <c r="N42" i="2" a="1"/>
  <c r="N42" i="2"/>
  <c r="N43" i="2" a="1"/>
  <c r="N43" i="2" s="1"/>
  <c r="N44" i="2" a="1"/>
  <c r="N44" i="2"/>
  <c r="N45" i="2" a="1"/>
  <c r="N45" i="2" s="1"/>
  <c r="N46" i="2" a="1"/>
  <c r="N46" i="2"/>
  <c r="N47" i="2" a="1"/>
  <c r="N47" i="2" s="1"/>
  <c r="N48" i="2" a="1"/>
  <c r="N48" i="2" s="1"/>
  <c r="N49" i="2" a="1"/>
  <c r="N49" i="2" s="1"/>
  <c r="N50" i="2" a="1"/>
  <c r="N50" i="2"/>
  <c r="N51" i="2" a="1"/>
  <c r="N51" i="2" s="1"/>
  <c r="N52" i="2" a="1"/>
  <c r="N52" i="2"/>
  <c r="N53" i="2" a="1"/>
  <c r="N53" i="2" s="1"/>
  <c r="N54" i="2" a="1"/>
  <c r="N54" i="2"/>
  <c r="N55" i="2" a="1"/>
  <c r="N55" i="2" s="1"/>
  <c r="N56" i="2" a="1"/>
  <c r="N56" i="2" s="1"/>
  <c r="N57" i="2" a="1"/>
  <c r="N57" i="2" s="1"/>
  <c r="N58" i="2" a="1"/>
  <c r="N58" i="2"/>
  <c r="N59" i="2" a="1"/>
  <c r="N59" i="2" s="1"/>
  <c r="N60" i="2" a="1"/>
  <c r="N60" i="2" s="1"/>
  <c r="N61" i="2" a="1"/>
  <c r="N61" i="2" s="1"/>
  <c r="N62" i="2" a="1"/>
  <c r="N62" i="2"/>
  <c r="N63" i="2" a="1"/>
  <c r="N63" i="2" s="1"/>
  <c r="N64" i="2" a="1"/>
  <c r="N64" i="2" s="1"/>
  <c r="N65" i="2" a="1"/>
  <c r="N65" i="2" s="1"/>
  <c r="N66" i="2" a="1"/>
  <c r="N66" i="2"/>
  <c r="N67" i="2" a="1"/>
  <c r="N67" i="2" s="1"/>
  <c r="N68" i="2" a="1"/>
  <c r="N68" i="2"/>
  <c r="N69" i="2" a="1"/>
  <c r="N69" i="2" s="1"/>
  <c r="N70" i="2" a="1"/>
  <c r="N70" i="2"/>
  <c r="N71" i="2" a="1"/>
  <c r="N71" i="2" s="1"/>
  <c r="N72" i="2" a="1"/>
  <c r="N72" i="2" s="1"/>
  <c r="N73" i="2" a="1"/>
  <c r="N73" i="2" s="1"/>
  <c r="N74" i="2" a="1"/>
  <c r="N74" i="2"/>
  <c r="N75" i="2" a="1"/>
  <c r="N75" i="2" s="1"/>
  <c r="N76" i="2" a="1"/>
  <c r="N76" i="2"/>
  <c r="N77" i="2" a="1"/>
  <c r="N77" i="2" s="1"/>
  <c r="N78" i="2" a="1"/>
  <c r="N78" i="2"/>
  <c r="N79" i="2" a="1"/>
  <c r="N79" i="2" s="1"/>
  <c r="N80" i="2" a="1"/>
  <c r="N80" i="2" s="1"/>
  <c r="N81" i="2" a="1"/>
  <c r="N81" i="2" s="1"/>
  <c r="N82" i="2" a="1"/>
  <c r="N82" i="2"/>
  <c r="N83" i="2" a="1"/>
  <c r="N83" i="2" s="1"/>
  <c r="N84" i="2" a="1"/>
  <c r="N84" i="2"/>
  <c r="N85" i="2" a="1"/>
  <c r="N85" i="2" s="1"/>
  <c r="N86" i="2" a="1"/>
  <c r="N86" i="2"/>
  <c r="N87" i="2" a="1"/>
  <c r="N87" i="2" s="1"/>
  <c r="N88" i="2" a="1"/>
  <c r="N88" i="2" s="1"/>
  <c r="N89" i="2" a="1"/>
  <c r="N89" i="2" s="1"/>
  <c r="N90" i="2" a="1"/>
  <c r="N90" i="2"/>
  <c r="N91" i="2" a="1"/>
  <c r="N91" i="2" s="1"/>
  <c r="N92" i="2" a="1"/>
  <c r="N92" i="2"/>
  <c r="N93" i="2" a="1"/>
  <c r="N93" i="2" s="1"/>
  <c r="N94" i="2" a="1"/>
  <c r="N94" i="2"/>
  <c r="N95" i="2" a="1"/>
  <c r="N95" i="2" s="1"/>
  <c r="N96" i="2" a="1"/>
  <c r="N96" i="2" s="1"/>
  <c r="N97" i="2" a="1"/>
  <c r="N97" i="2" s="1"/>
  <c r="N98" i="2" a="1"/>
  <c r="N98" i="2"/>
  <c r="N99" i="2" a="1"/>
  <c r="N99" i="2" s="1"/>
  <c r="N100" i="2" a="1"/>
  <c r="N100" i="2"/>
  <c r="N101" i="2" a="1"/>
  <c r="N101" i="2" s="1"/>
  <c r="N102" i="2" a="1"/>
  <c r="N102" i="2"/>
  <c r="N103" i="2" a="1"/>
  <c r="N103" i="2" s="1"/>
  <c r="N104" i="2" a="1"/>
  <c r="N104" i="2" s="1"/>
  <c r="N105" i="2" a="1"/>
  <c r="N105" i="2" s="1"/>
  <c r="N106" i="2" a="1"/>
  <c r="N106" i="2"/>
  <c r="N107" i="2" a="1"/>
  <c r="N107" i="2" s="1"/>
  <c r="N108" i="2" a="1"/>
  <c r="N108" i="2"/>
  <c r="N109" i="2" a="1"/>
  <c r="N109" i="2" s="1"/>
  <c r="N110" i="2" a="1"/>
  <c r="N110" i="2"/>
  <c r="N111" i="2" a="1"/>
  <c r="N111" i="2" s="1"/>
  <c r="N112" i="2" a="1"/>
  <c r="N112" i="2" s="1"/>
  <c r="N113" i="2" a="1"/>
  <c r="N113" i="2" s="1"/>
  <c r="N114" i="2" a="1"/>
  <c r="N114" i="2"/>
  <c r="N115" i="2" a="1"/>
  <c r="N115" i="2" s="1"/>
  <c r="N116" i="2" a="1"/>
  <c r="N116" i="2"/>
  <c r="N117" i="2" a="1"/>
  <c r="N117" i="2" s="1"/>
  <c r="N118" i="2" a="1"/>
  <c r="N118" i="2"/>
  <c r="N119" i="2" a="1"/>
  <c r="N119" i="2" s="1"/>
  <c r="N120" i="2" a="1"/>
  <c r="N120" i="2" s="1"/>
  <c r="N121" i="2" a="1"/>
  <c r="N121" i="2" s="1"/>
  <c r="N122" i="2" a="1"/>
  <c r="N122" i="2" s="1"/>
  <c r="N123" i="2" a="1"/>
  <c r="N123" i="2" s="1"/>
  <c r="N124" i="2" a="1"/>
  <c r="N124" i="2" s="1"/>
  <c r="N125" i="2" a="1"/>
  <c r="N125" i="2" s="1"/>
  <c r="N126" i="2" a="1"/>
  <c r="N126" i="2"/>
  <c r="N127" i="2" a="1"/>
  <c r="N127" i="2" s="1"/>
  <c r="N128" i="2" a="1"/>
  <c r="N128" i="2" s="1"/>
  <c r="N129" i="2" a="1"/>
  <c r="N129" i="2" s="1"/>
  <c r="N130" i="2" a="1"/>
  <c r="N130" i="2" s="1"/>
  <c r="N131" i="2" a="1"/>
  <c r="N131" i="2" s="1"/>
  <c r="N132" i="2" a="1"/>
  <c r="N132" i="2" s="1"/>
  <c r="N133" i="2" a="1"/>
  <c r="N133" i="2" s="1"/>
  <c r="N134" i="2" a="1"/>
  <c r="N134" i="2"/>
  <c r="N135" i="2" a="1"/>
  <c r="N135" i="2" s="1"/>
  <c r="N136" i="2" a="1"/>
  <c r="N136" i="2" s="1"/>
  <c r="N137" i="2" a="1"/>
  <c r="N137" i="2" s="1"/>
  <c r="N138" i="2" a="1"/>
  <c r="N138" i="2" s="1"/>
  <c r="N139" i="2" a="1"/>
  <c r="N139" i="2" s="1"/>
  <c r="N140" i="2" a="1"/>
  <c r="N140" i="2"/>
  <c r="N141" i="2" a="1"/>
  <c r="N141" i="2" s="1"/>
  <c r="N142" i="2" a="1"/>
  <c r="N142" i="2"/>
  <c r="N143" i="2" a="1"/>
  <c r="N143" i="2" s="1"/>
  <c r="N144" i="2" a="1"/>
  <c r="N144" i="2" s="1"/>
  <c r="N145" i="2" a="1"/>
  <c r="N145" i="2" s="1"/>
  <c r="N146" i="2" a="1"/>
  <c r="N146" i="2"/>
  <c r="N147" i="2" a="1"/>
  <c r="N147" i="2" s="1"/>
  <c r="N148" i="2" a="1"/>
  <c r="N148" i="2" s="1"/>
  <c r="N149" i="2" a="1"/>
  <c r="N149" i="2" s="1"/>
  <c r="N150" i="2" a="1"/>
  <c r="N150" i="2"/>
  <c r="N151" i="2" a="1"/>
  <c r="N151" i="2" s="1"/>
  <c r="N152" i="2" a="1"/>
  <c r="N152" i="2" s="1"/>
  <c r="N153" i="2" a="1"/>
  <c r="N153" i="2" s="1"/>
  <c r="N154" i="2" a="1"/>
  <c r="N154" i="2" s="1"/>
  <c r="N155" i="2" a="1"/>
  <c r="N155" i="2" s="1"/>
  <c r="N156" i="2" a="1"/>
  <c r="N156" i="2" s="1"/>
  <c r="N157" i="2" a="1"/>
  <c r="N157" i="2" s="1"/>
  <c r="N158" i="2" a="1"/>
  <c r="N158" i="2"/>
  <c r="N159" i="2" a="1"/>
  <c r="N159" i="2" s="1"/>
  <c r="N160" i="2" a="1"/>
  <c r="N160" i="2" s="1"/>
  <c r="N161" i="2" a="1"/>
  <c r="N161" i="2" s="1"/>
  <c r="N162" i="2" a="1"/>
  <c r="N162" i="2" s="1"/>
  <c r="N163" i="2" a="1"/>
  <c r="N163" i="2" s="1"/>
  <c r="N164" i="2" a="1"/>
  <c r="N164" i="2" s="1"/>
  <c r="N165" i="2" a="1"/>
  <c r="N165" i="2" s="1"/>
  <c r="N166" i="2" a="1"/>
  <c r="N166" i="2"/>
  <c r="N167" i="2" a="1"/>
  <c r="N167" i="2" s="1"/>
  <c r="N168" i="2" a="1"/>
  <c r="N168" i="2" s="1"/>
  <c r="N169" i="2" a="1"/>
  <c r="N169" i="2" s="1"/>
  <c r="N170" i="2" a="1"/>
  <c r="N170" i="2" s="1"/>
  <c r="N171" i="2" a="1"/>
  <c r="N171" i="2" s="1"/>
  <c r="N172" i="2" a="1"/>
  <c r="N172" i="2"/>
  <c r="N173" i="2" a="1"/>
  <c r="N173" i="2" s="1"/>
  <c r="N174" i="2" a="1"/>
  <c r="N174" i="2" s="1"/>
  <c r="N175" i="2" a="1"/>
  <c r="N175" i="2" s="1"/>
  <c r="N176" i="2" a="1"/>
  <c r="N176" i="2" s="1"/>
  <c r="N177" i="2" a="1"/>
  <c r="N177" i="2" s="1"/>
  <c r="N178" i="2" a="1"/>
  <c r="N178" i="2" s="1"/>
  <c r="N179" i="2" a="1"/>
  <c r="N179" i="2" s="1"/>
  <c r="N180" i="2" a="1"/>
  <c r="N180" i="2"/>
  <c r="N181" i="2" a="1"/>
  <c r="N181" i="2" s="1"/>
  <c r="N182" i="2" a="1"/>
  <c r="N182" i="2" s="1"/>
  <c r="N183" i="2" a="1"/>
  <c r="N183" i="2" s="1"/>
  <c r="N184" i="2" a="1"/>
  <c r="N184" i="2" s="1"/>
  <c r="N185" i="2" a="1"/>
  <c r="N185" i="2" s="1"/>
  <c r="N186" i="2" a="1"/>
  <c r="N186" i="2" s="1"/>
  <c r="N187" i="2" a="1"/>
  <c r="N187" i="2" s="1"/>
  <c r="N188" i="2" a="1"/>
  <c r="N188" i="2"/>
  <c r="N189" i="2" a="1"/>
  <c r="N189" i="2" s="1"/>
  <c r="N190" i="2" a="1"/>
  <c r="N190" i="2" s="1"/>
  <c r="N191" i="2" a="1"/>
  <c r="N191" i="2" s="1"/>
  <c r="N192" i="2" a="1"/>
  <c r="N192" i="2" s="1"/>
  <c r="N193" i="2" a="1"/>
  <c r="N193" i="2" s="1"/>
  <c r="N194" i="2" a="1"/>
  <c r="N194" i="2" s="1"/>
  <c r="N195" i="2" a="1"/>
  <c r="N195" i="2" s="1"/>
  <c r="N196" i="2" a="1"/>
  <c r="N196" i="2"/>
  <c r="N197" i="2" a="1"/>
  <c r="N197" i="2" s="1"/>
  <c r="N198" i="2" a="1"/>
  <c r="N198" i="2" s="1"/>
  <c r="N199" i="2" a="1"/>
  <c r="N199" i="2" s="1"/>
  <c r="N200" i="2" a="1"/>
  <c r="N200" i="2" s="1"/>
  <c r="N201" i="2" a="1"/>
  <c r="N201" i="2" s="1"/>
  <c r="N202" i="2" a="1"/>
  <c r="N202" i="2" s="1"/>
  <c r="N203" i="2" a="1"/>
  <c r="N203" i="2" s="1"/>
  <c r="N204" i="2" a="1"/>
  <c r="N204" i="2"/>
  <c r="N205" i="2" a="1"/>
  <c r="N205" i="2" s="1"/>
  <c r="N206" i="2" a="1"/>
  <c r="N206" i="2" s="1"/>
  <c r="N207" i="2" a="1"/>
  <c r="N207" i="2" s="1"/>
  <c r="N208" i="2" a="1"/>
  <c r="N208" i="2" s="1"/>
  <c r="N209" i="2" a="1"/>
  <c r="N209" i="2" s="1"/>
  <c r="N210" i="2" a="1"/>
  <c r="N210" i="2" s="1"/>
  <c r="N211" i="2" a="1"/>
  <c r="N211" i="2" s="1"/>
  <c r="N212" i="2" a="1"/>
  <c r="N212" i="2"/>
  <c r="N213" i="2" a="1"/>
  <c r="N213" i="2" s="1"/>
  <c r="N214" i="2" a="1"/>
  <c r="N214" i="2" s="1"/>
  <c r="N215" i="2" a="1"/>
  <c r="N215" i="2" s="1"/>
  <c r="N216" i="2" a="1"/>
  <c r="N216" i="2" s="1"/>
  <c r="N217" i="2" a="1"/>
  <c r="N217" i="2" s="1"/>
  <c r="N218" i="2" a="1"/>
  <c r="N218" i="2" s="1"/>
  <c r="N219" i="2" a="1"/>
  <c r="N219" i="2" s="1"/>
  <c r="N220" i="2" a="1"/>
  <c r="N220" i="2"/>
  <c r="N221" i="2" a="1"/>
  <c r="N221" i="2" s="1"/>
  <c r="N222" i="2" a="1"/>
  <c r="N222" i="2" s="1"/>
  <c r="N223" i="2" a="1"/>
  <c r="N223" i="2" s="1"/>
  <c r="N224" i="2" a="1"/>
  <c r="N224" i="2" s="1"/>
  <c r="N225" i="2" a="1"/>
  <c r="N225" i="2" s="1"/>
  <c r="N226" i="2" a="1"/>
  <c r="N226" i="2" s="1"/>
  <c r="N227" i="2" a="1"/>
  <c r="N227" i="2" s="1"/>
  <c r="N228" i="2" a="1"/>
  <c r="N228" i="2"/>
  <c r="N229" i="2" a="1"/>
  <c r="N229" i="2" s="1"/>
  <c r="N230" i="2" a="1"/>
  <c r="N230" i="2" s="1"/>
  <c r="N231" i="2" a="1"/>
  <c r="N231" i="2" s="1"/>
  <c r="N232" i="2" a="1"/>
  <c r="N232" i="2" s="1"/>
  <c r="N233" i="2" a="1"/>
  <c r="N233" i="2" s="1"/>
  <c r="N234" i="2" a="1"/>
  <c r="N234" i="2" s="1"/>
  <c r="N235" i="2" a="1"/>
  <c r="N235" i="2" s="1"/>
  <c r="N236" i="2" a="1"/>
  <c r="N236" i="2"/>
  <c r="N237" i="2" a="1"/>
  <c r="N237" i="2" s="1"/>
  <c r="N238" i="2" a="1"/>
  <c r="N238" i="2" s="1"/>
  <c r="N239" i="2" a="1"/>
  <c r="N239" i="2" s="1"/>
  <c r="N240" i="2" a="1"/>
  <c r="N240" i="2" s="1"/>
  <c r="N241" i="2" a="1"/>
  <c r="N241" i="2" s="1"/>
  <c r="N242" i="2" a="1"/>
  <c r="N242" i="2" s="1"/>
  <c r="N243" i="2" a="1"/>
  <c r="N243" i="2" s="1"/>
  <c r="N244" i="2" a="1"/>
  <c r="N244" i="2"/>
  <c r="N245" i="2" a="1"/>
  <c r="N245" i="2" s="1"/>
  <c r="N246" i="2" a="1"/>
  <c r="N246" i="2" s="1"/>
  <c r="N247" i="2" a="1"/>
  <c r="N247" i="2" s="1"/>
  <c r="N248" i="2" a="1"/>
  <c r="N248" i="2" s="1"/>
  <c r="N249" i="2" a="1"/>
  <c r="N249" i="2" s="1"/>
  <c r="N250" i="2" a="1"/>
  <c r="N250" i="2" s="1"/>
  <c r="N251" i="2" a="1"/>
  <c r="N251" i="2" s="1"/>
  <c r="N252" i="2" a="1"/>
  <c r="N252" i="2"/>
  <c r="N253" i="2" a="1"/>
  <c r="N253" i="2" s="1"/>
  <c r="N254" i="2" a="1"/>
  <c r="N254" i="2" s="1"/>
  <c r="N255" i="2" a="1"/>
  <c r="N255" i="2" s="1"/>
  <c r="N256" i="2" a="1"/>
  <c r="N256" i="2" s="1"/>
  <c r="N257" i="2" a="1"/>
  <c r="N257" i="2" s="1"/>
  <c r="N258" i="2" a="1"/>
  <c r="N258" i="2" s="1"/>
  <c r="N259" i="2" a="1"/>
  <c r="N259" i="2" s="1"/>
  <c r="N260" i="2" a="1"/>
  <c r="N260" i="2"/>
  <c r="N261" i="2" a="1"/>
  <c r="N261" i="2" s="1"/>
  <c r="N262" i="2" a="1"/>
  <c r="N262" i="2" s="1"/>
  <c r="N263" i="2" a="1"/>
  <c r="N263" i="2" s="1"/>
  <c r="N264" i="2" a="1"/>
  <c r="N264" i="2" s="1"/>
  <c r="N265" i="2" a="1"/>
  <c r="N265" i="2" s="1"/>
  <c r="N266" i="2" a="1"/>
  <c r="N266" i="2" s="1"/>
  <c r="N267" i="2" a="1"/>
  <c r="N267" i="2" s="1"/>
  <c r="N268" i="2" a="1"/>
  <c r="N268" i="2"/>
  <c r="N269" i="2" a="1"/>
  <c r="N269" i="2" s="1"/>
  <c r="N270" i="2" a="1"/>
  <c r="N270" i="2" s="1"/>
  <c r="N271" i="2" a="1"/>
  <c r="N271" i="2" s="1"/>
  <c r="N272" i="2" a="1"/>
  <c r="N272" i="2" s="1"/>
  <c r="N273" i="2" a="1"/>
  <c r="N273" i="2" s="1"/>
  <c r="N274" i="2" a="1"/>
  <c r="N274" i="2" s="1"/>
  <c r="N275" i="2" a="1"/>
  <c r="N275" i="2" s="1"/>
  <c r="N276" i="2" a="1"/>
  <c r="N276" i="2"/>
  <c r="N277" i="2" a="1"/>
  <c r="N277" i="2" s="1"/>
  <c r="N278" i="2" a="1"/>
  <c r="N278" i="2" s="1"/>
  <c r="N279" i="2" a="1"/>
  <c r="N279" i="2" s="1"/>
  <c r="N280" i="2" a="1"/>
  <c r="N280" i="2" s="1"/>
  <c r="N281" i="2" a="1"/>
  <c r="N281" i="2" s="1"/>
  <c r="N282" i="2" a="1"/>
  <c r="N282" i="2" s="1"/>
  <c r="N283" i="2" a="1"/>
  <c r="N283" i="2" s="1"/>
  <c r="N284" i="2" a="1"/>
  <c r="N284" i="2"/>
  <c r="N285" i="2" a="1"/>
  <c r="N285" i="2" s="1"/>
  <c r="N286" i="2" a="1"/>
  <c r="N286" i="2" s="1"/>
  <c r="N287" i="2" a="1"/>
  <c r="N287" i="2" s="1"/>
  <c r="N288" i="2" a="1"/>
  <c r="N288" i="2" s="1"/>
  <c r="N289" i="2" a="1"/>
  <c r="N289" i="2" s="1"/>
  <c r="N290" i="2" a="1"/>
  <c r="N290" i="2" s="1"/>
  <c r="N291" i="2" a="1"/>
  <c r="N291" i="2" s="1"/>
  <c r="N292" i="2" a="1"/>
  <c r="N292" i="2"/>
  <c r="N293" i="2" a="1"/>
  <c r="N293" i="2" s="1"/>
  <c r="N294" i="2" a="1"/>
  <c r="N294" i="2" s="1"/>
  <c r="N295" i="2" a="1"/>
  <c r="N295" i="2" s="1"/>
  <c r="N296" i="2" a="1"/>
  <c r="N296" i="2" s="1"/>
  <c r="N297" i="2" a="1"/>
  <c r="N297" i="2" s="1"/>
  <c r="N298" i="2" a="1"/>
  <c r="N298" i="2" s="1"/>
  <c r="N299" i="2" a="1"/>
  <c r="N299" i="2" s="1"/>
  <c r="N300" i="2" a="1"/>
  <c r="N300" i="2"/>
  <c r="N301" i="2" a="1"/>
  <c r="N301" i="2" s="1"/>
  <c r="N302" i="2" a="1"/>
  <c r="N302" i="2"/>
  <c r="N303" i="2" a="1"/>
  <c r="N303" i="2" s="1"/>
  <c r="N304" i="2" a="1"/>
  <c r="N304" i="2"/>
  <c r="N305" i="2" a="1"/>
  <c r="N305" i="2" s="1"/>
  <c r="N306" i="2" a="1"/>
  <c r="N306" i="2"/>
  <c r="N307" i="2" a="1"/>
  <c r="N307" i="2" s="1"/>
  <c r="N308" i="2" a="1"/>
  <c r="N308" i="2"/>
  <c r="N309" i="2" a="1"/>
  <c r="N309" i="2" s="1"/>
  <c r="N310" i="2" a="1"/>
  <c r="N310" i="2"/>
  <c r="N311" i="2" a="1"/>
  <c r="N311" i="2" s="1"/>
  <c r="N312" i="2" a="1"/>
  <c r="N312" i="2"/>
  <c r="N313" i="2" a="1"/>
  <c r="N313" i="2" s="1"/>
  <c r="N314" i="2" a="1"/>
  <c r="N314" i="2"/>
  <c r="N315" i="2" a="1"/>
  <c r="N315" i="2" s="1"/>
  <c r="N316" i="2" a="1"/>
  <c r="N316" i="2"/>
  <c r="N317" i="2" a="1"/>
  <c r="N317" i="2" s="1"/>
  <c r="N318" i="2" a="1"/>
  <c r="N318" i="2"/>
  <c r="N319" i="2" a="1"/>
  <c r="N319" i="2" s="1"/>
  <c r="N320" i="2" a="1"/>
  <c r="N320" i="2"/>
  <c r="N321" i="2" a="1"/>
  <c r="N321" i="2" s="1"/>
  <c r="N322" i="2" a="1"/>
  <c r="N322" i="2"/>
  <c r="N323" i="2" a="1"/>
  <c r="N323" i="2" s="1"/>
  <c r="N324" i="2" a="1"/>
  <c r="N324" i="2"/>
  <c r="N325" i="2" a="1"/>
  <c r="N325" i="2" s="1"/>
  <c r="N326" i="2" a="1"/>
  <c r="N326" i="2"/>
  <c r="N327" i="2" a="1"/>
  <c r="N327" i="2" s="1"/>
  <c r="N328" i="2" a="1"/>
  <c r="N328" i="2"/>
  <c r="N329" i="2" a="1"/>
  <c r="N329" i="2" s="1"/>
  <c r="N330" i="2" a="1"/>
  <c r="N330" i="2"/>
  <c r="N331" i="2" a="1"/>
  <c r="N331" i="2" s="1"/>
  <c r="N332" i="2" a="1"/>
  <c r="N332" i="2"/>
  <c r="N333" i="2" a="1"/>
  <c r="N333" i="2" s="1"/>
  <c r="N334" i="2" a="1"/>
  <c r="N334" i="2"/>
  <c r="N335" i="2" a="1"/>
  <c r="N335" i="2" s="1"/>
  <c r="N336" i="2" a="1"/>
  <c r="N336" i="2"/>
  <c r="N337" i="2" a="1"/>
  <c r="N337" i="2" s="1"/>
  <c r="N338" i="2" a="1"/>
  <c r="N338" i="2"/>
  <c r="N339" i="2" a="1"/>
  <c r="N339" i="2" s="1"/>
  <c r="N340" i="2" a="1"/>
  <c r="N340" i="2"/>
  <c r="N341" i="2" a="1"/>
  <c r="N341" i="2" s="1"/>
  <c r="N342" i="2" a="1"/>
  <c r="N342" i="2"/>
  <c r="N343" i="2" a="1"/>
  <c r="N343" i="2" s="1"/>
  <c r="N344" i="2" a="1"/>
  <c r="N344" i="2"/>
  <c r="N345" i="2" a="1"/>
  <c r="N345" i="2" s="1"/>
  <c r="N346" i="2" a="1"/>
  <c r="N346" i="2"/>
  <c r="N347" i="2" a="1"/>
  <c r="N347" i="2" s="1"/>
  <c r="N348" i="2" a="1"/>
  <c r="N348" i="2"/>
  <c r="N349" i="2" a="1"/>
  <c r="N349" i="2" s="1"/>
  <c r="N350" i="2" a="1"/>
  <c r="N350" i="2"/>
  <c r="N351" i="2" a="1"/>
  <c r="N351" i="2" s="1"/>
  <c r="N352" i="2" a="1"/>
  <c r="N352" i="2"/>
  <c r="N353" i="2" a="1"/>
  <c r="N353" i="2" s="1"/>
  <c r="N354" i="2" a="1"/>
  <c r="N354" i="2"/>
  <c r="N355" i="2" a="1"/>
  <c r="N355" i="2" s="1"/>
  <c r="N356" i="2" a="1"/>
  <c r="N356" i="2"/>
  <c r="N357" i="2" a="1"/>
  <c r="N357" i="2" s="1"/>
  <c r="N358" i="2" a="1"/>
  <c r="N358" i="2"/>
  <c r="N359" i="2" a="1"/>
  <c r="N359" i="2" s="1"/>
  <c r="N360" i="2" a="1"/>
  <c r="N360" i="2"/>
  <c r="N361" i="2" a="1"/>
  <c r="N361" i="2" s="1"/>
  <c r="N362" i="2" a="1"/>
  <c r="N362" i="2"/>
  <c r="N363" i="2" a="1"/>
  <c r="N363" i="2" s="1"/>
  <c r="N364" i="2" a="1"/>
  <c r="N364" i="2"/>
  <c r="N365" i="2" a="1"/>
  <c r="N365" i="2" s="1"/>
  <c r="N366" i="2" a="1"/>
  <c r="N366" i="2"/>
  <c r="N367" i="2" a="1"/>
  <c r="N367" i="2" s="1"/>
  <c r="N368" i="2" a="1"/>
  <c r="N368" i="2"/>
  <c r="N369" i="2" a="1"/>
  <c r="N369" i="2" s="1"/>
  <c r="N370" i="2" a="1"/>
  <c r="N370" i="2"/>
  <c r="N371" i="2" a="1"/>
  <c r="N371" i="2" s="1"/>
  <c r="N372" i="2" a="1"/>
  <c r="N372" i="2"/>
  <c r="N373" i="2" a="1"/>
  <c r="N373" i="2" s="1"/>
  <c r="N374" i="2" a="1"/>
  <c r="N374" i="2"/>
  <c r="N375" i="2" a="1"/>
  <c r="N375" i="2" s="1"/>
  <c r="N376" i="2" a="1"/>
  <c r="N376" i="2"/>
  <c r="N377" i="2" a="1"/>
  <c r="N377" i="2" s="1"/>
  <c r="N378" i="2" a="1"/>
  <c r="N378" i="2"/>
  <c r="N379" i="2" a="1"/>
  <c r="N379" i="2" s="1"/>
  <c r="N380" i="2" a="1"/>
  <c r="N380" i="2"/>
  <c r="N381" i="2" a="1"/>
  <c r="N381" i="2" s="1"/>
  <c r="N382" i="2" a="1"/>
  <c r="N382" i="2"/>
  <c r="N383" i="2" a="1"/>
  <c r="N383" i="2" s="1"/>
  <c r="N384" i="2" a="1"/>
  <c r="N384" i="2"/>
  <c r="N385" i="2" a="1"/>
  <c r="N385" i="2" s="1"/>
  <c r="N386" i="2" a="1"/>
  <c r="N386" i="2"/>
  <c r="N387" i="2" a="1"/>
  <c r="N387" i="2" s="1"/>
  <c r="N388" i="2" a="1"/>
  <c r="N388" i="2"/>
  <c r="N389" i="2" a="1"/>
  <c r="N389" i="2" s="1"/>
  <c r="N390" i="2" a="1"/>
  <c r="N390" i="2"/>
  <c r="N391" i="2" a="1"/>
  <c r="N391" i="2" s="1"/>
  <c r="N392" i="2" a="1"/>
  <c r="N392" i="2"/>
  <c r="N393" i="2" a="1"/>
  <c r="N393" i="2" s="1"/>
  <c r="N394" i="2" a="1"/>
  <c r="N394" i="2"/>
  <c r="N395" i="2" a="1"/>
  <c r="N395" i="2" s="1"/>
  <c r="N396" i="2" a="1"/>
  <c r="N396" i="2"/>
  <c r="N397" i="2" a="1"/>
  <c r="N397" i="2" s="1"/>
  <c r="N398" i="2" a="1"/>
  <c r="N398" i="2"/>
  <c r="N399" i="2" a="1"/>
  <c r="N399" i="2" s="1"/>
  <c r="N400" i="2" a="1"/>
  <c r="N400" i="2"/>
  <c r="N401" i="2" a="1"/>
  <c r="N401" i="2" s="1"/>
  <c r="N402" i="2" a="1"/>
  <c r="N402" i="2"/>
  <c r="N403" i="2" a="1"/>
  <c r="N403" i="2" s="1"/>
  <c r="N404" i="2" a="1"/>
  <c r="N404" i="2"/>
  <c r="N405" i="2" a="1"/>
  <c r="N405" i="2" s="1"/>
  <c r="N406" i="2" a="1"/>
  <c r="N406" i="2"/>
  <c r="N407" i="2" a="1"/>
  <c r="N407" i="2" s="1"/>
  <c r="N408" i="2" a="1"/>
  <c r="N408" i="2"/>
  <c r="N409" i="2" a="1"/>
  <c r="N409" i="2" s="1"/>
  <c r="N410" i="2" a="1"/>
  <c r="N410" i="2"/>
  <c r="N411" i="2" a="1"/>
  <c r="N411" i="2" s="1"/>
  <c r="N412" i="2" a="1"/>
  <c r="N412" i="2"/>
  <c r="N413" i="2" a="1"/>
  <c r="N413" i="2" s="1"/>
  <c r="N414" i="2" a="1"/>
  <c r="N414" i="2"/>
  <c r="N415" i="2" a="1"/>
  <c r="N415" i="2" s="1"/>
  <c r="N416" i="2" a="1"/>
  <c r="N416" i="2"/>
  <c r="N417" i="2" a="1"/>
  <c r="N417" i="2" s="1"/>
  <c r="N418" i="2" a="1"/>
  <c r="N418" i="2"/>
  <c r="N419" i="2" a="1"/>
  <c r="N419" i="2" s="1"/>
  <c r="N420" i="2" a="1"/>
  <c r="N420" i="2"/>
  <c r="N421" i="2" a="1"/>
  <c r="N421" i="2" s="1"/>
  <c r="N422" i="2" a="1"/>
  <c r="N422" i="2"/>
  <c r="N423" i="2" a="1"/>
  <c r="N423" i="2" s="1"/>
  <c r="N424" i="2" a="1"/>
  <c r="N424" i="2"/>
  <c r="N425" i="2" a="1"/>
  <c r="N425" i="2" s="1"/>
  <c r="N426" i="2" a="1"/>
  <c r="N426" i="2"/>
  <c r="N427" i="2" a="1"/>
  <c r="N427" i="2" s="1"/>
  <c r="N428" i="2" a="1"/>
  <c r="N428" i="2"/>
  <c r="N429" i="2" a="1"/>
  <c r="N429" i="2" s="1"/>
  <c r="N430" i="2" a="1"/>
  <c r="N430" i="2"/>
  <c r="N431" i="2" a="1"/>
  <c r="N431" i="2" s="1"/>
  <c r="N432" i="2" a="1"/>
  <c r="N432" i="2"/>
  <c r="N433" i="2" a="1"/>
  <c r="N433" i="2" s="1"/>
  <c r="N434" i="2" a="1"/>
  <c r="N434" i="2"/>
  <c r="N435" i="2" a="1"/>
  <c r="N435" i="2" s="1"/>
  <c r="N436" i="2" a="1"/>
  <c r="N436" i="2"/>
  <c r="N437" i="2" a="1"/>
  <c r="N437" i="2" s="1"/>
  <c r="N438" i="2" a="1"/>
  <c r="N438" i="2"/>
  <c r="N439" i="2" a="1"/>
  <c r="N439" i="2" s="1"/>
  <c r="N440" i="2" a="1"/>
  <c r="N440" i="2"/>
  <c r="N441" i="2" a="1"/>
  <c r="N441" i="2" s="1"/>
  <c r="N442" i="2" a="1"/>
  <c r="N442" i="2"/>
  <c r="N443" i="2" a="1"/>
  <c r="N443" i="2" s="1"/>
  <c r="N444" i="2" a="1"/>
  <c r="N444" i="2"/>
  <c r="N445" i="2" a="1"/>
  <c r="N445" i="2" s="1"/>
  <c r="N446" i="2" a="1"/>
  <c r="N446" i="2"/>
  <c r="N447" i="2" a="1"/>
  <c r="N447" i="2" s="1"/>
  <c r="N448" i="2" a="1"/>
  <c r="N448" i="2"/>
  <c r="N449" i="2" a="1"/>
  <c r="N449" i="2" s="1"/>
  <c r="N450" i="2" a="1"/>
  <c r="N450" i="2"/>
  <c r="N451" i="2" a="1"/>
  <c r="N451" i="2" s="1"/>
  <c r="N452" i="2" a="1"/>
  <c r="N452" i="2"/>
  <c r="N453" i="2" a="1"/>
  <c r="N453" i="2" s="1"/>
  <c r="N454" i="2" a="1"/>
  <c r="N454" i="2"/>
  <c r="N455" i="2" a="1"/>
  <c r="N455" i="2" s="1"/>
  <c r="N456" i="2" a="1"/>
  <c r="N456" i="2"/>
  <c r="N457" i="2" a="1"/>
  <c r="N457" i="2" s="1"/>
  <c r="N458" i="2" a="1"/>
  <c r="N458" i="2"/>
  <c r="N459" i="2" a="1"/>
  <c r="N459" i="2" s="1"/>
  <c r="N460" i="2" a="1"/>
  <c r="N460" i="2"/>
  <c r="N461" i="2" a="1"/>
  <c r="N461" i="2" s="1"/>
  <c r="N462" i="2" a="1"/>
  <c r="N462" i="2"/>
  <c r="N463" i="2" a="1"/>
  <c r="N463" i="2" s="1"/>
  <c r="N464" i="2" a="1"/>
  <c r="N464" i="2"/>
  <c r="N465" i="2" a="1"/>
  <c r="N465" i="2" s="1"/>
  <c r="N466" i="2" a="1"/>
  <c r="N466" i="2"/>
  <c r="N467" i="2" a="1"/>
  <c r="N467" i="2" s="1"/>
  <c r="N468" i="2" a="1"/>
  <c r="N468" i="2"/>
  <c r="N469" i="2" a="1"/>
  <c r="N469" i="2" s="1"/>
  <c r="N470" i="2" a="1"/>
  <c r="N470" i="2"/>
  <c r="N471" i="2" a="1"/>
  <c r="N471" i="2" s="1"/>
  <c r="N472" i="2" a="1"/>
  <c r="N472" i="2"/>
  <c r="N473" i="2" a="1"/>
  <c r="N473" i="2" s="1"/>
  <c r="N474" i="2" a="1"/>
  <c r="N474" i="2"/>
  <c r="N475" i="2" a="1"/>
  <c r="N475" i="2" s="1"/>
  <c r="N476" i="2" a="1"/>
  <c r="N476" i="2"/>
  <c r="N477" i="2" a="1"/>
  <c r="N477" i="2" s="1"/>
  <c r="N478" i="2" a="1"/>
  <c r="N478" i="2"/>
  <c r="N479" i="2" a="1"/>
  <c r="N479" i="2" s="1"/>
  <c r="N480" i="2" a="1"/>
  <c r="N480" i="2"/>
  <c r="N481" i="2" a="1"/>
  <c r="N481" i="2" s="1"/>
  <c r="N482" i="2" a="1"/>
  <c r="N482" i="2"/>
  <c r="N483" i="2" a="1"/>
  <c r="N483" i="2" s="1"/>
  <c r="N484" i="2" a="1"/>
  <c r="N484" i="2"/>
  <c r="N485" i="2" a="1"/>
  <c r="N485" i="2" s="1"/>
  <c r="N486" i="2" a="1"/>
  <c r="N486" i="2"/>
  <c r="N487" i="2" a="1"/>
  <c r="N487" i="2" s="1"/>
  <c r="N488" i="2" a="1"/>
  <c r="N488" i="2"/>
  <c r="N489" i="2" a="1"/>
  <c r="N489" i="2" s="1"/>
  <c r="N490" i="2" a="1"/>
  <c r="N490" i="2"/>
  <c r="N491" i="2" a="1"/>
  <c r="N491" i="2" s="1"/>
  <c r="N492" i="2" a="1"/>
  <c r="N492" i="2"/>
  <c r="N493" i="2" a="1"/>
  <c r="N493" i="2" s="1"/>
  <c r="N494" i="2" a="1"/>
  <c r="N494" i="2"/>
  <c r="N495" i="2" a="1"/>
  <c r="N495" i="2" s="1"/>
  <c r="N496" i="2" a="1"/>
  <c r="N496" i="2"/>
  <c r="N497" i="2" a="1"/>
  <c r="N497" i="2" s="1"/>
  <c r="N498" i="2" a="1"/>
  <c r="N498" i="2"/>
  <c r="N499" i="2" a="1"/>
  <c r="N499" i="2" s="1"/>
  <c r="N500" i="2" a="1"/>
  <c r="N500" i="2"/>
  <c r="N501" i="2" a="1"/>
  <c r="N501" i="2" s="1"/>
  <c r="N502" i="2" a="1"/>
  <c r="N502" i="2"/>
  <c r="N503" i="2" a="1"/>
  <c r="N503" i="2" s="1"/>
  <c r="N504" i="2" a="1"/>
  <c r="N504" i="2"/>
  <c r="N505" i="2" a="1"/>
  <c r="N505" i="2" s="1"/>
  <c r="N506" i="2" a="1"/>
  <c r="N506" i="2"/>
  <c r="N507" i="2" a="1"/>
  <c r="N507" i="2" s="1"/>
  <c r="N508" i="2" a="1"/>
  <c r="N508" i="2"/>
  <c r="N509" i="2" a="1"/>
  <c r="N509" i="2" s="1"/>
  <c r="N510" i="2" a="1"/>
  <c r="N510" i="2"/>
  <c r="N511" i="2" a="1"/>
  <c r="N511" i="2" s="1"/>
  <c r="N512" i="2" a="1"/>
  <c r="N512" i="2"/>
  <c r="N513" i="2" a="1"/>
  <c r="N513" i="2" s="1"/>
  <c r="N514" i="2" a="1"/>
  <c r="N514" i="2"/>
  <c r="N515" i="2" a="1"/>
  <c r="N515" i="2" s="1"/>
  <c r="N516" i="2" a="1"/>
  <c r="N516" i="2"/>
  <c r="N517" i="2" a="1"/>
  <c r="N517" i="2" s="1"/>
  <c r="N518" i="2" a="1"/>
  <c r="N518" i="2"/>
  <c r="N519" i="2" a="1"/>
  <c r="N519" i="2" s="1"/>
  <c r="N520" i="2" a="1"/>
  <c r="N520" i="2"/>
  <c r="N521" i="2" a="1"/>
  <c r="N521" i="2" s="1"/>
  <c r="N522" i="2" a="1"/>
  <c r="N522" i="2"/>
  <c r="N523" i="2" a="1"/>
  <c r="N523" i="2" s="1"/>
  <c r="N524" i="2" a="1"/>
  <c r="N524" i="2"/>
  <c r="N525" i="2" a="1"/>
  <c r="N525" i="2" s="1"/>
  <c r="N526" i="2" a="1"/>
  <c r="N526" i="2"/>
  <c r="N527" i="2" a="1"/>
  <c r="N527" i="2" s="1"/>
  <c r="N528" i="2" a="1"/>
  <c r="N528" i="2"/>
  <c r="N529" i="2" a="1"/>
  <c r="N529" i="2" s="1"/>
  <c r="N530" i="2" a="1"/>
  <c r="N530" i="2"/>
  <c r="N531" i="2" a="1"/>
  <c r="N531" i="2" s="1"/>
  <c r="N532" i="2" a="1"/>
  <c r="N532" i="2"/>
  <c r="N533" i="2" a="1"/>
  <c r="N533" i="2" s="1"/>
  <c r="N534" i="2" a="1"/>
  <c r="N534" i="2"/>
  <c r="N535" i="2" a="1"/>
  <c r="N535" i="2" s="1"/>
  <c r="N536" i="2" a="1"/>
  <c r="N536" i="2"/>
  <c r="N537" i="2" a="1"/>
  <c r="N537" i="2" s="1"/>
  <c r="N538" i="2" a="1"/>
  <c r="N538" i="2"/>
  <c r="N539" i="2" a="1"/>
  <c r="N539" i="2" s="1"/>
  <c r="N540" i="2" a="1"/>
  <c r="N540" i="2"/>
  <c r="N541" i="2" a="1"/>
  <c r="N541" i="2" s="1"/>
  <c r="N542" i="2" a="1"/>
  <c r="N542" i="2"/>
  <c r="N543" i="2" a="1"/>
  <c r="N543" i="2" s="1"/>
  <c r="N544" i="2" a="1"/>
  <c r="N544" i="2"/>
  <c r="N545" i="2" a="1"/>
  <c r="N545" i="2" s="1"/>
  <c r="N546" i="2" a="1"/>
  <c r="N546" i="2"/>
  <c r="N547" i="2" a="1"/>
  <c r="N547" i="2" s="1"/>
  <c r="N548" i="2" a="1"/>
  <c r="N548" i="2"/>
  <c r="N549" i="2" a="1"/>
  <c r="N549" i="2" s="1"/>
  <c r="N550" i="2" a="1"/>
  <c r="N550" i="2"/>
  <c r="N551" i="2" a="1"/>
  <c r="N551" i="2" s="1"/>
  <c r="N552" i="2" a="1"/>
  <c r="N552" i="2"/>
  <c r="N553" i="2" a="1"/>
  <c r="N553" i="2" s="1"/>
  <c r="N554" i="2" a="1"/>
  <c r="N554" i="2"/>
  <c r="N555" i="2" a="1"/>
  <c r="N555" i="2" s="1"/>
  <c r="N556" i="2" a="1"/>
  <c r="N556" i="2"/>
  <c r="N557" i="2" a="1"/>
  <c r="N557" i="2" s="1"/>
  <c r="N558" i="2" a="1"/>
  <c r="N558" i="2"/>
  <c r="N559" i="2" a="1"/>
  <c r="N559" i="2" s="1"/>
  <c r="N560" i="2" a="1"/>
  <c r="N560" i="2"/>
  <c r="N561" i="2" a="1"/>
  <c r="N561" i="2" s="1"/>
  <c r="N562" i="2" a="1"/>
  <c r="N562" i="2"/>
  <c r="N563" i="2" a="1"/>
  <c r="N563" i="2" s="1"/>
  <c r="N564" i="2" a="1"/>
  <c r="N564" i="2"/>
  <c r="N565" i="2" a="1"/>
  <c r="N565" i="2" s="1"/>
  <c r="N566" i="2" a="1"/>
  <c r="N566" i="2"/>
  <c r="N567" i="2" a="1"/>
  <c r="N567" i="2" s="1"/>
  <c r="N568" i="2" a="1"/>
  <c r="N568" i="2"/>
  <c r="N569" i="2" a="1"/>
  <c r="N569" i="2" s="1"/>
  <c r="N570" i="2" a="1"/>
  <c r="N570" i="2"/>
  <c r="N571" i="2" a="1"/>
  <c r="N571" i="2" s="1"/>
  <c r="N572" i="2" a="1"/>
  <c r="N572" i="2"/>
  <c r="N573" i="2" a="1"/>
  <c r="N573" i="2" s="1"/>
  <c r="N574" i="2" a="1"/>
  <c r="N574" i="2"/>
  <c r="N575" i="2" a="1"/>
  <c r="N575" i="2" s="1"/>
  <c r="N576" i="2" a="1"/>
  <c r="N576" i="2"/>
  <c r="N577" i="2" a="1"/>
  <c r="N577" i="2" s="1"/>
  <c r="N578" i="2" a="1"/>
  <c r="N578" i="2"/>
  <c r="N579" i="2" a="1"/>
  <c r="N579" i="2" s="1"/>
  <c r="N580" i="2" a="1"/>
  <c r="N580" i="2"/>
  <c r="N581" i="2" a="1"/>
  <c r="N581" i="2" s="1"/>
  <c r="N582" i="2" a="1"/>
  <c r="N582" i="2"/>
  <c r="N583" i="2" a="1"/>
  <c r="N583" i="2" s="1"/>
  <c r="N584" i="2" a="1"/>
  <c r="N584" i="2"/>
  <c r="N585" i="2" a="1"/>
  <c r="N585" i="2" s="1"/>
  <c r="N586" i="2" a="1"/>
  <c r="N586" i="2"/>
  <c r="N587" i="2" a="1"/>
  <c r="N587" i="2" s="1"/>
  <c r="N2" i="2" a="1"/>
  <c r="N2" i="2" s="1"/>
  <c r="J331" i="2"/>
  <c r="I331" i="2"/>
  <c r="J27" i="2"/>
  <c r="I27" i="2"/>
  <c r="J133" i="2"/>
  <c r="I133" i="2"/>
  <c r="J312" i="2"/>
  <c r="I312" i="2"/>
  <c r="J22" i="2"/>
  <c r="I22" i="2"/>
  <c r="J299" i="2"/>
  <c r="I299" i="2"/>
  <c r="J542" i="2"/>
  <c r="I542" i="2"/>
  <c r="J360" i="2"/>
  <c r="I360" i="2"/>
  <c r="J233" i="2"/>
  <c r="I233" i="2"/>
  <c r="J366" i="2"/>
  <c r="I366" i="2"/>
  <c r="J178" i="2"/>
  <c r="I178" i="2"/>
  <c r="J292" i="2"/>
  <c r="I292" i="2"/>
  <c r="J548" i="2"/>
  <c r="I548" i="2"/>
  <c r="J184" i="2"/>
  <c r="I184" i="2"/>
  <c r="J271" i="2"/>
  <c r="I271" i="2"/>
  <c r="J380" i="2"/>
  <c r="I380" i="2"/>
  <c r="J362" i="2"/>
  <c r="I362" i="2"/>
  <c r="J171" i="2"/>
  <c r="I171" i="2"/>
  <c r="J419" i="2"/>
  <c r="I419" i="2"/>
  <c r="J415" i="2"/>
  <c r="I415" i="2"/>
  <c r="J431" i="2"/>
  <c r="I431" i="2"/>
  <c r="J407" i="2"/>
  <c r="I407" i="2"/>
  <c r="J305" i="2"/>
  <c r="I305" i="2"/>
  <c r="J327" i="2"/>
  <c r="I327" i="2"/>
  <c r="J252" i="2"/>
  <c r="I252" i="2"/>
  <c r="J504" i="2"/>
  <c r="I504" i="2"/>
  <c r="J534" i="2"/>
  <c r="I534" i="2"/>
  <c r="J308" i="2"/>
  <c r="I308" i="2"/>
  <c r="J387" i="2"/>
  <c r="I387" i="2"/>
  <c r="J493" i="2"/>
  <c r="I493" i="2"/>
  <c r="J16" i="2"/>
  <c r="I16" i="2"/>
  <c r="J348" i="2"/>
  <c r="I348" i="2"/>
  <c r="J295" i="2"/>
  <c r="I295" i="2"/>
  <c r="J35" i="2"/>
  <c r="I35" i="2"/>
  <c r="J527" i="2"/>
  <c r="I527" i="2"/>
  <c r="J249" i="2"/>
  <c r="I249" i="2"/>
  <c r="J496" i="2"/>
  <c r="I496" i="2"/>
  <c r="J12" i="2"/>
  <c r="I12" i="2"/>
  <c r="J194" i="2"/>
  <c r="I194" i="2"/>
  <c r="J192" i="2"/>
  <c r="I192" i="2"/>
  <c r="J452" i="2"/>
  <c r="I452" i="2"/>
  <c r="J402" i="2"/>
  <c r="I402" i="2"/>
  <c r="J14" i="2"/>
  <c r="I14" i="2"/>
  <c r="J19" i="2"/>
  <c r="I19" i="2"/>
  <c r="J126" i="2"/>
  <c r="I126" i="2"/>
  <c r="J505" i="2"/>
  <c r="I505" i="2"/>
  <c r="J248" i="2"/>
  <c r="I248" i="2"/>
  <c r="J519" i="2"/>
  <c r="I519" i="2"/>
  <c r="J441" i="2"/>
  <c r="I441" i="2"/>
  <c r="J585" i="2"/>
  <c r="I585" i="2"/>
  <c r="J412" i="2"/>
  <c r="I412" i="2"/>
  <c r="J391" i="2"/>
  <c r="I391" i="2"/>
  <c r="J105" i="2"/>
  <c r="I105" i="2"/>
  <c r="J210" i="2"/>
  <c r="I210" i="2"/>
  <c r="J127" i="2"/>
  <c r="I127" i="2"/>
  <c r="J346" i="2"/>
  <c r="I346" i="2"/>
  <c r="J533" i="2"/>
  <c r="I533" i="2"/>
  <c r="J15" i="2"/>
  <c r="I15" i="2"/>
  <c r="J307" i="2"/>
  <c r="I307" i="2"/>
  <c r="J354" i="2"/>
  <c r="I354" i="2"/>
  <c r="J4" i="2"/>
  <c r="I4" i="2"/>
  <c r="J44" i="2"/>
  <c r="I44" i="2"/>
  <c r="J536" i="2"/>
  <c r="I536" i="2"/>
  <c r="J262" i="2"/>
  <c r="I262" i="2"/>
  <c r="J334" i="2"/>
  <c r="I334" i="2"/>
  <c r="J281" i="2"/>
  <c r="I281" i="2"/>
  <c r="J140" i="2"/>
  <c r="I140" i="2"/>
  <c r="J318" i="2"/>
  <c r="I318" i="2"/>
  <c r="J423" i="2"/>
  <c r="I423" i="2"/>
  <c r="J155" i="2"/>
  <c r="I155" i="2"/>
  <c r="J166" i="2"/>
  <c r="I166" i="2"/>
  <c r="J91" i="2"/>
  <c r="I91" i="2"/>
  <c r="J135" i="2"/>
  <c r="I135" i="2"/>
  <c r="J246" i="2"/>
  <c r="I246" i="2"/>
  <c r="J367" i="2"/>
  <c r="I367" i="2"/>
  <c r="J63" i="2"/>
  <c r="I63" i="2"/>
  <c r="J300" i="2"/>
  <c r="I300" i="2"/>
  <c r="J361" i="2"/>
  <c r="I361" i="2"/>
  <c r="J31" i="2"/>
  <c r="I31" i="2"/>
  <c r="J232" i="2"/>
  <c r="I232" i="2"/>
  <c r="J551" i="2"/>
  <c r="I551" i="2"/>
  <c r="J48" i="2"/>
  <c r="I48" i="2"/>
  <c r="J172" i="2"/>
  <c r="I172" i="2"/>
  <c r="J309" i="2"/>
  <c r="I309" i="2"/>
  <c r="J3" i="2"/>
  <c r="I3" i="2"/>
  <c r="J26" i="2"/>
  <c r="I26" i="2"/>
  <c r="J451" i="2"/>
  <c r="I451" i="2"/>
  <c r="J181" i="2"/>
  <c r="I181" i="2"/>
  <c r="J227" i="2"/>
  <c r="I227" i="2"/>
  <c r="J577" i="2"/>
  <c r="I577" i="2"/>
  <c r="J517" i="2"/>
  <c r="I517" i="2"/>
  <c r="J575" i="2"/>
  <c r="I575" i="2"/>
  <c r="J436" i="2"/>
  <c r="I436" i="2"/>
  <c r="J449" i="2"/>
  <c r="I449" i="2"/>
  <c r="J205" i="2"/>
  <c r="I205" i="2"/>
  <c r="J159" i="2"/>
  <c r="I159" i="2"/>
  <c r="J345" i="2"/>
  <c r="I345" i="2"/>
  <c r="J464" i="2"/>
  <c r="I464" i="2"/>
  <c r="J485" i="2"/>
  <c r="I485" i="2"/>
  <c r="J33" i="2"/>
  <c r="I33" i="2"/>
  <c r="J226" i="2"/>
  <c r="I226" i="2"/>
  <c r="J478" i="2"/>
  <c r="I478" i="2"/>
  <c r="J392" i="2"/>
  <c r="I392" i="2"/>
  <c r="J96" i="2"/>
  <c r="I96" i="2"/>
  <c r="J24" i="2"/>
  <c r="I24" i="2"/>
  <c r="J330" i="2"/>
  <c r="I330" i="2"/>
  <c r="J157" i="2"/>
  <c r="I157" i="2"/>
  <c r="J156" i="2"/>
  <c r="I156" i="2"/>
  <c r="J424" i="2"/>
  <c r="I424" i="2"/>
  <c r="J23" i="2"/>
  <c r="I23" i="2"/>
  <c r="J5" i="2"/>
  <c r="I5" i="2"/>
  <c r="J365" i="2"/>
  <c r="I365" i="2"/>
  <c r="J179" i="2"/>
  <c r="I179" i="2"/>
  <c r="J512" i="2"/>
  <c r="I512" i="2"/>
  <c r="J563" i="2"/>
  <c r="I563" i="2"/>
  <c r="J401" i="2"/>
  <c r="I401" i="2"/>
  <c r="J390" i="2"/>
  <c r="I390" i="2"/>
  <c r="J92" i="2"/>
  <c r="I92" i="2"/>
  <c r="J267" i="2"/>
  <c r="I267" i="2"/>
  <c r="J540" i="2"/>
  <c r="I540" i="2"/>
  <c r="J329" i="2"/>
  <c r="I329" i="2"/>
  <c r="J160" i="2"/>
  <c r="I160" i="2"/>
  <c r="J420" i="2"/>
  <c r="I420" i="2"/>
  <c r="J465" i="2"/>
  <c r="I465" i="2"/>
  <c r="J335" i="2"/>
  <c r="I335" i="2"/>
  <c r="J274" i="2"/>
  <c r="I274" i="2"/>
  <c r="J85" i="2"/>
  <c r="I85" i="2"/>
  <c r="J572" i="2"/>
  <c r="I572" i="2"/>
  <c r="J320" i="2"/>
  <c r="I320" i="2"/>
  <c r="J546" i="2"/>
  <c r="I546" i="2"/>
  <c r="J212" i="2"/>
  <c r="I212" i="2"/>
  <c r="J132" i="2"/>
  <c r="I132" i="2"/>
  <c r="J565" i="2"/>
  <c r="I565" i="2"/>
  <c r="J515" i="2"/>
  <c r="I515" i="2"/>
  <c r="J503" i="2"/>
  <c r="I503" i="2"/>
  <c r="J550" i="2"/>
  <c r="I550" i="2"/>
  <c r="J511" i="2"/>
  <c r="I511" i="2"/>
  <c r="J561" i="2"/>
  <c r="I561" i="2"/>
  <c r="J150" i="2"/>
  <c r="I150" i="2"/>
  <c r="J408" i="2"/>
  <c r="I408" i="2"/>
  <c r="J200" i="2"/>
  <c r="I200" i="2"/>
  <c r="J491" i="2"/>
  <c r="I491" i="2"/>
  <c r="J38" i="2"/>
  <c r="I38" i="2"/>
  <c r="J7" i="2"/>
  <c r="I7" i="2"/>
  <c r="J163" i="2"/>
  <c r="I163" i="2"/>
  <c r="J370" i="2"/>
  <c r="I370" i="2"/>
  <c r="J68" i="2"/>
  <c r="I68" i="2"/>
  <c r="J326" i="2"/>
  <c r="I326" i="2"/>
  <c r="J291" i="2"/>
  <c r="I291" i="2"/>
  <c r="J313" i="2"/>
  <c r="I313" i="2"/>
  <c r="J296" i="2"/>
  <c r="I296" i="2"/>
  <c r="J25" i="2"/>
  <c r="I25" i="2"/>
  <c r="J434" i="2"/>
  <c r="I434" i="2"/>
  <c r="J477" i="2"/>
  <c r="I477" i="2"/>
  <c r="J285" i="2"/>
  <c r="I285" i="2"/>
  <c r="J293" i="2"/>
  <c r="I293" i="2"/>
  <c r="J209" i="2"/>
  <c r="I209" i="2"/>
  <c r="J59" i="2"/>
  <c r="I59" i="2"/>
  <c r="J405" i="2"/>
  <c r="I405" i="2"/>
  <c r="J501" i="2"/>
  <c r="I501" i="2"/>
  <c r="J28" i="2"/>
  <c r="I28" i="2"/>
  <c r="J319" i="2"/>
  <c r="I319" i="2"/>
  <c r="J213" i="2"/>
  <c r="I213" i="2"/>
  <c r="J311" i="2"/>
  <c r="I311" i="2"/>
  <c r="J323" i="2"/>
  <c r="I323" i="2"/>
  <c r="J74" i="2"/>
  <c r="I74" i="2"/>
  <c r="J230" i="2"/>
  <c r="I230" i="2"/>
  <c r="J399" i="2"/>
  <c r="I399" i="2"/>
  <c r="J114" i="2"/>
  <c r="I114" i="2"/>
  <c r="J182" i="2"/>
  <c r="I182" i="2"/>
  <c r="J368" i="2"/>
  <c r="I368" i="2"/>
  <c r="J417" i="2"/>
  <c r="I417" i="2"/>
  <c r="J234" i="2"/>
  <c r="I234" i="2"/>
  <c r="J77" i="2"/>
  <c r="I77" i="2"/>
  <c r="J397" i="2"/>
  <c r="I397" i="2"/>
  <c r="J66" i="2"/>
  <c r="I66" i="2"/>
  <c r="J567" i="2"/>
  <c r="I567" i="2"/>
  <c r="J80" i="2"/>
  <c r="I80" i="2"/>
  <c r="J161" i="2"/>
  <c r="I161" i="2"/>
  <c r="J428" i="2"/>
  <c r="I428" i="2"/>
  <c r="J509" i="2"/>
  <c r="I509" i="2"/>
  <c r="J254" i="2"/>
  <c r="I254" i="2"/>
  <c r="J488" i="2"/>
  <c r="I488" i="2"/>
  <c r="J482" i="2"/>
  <c r="I482" i="2"/>
  <c r="J461" i="2"/>
  <c r="I461" i="2"/>
  <c r="J223" i="2"/>
  <c r="I223" i="2"/>
  <c r="J467" i="2"/>
  <c r="I467" i="2"/>
  <c r="J215" i="2"/>
  <c r="I215" i="2"/>
  <c r="J541" i="2"/>
  <c r="I541" i="2"/>
  <c r="J122" i="2"/>
  <c r="I122" i="2"/>
  <c r="J359" i="2"/>
  <c r="I359" i="2"/>
  <c r="J384" i="2"/>
  <c r="I384" i="2"/>
  <c r="J39" i="2"/>
  <c r="I39" i="2"/>
  <c r="J36" i="2"/>
  <c r="I36" i="2"/>
  <c r="J438" i="2"/>
  <c r="I438" i="2"/>
  <c r="J439" i="2"/>
  <c r="I439" i="2"/>
  <c r="J206" i="2"/>
  <c r="I206" i="2"/>
  <c r="J422" i="2"/>
  <c r="I422" i="2"/>
  <c r="J393" i="2"/>
  <c r="I393" i="2"/>
  <c r="J110" i="2"/>
  <c r="I110" i="2"/>
  <c r="J189" i="2"/>
  <c r="I189" i="2"/>
  <c r="J97" i="2"/>
  <c r="I97" i="2"/>
  <c r="J453" i="2"/>
  <c r="I453" i="2"/>
  <c r="J193" i="2"/>
  <c r="I193" i="2"/>
  <c r="J413" i="2"/>
  <c r="I413" i="2"/>
  <c r="J152" i="2"/>
  <c r="I152" i="2"/>
  <c r="J574" i="2"/>
  <c r="I574" i="2"/>
  <c r="J458" i="2"/>
  <c r="I458" i="2"/>
  <c r="J6" i="2"/>
  <c r="I6" i="2"/>
  <c r="J518" i="2"/>
  <c r="I518" i="2"/>
  <c r="J251" i="2"/>
  <c r="I251" i="2"/>
  <c r="J435" i="2"/>
  <c r="I435" i="2"/>
  <c r="J532" i="2"/>
  <c r="I532" i="2"/>
  <c r="J261" i="2"/>
  <c r="I261" i="2"/>
  <c r="J555" i="2"/>
  <c r="I555" i="2"/>
  <c r="J310" i="2"/>
  <c r="I310" i="2"/>
  <c r="J521" i="2"/>
  <c r="I521" i="2"/>
  <c r="J67" i="2"/>
  <c r="I67" i="2"/>
  <c r="J258" i="2"/>
  <c r="I258" i="2"/>
  <c r="J180" i="2"/>
  <c r="I180" i="2"/>
  <c r="J60" i="2"/>
  <c r="I60" i="2"/>
  <c r="J256" i="2"/>
  <c r="I256" i="2"/>
  <c r="J506" i="2"/>
  <c r="I506" i="2"/>
  <c r="J347" i="2"/>
  <c r="I347" i="2"/>
  <c r="J358" i="2"/>
  <c r="I358" i="2"/>
  <c r="J343" i="2"/>
  <c r="I343" i="2"/>
  <c r="J290" i="2"/>
  <c r="I290" i="2"/>
  <c r="J131" i="2"/>
  <c r="I131" i="2"/>
  <c r="J280" i="2"/>
  <c r="I280" i="2"/>
  <c r="J340" i="2"/>
  <c r="I340" i="2"/>
  <c r="J294" i="2"/>
  <c r="I294" i="2"/>
  <c r="J573" i="2"/>
  <c r="I573" i="2"/>
  <c r="J65" i="2"/>
  <c r="I65" i="2"/>
  <c r="J557" i="2"/>
  <c r="I557" i="2"/>
  <c r="J56" i="2"/>
  <c r="I56" i="2"/>
  <c r="J11" i="2"/>
  <c r="I11" i="2"/>
  <c r="J495" i="2"/>
  <c r="I495" i="2"/>
  <c r="J218" i="2"/>
  <c r="I218" i="2"/>
  <c r="J50" i="2"/>
  <c r="I50" i="2"/>
  <c r="J349" i="2"/>
  <c r="I349" i="2"/>
  <c r="J46" i="2"/>
  <c r="I46" i="2"/>
  <c r="J342" i="2"/>
  <c r="I342" i="2"/>
  <c r="J93" i="2"/>
  <c r="I93" i="2"/>
  <c r="J244" i="2"/>
  <c r="I244" i="2"/>
  <c r="J148" i="2"/>
  <c r="I148" i="2"/>
  <c r="J421" i="2"/>
  <c r="I421" i="2"/>
  <c r="J583" i="2"/>
  <c r="I583" i="2"/>
  <c r="J10" i="2"/>
  <c r="G8" i="3" s="1"/>
  <c r="I10" i="2"/>
  <c r="E8" i="3" s="1"/>
  <c r="J528" i="2"/>
  <c r="I528" i="2"/>
  <c r="J30" i="2"/>
  <c r="I30" i="2"/>
  <c r="J269" i="2"/>
  <c r="I269" i="2"/>
  <c r="J55" i="2"/>
  <c r="I55" i="2"/>
  <c r="J168" i="2"/>
  <c r="I168" i="2"/>
  <c r="J183" i="2"/>
  <c r="I183" i="2"/>
  <c r="J395" i="2"/>
  <c r="I395" i="2"/>
  <c r="J553" i="2"/>
  <c r="I553" i="2"/>
  <c r="J581" i="2"/>
  <c r="I581" i="2"/>
  <c r="J325" i="2"/>
  <c r="I325" i="2"/>
  <c r="J89" i="2"/>
  <c r="I89" i="2"/>
  <c r="J404" i="2"/>
  <c r="I404" i="2"/>
  <c r="J145" i="2"/>
  <c r="I145" i="2"/>
  <c r="J513" i="2"/>
  <c r="I513" i="2"/>
  <c r="J538" i="2"/>
  <c r="I538" i="2"/>
  <c r="J266" i="2"/>
  <c r="I266" i="2"/>
  <c r="J270" i="2"/>
  <c r="I270" i="2"/>
  <c r="J119" i="2"/>
  <c r="I119" i="2"/>
  <c r="J236" i="2"/>
  <c r="I236" i="2"/>
  <c r="J447" i="2"/>
  <c r="I447" i="2"/>
  <c r="J87" i="2"/>
  <c r="I87" i="2"/>
  <c r="J73" i="2"/>
  <c r="I73" i="2"/>
  <c r="J564" i="2"/>
  <c r="I564" i="2"/>
  <c r="J197" i="2"/>
  <c r="I197" i="2"/>
  <c r="J456" i="2"/>
  <c r="I456" i="2"/>
  <c r="J211" i="2"/>
  <c r="I211" i="2"/>
  <c r="J61" i="2"/>
  <c r="I61" i="2"/>
  <c r="J486" i="2"/>
  <c r="I486" i="2"/>
  <c r="J457" i="2"/>
  <c r="I457" i="2"/>
  <c r="J440" i="2"/>
  <c r="I440" i="2"/>
  <c r="J344" i="2"/>
  <c r="I344" i="2"/>
  <c r="J582" i="2"/>
  <c r="I582" i="2"/>
  <c r="J278" i="2"/>
  <c r="I278" i="2"/>
  <c r="J336" i="2"/>
  <c r="I336" i="2"/>
  <c r="J378" i="2"/>
  <c r="I378" i="2"/>
  <c r="J134" i="2"/>
  <c r="I134" i="2"/>
  <c r="J245" i="2"/>
  <c r="I245" i="2"/>
  <c r="J275" i="2"/>
  <c r="I275" i="2"/>
  <c r="J562" i="2"/>
  <c r="I562" i="2"/>
  <c r="J568" i="2"/>
  <c r="I568" i="2"/>
  <c r="J559" i="2"/>
  <c r="I559" i="2"/>
  <c r="J508" i="2"/>
  <c r="I508" i="2"/>
  <c r="J86" i="2"/>
  <c r="I86" i="2"/>
  <c r="J522" i="2"/>
  <c r="I522" i="2"/>
  <c r="J552" i="2"/>
  <c r="I552" i="2"/>
  <c r="J103" i="2"/>
  <c r="I103" i="2"/>
  <c r="J231" i="2"/>
  <c r="I231" i="2"/>
  <c r="J129" i="2"/>
  <c r="I129" i="2"/>
  <c r="J277" i="2"/>
  <c r="I277" i="2"/>
  <c r="J383" i="2"/>
  <c r="I383" i="2"/>
  <c r="J240" i="2"/>
  <c r="I240" i="2"/>
  <c r="J379" i="2"/>
  <c r="I379" i="2"/>
  <c r="J316" i="2"/>
  <c r="I316" i="2"/>
  <c r="J136" i="2"/>
  <c r="I136" i="2"/>
  <c r="J34" i="2"/>
  <c r="I34" i="2"/>
  <c r="J164" i="2"/>
  <c r="I164" i="2"/>
  <c r="J173" i="2"/>
  <c r="I173" i="2"/>
  <c r="J490" i="2"/>
  <c r="I490" i="2"/>
  <c r="J18" i="2"/>
  <c r="I18" i="2"/>
  <c r="J239" i="2"/>
  <c r="I239" i="2"/>
  <c r="J100" i="2"/>
  <c r="I100" i="2"/>
  <c r="J403" i="2"/>
  <c r="I403" i="2"/>
  <c r="J446" i="2"/>
  <c r="I446" i="2"/>
  <c r="J177" i="2"/>
  <c r="I177" i="2"/>
  <c r="J52" i="2"/>
  <c r="I52" i="2"/>
  <c r="J221" i="2"/>
  <c r="I221" i="2"/>
  <c r="J484" i="2"/>
  <c r="I484" i="2"/>
  <c r="J396" i="2"/>
  <c r="I396" i="2"/>
  <c r="J13" i="2"/>
  <c r="I13" i="2"/>
  <c r="J398" i="2"/>
  <c r="I398" i="2"/>
  <c r="J471" i="2"/>
  <c r="I471" i="2"/>
  <c r="J20" i="2"/>
  <c r="I20" i="2"/>
  <c r="J556" i="2"/>
  <c r="I556" i="2"/>
  <c r="J204" i="2"/>
  <c r="I204" i="2"/>
  <c r="J459" i="2"/>
  <c r="I459" i="2"/>
  <c r="J185" i="2"/>
  <c r="I185" i="2"/>
  <c r="J410" i="2"/>
  <c r="I410" i="2"/>
  <c r="J377" i="2"/>
  <c r="I377" i="2"/>
  <c r="J416" i="2"/>
  <c r="I416" i="2"/>
  <c r="J418" i="2"/>
  <c r="I418" i="2"/>
  <c r="J53" i="2"/>
  <c r="I53" i="2"/>
  <c r="J356" i="2"/>
  <c r="I356" i="2"/>
  <c r="J317" i="2"/>
  <c r="I317" i="2"/>
  <c r="J448" i="2"/>
  <c r="I448" i="2"/>
  <c r="J219" i="2"/>
  <c r="I219" i="2"/>
  <c r="J201" i="2"/>
  <c r="I201" i="2"/>
  <c r="J463" i="2"/>
  <c r="I463" i="2"/>
  <c r="J306" i="2"/>
  <c r="I306" i="2"/>
  <c r="J149" i="2"/>
  <c r="I149" i="2"/>
  <c r="J371" i="2"/>
  <c r="I371" i="2"/>
  <c r="J75" i="2"/>
  <c r="I75" i="2"/>
  <c r="J169" i="2"/>
  <c r="I169" i="2"/>
  <c r="J322" i="2"/>
  <c r="I322" i="2"/>
  <c r="J284" i="2"/>
  <c r="I284" i="2"/>
  <c r="J214" i="2"/>
  <c r="I214" i="2"/>
  <c r="J76" i="2"/>
  <c r="I76" i="2"/>
  <c r="J118" i="2"/>
  <c r="I118" i="2"/>
  <c r="J430" i="2"/>
  <c r="I430" i="2"/>
  <c r="J376" i="2"/>
  <c r="I376" i="2"/>
  <c r="J374" i="2"/>
  <c r="I374" i="2"/>
  <c r="J265" i="2"/>
  <c r="I265" i="2"/>
  <c r="J473" i="2"/>
  <c r="I473" i="2"/>
  <c r="J545" i="2"/>
  <c r="I545" i="2"/>
  <c r="J45" i="2"/>
  <c r="I45" i="2"/>
  <c r="J353" i="2"/>
  <c r="I353" i="2"/>
  <c r="J257" i="2"/>
  <c r="I257" i="2"/>
  <c r="J475" i="2"/>
  <c r="I475" i="2"/>
  <c r="J238" i="2"/>
  <c r="I238" i="2"/>
  <c r="J507" i="2"/>
  <c r="I507" i="2"/>
  <c r="J64" i="2"/>
  <c r="I64" i="2"/>
  <c r="J81" i="2"/>
  <c r="I81" i="2"/>
  <c r="J510" i="2"/>
  <c r="I510" i="2"/>
  <c r="J107" i="2"/>
  <c r="I107" i="2"/>
  <c r="J196" i="2"/>
  <c r="I196" i="2"/>
  <c r="J32" i="2"/>
  <c r="I32" i="2"/>
  <c r="J523" i="2"/>
  <c r="I523" i="2"/>
  <c r="J104" i="2"/>
  <c r="I104" i="2"/>
  <c r="J524" i="2"/>
  <c r="I524" i="2"/>
  <c r="J260" i="2"/>
  <c r="I260" i="2"/>
  <c r="J535" i="2"/>
  <c r="I535" i="2"/>
  <c r="J382" i="2"/>
  <c r="I382" i="2"/>
  <c r="J72" i="2"/>
  <c r="I72" i="2"/>
  <c r="J128" i="2"/>
  <c r="I128" i="2"/>
  <c r="J481" i="2"/>
  <c r="I481" i="2"/>
  <c r="J466" i="2"/>
  <c r="I466" i="2"/>
  <c r="J250" i="2"/>
  <c r="I250" i="2"/>
  <c r="J497" i="2"/>
  <c r="I497" i="2"/>
  <c r="J116" i="2"/>
  <c r="I116" i="2"/>
  <c r="J82" i="2"/>
  <c r="I82" i="2"/>
  <c r="J286" i="2"/>
  <c r="I286" i="2"/>
  <c r="J514" i="2"/>
  <c r="I514" i="2"/>
  <c r="J328" i="2"/>
  <c r="I328" i="2"/>
  <c r="J529" i="2"/>
  <c r="I529" i="2"/>
  <c r="J288" i="2"/>
  <c r="I288" i="2"/>
  <c r="J547" i="2"/>
  <c r="I547" i="2"/>
  <c r="J303" i="2"/>
  <c r="I303" i="2"/>
  <c r="J433" i="2"/>
  <c r="I433" i="2"/>
  <c r="J170" i="2"/>
  <c r="I170" i="2"/>
  <c r="J247" i="2"/>
  <c r="I247" i="2"/>
  <c r="J489" i="2"/>
  <c r="I489" i="2"/>
  <c r="J29" i="2"/>
  <c r="I29" i="2"/>
  <c r="J544" i="2"/>
  <c r="I544" i="2"/>
  <c r="J570" i="2"/>
  <c r="I570" i="2"/>
  <c r="J188" i="2"/>
  <c r="I188" i="2"/>
  <c r="J146" i="2"/>
  <c r="I146" i="2"/>
  <c r="J474" i="2"/>
  <c r="I474" i="2"/>
  <c r="J333" i="2"/>
  <c r="I333" i="2"/>
  <c r="J375" i="2"/>
  <c r="I375" i="2"/>
  <c r="J191" i="2"/>
  <c r="I191" i="2"/>
  <c r="J302" i="2"/>
  <c r="I302" i="2"/>
  <c r="J324" i="2"/>
  <c r="I324" i="2"/>
  <c r="J282" i="2"/>
  <c r="I282" i="2"/>
  <c r="J40" i="2"/>
  <c r="I40" i="2"/>
  <c r="J337" i="2"/>
  <c r="I337" i="2"/>
  <c r="J43" i="2"/>
  <c r="I43" i="2"/>
  <c r="J560" i="2"/>
  <c r="I560" i="2"/>
  <c r="J255" i="2"/>
  <c r="I255" i="2"/>
  <c r="J389" i="2"/>
  <c r="I389" i="2"/>
  <c r="J198" i="2"/>
  <c r="I198" i="2"/>
  <c r="J462" i="2"/>
  <c r="I462" i="2"/>
  <c r="J460" i="2"/>
  <c r="I460" i="2"/>
  <c r="J222" i="2"/>
  <c r="I222" i="2"/>
  <c r="J526" i="2"/>
  <c r="I526" i="2"/>
  <c r="J580" i="2"/>
  <c r="I580" i="2"/>
  <c r="J587" i="2"/>
  <c r="I587" i="2"/>
  <c r="J455" i="2"/>
  <c r="I455" i="2"/>
  <c r="J195" i="2"/>
  <c r="I195" i="2"/>
  <c r="J338" i="2"/>
  <c r="I338" i="2"/>
  <c r="J409" i="2"/>
  <c r="I409" i="2"/>
  <c r="J321" i="2"/>
  <c r="I321" i="2"/>
  <c r="J350" i="2"/>
  <c r="I350" i="2"/>
  <c r="J176" i="2"/>
  <c r="I176" i="2"/>
  <c r="J102" i="2"/>
  <c r="I102" i="2"/>
  <c r="J558" i="2"/>
  <c r="I558" i="2"/>
  <c r="J571" i="2"/>
  <c r="I571" i="2"/>
  <c r="J139" i="2"/>
  <c r="I139" i="2"/>
  <c r="J142" i="2"/>
  <c r="I142" i="2"/>
  <c r="J42" i="2"/>
  <c r="I42" i="2"/>
  <c r="J502" i="2"/>
  <c r="I502" i="2"/>
  <c r="J120" i="2"/>
  <c r="I120" i="2"/>
  <c r="J400" i="2"/>
  <c r="I400" i="2"/>
  <c r="J95" i="2"/>
  <c r="I95" i="2"/>
  <c r="J253" i="2"/>
  <c r="I253" i="2"/>
  <c r="J499" i="2"/>
  <c r="I499" i="2"/>
  <c r="J237" i="2"/>
  <c r="I237" i="2"/>
  <c r="J123" i="2"/>
  <c r="I123" i="2"/>
  <c r="J109" i="2"/>
  <c r="I109" i="2"/>
  <c r="J454" i="2"/>
  <c r="I454" i="2"/>
  <c r="J445" i="2"/>
  <c r="I445" i="2"/>
  <c r="J113" i="2"/>
  <c r="I113" i="2"/>
  <c r="J242" i="2"/>
  <c r="I242" i="2"/>
  <c r="J363" i="2"/>
  <c r="I363" i="2"/>
  <c r="J273" i="2"/>
  <c r="I273" i="2"/>
  <c r="J297" i="2"/>
  <c r="I297" i="2"/>
  <c r="J429" i="2"/>
  <c r="I429" i="2"/>
  <c r="J241" i="2"/>
  <c r="I241" i="2"/>
  <c r="J487" i="2"/>
  <c r="I487" i="2"/>
  <c r="J576" i="2"/>
  <c r="I576" i="2"/>
  <c r="J315" i="2"/>
  <c r="I315" i="2"/>
  <c r="J341" i="2"/>
  <c r="I341" i="2"/>
  <c r="J115" i="2"/>
  <c r="I115" i="2"/>
  <c r="J259" i="2"/>
  <c r="I259" i="2"/>
  <c r="J301" i="2"/>
  <c r="I301" i="2"/>
  <c r="J579" i="2"/>
  <c r="I579" i="2"/>
  <c r="J137" i="2"/>
  <c r="I137" i="2"/>
  <c r="J385" i="2"/>
  <c r="I385" i="2"/>
  <c r="J88" i="2"/>
  <c r="I88" i="2"/>
  <c r="J147" i="2"/>
  <c r="I147" i="2"/>
  <c r="J437" i="2"/>
  <c r="I437" i="2"/>
  <c r="J426" i="2"/>
  <c r="I426" i="2"/>
  <c r="J425" i="2"/>
  <c r="I425" i="2"/>
  <c r="J394" i="2"/>
  <c r="I394" i="2"/>
  <c r="J483" i="2"/>
  <c r="I483" i="2"/>
  <c r="J268" i="2"/>
  <c r="I268" i="2"/>
  <c r="J167" i="2"/>
  <c r="I167" i="2"/>
  <c r="J199" i="2"/>
  <c r="I199" i="2"/>
  <c r="J304" i="2"/>
  <c r="I304" i="2"/>
  <c r="J283" i="2"/>
  <c r="I283" i="2"/>
  <c r="J141" i="2"/>
  <c r="I141" i="2"/>
  <c r="J41" i="2"/>
  <c r="I41" i="2"/>
  <c r="J578" i="2"/>
  <c r="I578" i="2"/>
  <c r="J99" i="2"/>
  <c r="I99" i="2"/>
  <c r="J287" i="2"/>
  <c r="I287" i="2"/>
  <c r="J263" i="2"/>
  <c r="I263" i="2"/>
  <c r="J117" i="2"/>
  <c r="I117" i="2"/>
  <c r="J373" i="2"/>
  <c r="I373" i="2"/>
  <c r="J272" i="2"/>
  <c r="I272" i="2"/>
  <c r="J388" i="2"/>
  <c r="I388" i="2"/>
  <c r="J71" i="2"/>
  <c r="I71" i="2"/>
  <c r="J500" i="2"/>
  <c r="I500" i="2"/>
  <c r="J106" i="2"/>
  <c r="I106" i="2"/>
  <c r="J520" i="2"/>
  <c r="I520" i="2"/>
  <c r="J208" i="2"/>
  <c r="I208" i="2"/>
  <c r="J569" i="2"/>
  <c r="I569" i="2"/>
  <c r="J187" i="2"/>
  <c r="I187" i="2"/>
  <c r="J49" i="2"/>
  <c r="I49" i="2"/>
  <c r="J543" i="2"/>
  <c r="I543" i="2"/>
  <c r="J279" i="2"/>
  <c r="I279" i="2"/>
  <c r="J47" i="2"/>
  <c r="I47" i="2"/>
  <c r="J165" i="2"/>
  <c r="I165" i="2"/>
  <c r="J21" i="2"/>
  <c r="I21" i="2"/>
  <c r="J108" i="2"/>
  <c r="I108" i="2"/>
  <c r="J472" i="2"/>
  <c r="I472" i="2"/>
  <c r="J586" i="2"/>
  <c r="I586" i="2"/>
  <c r="J554" i="2"/>
  <c r="I554" i="2"/>
  <c r="J470" i="2"/>
  <c r="I470" i="2"/>
  <c r="J217" i="2"/>
  <c r="I217" i="2"/>
  <c r="J386" i="2"/>
  <c r="I386" i="2"/>
  <c r="J525" i="2"/>
  <c r="I525" i="2"/>
  <c r="J444" i="2"/>
  <c r="I444" i="2"/>
  <c r="J372" i="2"/>
  <c r="I372" i="2"/>
  <c r="J57" i="2"/>
  <c r="I57" i="2"/>
  <c r="J111" i="2"/>
  <c r="I111" i="2"/>
  <c r="J124" i="2"/>
  <c r="I124" i="2"/>
  <c r="J516" i="2"/>
  <c r="I516" i="2"/>
  <c r="J364" i="2"/>
  <c r="I364" i="2"/>
  <c r="J51" i="2"/>
  <c r="I51" i="2"/>
  <c r="J190" i="2"/>
  <c r="I190" i="2"/>
  <c r="J94" i="2"/>
  <c r="I94" i="2"/>
  <c r="J153" i="2"/>
  <c r="I153" i="2"/>
  <c r="J202" i="2"/>
  <c r="I202" i="2"/>
  <c r="J112" i="2"/>
  <c r="I112" i="2"/>
  <c r="J144" i="2"/>
  <c r="I144" i="2"/>
  <c r="J58" i="2"/>
  <c r="I58" i="2"/>
  <c r="J83" i="2"/>
  <c r="I83" i="2"/>
  <c r="J125" i="2"/>
  <c r="I125" i="2"/>
  <c r="J264" i="2"/>
  <c r="I264" i="2"/>
  <c r="J207" i="2"/>
  <c r="I207" i="2"/>
  <c r="J469" i="2"/>
  <c r="I469" i="2"/>
  <c r="J537" i="2"/>
  <c r="I537" i="2"/>
  <c r="J138" i="2"/>
  <c r="I138" i="2"/>
  <c r="J37" i="2"/>
  <c r="I37" i="2"/>
  <c r="J480" i="2"/>
  <c r="I480" i="2"/>
  <c r="J220" i="2"/>
  <c r="I220" i="2"/>
  <c r="J414" i="2"/>
  <c r="I414" i="2"/>
  <c r="J339" i="2"/>
  <c r="I339" i="2"/>
  <c r="J151" i="2"/>
  <c r="I151" i="2"/>
  <c r="J154" i="2"/>
  <c r="I154" i="2"/>
  <c r="J351" i="2"/>
  <c r="I351" i="2"/>
  <c r="J203" i="2"/>
  <c r="I203" i="2"/>
  <c r="J468" i="2"/>
  <c r="I468" i="2"/>
  <c r="J443" i="2"/>
  <c r="I443" i="2"/>
  <c r="J174" i="2"/>
  <c r="I174" i="2"/>
  <c r="J276" i="2"/>
  <c r="I276" i="2"/>
  <c r="J539" i="2"/>
  <c r="I539" i="2"/>
  <c r="J566" i="2"/>
  <c r="I566" i="2"/>
  <c r="J79" i="2"/>
  <c r="I79" i="2"/>
  <c r="J450" i="2"/>
  <c r="I450" i="2"/>
  <c r="J84" i="2"/>
  <c r="I84" i="2"/>
  <c r="J243" i="2"/>
  <c r="I243" i="2"/>
  <c r="J442" i="2"/>
  <c r="I442" i="2"/>
  <c r="J70" i="2"/>
  <c r="I70" i="2"/>
  <c r="J69" i="2"/>
  <c r="I69" i="2"/>
  <c r="J8" i="2"/>
  <c r="I8" i="2"/>
  <c r="J186" i="2"/>
  <c r="I186" i="2"/>
  <c r="J175" i="2"/>
  <c r="I175" i="2"/>
  <c r="J355" i="2"/>
  <c r="I355" i="2"/>
  <c r="J54" i="2"/>
  <c r="I54" i="2"/>
  <c r="J369" i="2"/>
  <c r="I369" i="2"/>
  <c r="J130" i="2"/>
  <c r="I130" i="2"/>
  <c r="J298" i="2"/>
  <c r="I298" i="2"/>
  <c r="J494" i="2"/>
  <c r="I494" i="2"/>
  <c r="J228" i="2"/>
  <c r="I228" i="2"/>
  <c r="J98" i="2"/>
  <c r="I98" i="2"/>
  <c r="J432" i="2"/>
  <c r="I432" i="2"/>
  <c r="J143" i="2"/>
  <c r="I143" i="2"/>
  <c r="J406" i="2"/>
  <c r="I406" i="2"/>
  <c r="J314" i="2"/>
  <c r="I314" i="2"/>
  <c r="J162" i="2"/>
  <c r="I162" i="2"/>
  <c r="J498" i="2"/>
  <c r="I498" i="2"/>
  <c r="J492" i="2"/>
  <c r="I492" i="2"/>
  <c r="J225" i="2"/>
  <c r="I225" i="2"/>
  <c r="J121" i="2"/>
  <c r="I121" i="2"/>
  <c r="J101" i="2"/>
  <c r="I101" i="2"/>
  <c r="J17" i="2"/>
  <c r="I17" i="2"/>
  <c r="J62" i="2"/>
  <c r="I62" i="2"/>
  <c r="J216" i="2"/>
  <c r="I216" i="2"/>
  <c r="J158" i="2"/>
  <c r="I158" i="2"/>
  <c r="J90" i="2"/>
  <c r="I90" i="2"/>
  <c r="J2" i="2"/>
  <c r="I2" i="2"/>
  <c r="J289" i="2"/>
  <c r="I289" i="2"/>
  <c r="J476" i="2"/>
  <c r="I476" i="2"/>
  <c r="J224" i="2"/>
  <c r="I224" i="2"/>
  <c r="J531" i="2"/>
  <c r="I531" i="2"/>
  <c r="J229" i="2"/>
  <c r="I229" i="2"/>
  <c r="J381" i="2"/>
  <c r="I381" i="2"/>
  <c r="J78" i="2"/>
  <c r="I78" i="2"/>
  <c r="J584" i="2"/>
  <c r="I584" i="2"/>
  <c r="J332" i="2"/>
  <c r="I332" i="2"/>
  <c r="J9" i="2"/>
  <c r="I9" i="2"/>
  <c r="J427" i="2"/>
  <c r="I427" i="2"/>
  <c r="J530" i="2"/>
  <c r="I530" i="2"/>
  <c r="J235" i="2"/>
  <c r="I235" i="2"/>
  <c r="J479" i="2"/>
  <c r="I479" i="2"/>
  <c r="J549" i="2"/>
  <c r="I549" i="2"/>
  <c r="J411" i="2"/>
  <c r="I411" i="2"/>
  <c r="J352" i="2"/>
  <c r="I352" i="2"/>
  <c r="J357" i="2"/>
  <c r="I357" i="2"/>
  <c r="O536" i="2" l="1"/>
  <c r="O417" i="2"/>
  <c r="O570" i="2"/>
  <c r="O119" i="2"/>
  <c r="O266" i="2"/>
  <c r="O513" i="2"/>
  <c r="O404" i="2"/>
  <c r="O325" i="2"/>
  <c r="O553" i="2"/>
  <c r="O183" i="2"/>
  <c r="O55" i="2"/>
  <c r="O30" i="2"/>
  <c r="O10" i="2"/>
  <c r="G11" i="3" s="1"/>
  <c r="O421" i="2"/>
  <c r="O244" i="2"/>
  <c r="O342" i="2"/>
  <c r="O349" i="2"/>
  <c r="O218" i="2"/>
  <c r="O11" i="2"/>
  <c r="O557" i="2"/>
  <c r="O573" i="2"/>
  <c r="O340" i="2"/>
  <c r="O131" i="2"/>
  <c r="O343" i="2"/>
  <c r="O347" i="2"/>
  <c r="O256" i="2"/>
  <c r="O180" i="2"/>
  <c r="O67" i="2"/>
  <c r="O310" i="2"/>
  <c r="O261" i="2"/>
  <c r="O435" i="2"/>
  <c r="O518" i="2"/>
  <c r="O458" i="2"/>
  <c r="O152" i="2"/>
  <c r="O193" i="2"/>
  <c r="O97" i="2"/>
  <c r="O110" i="2"/>
  <c r="O422" i="2"/>
  <c r="O66" i="2"/>
  <c r="O77" i="2"/>
  <c r="O182" i="2"/>
  <c r="O399" i="2"/>
  <c r="O74" i="2"/>
  <c r="O311" i="2"/>
  <c r="O319" i="2"/>
  <c r="O501" i="2"/>
  <c r="O59" i="2"/>
  <c r="O293" i="2"/>
  <c r="O477" i="2"/>
  <c r="O25" i="2"/>
  <c r="O313" i="2"/>
  <c r="O326" i="2"/>
  <c r="O370" i="2"/>
  <c r="O7" i="2"/>
  <c r="O491" i="2"/>
  <c r="O408" i="2"/>
  <c r="O561" i="2"/>
  <c r="O550" i="2"/>
  <c r="O515" i="2"/>
  <c r="O132" i="2"/>
  <c r="O546" i="2"/>
  <c r="O572" i="2"/>
  <c r="O274" i="2"/>
  <c r="O465" i="2"/>
  <c r="O160" i="2"/>
  <c r="O540" i="2"/>
  <c r="O92" i="2"/>
  <c r="O401" i="2"/>
  <c r="O512" i="2"/>
  <c r="O365" i="2"/>
  <c r="O23" i="2"/>
  <c r="O156" i="2"/>
  <c r="O330" i="2"/>
  <c r="O96" i="2"/>
  <c r="O478" i="2"/>
  <c r="O33" i="2"/>
  <c r="O464" i="2"/>
  <c r="O159" i="2"/>
  <c r="O449" i="2"/>
  <c r="O575" i="2"/>
  <c r="O577" i="2"/>
  <c r="O181" i="2"/>
  <c r="O26" i="2"/>
  <c r="O309" i="2"/>
  <c r="O48" i="2"/>
  <c r="O232" i="2"/>
  <c r="O361" i="2"/>
  <c r="O63" i="2"/>
  <c r="O246" i="2"/>
  <c r="O91" i="2"/>
  <c r="O155" i="2"/>
  <c r="O318" i="2"/>
  <c r="O281" i="2"/>
  <c r="O262" i="2"/>
  <c r="O44" i="2"/>
  <c r="O354" i="2"/>
  <c r="O15" i="2"/>
  <c r="O346" i="2"/>
  <c r="O210" i="2"/>
  <c r="O391" i="2"/>
  <c r="O585" i="2"/>
  <c r="O519" i="2"/>
  <c r="O505" i="2"/>
  <c r="O19" i="2"/>
  <c r="O402" i="2"/>
  <c r="O192" i="2"/>
  <c r="O12" i="2"/>
  <c r="O249" i="2"/>
  <c r="O35" i="2"/>
  <c r="O348" i="2"/>
  <c r="O493" i="2"/>
  <c r="O308" i="2"/>
  <c r="O504" i="2"/>
  <c r="O327" i="2"/>
  <c r="O407" i="2"/>
  <c r="O415" i="2"/>
  <c r="O171" i="2"/>
  <c r="O380" i="2"/>
  <c r="O184" i="2"/>
  <c r="O292" i="2"/>
  <c r="O366" i="2"/>
  <c r="O360" i="2"/>
  <c r="O299" i="2"/>
  <c r="O312" i="2"/>
  <c r="O27" i="2"/>
  <c r="O357" i="2"/>
  <c r="O411" i="2"/>
  <c r="O479" i="2"/>
  <c r="O530" i="2"/>
  <c r="O9" i="2"/>
  <c r="O584" i="2"/>
  <c r="O381" i="2"/>
  <c r="O531" i="2"/>
  <c r="O476" i="2"/>
  <c r="O2" i="2"/>
  <c r="O158" i="2"/>
  <c r="O62" i="2"/>
  <c r="O101" i="2"/>
  <c r="O225" i="2"/>
  <c r="O498" i="2"/>
  <c r="O314" i="2"/>
  <c r="O143" i="2"/>
  <c r="O98" i="2"/>
  <c r="O494" i="2"/>
  <c r="O130" i="2"/>
  <c r="O54" i="2"/>
  <c r="O175" i="2"/>
  <c r="O8" i="2"/>
  <c r="O70" i="2"/>
  <c r="O243" i="2"/>
  <c r="O450" i="2"/>
  <c r="O566" i="2"/>
  <c r="O276" i="2"/>
  <c r="O443" i="2"/>
  <c r="O203" i="2"/>
  <c r="O154" i="2"/>
  <c r="O339" i="2"/>
  <c r="O220" i="2"/>
  <c r="O37" i="2"/>
  <c r="O537" i="2"/>
  <c r="O207" i="2"/>
  <c r="O125" i="2"/>
  <c r="O58" i="2"/>
  <c r="O112" i="2"/>
  <c r="O153" i="2"/>
  <c r="O190" i="2"/>
  <c r="O364" i="2"/>
  <c r="O124" i="2"/>
  <c r="O57" i="2"/>
  <c r="O444" i="2"/>
  <c r="O386" i="2"/>
  <c r="O470" i="2"/>
  <c r="O586" i="2"/>
  <c r="O108" i="2"/>
  <c r="O165" i="2"/>
  <c r="O549" i="2"/>
  <c r="O229" i="2"/>
  <c r="O17" i="2"/>
  <c r="O121" i="2"/>
  <c r="O492" i="2"/>
  <c r="O162" i="2"/>
  <c r="O406" i="2"/>
  <c r="O432" i="2"/>
  <c r="O228" i="2"/>
  <c r="O298" i="2"/>
  <c r="O369" i="2"/>
  <c r="O355" i="2"/>
  <c r="O186" i="2"/>
  <c r="O69" i="2"/>
  <c r="O442" i="2"/>
  <c r="O84" i="2"/>
  <c r="O79" i="2"/>
  <c r="O539" i="2"/>
  <c r="O174" i="2"/>
  <c r="O468" i="2"/>
  <c r="O351" i="2"/>
  <c r="O151" i="2"/>
  <c r="O414" i="2"/>
  <c r="O480" i="2"/>
  <c r="O138" i="2"/>
  <c r="O469" i="2"/>
  <c r="O264" i="2"/>
  <c r="O83" i="2"/>
  <c r="O144" i="2"/>
  <c r="O202" i="2"/>
  <c r="O94" i="2"/>
  <c r="O51" i="2"/>
  <c r="O279" i="2"/>
  <c r="O49" i="2"/>
  <c r="O569" i="2"/>
  <c r="O520" i="2"/>
  <c r="O500" i="2"/>
  <c r="O388" i="2"/>
  <c r="O373" i="2"/>
  <c r="O263" i="2"/>
  <c r="O99" i="2"/>
  <c r="O41" i="2"/>
  <c r="O283" i="2"/>
  <c r="O199" i="2"/>
  <c r="O268" i="2"/>
  <c r="O394" i="2"/>
  <c r="O426" i="2"/>
  <c r="O147" i="2"/>
  <c r="O385" i="2"/>
  <c r="O579" i="2"/>
  <c r="O259" i="2"/>
  <c r="O341" i="2"/>
  <c r="O576" i="2"/>
  <c r="O241" i="2"/>
  <c r="O297" i="2"/>
  <c r="O363" i="2"/>
  <c r="O113" i="2"/>
  <c r="O454" i="2"/>
  <c r="O123" i="2"/>
  <c r="O499" i="2"/>
  <c r="O95" i="2"/>
  <c r="O120" i="2"/>
  <c r="O42" i="2"/>
  <c r="O139" i="2"/>
  <c r="O558" i="2"/>
  <c r="O176" i="2"/>
  <c r="O321" i="2"/>
  <c r="O338" i="2"/>
  <c r="O455" i="2"/>
  <c r="O580" i="2"/>
  <c r="O222" i="2"/>
  <c r="O462" i="2"/>
  <c r="O389" i="2"/>
  <c r="O560" i="2"/>
  <c r="O337" i="2"/>
  <c r="O282" i="2"/>
  <c r="O302" i="2"/>
  <c r="O375" i="2"/>
  <c r="O474" i="2"/>
  <c r="O188" i="2"/>
  <c r="O544" i="2"/>
  <c r="O489" i="2"/>
  <c r="O170" i="2"/>
  <c r="O303" i="2"/>
  <c r="O288" i="2"/>
  <c r="O328" i="2"/>
  <c r="O286" i="2"/>
  <c r="O116" i="2"/>
  <c r="O250" i="2"/>
  <c r="O516" i="2"/>
  <c r="O111" i="2"/>
  <c r="O372" i="2"/>
  <c r="O525" i="2"/>
  <c r="O217" i="2"/>
  <c r="O554" i="2"/>
  <c r="O472" i="2"/>
  <c r="O21" i="2"/>
  <c r="O47" i="2"/>
  <c r="O543" i="2"/>
  <c r="O187" i="2"/>
  <c r="O208" i="2"/>
  <c r="O106" i="2"/>
  <c r="O71" i="2"/>
  <c r="O272" i="2"/>
  <c r="O117" i="2"/>
  <c r="O287" i="2"/>
  <c r="O578" i="2"/>
  <c r="O141" i="2"/>
  <c r="O304" i="2"/>
  <c r="O167" i="2"/>
  <c r="O483" i="2"/>
  <c r="O425" i="2"/>
  <c r="O437" i="2"/>
  <c r="O88" i="2"/>
  <c r="O137" i="2"/>
  <c r="O301" i="2"/>
  <c r="O115" i="2"/>
  <c r="O315" i="2"/>
  <c r="O487" i="2"/>
  <c r="O429" i="2"/>
  <c r="O273" i="2"/>
  <c r="O242" i="2"/>
  <c r="O445" i="2"/>
  <c r="O109" i="2"/>
  <c r="O237" i="2"/>
  <c r="O253" i="2"/>
  <c r="O400" i="2"/>
  <c r="O502" i="2"/>
  <c r="O142" i="2"/>
  <c r="O571" i="2"/>
  <c r="O102" i="2"/>
  <c r="O350" i="2"/>
  <c r="O409" i="2"/>
  <c r="O195" i="2"/>
  <c r="O587" i="2"/>
  <c r="O526" i="2"/>
  <c r="O460" i="2"/>
  <c r="O198" i="2"/>
  <c r="O255" i="2"/>
  <c r="O43" i="2"/>
  <c r="O40" i="2"/>
  <c r="O324" i="2"/>
  <c r="O191" i="2"/>
  <c r="O333" i="2"/>
  <c r="O146" i="2"/>
  <c r="O29" i="2"/>
  <c r="O247" i="2"/>
  <c r="O433" i="2"/>
  <c r="O547" i="2"/>
  <c r="O529" i="2"/>
  <c r="O514" i="2"/>
  <c r="O82" i="2"/>
  <c r="O497" i="2"/>
  <c r="O466" i="2"/>
  <c r="O128" i="2"/>
  <c r="O382" i="2"/>
  <c r="O260" i="2"/>
  <c r="O104" i="2"/>
  <c r="O32" i="2"/>
  <c r="O107" i="2"/>
  <c r="O81" i="2"/>
  <c r="O507" i="2"/>
  <c r="O475" i="2"/>
  <c r="O353" i="2"/>
  <c r="O545" i="2"/>
  <c r="O265" i="2"/>
  <c r="O376" i="2"/>
  <c r="O118" i="2"/>
  <c r="O214" i="2"/>
  <c r="O322" i="2"/>
  <c r="O75" i="2"/>
  <c r="O149" i="2"/>
  <c r="O463" i="2"/>
  <c r="O219" i="2"/>
  <c r="O481" i="2"/>
  <c r="O72" i="2"/>
  <c r="O535" i="2"/>
  <c r="O524" i="2"/>
  <c r="O523" i="2"/>
  <c r="O196" i="2"/>
  <c r="O510" i="2"/>
  <c r="O64" i="2"/>
  <c r="O238" i="2"/>
  <c r="O257" i="2"/>
  <c r="O45" i="2"/>
  <c r="O473" i="2"/>
  <c r="O374" i="2"/>
  <c r="O430" i="2"/>
  <c r="O76" i="2"/>
  <c r="O284" i="2"/>
  <c r="O169" i="2"/>
  <c r="O371" i="2"/>
  <c r="O306" i="2"/>
  <c r="O201" i="2"/>
  <c r="O448" i="2"/>
  <c r="O356" i="2"/>
  <c r="O418" i="2"/>
  <c r="O377" i="2"/>
  <c r="O185" i="2"/>
  <c r="O204" i="2"/>
  <c r="O20" i="2"/>
  <c r="O398" i="2"/>
  <c r="O396" i="2"/>
  <c r="O221" i="2"/>
  <c r="O177" i="2"/>
  <c r="O403" i="2"/>
  <c r="O239" i="2"/>
  <c r="O490" i="2"/>
  <c r="O164" i="2"/>
  <c r="O136" i="2"/>
  <c r="O379" i="2"/>
  <c r="O383" i="2"/>
  <c r="O129" i="2"/>
  <c r="O103" i="2"/>
  <c r="O522" i="2"/>
  <c r="O508" i="2"/>
  <c r="O568" i="2"/>
  <c r="O275" i="2"/>
  <c r="O134" i="2"/>
  <c r="O336" i="2"/>
  <c r="O582" i="2"/>
  <c r="O440" i="2"/>
  <c r="O486" i="2"/>
  <c r="O211" i="2"/>
  <c r="O197" i="2"/>
  <c r="O73" i="2"/>
  <c r="O447" i="2"/>
  <c r="O317" i="2"/>
  <c r="O53" i="2"/>
  <c r="O416" i="2"/>
  <c r="O410" i="2"/>
  <c r="O459" i="2"/>
  <c r="O556" i="2"/>
  <c r="O471" i="2"/>
  <c r="O13" i="2"/>
  <c r="O484" i="2"/>
  <c r="O52" i="2"/>
  <c r="O446" i="2"/>
  <c r="O100" i="2"/>
  <c r="O18" i="2"/>
  <c r="O173" i="2"/>
  <c r="O34" i="2"/>
  <c r="O316" i="2"/>
  <c r="O240" i="2"/>
  <c r="O277" i="2"/>
  <c r="O231" i="2"/>
  <c r="O552" i="2"/>
  <c r="O86" i="2"/>
  <c r="O559" i="2"/>
  <c r="O562" i="2"/>
  <c r="O245" i="2"/>
  <c r="O378" i="2"/>
  <c r="O278" i="2"/>
  <c r="O344" i="2"/>
  <c r="O457" i="2"/>
  <c r="O61" i="2"/>
  <c r="O456" i="2"/>
  <c r="O564" i="2"/>
  <c r="O87" i="2"/>
  <c r="O236" i="2"/>
  <c r="O270" i="2"/>
  <c r="O538" i="2"/>
  <c r="O145" i="2"/>
  <c r="O89" i="2"/>
  <c r="O581" i="2"/>
  <c r="O395" i="2"/>
  <c r="O168" i="2"/>
  <c r="O269" i="2"/>
  <c r="O528" i="2"/>
  <c r="O583" i="2"/>
  <c r="O148" i="2"/>
  <c r="O93" i="2"/>
  <c r="O46" i="2"/>
  <c r="O50" i="2"/>
  <c r="O495" i="2"/>
  <c r="O56" i="2"/>
  <c r="O65" i="2"/>
  <c r="O294" i="2"/>
  <c r="O280" i="2"/>
  <c r="O290" i="2"/>
  <c r="O358" i="2"/>
  <c r="O506" i="2"/>
  <c r="O60" i="2"/>
  <c r="O258" i="2"/>
  <c r="O521" i="2"/>
  <c r="O555" i="2"/>
  <c r="O532" i="2"/>
  <c r="O251" i="2"/>
  <c r="O6" i="2"/>
  <c r="O574" i="2"/>
  <c r="O413" i="2"/>
  <c r="O453" i="2"/>
  <c r="O189" i="2"/>
  <c r="O393" i="2"/>
  <c r="O206" i="2"/>
  <c r="O438" i="2"/>
  <c r="O39" i="2"/>
  <c r="O359" i="2"/>
  <c r="O541" i="2"/>
  <c r="O467" i="2"/>
  <c r="O461" i="2"/>
  <c r="O488" i="2"/>
  <c r="O509" i="2"/>
  <c r="O161" i="2"/>
  <c r="O567" i="2"/>
  <c r="O397" i="2"/>
  <c r="O234" i="2"/>
  <c r="O368" i="2"/>
  <c r="O114" i="2"/>
  <c r="O230" i="2"/>
  <c r="O323" i="2"/>
  <c r="O213" i="2"/>
  <c r="O28" i="2"/>
  <c r="O405" i="2"/>
  <c r="O209" i="2"/>
  <c r="O285" i="2"/>
  <c r="O434" i="2"/>
  <c r="O296" i="2"/>
  <c r="O291" i="2"/>
  <c r="O68" i="2"/>
  <c r="O163" i="2"/>
  <c r="O38" i="2"/>
  <c r="O200" i="2"/>
  <c r="O150" i="2"/>
  <c r="O511" i="2"/>
  <c r="O503" i="2"/>
  <c r="O565" i="2"/>
  <c r="O212" i="2"/>
  <c r="O320" i="2"/>
  <c r="O85" i="2"/>
  <c r="O335" i="2"/>
  <c r="O420" i="2"/>
  <c r="O329" i="2"/>
  <c r="O267" i="2"/>
  <c r="O390" i="2"/>
  <c r="O563" i="2"/>
  <c r="O179" i="2"/>
  <c r="O5" i="2"/>
  <c r="O424" i="2"/>
  <c r="O157" i="2"/>
  <c r="O24" i="2"/>
  <c r="O392" i="2"/>
  <c r="O226" i="2"/>
  <c r="O485" i="2"/>
  <c r="O345" i="2"/>
  <c r="O205" i="2"/>
  <c r="O436" i="2"/>
  <c r="O517" i="2"/>
  <c r="O227" i="2"/>
  <c r="O451" i="2"/>
  <c r="O3" i="2"/>
  <c r="O172" i="2"/>
  <c r="O551" i="2"/>
  <c r="O31" i="2"/>
  <c r="O300" i="2"/>
  <c r="O367" i="2"/>
  <c r="O135" i="2"/>
  <c r="O166" i="2"/>
  <c r="O423" i="2"/>
  <c r="O140" i="2"/>
  <c r="O334" i="2"/>
  <c r="O4" i="2"/>
  <c r="O307" i="2"/>
  <c r="O533" i="2"/>
  <c r="O127" i="2"/>
  <c r="O105" i="2"/>
  <c r="O412" i="2"/>
  <c r="O441" i="2"/>
  <c r="O248" i="2"/>
  <c r="O126" i="2"/>
  <c r="O14" i="2"/>
  <c r="O452" i="2"/>
  <c r="O194" i="2"/>
  <c r="O496" i="2"/>
  <c r="O527" i="2"/>
  <c r="O295" i="2"/>
  <c r="O16" i="2"/>
  <c r="O387" i="2"/>
  <c r="O534" i="2"/>
  <c r="O252" i="2"/>
  <c r="O305" i="2"/>
  <c r="O431" i="2"/>
  <c r="O419" i="2"/>
  <c r="O362" i="2"/>
  <c r="O271" i="2"/>
  <c r="O548" i="2"/>
  <c r="O178" i="2"/>
  <c r="O233" i="2"/>
  <c r="O542" i="2"/>
  <c r="O22" i="2"/>
  <c r="O133" i="2"/>
  <c r="O331" i="2"/>
  <c r="O439" i="2"/>
  <c r="O36" i="2"/>
  <c r="O384" i="2"/>
  <c r="O122" i="2"/>
  <c r="O215" i="2"/>
  <c r="O223" i="2"/>
  <c r="O482" i="2"/>
  <c r="O254" i="2"/>
  <c r="O428" i="2"/>
  <c r="O80" i="2"/>
  <c r="O235" i="2"/>
  <c r="O332" i="2"/>
  <c r="O90" i="2"/>
  <c r="O352" i="2"/>
  <c r="O427" i="2"/>
  <c r="O78" i="2"/>
  <c r="O224" i="2"/>
  <c r="O289" i="2"/>
  <c r="O2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<sst xmlns="http://schemas.openxmlformats.org/spreadsheetml/2006/main" count="5420" uniqueCount="1516">
  <si>
    <t>Customer Name</t>
  </si>
  <si>
    <t>Room</t>
  </si>
  <si>
    <t>Check-in</t>
  </si>
  <si>
    <t>Check-out</t>
  </si>
  <si>
    <t>Package</t>
  </si>
  <si>
    <t xml:space="preserve">Ranking </t>
  </si>
  <si>
    <t>Number of Nights</t>
  </si>
  <si>
    <t>Address</t>
  </si>
  <si>
    <t>City</t>
  </si>
  <si>
    <t>State</t>
  </si>
  <si>
    <t>Phone1</t>
  </si>
  <si>
    <t>Email</t>
  </si>
  <si>
    <t>Room #</t>
  </si>
  <si>
    <t>Check-in date</t>
  </si>
  <si>
    <t>Check-out date</t>
  </si>
  <si>
    <t>Channel</t>
  </si>
  <si>
    <t>Website</t>
  </si>
  <si>
    <t>Total Money Spent</t>
  </si>
  <si>
    <t>Lili Wiklund</t>
  </si>
  <si>
    <t>20113 4th Ave E</t>
  </si>
  <si>
    <t>Tijuana</t>
  </si>
  <si>
    <t>Baja California</t>
  </si>
  <si>
    <t>201-431-2989</t>
  </si>
  <si>
    <t>lili.paskin@cox.net</t>
  </si>
  <si>
    <t>Deluxe - 1 Person - No Breakfast</t>
  </si>
  <si>
    <t>TripAdvisor.com</t>
  </si>
  <si>
    <t>Lettie Alexander</t>
  </si>
  <si>
    <t>3958 S Dupont Hwy #7</t>
  </si>
  <si>
    <t>Chihuahua</t>
  </si>
  <si>
    <t>201-474-4924</t>
  </si>
  <si>
    <t>eladia@saulter.com</t>
  </si>
  <si>
    <t>G001D</t>
  </si>
  <si>
    <t>Sharing - 1 Person - with Breakfast</t>
  </si>
  <si>
    <t>Travel Agent 4</t>
  </si>
  <si>
    <t>Expedia.com</t>
  </si>
  <si>
    <t>Merlyn Miceli</t>
  </si>
  <si>
    <t>4671 Alemany Blvd</t>
  </si>
  <si>
    <t>San Francisco de Campeche</t>
  </si>
  <si>
    <t>Campeche</t>
  </si>
  <si>
    <t>merlyn_lawler@hotmail.com</t>
  </si>
  <si>
    <t>Ty Berry</t>
  </si>
  <si>
    <t>4646 Kaahumanu St</t>
  </si>
  <si>
    <t>201-672-1553</t>
  </si>
  <si>
    <t>tsmith@aol.com</t>
  </si>
  <si>
    <t>Deluxe - 2 Person - with Breakfast</t>
  </si>
  <si>
    <t>Ronny Corrio</t>
  </si>
  <si>
    <t>8 Sheridan Rd</t>
  </si>
  <si>
    <t>Tepic</t>
  </si>
  <si>
    <t>Nayarit</t>
  </si>
  <si>
    <t>201-832-4168</t>
  </si>
  <si>
    <t>hhalter@yahoo.com</t>
  </si>
  <si>
    <t>Helaine Flister</t>
  </si>
  <si>
    <t>Ecatepec de Morelos</t>
  </si>
  <si>
    <t>México</t>
  </si>
  <si>
    <t>G001C</t>
  </si>
  <si>
    <t>Tasia Moyd</t>
  </si>
  <si>
    <t>4 Cowesett Ave</t>
  </si>
  <si>
    <t>Puebla</t>
  </si>
  <si>
    <t>201-920-9002</t>
  </si>
  <si>
    <t>tasia_andreason@yahoo.com</t>
  </si>
  <si>
    <t>G001A</t>
  </si>
  <si>
    <t>Direct Visit</t>
  </si>
  <si>
    <t>Nelida Felger</t>
  </si>
  <si>
    <t>3 State Route 35 S</t>
  </si>
  <si>
    <t>La Paz</t>
  </si>
  <si>
    <t>Baja California Sur</t>
  </si>
  <si>
    <t>201-971-1638</t>
  </si>
  <si>
    <t>nelida@gmail.com</t>
  </si>
  <si>
    <t>Alesia Sloan</t>
  </si>
  <si>
    <t>9 Front St</t>
  </si>
  <si>
    <t>Querétaro</t>
  </si>
  <si>
    <t>alesia_hixenbaugh@hixenbaugh.org</t>
  </si>
  <si>
    <t>Travel Agent 2</t>
  </si>
  <si>
    <t>HotelsCombined.com</t>
  </si>
  <si>
    <t>Lashandra Melnyk</t>
  </si>
  <si>
    <t>9122 Carpenter Ave</t>
  </si>
  <si>
    <t>Pachuca</t>
  </si>
  <si>
    <t>Hidalgo</t>
  </si>
  <si>
    <t>203-506-4706</t>
  </si>
  <si>
    <t>yoko@fishburne.com</t>
  </si>
  <si>
    <t>Yoko Juvera</t>
  </si>
  <si>
    <t>Superior - 2 Person - No Breakfast</t>
  </si>
  <si>
    <t>Phone</t>
  </si>
  <si>
    <t>Carmela Swayze</t>
  </si>
  <si>
    <t>78112 Morris Ave</t>
  </si>
  <si>
    <t>203-721-3388</t>
  </si>
  <si>
    <t>mlayous@hotmail.com</t>
  </si>
  <si>
    <t>AirBnB</t>
  </si>
  <si>
    <t>Ma Eanes</t>
  </si>
  <si>
    <t>Harrison Zurcher</t>
  </si>
  <si>
    <t>759 Eldora St</t>
  </si>
  <si>
    <t>San Luis Potosí</t>
  </si>
  <si>
    <t>203-801-6193</t>
  </si>
  <si>
    <t>hhaufler@hotmail.com</t>
  </si>
  <si>
    <t>Teddy Rivas</t>
  </si>
  <si>
    <t>46314 Route 130</t>
  </si>
  <si>
    <t>Aguascalientes</t>
  </si>
  <si>
    <t>203-892-3863</t>
  </si>
  <si>
    <t>teddy_pedrozo@aol.com</t>
  </si>
  <si>
    <t>Goldie Mauson</t>
  </si>
  <si>
    <t>34 Saint George Ave #2</t>
  </si>
  <si>
    <t>Villahermosa</t>
  </si>
  <si>
    <t>Tabasco[g]</t>
  </si>
  <si>
    <t>207-295-7569</t>
  </si>
  <si>
    <t>goldie.schirpke@yahoo.com</t>
  </si>
  <si>
    <t>Rodolfo Threets</t>
  </si>
  <si>
    <t>Morelia</t>
  </si>
  <si>
    <t>Michoacán</t>
  </si>
  <si>
    <t>Jolanda Stoltzman</t>
  </si>
  <si>
    <t>37855 Nolan Rd</t>
  </si>
  <si>
    <t>Guadalajara</t>
  </si>
  <si>
    <t>Jalisco</t>
  </si>
  <si>
    <t>207-458-9196</t>
  </si>
  <si>
    <t>jhanafan@gmail.com</t>
  </si>
  <si>
    <t>Abel Mirafuentes</t>
  </si>
  <si>
    <t>G001F</t>
  </si>
  <si>
    <t>Ceola Koch</t>
  </si>
  <si>
    <t>96263 Greenwood Pl</t>
  </si>
  <si>
    <t>León</t>
  </si>
  <si>
    <t>Guanajuato</t>
  </si>
  <si>
    <t>207-627-7565</t>
  </si>
  <si>
    <t>ceola.setter@setter.org</t>
  </si>
  <si>
    <t>G001E</t>
  </si>
  <si>
    <t>Dorthy Spence</t>
  </si>
  <si>
    <t>9635 S Main St</t>
  </si>
  <si>
    <t>Culiacán</t>
  </si>
  <si>
    <t>Sinaloa</t>
  </si>
  <si>
    <t>208-649-2373</t>
  </si>
  <si>
    <t>dhidvegi@yahoo.com</t>
  </si>
  <si>
    <t>Gladys Zagen</t>
  </si>
  <si>
    <t>67 Rv Cent</t>
  </si>
  <si>
    <t>Saltillo</t>
  </si>
  <si>
    <t>Coahuila[b][c]</t>
  </si>
  <si>
    <t>208-709-1235</t>
  </si>
  <si>
    <t>bgillaspie@gillaspie.com</t>
  </si>
  <si>
    <t>Brittni Aquas</t>
  </si>
  <si>
    <t>Travel Agent 3</t>
  </si>
  <si>
    <t>Priceline.com</t>
  </si>
  <si>
    <t>Alyce Fortino</t>
  </si>
  <si>
    <t>3196 S Rider Trl</t>
  </si>
  <si>
    <t>Zacatecas</t>
  </si>
  <si>
    <t>209-317-1801</t>
  </si>
  <si>
    <t>alyce@arias.org</t>
  </si>
  <si>
    <t>Travel Agent 1</t>
  </si>
  <si>
    <t>Christiane Zane</t>
  </si>
  <si>
    <t>Cristal Blackburn</t>
  </si>
  <si>
    <t>4119 Metropolitan Dr</t>
  </si>
  <si>
    <t>Veracruz</t>
  </si>
  <si>
    <t>213-975-8026</t>
  </si>
  <si>
    <t>cristal@cox.net</t>
  </si>
  <si>
    <t>Gracia Shepard</t>
  </si>
  <si>
    <t>9390 S Howell Ave</t>
  </si>
  <si>
    <t>Cancún</t>
  </si>
  <si>
    <t>Quintana Roo</t>
  </si>
  <si>
    <t>229-735-3378</t>
  </si>
  <si>
    <t>scarlet.cartan@yahoo.com</t>
  </si>
  <si>
    <t>Scarlet Schneider</t>
  </si>
  <si>
    <t>Reynosa</t>
  </si>
  <si>
    <t>Tamaulipas[c]</t>
  </si>
  <si>
    <t>Sharee Rentfro</t>
  </si>
  <si>
    <t>2094 Montour Blvd</t>
  </si>
  <si>
    <t>231-467-9978</t>
  </si>
  <si>
    <t>sharee_maile@aol.com</t>
  </si>
  <si>
    <t>Dulce Sergi</t>
  </si>
  <si>
    <t>9581 E Arapahoe Rd</t>
  </si>
  <si>
    <t>San Pablo del Monte</t>
  </si>
  <si>
    <t>Tlaxcala</t>
  </si>
  <si>
    <t>248-357-8718</t>
  </si>
  <si>
    <t>dulce_labreche@yahoo.com</t>
  </si>
  <si>
    <t>Kayleigh Glick</t>
  </si>
  <si>
    <t>Tuxtla Gutiérrez</t>
  </si>
  <si>
    <t>Chiapas</t>
  </si>
  <si>
    <t>Melody Mcneil</t>
  </si>
  <si>
    <t>57 Haven Ave #90</t>
  </si>
  <si>
    <t>248-913-4677</t>
  </si>
  <si>
    <t>deonna_kippley@hotmail.com</t>
  </si>
  <si>
    <t>Deonna Mconnell</t>
  </si>
  <si>
    <t>Cuernavaca</t>
  </si>
  <si>
    <t>Morelos</t>
  </si>
  <si>
    <t>Nolan Gleich</t>
  </si>
  <si>
    <t>Cherry Riopelle</t>
  </si>
  <si>
    <t>40 9th Ave Sw #91</t>
  </si>
  <si>
    <t>248-980-6904</t>
  </si>
  <si>
    <t>cherry@lietz.com</t>
  </si>
  <si>
    <t>Gwenn Menter</t>
  </si>
  <si>
    <t>7 S Beverly Dr</t>
  </si>
  <si>
    <t>Colima</t>
  </si>
  <si>
    <t>Colima[d]</t>
  </si>
  <si>
    <t>260-273-3725</t>
  </si>
  <si>
    <t>szagen@aol.com</t>
  </si>
  <si>
    <t>Serina Osborne</t>
  </si>
  <si>
    <t>Judy Stem</t>
  </si>
  <si>
    <t>8977 Connecticut Ave Nw #3</t>
  </si>
  <si>
    <t>269-756-7222</t>
  </si>
  <si>
    <t>jaquas@aquas.com</t>
  </si>
  <si>
    <t>Danica Perigo</t>
  </si>
  <si>
    <t>47857 Coney Island Ave</t>
  </si>
  <si>
    <t>Victoria de Durango</t>
  </si>
  <si>
    <t>Durango</t>
  </si>
  <si>
    <t>301-696-6420</t>
  </si>
  <si>
    <t>loreta.timenez@hotmail.com</t>
  </si>
  <si>
    <t>Loreta Lipke</t>
  </si>
  <si>
    <t>Bobbye Koppinger</t>
  </si>
  <si>
    <t>Superior - 2 Person - with Breakfast</t>
  </si>
  <si>
    <t>Lezlie Morse</t>
  </si>
  <si>
    <t>9506 Edgemore Ave</t>
  </si>
  <si>
    <t>Mexicali</t>
  </si>
  <si>
    <t>301-841-5012</t>
  </si>
  <si>
    <t>egwalthney@yahoo.com</t>
  </si>
  <si>
    <t>Elouise Klonowski</t>
  </si>
  <si>
    <t>Acapulco</t>
  </si>
  <si>
    <t>Guerrero</t>
  </si>
  <si>
    <t>Ernest Juarez</t>
  </si>
  <si>
    <t>94 Chase Rd</t>
  </si>
  <si>
    <t>301-998-9644</t>
  </si>
  <si>
    <t>ernest@cox.net</t>
  </si>
  <si>
    <t>Alease Layous</t>
  </si>
  <si>
    <t>4 Webbs Chapel Rd</t>
  </si>
  <si>
    <t>303-301-4946</t>
  </si>
  <si>
    <t>alease@buemi.com</t>
  </si>
  <si>
    <t>Caprice Fishburne</t>
  </si>
  <si>
    <t>669 Packerland Dr #1438</t>
  </si>
  <si>
    <t>303-404-2210</t>
  </si>
  <si>
    <t>pamella@fortino.com</t>
  </si>
  <si>
    <t>Carey Fuentes</t>
  </si>
  <si>
    <t>Pamella Turinetti</t>
  </si>
  <si>
    <t>G001B</t>
  </si>
  <si>
    <t>Howard Arceo</t>
  </si>
  <si>
    <t>866 34th Ave</t>
  </si>
  <si>
    <t>Monterrey</t>
  </si>
  <si>
    <t>Nuevo León[c]</t>
  </si>
  <si>
    <t>303-623-4241</t>
  </si>
  <si>
    <t>hpaulas@gmail.com</t>
  </si>
  <si>
    <t>Casey Kline</t>
  </si>
  <si>
    <t>Penny Haufler</t>
  </si>
  <si>
    <t>Oaxaca</t>
  </si>
  <si>
    <t>Carmelina Stimmel</t>
  </si>
  <si>
    <t>2664 Lewis Rd</t>
  </si>
  <si>
    <t>303-724-7371</t>
  </si>
  <si>
    <t>carmelina_lindall@lindall.com</t>
  </si>
  <si>
    <t>Virgie Steier</t>
  </si>
  <si>
    <t>76598 Rd  I 95 #1</t>
  </si>
  <si>
    <t>303-776-7548</t>
  </si>
  <si>
    <t>vkiel@hotmail.com</t>
  </si>
  <si>
    <t>Tiffiny Callaro</t>
  </si>
  <si>
    <t>32860 Sierra Rd</t>
  </si>
  <si>
    <t>Hermosillo</t>
  </si>
  <si>
    <t>Sonora[f]</t>
  </si>
  <si>
    <t>tiffiny_steffensmeier@cox.net</t>
  </si>
  <si>
    <t>Jesusa Lawler</t>
  </si>
  <si>
    <t>Toluca de Lerdo</t>
  </si>
  <si>
    <t>305-385-9695</t>
  </si>
  <si>
    <t>Elouise Berray</t>
  </si>
  <si>
    <t>5161 Dorsett Rd</t>
  </si>
  <si>
    <t>305-420-8970</t>
  </si>
  <si>
    <t>pamella.schmierer@schmierer.org</t>
  </si>
  <si>
    <t>Pamella Wildfong</t>
  </si>
  <si>
    <t>Homestead</t>
  </si>
  <si>
    <t>FL</t>
  </si>
  <si>
    <t>Ressie Funnell</t>
  </si>
  <si>
    <t>23 Palo Alto Sq</t>
  </si>
  <si>
    <t>305-604-8981</t>
  </si>
  <si>
    <t>ressie.auffrey@yahoo.com</t>
  </si>
  <si>
    <t>France Monterrubio</t>
  </si>
  <si>
    <t>Lester Perin</t>
  </si>
  <si>
    <t>678 3rd Ave</t>
  </si>
  <si>
    <t>305-606-7291</t>
  </si>
  <si>
    <t>lperin@perin.org</t>
  </si>
  <si>
    <t>Dixie Sarao</t>
  </si>
  <si>
    <t>Diann Bourbon</t>
  </si>
  <si>
    <t>Mexico City</t>
  </si>
  <si>
    <t>Mexico City[e]</t>
  </si>
  <si>
    <t>Lavera Meteer</t>
  </si>
  <si>
    <t>Mikel Wide</t>
  </si>
  <si>
    <t>Miami</t>
  </si>
  <si>
    <t>Glenn Potter</t>
  </si>
  <si>
    <t>60 Old Dover Rd</t>
  </si>
  <si>
    <t>305-622-4739</t>
  </si>
  <si>
    <t>roosevelt.hoffis@aol.com</t>
  </si>
  <si>
    <t>Roosevelt Munoz</t>
  </si>
  <si>
    <t>Ashlyn Scriven</t>
  </si>
  <si>
    <t>703 Beville Rd</t>
  </si>
  <si>
    <t>305-670-9628</t>
  </si>
  <si>
    <t>apinilla@cox.net</t>
  </si>
  <si>
    <t>Deeanna Candlish</t>
  </si>
  <si>
    <t>Theodora Chickering</t>
  </si>
  <si>
    <t>42744 Hamann Industrial Pky #82</t>
  </si>
  <si>
    <t>305-936-8226</t>
  </si>
  <si>
    <t>theodora.restrepo@restrepo.com</t>
  </si>
  <si>
    <t>Rikki Spickerman</t>
  </si>
  <si>
    <t>1644 Clove Rd</t>
  </si>
  <si>
    <t>305-968-9487</t>
  </si>
  <si>
    <t>rikki@nayar.com</t>
  </si>
  <si>
    <t>Gail Oles</t>
  </si>
  <si>
    <t>Jeanice Patton</t>
  </si>
  <si>
    <t>19 Amboy Ave</t>
  </si>
  <si>
    <t>305-988-4162</t>
  </si>
  <si>
    <t>jeanice.claucherty@yahoo.com</t>
  </si>
  <si>
    <t>Cruz Meisel</t>
  </si>
  <si>
    <t>Carmine Gillaspie</t>
  </si>
  <si>
    <t>Bonnie Hidvegi</t>
  </si>
  <si>
    <t>Desiree Hull</t>
  </si>
  <si>
    <t>Cole Worlds</t>
  </si>
  <si>
    <t>Flo Shadrick</t>
  </si>
  <si>
    <t>89992 E 15th St</t>
  </si>
  <si>
    <t>Chilpancingo</t>
  </si>
  <si>
    <t>flo.bookamer@cox.net</t>
  </si>
  <si>
    <t>Dick Sturiale</t>
  </si>
  <si>
    <t>22 Spruce St #595</t>
  </si>
  <si>
    <t>310-510-9713</t>
  </si>
  <si>
    <t>dick@yahoo.com</t>
  </si>
  <si>
    <t>Chau Cronauer</t>
  </si>
  <si>
    <t>429 Tiger Ln</t>
  </si>
  <si>
    <t>310-560-8022</t>
  </si>
  <si>
    <t>chau@gmail.com</t>
  </si>
  <si>
    <t>Evangelina Skursky</t>
  </si>
  <si>
    <t>47939 Porter Ave</t>
  </si>
  <si>
    <t>benton.skursky@aol.com</t>
  </si>
  <si>
    <t>Benton Inouye</t>
  </si>
  <si>
    <t>310-579-2907</t>
  </si>
  <si>
    <t>Lizbeth Tawil</t>
  </si>
  <si>
    <t>35433 Blake St #588</t>
  </si>
  <si>
    <t>310-699-1222</t>
  </si>
  <si>
    <t>lizbeth@yahoo.com</t>
  </si>
  <si>
    <t>Stephaine Wenzinger</t>
  </si>
  <si>
    <t>47154 Whipple Ave Nw</t>
  </si>
  <si>
    <t>Guadalupe</t>
  </si>
  <si>
    <t>310-774-7643</t>
  </si>
  <si>
    <t>stephaine@barfield.com</t>
  </si>
  <si>
    <t>Cruz Harris</t>
  </si>
  <si>
    <t>Cole Tran</t>
  </si>
  <si>
    <t>Bonnie Aredondo</t>
  </si>
  <si>
    <t>Louvenia Chesterfield</t>
  </si>
  <si>
    <t>598 43rd St</t>
  </si>
  <si>
    <t>310-820-2117</t>
  </si>
  <si>
    <t>louvenia.beech@beech.com</t>
  </si>
  <si>
    <t>Paris Frey</t>
  </si>
  <si>
    <t>Mérida</t>
  </si>
  <si>
    <t>Yucatán[h]</t>
  </si>
  <si>
    <t>Sylvia Vanheusen</t>
  </si>
  <si>
    <t>Malik Paskin</t>
  </si>
  <si>
    <t>Glen Livingston</t>
  </si>
  <si>
    <t>2972 Lafayette Ave</t>
  </si>
  <si>
    <t>310-858-5079</t>
  </si>
  <si>
    <t>rima@cox.net</t>
  </si>
  <si>
    <t>Rima Perez</t>
  </si>
  <si>
    <t>Valentin Lace</t>
  </si>
  <si>
    <t>137 Pioneer Way</t>
  </si>
  <si>
    <t>312-303-5453</t>
  </si>
  <si>
    <t>vklimek@klimek.org</t>
  </si>
  <si>
    <t>Yuki Gehrett</t>
  </si>
  <si>
    <t>1 State Route 27</t>
  </si>
  <si>
    <t>313-288-7937</t>
  </si>
  <si>
    <t>yuki_whobrey@aol.com</t>
  </si>
  <si>
    <t>Rita Palaia</t>
  </si>
  <si>
    <t>Clifton Smith</t>
  </si>
  <si>
    <t>Anastasia Saulter</t>
  </si>
  <si>
    <t>Dyan Mcnease</t>
  </si>
  <si>
    <t>7116 Western Ave</t>
  </si>
  <si>
    <t>313-533-4884</t>
  </si>
  <si>
    <t>beckie.silvestrini@silvestrini.com</t>
  </si>
  <si>
    <t>Beckie Tjepkema</t>
  </si>
  <si>
    <t>Jina Demesa</t>
  </si>
  <si>
    <t>22 Bridle Ln</t>
  </si>
  <si>
    <t>314-359-9566</t>
  </si>
  <si>
    <t>tresa_sweely@hotmail.com</t>
  </si>
  <si>
    <t>Tresa Nabours</t>
  </si>
  <si>
    <t>Benedict Jenkins</t>
  </si>
  <si>
    <t>4923 Carey Ave</t>
  </si>
  <si>
    <t>314-787-1588</t>
  </si>
  <si>
    <t>bsama@cox.net</t>
  </si>
  <si>
    <t>Esteban Dickerson</t>
  </si>
  <si>
    <t>Ciudad Juárez</t>
  </si>
  <si>
    <t>Wallace Chaffins</t>
  </si>
  <si>
    <t>Gary Briddick</t>
  </si>
  <si>
    <t>2 W Mount Royal Ave</t>
  </si>
  <si>
    <t>317-542-6023</t>
  </si>
  <si>
    <t>gary_nunlee@nunlee.org</t>
  </si>
  <si>
    <t>Susana Vaughan</t>
  </si>
  <si>
    <t>87393 E Highland Rd</t>
  </si>
  <si>
    <t>317-578-2453</t>
  </si>
  <si>
    <t>carey_dopico@dopico.org</t>
  </si>
  <si>
    <t>Clare Treston</t>
  </si>
  <si>
    <t>Sharon Forbes</t>
  </si>
  <si>
    <t>Carey Mcintosh</t>
  </si>
  <si>
    <t>Malinda Waller</t>
  </si>
  <si>
    <t>55 Riverside Ave</t>
  </si>
  <si>
    <t>Chetumal</t>
  </si>
  <si>
    <t>317-722-5066</t>
  </si>
  <si>
    <t>malinda.hochard@yahoo.com</t>
  </si>
  <si>
    <t>Jerry Hoffis</t>
  </si>
  <si>
    <t>77 Massillon Rd #822</t>
  </si>
  <si>
    <t>321-518-5938</t>
  </si>
  <si>
    <t>jzurcher@zurcher.org</t>
  </si>
  <si>
    <t>Lucina Cookey</t>
  </si>
  <si>
    <t>8597 W National Ave</t>
  </si>
  <si>
    <t>321-749-4981</t>
  </si>
  <si>
    <t>lucina_lary@cox.net</t>
  </si>
  <si>
    <t>Corina Motley</t>
  </si>
  <si>
    <t>Jc Stuart</t>
  </si>
  <si>
    <t>Johnie Gabisi</t>
  </si>
  <si>
    <t>Cheryl Hinton</t>
  </si>
  <si>
    <t>Willard Degroot</t>
  </si>
  <si>
    <t>Cocoa</t>
  </si>
  <si>
    <t>August Restrepo</t>
  </si>
  <si>
    <t>5 Tomahawk Dr</t>
  </si>
  <si>
    <t>323-453-2780</t>
  </si>
  <si>
    <t>kanisha_waycott@yahoo.com</t>
  </si>
  <si>
    <t>Delores Maile</t>
  </si>
  <si>
    <t>Jody Tomblin</t>
  </si>
  <si>
    <t>Kanisha Jacobos</t>
  </si>
  <si>
    <t>Filiberto Schmaltz</t>
  </si>
  <si>
    <t>3882 W Congress St #799</t>
  </si>
  <si>
    <t>323-765-2528</t>
  </si>
  <si>
    <t>ftawil@hotmail.com</t>
  </si>
  <si>
    <t>Edgardo Maclead</t>
  </si>
  <si>
    <t>4 10th St W</t>
  </si>
  <si>
    <t>336-243-5659</t>
  </si>
  <si>
    <t>rosio.cork@gmail.com</t>
  </si>
  <si>
    <t>Jerome Mclaird</t>
  </si>
  <si>
    <t>Rosio Ventura</t>
  </si>
  <si>
    <t>Marie Buvens</t>
  </si>
  <si>
    <t>Nadine Stockham</t>
  </si>
  <si>
    <t>88827 Frankford Ave</t>
  </si>
  <si>
    <t>336-370-5333</t>
  </si>
  <si>
    <t>nan@koppinger.com</t>
  </si>
  <si>
    <t>Nan Kusko</t>
  </si>
  <si>
    <t>Olin Braun</t>
  </si>
  <si>
    <t>Devon Stewart</t>
  </si>
  <si>
    <t>Cecilia Ali</t>
  </si>
  <si>
    <t>9 Plainsboro Rd #598</t>
  </si>
  <si>
    <t>336-670-2640</t>
  </si>
  <si>
    <t>mlinahan@yahoo.com</t>
  </si>
  <si>
    <t>Maile Rauser</t>
  </si>
  <si>
    <t>Deandrea Hines</t>
  </si>
  <si>
    <t>33 Lewis Rd #46</t>
  </si>
  <si>
    <t>336-822-7652</t>
  </si>
  <si>
    <t>deandrea@yahoo.com</t>
  </si>
  <si>
    <t>Willodean Coyier</t>
  </si>
  <si>
    <t>55 Hawthorne Blvd</t>
  </si>
  <si>
    <t>337-253-8384</t>
  </si>
  <si>
    <t>willodean_konopacki@konopacki.org</t>
  </si>
  <si>
    <t>Jutta Schirpke</t>
  </si>
  <si>
    <t>49 N Mays St</t>
  </si>
  <si>
    <t>337-515-1438</t>
  </si>
  <si>
    <t>jamyot@hotmail.com</t>
  </si>
  <si>
    <t>Jamal Goldammer</t>
  </si>
  <si>
    <t>393 Hammond Dr</t>
  </si>
  <si>
    <t>cordelia_storment@aol.com</t>
  </si>
  <si>
    <t>Cordelia Vonasek</t>
  </si>
  <si>
    <t>337-566-6001</t>
  </si>
  <si>
    <t>Laverne Todd</t>
  </si>
  <si>
    <t>43 Huey P Long Ave</t>
  </si>
  <si>
    <t>337-740-9323</t>
  </si>
  <si>
    <t>kayleigh.lace@yahoo.com</t>
  </si>
  <si>
    <t>Kayleigh Ortiz</t>
  </si>
  <si>
    <t>Wendy Morrow</t>
  </si>
  <si>
    <t>Sage Steffensmeier</t>
  </si>
  <si>
    <t>9 Wales Rd Ne #914</t>
  </si>
  <si>
    <t>352-242-2570</t>
  </si>
  <si>
    <t>hillary.skulski@aol.com</t>
  </si>
  <si>
    <t>Hillary Claucherty</t>
  </si>
  <si>
    <t>Nickolas Lary</t>
  </si>
  <si>
    <t>177 S Rider Trl #52</t>
  </si>
  <si>
    <t>352-598-8301</t>
  </si>
  <si>
    <t>nickolas_juvera@cox.net</t>
  </si>
  <si>
    <t>Jovita Amyot</t>
  </si>
  <si>
    <t>8 S Haven St</t>
  </si>
  <si>
    <t>386-248-4118</t>
  </si>
  <si>
    <t>joles@gmail.com</t>
  </si>
  <si>
    <t>Jerry Keener</t>
  </si>
  <si>
    <t>27846 Lafayette Ave</t>
  </si>
  <si>
    <t>386-526-7800</t>
  </si>
  <si>
    <t>hoa@sarao.org</t>
  </si>
  <si>
    <t>Liz Schmierer</t>
  </si>
  <si>
    <t>Hoa Amigon</t>
  </si>
  <si>
    <t>Colette Rhoden</t>
  </si>
  <si>
    <t>21575 S Apple Creek Rd</t>
  </si>
  <si>
    <t>colette.kardas@yahoo.com</t>
  </si>
  <si>
    <t>Paris Klimek</t>
  </si>
  <si>
    <t>187 Market St</t>
  </si>
  <si>
    <t>404-505-4445</t>
  </si>
  <si>
    <t>paris@hotmail.com</t>
  </si>
  <si>
    <t>Raina Adkin</t>
  </si>
  <si>
    <t>3829 Ventura Blvd</t>
  </si>
  <si>
    <t>406-318-1515</t>
  </si>
  <si>
    <t>raina.brachle@brachle.org</t>
  </si>
  <si>
    <t>Clorinda Ketelsen</t>
  </si>
  <si>
    <t>Cristy Wenner</t>
  </si>
  <si>
    <t>Herman Wilkins</t>
  </si>
  <si>
    <t>75698 N Fiesta Blvd</t>
  </si>
  <si>
    <t>sharika.eanes@aol.com</t>
  </si>
  <si>
    <t>Sharika Farrell</t>
  </si>
  <si>
    <t>407-312-1691</t>
  </si>
  <si>
    <t>Izetta Brossart</t>
  </si>
  <si>
    <t>63 E Aurora Dr</t>
  </si>
  <si>
    <t>407-413-4842</t>
  </si>
  <si>
    <t>chauncey_motley@aol.com</t>
  </si>
  <si>
    <t>Chauncey Nievas</t>
  </si>
  <si>
    <t>Martina Jacobson</t>
  </si>
  <si>
    <t>7 W Wabansia Ave #227</t>
  </si>
  <si>
    <t>407-471-6908</t>
  </si>
  <si>
    <t>martina_staback@staback.com</t>
  </si>
  <si>
    <t>Cory Richards</t>
  </si>
  <si>
    <t>Manzanillo</t>
  </si>
  <si>
    <t>Shawnda Setter</t>
  </si>
  <si>
    <t>50126 N Plankinton Ave</t>
  </si>
  <si>
    <t>407-538-5106</t>
  </si>
  <si>
    <t>shawnda.yori@yahoo.com</t>
  </si>
  <si>
    <t>Avery Nayar</t>
  </si>
  <si>
    <t>93 Redmond Rd #492</t>
  </si>
  <si>
    <t>407-808-9439</t>
  </si>
  <si>
    <t>avery@cox.net</t>
  </si>
  <si>
    <t>Deonna Bennick</t>
  </si>
  <si>
    <t>Deena Ankeny</t>
  </si>
  <si>
    <t>6 Greenleaf Ave</t>
  </si>
  <si>
    <t>408-540-1785</t>
  </si>
  <si>
    <t>vinouye@aol.com</t>
  </si>
  <si>
    <t>Walter Osborn</t>
  </si>
  <si>
    <t>Veronika Lester</t>
  </si>
  <si>
    <t>Christine Rhym</t>
  </si>
  <si>
    <t>Elvera Arias</t>
  </si>
  <si>
    <t>99385 Charity St #840</t>
  </si>
  <si>
    <t>Ciudad Victoria</t>
  </si>
  <si>
    <t>408-703-8505</t>
  </si>
  <si>
    <t>elvera.benimadho@cox.net</t>
  </si>
  <si>
    <t>Leota Montezuma</t>
  </si>
  <si>
    <t>7 W Jackson Blvd</t>
  </si>
  <si>
    <t>leota@hotmail.com</t>
  </si>
  <si>
    <t>Kirk Bauer</t>
  </si>
  <si>
    <t>195 13n N</t>
  </si>
  <si>
    <t>408-758-5015</t>
  </si>
  <si>
    <t>merilyn_bayless@cox.net</t>
  </si>
  <si>
    <t>Merilyn Kiel</t>
  </si>
  <si>
    <t>Lavera Knipp</t>
  </si>
  <si>
    <t>Felicidad Hiatt</t>
  </si>
  <si>
    <t>251 Park Ave #979</t>
  </si>
  <si>
    <t>408-805-4309</t>
  </si>
  <si>
    <t>rasheeda@aol.com</t>
  </si>
  <si>
    <t>Rasheeda Haas</t>
  </si>
  <si>
    <t>Yuki Sawchuk</t>
  </si>
  <si>
    <t>287 Youngstown Warren Rd</t>
  </si>
  <si>
    <t>410-209-9545</t>
  </si>
  <si>
    <t>sylvia_cousey@cousey.org</t>
  </si>
  <si>
    <t>Willow Frederick</t>
  </si>
  <si>
    <t>Sylvia Winters</t>
  </si>
  <si>
    <t>Glory Riden</t>
  </si>
  <si>
    <t>55892 Jacksonville Rd</t>
  </si>
  <si>
    <t>410-224-9462</t>
  </si>
  <si>
    <t>gkulzer@kulzer.org</t>
  </si>
  <si>
    <t>Raylene Craghead</t>
  </si>
  <si>
    <t>Reena Yglesias</t>
  </si>
  <si>
    <t>9648 S Main</t>
  </si>
  <si>
    <t>410-351-1863</t>
  </si>
  <si>
    <t>reena@hotmail.com</t>
  </si>
  <si>
    <t>Fernanda Halter</t>
  </si>
  <si>
    <t>60480 Old Us Highway 51</t>
  </si>
  <si>
    <t>410-387-5260</t>
  </si>
  <si>
    <t>fjillson@aol.com</t>
  </si>
  <si>
    <t>Marcel Cork</t>
  </si>
  <si>
    <t>2 W Scyene Rd #3</t>
  </si>
  <si>
    <t>idewar@dewar.com</t>
  </si>
  <si>
    <t>Izetta Hengel</t>
  </si>
  <si>
    <t>410-473-1708</t>
  </si>
  <si>
    <t>Victoria Mulqueen</t>
  </si>
  <si>
    <t>Barrett Newville</t>
  </si>
  <si>
    <t>6 Kains Ave</t>
  </si>
  <si>
    <t>410-520-4832</t>
  </si>
  <si>
    <t>laurel_reitler@reitler.com</t>
  </si>
  <si>
    <t>Laurel Thomas</t>
  </si>
  <si>
    <t>August Diestel</t>
  </si>
  <si>
    <t>228 Runamuck Pl #2808</t>
  </si>
  <si>
    <t>410-655-8723</t>
  </si>
  <si>
    <t>kris@gmail.com</t>
  </si>
  <si>
    <t>Jody Angalich</t>
  </si>
  <si>
    <t>Kris Fredicks</t>
  </si>
  <si>
    <t>Kaitlyn Gillian</t>
  </si>
  <si>
    <t>2 S Biscayne Blvd</t>
  </si>
  <si>
    <t>410-665-4903</t>
  </si>
  <si>
    <t>kaitlyn.ogg@gmail.com</t>
  </si>
  <si>
    <t>Ezekiel Armstrong</t>
  </si>
  <si>
    <t>2 Cedar Ave #84</t>
  </si>
  <si>
    <t>410-669-1642</t>
  </si>
  <si>
    <t>ezekiel@chui.com</t>
  </si>
  <si>
    <t>Lucy Russell</t>
  </si>
  <si>
    <t>Lashaunda Kardas</t>
  </si>
  <si>
    <t>3387 Ryan Dr</t>
  </si>
  <si>
    <t>410-678-2473</t>
  </si>
  <si>
    <t>llizama@cox.net</t>
  </si>
  <si>
    <t>Robert Ray</t>
  </si>
  <si>
    <t>96950 Hidden Ln</t>
  </si>
  <si>
    <t>410-739-9277</t>
  </si>
  <si>
    <t>detra@aol.com</t>
  </si>
  <si>
    <t>Detra Barrett</t>
  </si>
  <si>
    <t>Esteban Wolfgramm</t>
  </si>
  <si>
    <t>Wallace Davila</t>
  </si>
  <si>
    <t>Tricia Karpel</t>
  </si>
  <si>
    <t>Annelle Potts</t>
  </si>
  <si>
    <t>5 W 7th St</t>
  </si>
  <si>
    <t>410-757-1035</t>
  </si>
  <si>
    <t>annelle@yahoo.com</t>
  </si>
  <si>
    <t>Sarah Linahan</t>
  </si>
  <si>
    <t>2853 S Central Expy</t>
  </si>
  <si>
    <t>410-914-9018</t>
  </si>
  <si>
    <t>ilene.eroman@hotmail.com</t>
  </si>
  <si>
    <t>Ilene Samu</t>
  </si>
  <si>
    <t>Edna Degonia</t>
  </si>
  <si>
    <t>6 Middlegate Rd #106</t>
  </si>
  <si>
    <t>415-306-7897</t>
  </si>
  <si>
    <t>norah.waymire@gmail.com</t>
  </si>
  <si>
    <t>Norah Orr</t>
  </si>
  <si>
    <t>Kallie Gamble</t>
  </si>
  <si>
    <t>701 S Harrison Rd</t>
  </si>
  <si>
    <t>415-315-2761</t>
  </si>
  <si>
    <t>kallie.blackwood@gmail.com</t>
  </si>
  <si>
    <t>Trinidad Cartan</t>
  </si>
  <si>
    <t>10276 Brooks St</t>
  </si>
  <si>
    <t>San Francisco</t>
  </si>
  <si>
    <t>CA</t>
  </si>
  <si>
    <t>415-331-9634</t>
  </si>
  <si>
    <t>trinidad_mcrae@yahoo.com</t>
  </si>
  <si>
    <t>Jolanda Rhymes</t>
  </si>
  <si>
    <t>Tarra Dilello</t>
  </si>
  <si>
    <t>39 Moccasin Dr</t>
  </si>
  <si>
    <t>415-411-1775</t>
  </si>
  <si>
    <t>tarra.nachor@cox.net</t>
  </si>
  <si>
    <t>Lai Sayaphon</t>
  </si>
  <si>
    <t>1933 Packer Ave #2</t>
  </si>
  <si>
    <t>415-423-3294</t>
  </si>
  <si>
    <t>lai@gmail.com</t>
  </si>
  <si>
    <t>Stephaine Lother</t>
  </si>
  <si>
    <t>3717 Hamann Industrial Pky</t>
  </si>
  <si>
    <t>stephaine@cox.net</t>
  </si>
  <si>
    <t>Johnie Birkner</t>
  </si>
  <si>
    <t>415-767-6596</t>
  </si>
  <si>
    <t>Carmine Ferrario</t>
  </si>
  <si>
    <t>Corina Barfield</t>
  </si>
  <si>
    <t>Shalon Malvin</t>
  </si>
  <si>
    <t>72 Southern Blvd</t>
  </si>
  <si>
    <t>480-293-2882</t>
  </si>
  <si>
    <t>iluminada.ohms@yahoo.com</t>
  </si>
  <si>
    <t>Iluminada Ohms</t>
  </si>
  <si>
    <t>Regenia Kannady</t>
  </si>
  <si>
    <t>10759 Main St</t>
  </si>
  <si>
    <t>480-726-1280</t>
  </si>
  <si>
    <t>regenia.kannady@cox.net</t>
  </si>
  <si>
    <t>Rosendo Mercer</t>
  </si>
  <si>
    <t>1844 Southern Blvd</t>
  </si>
  <si>
    <t>501-308-1040</t>
  </si>
  <si>
    <t>cdeleo@deleo.com</t>
  </si>
  <si>
    <t>Dale Dyer</t>
  </si>
  <si>
    <t>Carin Deleo</t>
  </si>
  <si>
    <t>Mack Webster</t>
  </si>
  <si>
    <t>Terrilyn Silvestrini</t>
  </si>
  <si>
    <t>3718 S Main St</t>
  </si>
  <si>
    <t>504-463-4384</t>
  </si>
  <si>
    <t>terrilyn.rodeigues@cox.net</t>
  </si>
  <si>
    <t>James Grenet</t>
  </si>
  <si>
    <t>6649 N Blue Gum St</t>
  </si>
  <si>
    <t>504-621-8927</t>
  </si>
  <si>
    <t>jbutt@gmail.com</t>
  </si>
  <si>
    <t>Sylvia Berlanga</t>
  </si>
  <si>
    <t>Cindy Maisto</t>
  </si>
  <si>
    <t>3 Secor Rd</t>
  </si>
  <si>
    <t>Xalapa</t>
  </si>
  <si>
    <t>arlene_klusman@gmail.com</t>
  </si>
  <si>
    <t>Sybil Timenez</t>
  </si>
  <si>
    <t>504-710-5840</t>
  </si>
  <si>
    <t>Arlene Chui</t>
  </si>
  <si>
    <t>Felipe Eroman</t>
  </si>
  <si>
    <t>426 Wolf St</t>
  </si>
  <si>
    <t>504-979-9175</t>
  </si>
  <si>
    <t>solange@shinko.com</t>
  </si>
  <si>
    <t>Clifton Labreche</t>
  </si>
  <si>
    <t>Solange Mcconnell</t>
  </si>
  <si>
    <t>Carmen Gwalthney</t>
  </si>
  <si>
    <t>Bryan Hanafan</t>
  </si>
  <si>
    <t>Sid Sawyer</t>
  </si>
  <si>
    <t>Hermila Francescon</t>
  </si>
  <si>
    <t>41 Steel Ct</t>
  </si>
  <si>
    <t>507-210-3510</t>
  </si>
  <si>
    <t>rodolfo@hotmail.com</t>
  </si>
  <si>
    <t>Rodolfo Loader</t>
  </si>
  <si>
    <t>Jacqueline Guerrero</t>
  </si>
  <si>
    <t>Levi Lukasik</t>
  </si>
  <si>
    <t>2094 Ne 36th Ave</t>
  </si>
  <si>
    <t>levi.munis@gmail.com</t>
  </si>
  <si>
    <t>Beatriz Stafford</t>
  </si>
  <si>
    <t>481 W Lemon St</t>
  </si>
  <si>
    <t>508-584-4279</t>
  </si>
  <si>
    <t>beatriz@yahoo.com</t>
  </si>
  <si>
    <t>Tricia Neither</t>
  </si>
  <si>
    <t>Robert Butzen</t>
  </si>
  <si>
    <t>Jeanice Whobrey</t>
  </si>
  <si>
    <t>57254 Brickell Ave #372</t>
  </si>
  <si>
    <t>508-769-5250</t>
  </si>
  <si>
    <t>lucy@cox.net</t>
  </si>
  <si>
    <t>Lucina Drymon</t>
  </si>
  <si>
    <t>Lucy Sama</t>
  </si>
  <si>
    <t>Nicolette Husser</t>
  </si>
  <si>
    <t>1 Midway Rd</t>
  </si>
  <si>
    <t>508-837-9230</t>
  </si>
  <si>
    <t>nicolette_brossart@brossart.com</t>
  </si>
  <si>
    <t>Corinne Darakjy</t>
  </si>
  <si>
    <t>4 Carroll St</t>
  </si>
  <si>
    <t>508-942-4186</t>
  </si>
  <si>
    <t>corinne@loder.org</t>
  </si>
  <si>
    <t>Carma Beech</t>
  </si>
  <si>
    <t>68556 Central Hwy</t>
  </si>
  <si>
    <t>510-503-7169</t>
  </si>
  <si>
    <t>carma@cox.net</t>
  </si>
  <si>
    <t>Gerardo Similton</t>
  </si>
  <si>
    <t>2887 Knowlton St #5435</t>
  </si>
  <si>
    <t>510-677-9785</t>
  </si>
  <si>
    <t>joesph_degonia@degonia.org</t>
  </si>
  <si>
    <t>Joesph Asar</t>
  </si>
  <si>
    <t>Kirsten Heimann</t>
  </si>
  <si>
    <t>Edmundo Scipione</t>
  </si>
  <si>
    <t>Carlee Vizarro</t>
  </si>
  <si>
    <t>524 Louisiana Ave Nw</t>
  </si>
  <si>
    <t>louisa@cronauer.com</t>
  </si>
  <si>
    <t>Louisa Vinning</t>
  </si>
  <si>
    <t>510-828-7047</t>
  </si>
  <si>
    <t>Devora Ogg</t>
  </si>
  <si>
    <t>72868 Blackington Ave</t>
  </si>
  <si>
    <t>510-955-3016</t>
  </si>
  <si>
    <t>devora_perez@perez.org</t>
  </si>
  <si>
    <t>Karan Bevelacqua</t>
  </si>
  <si>
    <t>Refugia Waymire</t>
  </si>
  <si>
    <t>2184 Worth St</t>
  </si>
  <si>
    <t>510-974-8671</t>
  </si>
  <si>
    <t>refugia.jacobos@jacobos.com</t>
  </si>
  <si>
    <t>Fletcher Ibarra</t>
  </si>
  <si>
    <t>Glenn Jeanty</t>
  </si>
  <si>
    <t>29 Cherry St #7073</t>
  </si>
  <si>
    <t>515-370-7348</t>
  </si>
  <si>
    <t>gberray@gmail.com</t>
  </si>
  <si>
    <t>Peggie Kampa</t>
  </si>
  <si>
    <t>Kenneth Venere</t>
  </si>
  <si>
    <t>2167 Sierra Rd</t>
  </si>
  <si>
    <t>517-499-2322</t>
  </si>
  <si>
    <t>kenneth.grenet@grenet.org</t>
  </si>
  <si>
    <t>Ligia Crupi</t>
  </si>
  <si>
    <t>206 Main St #2804</t>
  </si>
  <si>
    <t>517-906-1108</t>
  </si>
  <si>
    <t>lreiber@cox.net</t>
  </si>
  <si>
    <t>Blair Berganza</t>
  </si>
  <si>
    <t>Mitsue Stark</t>
  </si>
  <si>
    <t>77 222 Dr</t>
  </si>
  <si>
    <t>530-986-9272</t>
  </si>
  <si>
    <t>mscipione@scipione.com</t>
  </si>
  <si>
    <t>Mirta Buckley</t>
  </si>
  <si>
    <t>34 Raritan Center Pky</t>
  </si>
  <si>
    <t>562-579-6900</t>
  </si>
  <si>
    <t>merissa.tomblin@gmail.com</t>
  </si>
  <si>
    <t>Luisa Maybury</t>
  </si>
  <si>
    <t>Merissa Weeks</t>
  </si>
  <si>
    <t>Erinn Polidori</t>
  </si>
  <si>
    <t>2 Sw Nyberg Rd</t>
  </si>
  <si>
    <t>574-499-1454</t>
  </si>
  <si>
    <t>rkampa@kampa.org</t>
  </si>
  <si>
    <t>Raylene Bergesen</t>
  </si>
  <si>
    <t>Franklyn Bookamer</t>
  </si>
  <si>
    <t>Velma Jurney</t>
  </si>
  <si>
    <t>55713 Lake City Hwy</t>
  </si>
  <si>
    <t>574-656-2800</t>
  </si>
  <si>
    <t>ajeanty@gmail.com</t>
  </si>
  <si>
    <t>Anastasia Miro</t>
  </si>
  <si>
    <t>Rita Boord</t>
  </si>
  <si>
    <t>Marlin Lietz</t>
  </si>
  <si>
    <t>Alline Hughey</t>
  </si>
  <si>
    <t>Markus Poullion</t>
  </si>
  <si>
    <t>89 20th St E #779</t>
  </si>
  <si>
    <t>586-970-7380</t>
  </si>
  <si>
    <t>markus@yahoo.com</t>
  </si>
  <si>
    <t>Roslyn Dixon</t>
  </si>
  <si>
    <t>63517 Dupont St</t>
  </si>
  <si>
    <t>601-234-9632</t>
  </si>
  <si>
    <t>roslyn.chavous@chavous.org</t>
  </si>
  <si>
    <t>Glenna Sharp</t>
  </si>
  <si>
    <t>Billye Caldwell</t>
  </si>
  <si>
    <t>36 Lancaster Dr Se</t>
  </si>
  <si>
    <t>601-567-5386</t>
  </si>
  <si>
    <t>billye_miro@cox.net</t>
  </si>
  <si>
    <t>Elza Royster</t>
  </si>
  <si>
    <t>919 Wall Blvd</t>
  </si>
  <si>
    <t>paz_sahagun@cox.net</t>
  </si>
  <si>
    <t>Paz Daufeldt</t>
  </si>
  <si>
    <t>601-927-8287</t>
  </si>
  <si>
    <t>Mattie Poquette</t>
  </si>
  <si>
    <t>73 State Road 434 E</t>
  </si>
  <si>
    <t>602-277-4385</t>
  </si>
  <si>
    <t>mattie@aol.com</t>
  </si>
  <si>
    <t>Christiane Eschberger</t>
  </si>
  <si>
    <t>96541 W Central Blvd</t>
  </si>
  <si>
    <t>602-390-4944</t>
  </si>
  <si>
    <t>christiane.eschberger@yahoo.com</t>
  </si>
  <si>
    <t>Herminia Jordan</t>
  </si>
  <si>
    <t>Amanda Wilcox</t>
  </si>
  <si>
    <t>Savannah Allen</t>
  </si>
  <si>
    <t>9 W Central Ave</t>
  </si>
  <si>
    <t>602-896-2993</t>
  </si>
  <si>
    <t>elke_sengbusch@yahoo.com</t>
  </si>
  <si>
    <t>Elke Sengbusch</t>
  </si>
  <si>
    <t>Dusty Gibson</t>
  </si>
  <si>
    <t>Arminda Parvis</t>
  </si>
  <si>
    <t>1 Huntwood Ave</t>
  </si>
  <si>
    <t>602-906-9419</t>
  </si>
  <si>
    <t>arminda@parvis.com</t>
  </si>
  <si>
    <t>Dean Harabedian</t>
  </si>
  <si>
    <t>Keneth Borgman</t>
  </si>
  <si>
    <t>86350 Roszel Rd</t>
  </si>
  <si>
    <t>602-919-4211</t>
  </si>
  <si>
    <t>keneth@yahoo.com</t>
  </si>
  <si>
    <t>Luther Cherry</t>
  </si>
  <si>
    <t>4 58th St #3519</t>
  </si>
  <si>
    <t>602-954-5141</t>
  </si>
  <si>
    <t>herminia@nicolozakes.org</t>
  </si>
  <si>
    <t>Herminia Nicolozakes</t>
  </si>
  <si>
    <t>Madeleine Hammond</t>
  </si>
  <si>
    <t>Jettie Mcdoniel</t>
  </si>
  <si>
    <t>66552 Malone Rd</t>
  </si>
  <si>
    <t>603-315-6839</t>
  </si>
  <si>
    <t>dalene.riden@aol.com</t>
  </si>
  <si>
    <t>Dalene Cantres</t>
  </si>
  <si>
    <t>Haywood Emard</t>
  </si>
  <si>
    <t>506 S Hacienda Dr</t>
  </si>
  <si>
    <t>609-228-5265</t>
  </si>
  <si>
    <t>an_fritz@hotmail.com</t>
  </si>
  <si>
    <t>Cindy Hirpara</t>
  </si>
  <si>
    <t>Tyron Paa</t>
  </si>
  <si>
    <t>Sybil Gellinger</t>
  </si>
  <si>
    <t>Catalina Ahle</t>
  </si>
  <si>
    <t>3338 A Lockport Pl #6</t>
  </si>
  <si>
    <t>catalina@hotmail.com</t>
  </si>
  <si>
    <t>Skye Archer</t>
  </si>
  <si>
    <t>25 Minters Chapel Rd #9</t>
  </si>
  <si>
    <t>skye_fillingim@yahoo.com</t>
  </si>
  <si>
    <t>Veronika Sweigard</t>
  </si>
  <si>
    <t>612-508-2655</t>
  </si>
  <si>
    <t>Viva Wolny</t>
  </si>
  <si>
    <t>Vilma Vanausdal</t>
  </si>
  <si>
    <t>79 S Howell Ave</t>
  </si>
  <si>
    <t>616-737-3085</t>
  </si>
  <si>
    <t>vberlanga@berlanga.com</t>
  </si>
  <si>
    <t>Jesus Fillingim</t>
  </si>
  <si>
    <t>25 Se 176th Pl</t>
  </si>
  <si>
    <t>617-365-2134</t>
  </si>
  <si>
    <t>ljurney@hotmail.com</t>
  </si>
  <si>
    <t>Huey Heintzman</t>
  </si>
  <si>
    <t>Dean Cooke</t>
  </si>
  <si>
    <t>Luisa Valdez</t>
  </si>
  <si>
    <t>Latisha Shire</t>
  </si>
  <si>
    <t>Jina Chavous</t>
  </si>
  <si>
    <t>38938 Park Blvd</t>
  </si>
  <si>
    <t>617-399-5124</t>
  </si>
  <si>
    <t>jina_briddick@briddick.com</t>
  </si>
  <si>
    <t>Xochitl Sosa</t>
  </si>
  <si>
    <t>Lenard Mays</t>
  </si>
  <si>
    <t>8 County Center Dr #647</t>
  </si>
  <si>
    <t>617-418-5043</t>
  </si>
  <si>
    <t>oretha_menter@yahoo.com</t>
  </si>
  <si>
    <t>Oretha Schemmer</t>
  </si>
  <si>
    <t>Raul Sahagun</t>
  </si>
  <si>
    <t>Russel Kippley</t>
  </si>
  <si>
    <t>Brett Frankel</t>
  </si>
  <si>
    <t>87895 Concord Rd</t>
  </si>
  <si>
    <t>La Mesa</t>
  </si>
  <si>
    <t>619-461-9984</t>
  </si>
  <si>
    <t>brett.mccullan@mccullan.com</t>
  </si>
  <si>
    <t>Georgene Moran</t>
  </si>
  <si>
    <t>Raul Nachor</t>
  </si>
  <si>
    <t>4 E Colonial Dr</t>
  </si>
  <si>
    <t>619-509-5282</t>
  </si>
  <si>
    <t>rupthegrove@yahoo.com</t>
  </si>
  <si>
    <t>Felix Scott</t>
  </si>
  <si>
    <t>Vincenza Gilmore</t>
  </si>
  <si>
    <t>395 S 6th St #2</t>
  </si>
  <si>
    <t>619-603-5125</t>
  </si>
  <si>
    <t>vzepp@gmail.com</t>
  </si>
  <si>
    <t>Carin Limmel</t>
  </si>
  <si>
    <t>9 N 14th St</t>
  </si>
  <si>
    <t>619-608-1763</t>
  </si>
  <si>
    <t>peggie@cox.net</t>
  </si>
  <si>
    <t>Catarina Byrd</t>
  </si>
  <si>
    <t>Peggie Gray</t>
  </si>
  <si>
    <t>Helene Rodenberger</t>
  </si>
  <si>
    <t>347 Chestnut St</t>
  </si>
  <si>
    <t>623-461-8551</t>
  </si>
  <si>
    <t>helene@aol.com</t>
  </si>
  <si>
    <t>Cory Morasca</t>
  </si>
  <si>
    <t>83649 W Belmont Ave</t>
  </si>
  <si>
    <t>626-572-1096</t>
  </si>
  <si>
    <t>cory.gibes@gmail.com</t>
  </si>
  <si>
    <t>Jerry Hampton</t>
  </si>
  <si>
    <t>Jennifer Castro</t>
  </si>
  <si>
    <t>87 Sierra Rd</t>
  </si>
  <si>
    <t>626-636-4117</t>
  </si>
  <si>
    <t>tfrankel@aol.com</t>
  </si>
  <si>
    <t>Tiera Yori</t>
  </si>
  <si>
    <t>Staci Higgins</t>
  </si>
  <si>
    <t>18 Coronado Ave #563</t>
  </si>
  <si>
    <t>626-866-2339</t>
  </si>
  <si>
    <t>staci_schmaltz@aol.com</t>
  </si>
  <si>
    <t>Desiree Robinson</t>
  </si>
  <si>
    <t>Meghan Ennaco</t>
  </si>
  <si>
    <t>Cecilia Gibes</t>
  </si>
  <si>
    <t>Krissy Barnett</t>
  </si>
  <si>
    <t>94290 S Buchanan St</t>
  </si>
  <si>
    <t>650-473-1262</t>
  </si>
  <si>
    <t>wynell_dorshorst@dorshorst.org</t>
  </si>
  <si>
    <t>Wynell Blackwood</t>
  </si>
  <si>
    <t>Ursula Rochin</t>
  </si>
  <si>
    <t>30 W 80th St #1995</t>
  </si>
  <si>
    <t>650-528-5783</t>
  </si>
  <si>
    <t>brhym@rhym.com</t>
  </si>
  <si>
    <t>Marie Maillard</t>
  </si>
  <si>
    <t>Erin Zepp</t>
  </si>
  <si>
    <t>Edgardo Upthegrove</t>
  </si>
  <si>
    <t>Bobbye Sweely</t>
  </si>
  <si>
    <t>Jerome Sarbacher</t>
  </si>
  <si>
    <t>Antione Bayless</t>
  </si>
  <si>
    <t>4800 Black Horse Pike</t>
  </si>
  <si>
    <t>Burlingame</t>
  </si>
  <si>
    <t>650-803-1936</t>
  </si>
  <si>
    <t>twardrip@cox.net</t>
  </si>
  <si>
    <t>Tammara Paulas</t>
  </si>
  <si>
    <t>Alisha Dilliard</t>
  </si>
  <si>
    <t>Xuan Auffrey</t>
  </si>
  <si>
    <t>2 Monroe St</t>
  </si>
  <si>
    <t>650-933-5072</t>
  </si>
  <si>
    <t>xuan@gmail.com</t>
  </si>
  <si>
    <t>Mozell Frerking</t>
  </si>
  <si>
    <t>577 Parade St</t>
  </si>
  <si>
    <t>650-947-1215</t>
  </si>
  <si>
    <t>mpelkowski@pelkowski.org</t>
  </si>
  <si>
    <t>Devora Emigh</t>
  </si>
  <si>
    <t>Howard Hoa</t>
  </si>
  <si>
    <t>2023 Greg St</t>
  </si>
  <si>
    <t>651-591-2583</t>
  </si>
  <si>
    <t>chantell@yahoo.com</t>
  </si>
  <si>
    <t>Chantell Morocco</t>
  </si>
  <si>
    <t>Lavonda Luczki</t>
  </si>
  <si>
    <t>87 Imperial Ct #79</t>
  </si>
  <si>
    <t>701-898-2154</t>
  </si>
  <si>
    <t>lavonda@cox.net</t>
  </si>
  <si>
    <t>Beckie Garufi</t>
  </si>
  <si>
    <t>Leota Glenn</t>
  </si>
  <si>
    <t>99 5th Ave #33</t>
  </si>
  <si>
    <t>706-221-4243</t>
  </si>
  <si>
    <t>leota.ragel@gmail.com</t>
  </si>
  <si>
    <t>Benton Dinos</t>
  </si>
  <si>
    <t>Glendora Matthews</t>
  </si>
  <si>
    <t>2140 Diamond Blvd</t>
  </si>
  <si>
    <t>Rohnert Park</t>
  </si>
  <si>
    <t>707-653-8214</t>
  </si>
  <si>
    <t>gsarbacher@gmail.com</t>
  </si>
  <si>
    <t>Seymour Bachman</t>
  </si>
  <si>
    <t>Allen Maynard</t>
  </si>
  <si>
    <t>Bok Woodward</t>
  </si>
  <si>
    <t>72119 S Walker Ave #63</t>
  </si>
  <si>
    <t>714-523-6653</t>
  </si>
  <si>
    <t>venita_maillard@gmail.com</t>
  </si>
  <si>
    <t>Venita Nestle</t>
  </si>
  <si>
    <t>Buddy Strong</t>
  </si>
  <si>
    <t>Wendy Burnard</t>
  </si>
  <si>
    <t>60 Fillmore Ave</t>
  </si>
  <si>
    <t>714-584-2237</t>
  </si>
  <si>
    <t>joseph_cryer@cox.net</t>
  </si>
  <si>
    <t>Joseph Lindall</t>
  </si>
  <si>
    <t>Laverne Foller</t>
  </si>
  <si>
    <t>Jodie Munis</t>
  </si>
  <si>
    <t>Daniel Raymo</t>
  </si>
  <si>
    <t>11360 S Halsted St</t>
  </si>
  <si>
    <t>714-771-3880</t>
  </si>
  <si>
    <t>dperruzza@perruzza.com</t>
  </si>
  <si>
    <t>Jolene Tanner</t>
  </si>
  <si>
    <t>Leann Feichtner</t>
  </si>
  <si>
    <t>8 Us Highway 22</t>
  </si>
  <si>
    <t>719-669-1664</t>
  </si>
  <si>
    <t>sherita.saras@cox.net</t>
  </si>
  <si>
    <t>Lilian Ragel</t>
  </si>
  <si>
    <t>Leonardo Hixenbaugh</t>
  </si>
  <si>
    <t>Sherita Haroldson</t>
  </si>
  <si>
    <t>Jaclyn Wrinkles</t>
  </si>
  <si>
    <t>721 Interstate 45 S</t>
  </si>
  <si>
    <t>719-853-3600</t>
  </si>
  <si>
    <t>jaclyn@aol.com</t>
  </si>
  <si>
    <t>Brenton Pugh</t>
  </si>
  <si>
    <t>53075 Sw 152nd Ter #615</t>
  </si>
  <si>
    <t>732-234-1546</t>
  </si>
  <si>
    <t>jamal@vanausdal.org</t>
  </si>
  <si>
    <t>Emma Mai</t>
  </si>
  <si>
    <t>Jamal Colaizzo</t>
  </si>
  <si>
    <t>Bulah Hollack</t>
  </si>
  <si>
    <t>7163 W Clark Rd</t>
  </si>
  <si>
    <t>732-605-4781</t>
  </si>
  <si>
    <t>vrentfro@cox.net</t>
  </si>
  <si>
    <t>Susanna Suell</t>
  </si>
  <si>
    <t>6201 S Nevada Ave</t>
  </si>
  <si>
    <t>732-628-9909</t>
  </si>
  <si>
    <t>golda_kaniecki@yahoo.com</t>
  </si>
  <si>
    <t>Katelyn Hoopengardner</t>
  </si>
  <si>
    <t>Velma Isenhower</t>
  </si>
  <si>
    <t>3273 State St</t>
  </si>
  <si>
    <t>732-658-3154</t>
  </si>
  <si>
    <t>alisha@slusarski.com</t>
  </si>
  <si>
    <t>James Mastella</t>
  </si>
  <si>
    <t>62260 Park Stre</t>
  </si>
  <si>
    <t>732-730-2692</t>
  </si>
  <si>
    <t>tegan.arceo@arceo.org</t>
  </si>
  <si>
    <t>Tegan Caiafa</t>
  </si>
  <si>
    <t>Ofelia Kohnert</t>
  </si>
  <si>
    <t>4 Ralph Ct</t>
  </si>
  <si>
    <t>732-924-7882</t>
  </si>
  <si>
    <t>albina@glick.com</t>
  </si>
  <si>
    <t>Irene Bruschke</t>
  </si>
  <si>
    <t>Steven Centini</t>
  </si>
  <si>
    <t>Albina Weglarz</t>
  </si>
  <si>
    <t>Raul Thompson</t>
  </si>
  <si>
    <t>Wendy Discipio</t>
  </si>
  <si>
    <t>Diann Juhas</t>
  </si>
  <si>
    <t>61304 N French Rd</t>
  </si>
  <si>
    <t>csweigard@sweigard.com</t>
  </si>
  <si>
    <t>Mikel Malet</t>
  </si>
  <si>
    <t>732-941-2621</t>
  </si>
  <si>
    <t>Fabiola Hooper</t>
  </si>
  <si>
    <t>278 Bayview Ave</t>
  </si>
  <si>
    <t>734-561-6170</t>
  </si>
  <si>
    <t>quentin_swayze@yahoo.com</t>
  </si>
  <si>
    <t>Quentin Corbley</t>
  </si>
  <si>
    <t>Chaya Canlas</t>
  </si>
  <si>
    <t>560 Civic Center Dr</t>
  </si>
  <si>
    <t>734-928-5182</t>
  </si>
  <si>
    <t>chaya@malvin.com</t>
  </si>
  <si>
    <t>Eusebio Holt</t>
  </si>
  <si>
    <t>105 Richmond Valley Rd</t>
  </si>
  <si>
    <t>760-291-5497</t>
  </si>
  <si>
    <t>clorinda.heimann@hotmail.com</t>
  </si>
  <si>
    <t>Clorinda Rodeigues</t>
  </si>
  <si>
    <t>Mariana Louissant</t>
  </si>
  <si>
    <t>Muriel Plumer</t>
  </si>
  <si>
    <t>Gail Matuszak</t>
  </si>
  <si>
    <t>62 Monroe St</t>
  </si>
  <si>
    <t>760-616-5388</t>
  </si>
  <si>
    <t>gail_similton@similton.com</t>
  </si>
  <si>
    <t>Olive Palaspas</t>
  </si>
  <si>
    <t>Olive Dorshorst</t>
  </si>
  <si>
    <t>13252 Lighthouse Ave</t>
  </si>
  <si>
    <t>760-938-6069</t>
  </si>
  <si>
    <t>olive@aol.com</t>
  </si>
  <si>
    <t>Art Pawlowicz</t>
  </si>
  <si>
    <t>Audry Kitzman</t>
  </si>
  <si>
    <t>Madeleine Seewald</t>
  </si>
  <si>
    <t>3989 Portage Tr</t>
  </si>
  <si>
    <t>Escondido</t>
  </si>
  <si>
    <t>cristy@lother.com</t>
  </si>
  <si>
    <t>Lillian Mathis</t>
  </si>
  <si>
    <t>760-971-4322</t>
  </si>
  <si>
    <t>Cristy Rubio</t>
  </si>
  <si>
    <t>Trent Andreason</t>
  </si>
  <si>
    <t>Gilma Flosi</t>
  </si>
  <si>
    <t>26 Montgomery St</t>
  </si>
  <si>
    <t>770-679-4752</t>
  </si>
  <si>
    <t>renea@hotmail.com</t>
  </si>
  <si>
    <t>Renea Fallick</t>
  </si>
  <si>
    <t>Golda Acuff</t>
  </si>
  <si>
    <t>Rebecka Tollner</t>
  </si>
  <si>
    <t>45 2nd Ave #9759</t>
  </si>
  <si>
    <t>770-732-1194</t>
  </si>
  <si>
    <t>sarah.candlish@gmail.com</t>
  </si>
  <si>
    <t>Rosio Batman</t>
  </si>
  <si>
    <t>Sarah Lacovara</t>
  </si>
  <si>
    <t>Izetta Christian</t>
  </si>
  <si>
    <t>82 Winsor St #54</t>
  </si>
  <si>
    <t>770-844-3447</t>
  </si>
  <si>
    <t>izetta.funnell@hotmail.com</t>
  </si>
  <si>
    <t>Skye Toelkes</t>
  </si>
  <si>
    <t>Nichelle Boulter</t>
  </si>
  <si>
    <t>72 Beechwood Ter</t>
  </si>
  <si>
    <t>nichelle_meteer@meteer.com</t>
  </si>
  <si>
    <t>Dulce Garza</t>
  </si>
  <si>
    <t>773-225-9985</t>
  </si>
  <si>
    <t>Carmen Day</t>
  </si>
  <si>
    <t>4284 Dorigo Ln</t>
  </si>
  <si>
    <t>773-446-5569</t>
  </si>
  <si>
    <t>viva.toelkes@gmail.com</t>
  </si>
  <si>
    <t>Viva Loder</t>
  </si>
  <si>
    <t>Buford Monarrez</t>
  </si>
  <si>
    <t>Marla Caudy</t>
  </si>
  <si>
    <t>Carmela Mcpherson</t>
  </si>
  <si>
    <t>9 Murfreesboro Rd</t>
  </si>
  <si>
    <t>773-494-4195</t>
  </si>
  <si>
    <t>ccookey@cookey.org</t>
  </si>
  <si>
    <t>Heike Holder</t>
  </si>
  <si>
    <t>Mitsue Gudroe</t>
  </si>
  <si>
    <t>7 Eads St</t>
  </si>
  <si>
    <t>773-573-6914</t>
  </si>
  <si>
    <t>mitsue_tollner@yahoo.com</t>
  </si>
  <si>
    <t>Loreta Duenas</t>
  </si>
  <si>
    <t>45 E Acacia Ct</t>
  </si>
  <si>
    <t>773-704-9903</t>
  </si>
  <si>
    <t>erick_nievas@aol.com</t>
  </si>
  <si>
    <t>Erick Henderson</t>
  </si>
  <si>
    <t>Cordelia Klusman</t>
  </si>
  <si>
    <t>4 Warehouse Point Rd #7</t>
  </si>
  <si>
    <t>773-775-4522</t>
  </si>
  <si>
    <t>marti.maybury@yahoo.com</t>
  </si>
  <si>
    <t>Marti Tillotson</t>
  </si>
  <si>
    <t>Haydee Dewar</t>
  </si>
  <si>
    <t>8284 Hart St</t>
  </si>
  <si>
    <t>785-347-1805</t>
  </si>
  <si>
    <t>carlee.boulter@hotmail.com</t>
  </si>
  <si>
    <t>Carlee Reitler</t>
  </si>
  <si>
    <t>Kirsten Lizama</t>
  </si>
  <si>
    <t>6980 Dorsett Rd</t>
  </si>
  <si>
    <t>785-463-7829</t>
  </si>
  <si>
    <t>kati.rulapaugh@hotmail.com</t>
  </si>
  <si>
    <t>Kati Tagala</t>
  </si>
  <si>
    <t>Gerardo Cousey</t>
  </si>
  <si>
    <t>Kimberlie Syrop</t>
  </si>
  <si>
    <t>8100 Jacksonville Rd #7</t>
  </si>
  <si>
    <t>785-629-8542</t>
  </si>
  <si>
    <t>kimberlie_duenas@yahoo.com</t>
  </si>
  <si>
    <t>Annabelle Marrier</t>
  </si>
  <si>
    <t>Shawna Theodorov</t>
  </si>
  <si>
    <t>5 N Cleveland Massillon Rd</t>
  </si>
  <si>
    <t>805-275-3566</t>
  </si>
  <si>
    <t>shawna_palaspas@palaspas.org</t>
  </si>
  <si>
    <t>Melodie Westerbeck</t>
  </si>
  <si>
    <t>326 E Main St #6496</t>
  </si>
  <si>
    <t>805-690-1682</t>
  </si>
  <si>
    <t>mknipp@gmail.com</t>
  </si>
  <si>
    <t>Brandon Hochard</t>
  </si>
  <si>
    <t>7 Benton Dr</t>
  </si>
  <si>
    <t>808-215-6832</t>
  </si>
  <si>
    <t>brandon_callaro@hotmail.com</t>
  </si>
  <si>
    <t>Gearldine Gotter</t>
  </si>
  <si>
    <t>Joseph Dopico</t>
  </si>
  <si>
    <t>65 W Maple Ave</t>
  </si>
  <si>
    <t>808-315-3077</t>
  </si>
  <si>
    <t>rolande.spickerman@spickerman.com</t>
  </si>
  <si>
    <t>Joesph Nunlee</t>
  </si>
  <si>
    <t>Rolande Cuevas</t>
  </si>
  <si>
    <t>Novella Ross</t>
  </si>
  <si>
    <t>303 N Radcliffe St</t>
  </si>
  <si>
    <t>808-477-4775</t>
  </si>
  <si>
    <t>novella_degroot@degroot.org</t>
  </si>
  <si>
    <t>Angella Crosby</t>
  </si>
  <si>
    <t>185 Blackstone Bldge</t>
  </si>
  <si>
    <t>angella.cetta@hotmail.com</t>
  </si>
  <si>
    <t>Josephine Slusarski</t>
  </si>
  <si>
    <t>4 B Blue Ridge Blvd</t>
  </si>
  <si>
    <t>810-292-9388</t>
  </si>
  <si>
    <t>josephine_darakjy@darakjy.org</t>
  </si>
  <si>
    <t>Katy Fritz</t>
  </si>
  <si>
    <t>Jonas Brideau</t>
  </si>
  <si>
    <t>Kristofer Corrington</t>
  </si>
  <si>
    <t>772 W River Dr</t>
  </si>
  <si>
    <t>812-368-1511</t>
  </si>
  <si>
    <t>kristofer.bennick@yahoo.com</t>
  </si>
  <si>
    <t>Candida Skulski</t>
  </si>
  <si>
    <t>8 Fair Lawn Ave</t>
  </si>
  <si>
    <t>813-769-2939</t>
  </si>
  <si>
    <t>lorrine.worlds@worlds.com</t>
  </si>
  <si>
    <t>Lorrine Yaw</t>
  </si>
  <si>
    <t>Dusty Estell</t>
  </si>
  <si>
    <t>70295 Pioneer Ct</t>
  </si>
  <si>
    <t>813-797-4816</t>
  </si>
  <si>
    <t>audry.yaw@yaw.org</t>
  </si>
  <si>
    <t>Aldo Zavala</t>
  </si>
  <si>
    <t>Audry Gato</t>
  </si>
  <si>
    <t>Savannah Jillson</t>
  </si>
  <si>
    <t>Fletcher Butt</t>
  </si>
  <si>
    <t>394 Manchester Blvd</t>
  </si>
  <si>
    <t>815-828-2147</t>
  </si>
  <si>
    <t>fletcher.flosi@yahoo.com</t>
  </si>
  <si>
    <t>Merilyn Edwards</t>
  </si>
  <si>
    <t>Diane Suffield</t>
  </si>
  <si>
    <t>1953 Telegraph Rd</t>
  </si>
  <si>
    <t>816-557-9673</t>
  </si>
  <si>
    <t>diane@cox.net</t>
  </si>
  <si>
    <t>Vilma Parlato</t>
  </si>
  <si>
    <t>Sonia Dhamer</t>
  </si>
  <si>
    <t>Tyra Paul</t>
  </si>
  <si>
    <t>4 Otis St</t>
  </si>
  <si>
    <t>818-423-4007</t>
  </si>
  <si>
    <t>shenika@gmail.com</t>
  </si>
  <si>
    <t>Shenika Pedrozo</t>
  </si>
  <si>
    <t>Stephaine Mcrae</t>
  </si>
  <si>
    <t>Viola Gallagher</t>
  </si>
  <si>
    <t>70 Mechanic St</t>
  </si>
  <si>
    <t>Northridge</t>
  </si>
  <si>
    <t>818-864-4875</t>
  </si>
  <si>
    <t>viola@gmail.com</t>
  </si>
  <si>
    <t>Daron Acevedo</t>
  </si>
  <si>
    <t>18 Waterloo Geneva Rd</t>
  </si>
  <si>
    <t>847-233-3075</t>
  </si>
  <si>
    <t>daron_dinos@cox.net</t>
  </si>
  <si>
    <t>Gerald Konopacki</t>
  </si>
  <si>
    <t>Trina Bush</t>
  </si>
  <si>
    <t>Kimbery Roberts</t>
  </si>
  <si>
    <t>73 W Barstow Ave</t>
  </si>
  <si>
    <t>847-353-2156</t>
  </si>
  <si>
    <t>wacuff@gmail.com</t>
  </si>
  <si>
    <t>Weldon Shinko</t>
  </si>
  <si>
    <t>Cassi Stein</t>
  </si>
  <si>
    <t>26849 Jefferson Hwy</t>
  </si>
  <si>
    <t>847-633-3216</t>
  </si>
  <si>
    <t>cassi.wildfong@aol.com</t>
  </si>
  <si>
    <t>Jesus Farrar</t>
  </si>
  <si>
    <t>Latisha Oldroyd</t>
  </si>
  <si>
    <t>Refugio Love</t>
  </si>
  <si>
    <t>37 Alabama Ave</t>
  </si>
  <si>
    <t>847-728-7286</t>
  </si>
  <si>
    <t>lai.gato@gato.org</t>
  </si>
  <si>
    <t>Mona Collier</t>
  </si>
  <si>
    <t>Doyle Rulapaugh</t>
  </si>
  <si>
    <t>Lai Shields</t>
  </si>
  <si>
    <t>Tracey Storment</t>
  </si>
  <si>
    <t>44 58th St</t>
  </si>
  <si>
    <t>847-979-9545</t>
  </si>
  <si>
    <t>jfallick@yahoo.com</t>
  </si>
  <si>
    <t>Jennifer Riggs</t>
  </si>
  <si>
    <t>Chantell Harrington</t>
  </si>
  <si>
    <t>189 Village Park Rd</t>
  </si>
  <si>
    <t>850-430-1663</t>
  </si>
  <si>
    <t>marge@gmail.com</t>
  </si>
  <si>
    <t>Marge Pinilla</t>
  </si>
  <si>
    <t>Matthew Delasancha</t>
  </si>
  <si>
    <t>9939 N 14th St</t>
  </si>
  <si>
    <t>856-305-9731</t>
  </si>
  <si>
    <t>fpoullion@poullion.com</t>
  </si>
  <si>
    <t>Vilma Yum</t>
  </si>
  <si>
    <t>43496 Commercial Dr #29</t>
  </si>
  <si>
    <t>856-312-2629</t>
  </si>
  <si>
    <t>alpha@yahoo.com</t>
  </si>
  <si>
    <t>Sonia Padilla</t>
  </si>
  <si>
    <t>Emerson Hoogland</t>
  </si>
  <si>
    <t>501 N 19th Ave</t>
  </si>
  <si>
    <t>lizette.stem@aol.com</t>
  </si>
  <si>
    <t>Lizette Gesick</t>
  </si>
  <si>
    <t>856-487-5412</t>
  </si>
  <si>
    <t>Albina Gochal</t>
  </si>
  <si>
    <t>Angelita Karpin</t>
  </si>
  <si>
    <t>8 W Cerritos Ave #54</t>
  </si>
  <si>
    <t>856-636-8749</t>
  </si>
  <si>
    <t>art@venere.org</t>
  </si>
  <si>
    <t>Myrna Rodefer</t>
  </si>
  <si>
    <t>Dona Tromblay</t>
  </si>
  <si>
    <t>Dorothy Benimadho</t>
  </si>
  <si>
    <t>469 Outwater Ln</t>
  </si>
  <si>
    <t>San Diego</t>
  </si>
  <si>
    <t>858-617-7834</t>
  </si>
  <si>
    <t>dorothy@cox.net</t>
  </si>
  <si>
    <t>Landon Stone</t>
  </si>
  <si>
    <t>Angelita Pelkowski</t>
  </si>
  <si>
    <t>Chauncey Wong</t>
  </si>
  <si>
    <t>1 Century Park E</t>
  </si>
  <si>
    <t>858-793-9684</t>
  </si>
  <si>
    <t>mari_lueckenbach@yahoo.com</t>
  </si>
  <si>
    <t>Mari Bitsuie</t>
  </si>
  <si>
    <t>Rolande Honeywell</t>
  </si>
  <si>
    <t>97 Airport Loop Dr</t>
  </si>
  <si>
    <t>904-235-3633</t>
  </si>
  <si>
    <t>gracia@melnyk.com</t>
  </si>
  <si>
    <t>Gracia Staback</t>
  </si>
  <si>
    <t>Arlette Cetta</t>
  </si>
  <si>
    <t>11279 Loytan St</t>
  </si>
  <si>
    <t>904-775-4480</t>
  </si>
  <si>
    <t>ahoneywell@honeywell.com</t>
  </si>
  <si>
    <t>Roxane Campain</t>
  </si>
  <si>
    <t>1048 Main St</t>
  </si>
  <si>
    <t>907-231-4722</t>
  </si>
  <si>
    <t>roxane@hotmail.com</t>
  </si>
  <si>
    <t>Refugio James</t>
  </si>
  <si>
    <t>639 Main St</t>
  </si>
  <si>
    <t>907-385-4412</t>
  </si>
  <si>
    <t>lpaprocki@hotmail.com</t>
  </si>
  <si>
    <t>Lenna Paprocki</t>
  </si>
  <si>
    <t>Doyle Brooks</t>
  </si>
  <si>
    <t>Gail Kitty</t>
  </si>
  <si>
    <t>735 Crawford Dr</t>
  </si>
  <si>
    <t>907-435-9166</t>
  </si>
  <si>
    <t>gail@kitty.com</t>
  </si>
  <si>
    <t>Penney Weight</t>
  </si>
  <si>
    <t>18 Fountain St</t>
  </si>
  <si>
    <t>907-797-9628</t>
  </si>
  <si>
    <t>penney_weight@aol.com</t>
  </si>
  <si>
    <t>Ofelia Miller</t>
  </si>
  <si>
    <t>Wendy Krause</t>
  </si>
  <si>
    <t>Steven Bruce</t>
  </si>
  <si>
    <t>Wilda Giguere</t>
  </si>
  <si>
    <t>1747 Calle Amanecer #2</t>
  </si>
  <si>
    <t>907-870-5536</t>
  </si>
  <si>
    <t>wilda@cox.net</t>
  </si>
  <si>
    <t>Graciela Schieler</t>
  </si>
  <si>
    <t>406 Main St</t>
  </si>
  <si>
    <t>908-275-8357</t>
  </si>
  <si>
    <t>candida_corbley@hotmail.com</t>
  </si>
  <si>
    <t>Erick Fern</t>
  </si>
  <si>
    <t>3732 Sherman Ave</t>
  </si>
  <si>
    <t>portia.stimmel@aol.com</t>
  </si>
  <si>
    <t>Portia Julia</t>
  </si>
  <si>
    <t>908-722-7128</t>
  </si>
  <si>
    <t>Ann Bubash</t>
  </si>
  <si>
    <t>50 E Wacker Dr</t>
  </si>
  <si>
    <t>908-802-3564</t>
  </si>
  <si>
    <t>jmconnell@hotmail.com</t>
  </si>
  <si>
    <t>Adriana Meinerding</t>
  </si>
  <si>
    <t>Karl Rose</t>
  </si>
  <si>
    <t>76 Brooks St #9</t>
  </si>
  <si>
    <t>908-877-6135</t>
  </si>
  <si>
    <t>karl_klonowski@yahoo.com</t>
  </si>
  <si>
    <t>Elke Benson</t>
  </si>
  <si>
    <t>30553 Washington Rd</t>
  </si>
  <si>
    <t>908-877-8409</t>
  </si>
  <si>
    <t>becky.mirafuentes@mirafuentes.com</t>
  </si>
  <si>
    <t>Becky Toyama</t>
  </si>
  <si>
    <t>Tyron Barton</t>
  </si>
  <si>
    <t>4 S Washington Ave</t>
  </si>
  <si>
    <t>909-430-7765</t>
  </si>
  <si>
    <t>aonofrio@onofrio.com</t>
  </si>
  <si>
    <t>Haywood Hayes</t>
  </si>
  <si>
    <t>Antione Wardrip</t>
  </si>
  <si>
    <t>Lindsey Saras</t>
  </si>
  <si>
    <t>52777 Leaders Heights Rd</t>
  </si>
  <si>
    <t>909-639-9887</t>
  </si>
  <si>
    <t>lindsey.dilello@hotmail.com</t>
  </si>
  <si>
    <t>Justine Moody</t>
  </si>
  <si>
    <t>48 Stratford Ave</t>
  </si>
  <si>
    <t>909-993-3242</t>
  </si>
  <si>
    <t>jferrario@hotmail.com</t>
  </si>
  <si>
    <t>Brittni Buzick</t>
  </si>
  <si>
    <t>1482 College Ave</t>
  </si>
  <si>
    <t>910-922-3672</t>
  </si>
  <si>
    <t>lonna_diestel@gmail.com</t>
  </si>
  <si>
    <t>Lonna Denooyer</t>
  </si>
  <si>
    <t>Huey Kulzer</t>
  </si>
  <si>
    <t>86 Nw 66th St #8673</t>
  </si>
  <si>
    <t>chanel.caudy@caudy.org</t>
  </si>
  <si>
    <t>Dean Ferrell</t>
  </si>
  <si>
    <t>913-388-2079</t>
  </si>
  <si>
    <t>Chanel Tomasulo</t>
  </si>
  <si>
    <t>Dyan Saylors</t>
  </si>
  <si>
    <t>7219 Woodfield Rd</t>
  </si>
  <si>
    <t>913-413-4604</t>
  </si>
  <si>
    <t>doldroyd@aol.com</t>
  </si>
  <si>
    <t>Dona Auber</t>
  </si>
  <si>
    <t>Myrna Huffman</t>
  </si>
  <si>
    <t>Kerry Onofrio</t>
  </si>
  <si>
    <t>6916 W Main St</t>
  </si>
  <si>
    <t>916-591-3277</t>
  </si>
  <si>
    <t>kerry.theodorov@gmail.com</t>
  </si>
  <si>
    <t>Delores Kohl</t>
  </si>
  <si>
    <t>Jodie Reiber</t>
  </si>
  <si>
    <t>Lashon Fry</t>
  </si>
  <si>
    <t>433 Westminster Blvd #590</t>
  </si>
  <si>
    <t>916-741-7884</t>
  </si>
  <si>
    <t>lashon@aol.com</t>
  </si>
  <si>
    <t>Jani Nelson</t>
  </si>
  <si>
    <t>5 Washington St #1</t>
  </si>
  <si>
    <t>916-920-3571</t>
  </si>
  <si>
    <t>tankeny@ankeny.org</t>
  </si>
  <si>
    <t>Thaddeus Samara</t>
  </si>
  <si>
    <t>Beatrice Latzke</t>
  </si>
  <si>
    <t>749 W 18th St #45</t>
  </si>
  <si>
    <t>919-533-3762</t>
  </si>
  <si>
    <t>lezlie.craghead@craghead.org</t>
  </si>
  <si>
    <t>Aja Liukko</t>
  </si>
  <si>
    <t>Lezlie Herritt</t>
  </si>
  <si>
    <t>Karen Mallett</t>
  </si>
  <si>
    <t>987 Main St</t>
  </si>
  <si>
    <t>919-623-2524</t>
  </si>
  <si>
    <t>lnewville@newville.com</t>
  </si>
  <si>
    <t>Alma Isaacs</t>
  </si>
  <si>
    <t>Teresa Shealy</t>
  </si>
  <si>
    <t>Lenna Tolfree</t>
  </si>
  <si>
    <t>Dale Cryer</t>
  </si>
  <si>
    <t>98 University Dr</t>
  </si>
  <si>
    <t>925-615-5185</t>
  </si>
  <si>
    <t>gmontezuma@cox.net</t>
  </si>
  <si>
    <t>Georgene Buemi</t>
  </si>
  <si>
    <t>San Ramon</t>
  </si>
  <si>
    <t>Clare Mccullan</t>
  </si>
  <si>
    <t>Marguerita Perruzza</t>
  </si>
  <si>
    <t>82 N Highway 67</t>
  </si>
  <si>
    <t>925-634-7158</t>
  </si>
  <si>
    <t>marguerita.hiatt@gmail.com</t>
  </si>
  <si>
    <t>Micaela Keneipp</t>
  </si>
  <si>
    <t>20932 Hedley St</t>
  </si>
  <si>
    <t>925-647-3298</t>
  </si>
  <si>
    <t>micaela_rhymes@gmail.com</t>
  </si>
  <si>
    <t>Yolando Waycott</t>
  </si>
  <si>
    <t>Ozell Pacheco</t>
  </si>
  <si>
    <t>Stevie Lueckenbach</t>
  </si>
  <si>
    <t>26659 N 13th St</t>
  </si>
  <si>
    <t>949-867-4077</t>
  </si>
  <si>
    <t>stevie.westerbeck@yahoo.com</t>
  </si>
  <si>
    <t>Ilene Warren</t>
  </si>
  <si>
    <t>Sheridan Compton</t>
  </si>
  <si>
    <t>2409 Alabama Rd</t>
  </si>
  <si>
    <t>951-645-3605</t>
  </si>
  <si>
    <t>sheridan.zane@zane.com</t>
  </si>
  <si>
    <t>Cyndy Kaniecki</t>
  </si>
  <si>
    <t>170 Wyoming Ave</t>
  </si>
  <si>
    <t>952-334-9408</t>
  </si>
  <si>
    <t>cgoldammer@cox.net</t>
  </si>
  <si>
    <t>An Bolognia</t>
  </si>
  <si>
    <t>636 Commerce Dr #42</t>
  </si>
  <si>
    <t>952-651-7597</t>
  </si>
  <si>
    <t>mneither@yahoo.com</t>
  </si>
  <si>
    <t>Alline Vocelka</t>
  </si>
  <si>
    <t>Matthew Springe</t>
  </si>
  <si>
    <t>Quentin Carpenter</t>
  </si>
  <si>
    <t>7061 N 2nd St</t>
  </si>
  <si>
    <t>952-702-7993</t>
  </si>
  <si>
    <t>qbirkner@aol.com</t>
  </si>
  <si>
    <t>Ezekiel Hellickson</t>
  </si>
  <si>
    <t>Fatima Madarang</t>
  </si>
  <si>
    <t>2 Lighthouse Ave</t>
  </si>
  <si>
    <t>952-768-2416</t>
  </si>
  <si>
    <t>fsaylors@saylors.org</t>
  </si>
  <si>
    <t>Allen Slayton</t>
  </si>
  <si>
    <t>78 Maryland Dr #146</t>
  </si>
  <si>
    <t>973-210-3994</t>
  </si>
  <si>
    <t>catarina_gleich@hotmail.com</t>
  </si>
  <si>
    <t>Seymour Scheyer</t>
  </si>
  <si>
    <t>Iluminada Espinoza</t>
  </si>
  <si>
    <t>1 N Harlem Ave #9</t>
  </si>
  <si>
    <t>973-245-2133</t>
  </si>
  <si>
    <t>talia_riopelle@aol.com</t>
  </si>
  <si>
    <t>Talia Biddy</t>
  </si>
  <si>
    <t>Arminda Weirather</t>
  </si>
  <si>
    <t>798 Lund Farm Way</t>
  </si>
  <si>
    <t>973-310-1634</t>
  </si>
  <si>
    <t>kimbery_madarang@cox.net</t>
  </si>
  <si>
    <t>Josephine Albares</t>
  </si>
  <si>
    <t>47565 W Grand Ave</t>
  </si>
  <si>
    <t>973-354-2040</t>
  </si>
  <si>
    <t>delisa.crupi@crupi.com</t>
  </si>
  <si>
    <t>Leonora Blunk</t>
  </si>
  <si>
    <t>3381 E 40th Ave</t>
  </si>
  <si>
    <t>973-412-2995</t>
  </si>
  <si>
    <t>leonora@yahoo.com</t>
  </si>
  <si>
    <t>Alma Rowling</t>
  </si>
  <si>
    <t>993 Washington Ave</t>
  </si>
  <si>
    <t>973-544-2677</t>
  </si>
  <si>
    <t>aja_gehrett@hotmail.com</t>
  </si>
  <si>
    <t>Selena Saunders</t>
  </si>
  <si>
    <t>Malik Villanueva</t>
  </si>
  <si>
    <t>Karen Martabano</t>
  </si>
  <si>
    <t>Teresa Thyberg</t>
  </si>
  <si>
    <t>Shenika Ruta</t>
  </si>
  <si>
    <t>9745 W Main St</t>
  </si>
  <si>
    <t>973-545-7355</t>
  </si>
  <si>
    <t>irma.wolfgramm@hotmail.com</t>
  </si>
  <si>
    <t>Irma Lorens</t>
  </si>
  <si>
    <t>Lai Rim</t>
  </si>
  <si>
    <t>2726 Charcot Ave</t>
  </si>
  <si>
    <t>973-649-2922</t>
  </si>
  <si>
    <t>rolland@cox.net</t>
  </si>
  <si>
    <t>Kanisha Uyetake</t>
  </si>
  <si>
    <t>Melody Modzelewski</t>
  </si>
  <si>
    <t>9 Waydell St</t>
  </si>
  <si>
    <t>973-714-1721</t>
  </si>
  <si>
    <t>yvonne.tjepkema@hotmail.com</t>
  </si>
  <si>
    <t>Nolan Bartolet</t>
  </si>
  <si>
    <t>Milton Keetch</t>
  </si>
  <si>
    <t>Modesto Nolan</t>
  </si>
  <si>
    <t>Eladia Stuer</t>
  </si>
  <si>
    <t>88 Sw 28th Ter</t>
  </si>
  <si>
    <t>nu@gmail.com</t>
  </si>
  <si>
    <t>Liz Ehmann</t>
  </si>
  <si>
    <t>13 S Hacienda Dr</t>
  </si>
  <si>
    <t>973-767-3008</t>
  </si>
  <si>
    <t>erinn.canlas@canlas.com</t>
  </si>
  <si>
    <t>Luther Radde</t>
  </si>
  <si>
    <t>Jerry Hauenstein</t>
  </si>
  <si>
    <t>Erinn Bowley</t>
  </si>
  <si>
    <t>Truman Ostolaza</t>
  </si>
  <si>
    <t>539 Coldwater Canyon Ave</t>
  </si>
  <si>
    <t>973-852-2736</t>
  </si>
  <si>
    <t>tfeichtner@yahoo.com</t>
  </si>
  <si>
    <t>Jose Cloney</t>
  </si>
  <si>
    <t>Elza Shin</t>
  </si>
  <si>
    <t>6794 Lake Dr E</t>
  </si>
  <si>
    <t>973-927-3447</t>
  </si>
  <si>
    <t>elza@yahoo.com</t>
  </si>
  <si>
    <t>Lizette Wieser</t>
  </si>
  <si>
    <t>Heike Dallen</t>
  </si>
  <si>
    <t>3 Railway Ave #75</t>
  </si>
  <si>
    <t>973-936-5095</t>
  </si>
  <si>
    <t>heike@gmail.com</t>
  </si>
  <si>
    <t>Lillian Witten</t>
  </si>
  <si>
    <t>Trent Kownacki</t>
  </si>
  <si>
    <t>Junita Munns</t>
  </si>
  <si>
    <t>6 S Broadway St</t>
  </si>
  <si>
    <t>973-943-3423</t>
  </si>
  <si>
    <t>jbrideau@aol.com</t>
  </si>
  <si>
    <t>Andra Klang</t>
  </si>
  <si>
    <t>Katina Devreese</t>
  </si>
  <si>
    <t>5 Little River Tpke</t>
  </si>
  <si>
    <t>katina_polidori@aol.com</t>
  </si>
  <si>
    <t>Daron Maynerich</t>
  </si>
  <si>
    <t>523 Marquette Ave</t>
  </si>
  <si>
    <t>978-697-6263</t>
  </si>
  <si>
    <t>annabelle.boord@cox.net</t>
  </si>
  <si>
    <t>Annabelle Brachle</t>
  </si>
  <si>
    <t>Larae Douglas</t>
  </si>
  <si>
    <t>6651 Municipal Rd</t>
  </si>
  <si>
    <t>985-890-7262</t>
  </si>
  <si>
    <t>larae_gudroe@gmail.com</t>
  </si>
  <si>
    <t>Overall Ranking</t>
  </si>
  <si>
    <t>Number of customers without a phone number.</t>
  </si>
  <si>
    <t xml:space="preserve">The total amount of money spent between all customers.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</si>
</sst>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7" formatCode="&quot;$&quot;#,##0.00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20"/>
      <name val="Arial"/>
      <family val="2"/>
      <scheme val="minor"/>
    </font>
    <font>
      <sz val="11"/>
      <color rgb="FF3F3F3F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3" fillId="0" borderId="0" applyNumberFormat="0" applyFill="0" applyBorder="0" applyAlignment="0" applyProtection="0"/>
    <xf numFmtId="0" fontId="6" fillId="0" borderId="12" applyNumberFormat="0" applyFill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3" xfId="4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5" applyBorder="1"/>
    <xf numFmtId="0" fontId="2" fillId="0" borderId="0" xfId="2" applyBorder="1" applyAlignment="1">
      <alignment horizontal="left"/>
    </xf>
    <xf numFmtId="0" fontId="4" fillId="2" borderId="2" xfId="3" applyAlignment="1">
      <alignment horizontal="left"/>
    </xf>
    <xf numFmtId="0" fontId="6" fillId="0" borderId="0" xfId="0" applyFont="1" applyAlignment="1">
      <alignment horizontal="center" vertical="top" wrapText="1"/>
    </xf>
    <xf numFmtId="14" fontId="6" fillId="0" borderId="0" xfId="0" applyNumberFormat="1" applyFont="1" applyAlignment="1">
      <alignment horizontal="center" vertical="top" wrapText="1"/>
    </xf>
    <xf numFmtId="14" fontId="0" fillId="0" borderId="0" xfId="0" applyNumberFormat="1" applyAlignment="1">
      <alignment vertical="center"/>
    </xf>
    <xf numFmtId="14" fontId="5" fillId="3" borderId="3" xfId="4" applyNumberFormat="1"/>
    <xf numFmtId="0" fontId="5" fillId="3" borderId="3" xfId="4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21" xfId="0" applyFont="1" applyBorder="1" applyAlignment="1">
      <alignment horizontal="center" vertical="top" wrapText="1"/>
    </xf>
    <xf numFmtId="167" fontId="6" fillId="0" borderId="22" xfId="0" applyNumberFormat="1" applyFont="1" applyBorder="1" applyAlignment="1">
      <alignment horizontal="center" vertical="top"/>
    </xf>
    <xf numFmtId="0" fontId="6" fillId="0" borderId="21" xfId="6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</cellXfs>
  <cellStyles count="7">
    <cellStyle name="Comma" xfId="1" builtinId="3"/>
    <cellStyle name="Heading 1" xfId="2" builtinId="16"/>
    <cellStyle name="Heading 4" xfId="5" builtinId="19"/>
    <cellStyle name="Input" xfId="3" builtinId="20" customBuiltin="1"/>
    <cellStyle name="Normal" xfId="0" builtinId="0"/>
    <cellStyle name="Output" xfId="4" builtinId="21" customBuiltin="1"/>
    <cellStyle name="Total" xfId="6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YUI Colors">
      <a:dk1>
        <a:sysClr val="windowText" lastClr="000000"/>
      </a:dk1>
      <a:lt1>
        <a:sysClr val="window" lastClr="FFFFFF"/>
      </a:lt1>
      <a:dk2>
        <a:srgbClr val="006EB6"/>
      </a:dk2>
      <a:lt2>
        <a:srgbClr val="8DD3EE"/>
      </a:lt2>
      <a:accent1>
        <a:srgbClr val="80C140"/>
      </a:accent1>
      <a:accent2>
        <a:srgbClr val="A5216F"/>
      </a:accent2>
      <a:accent3>
        <a:srgbClr val="E42226"/>
      </a:accent3>
      <a:accent4>
        <a:srgbClr val="F7941D"/>
      </a:accent4>
      <a:accent5>
        <a:srgbClr val="FFE066"/>
      </a:accent5>
      <a:accent6>
        <a:srgbClr val="ADADAD"/>
      </a:accent6>
      <a:hlink>
        <a:srgbClr val="006EB6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0019-552A-45C5-B068-E74674643AB4}">
  <sheetPr codeName="Sheet2">
    <tabColor theme="8" tint="0.39997558519241921"/>
  </sheetPr>
  <dimension ref="A1:I17"/>
  <sheetViews>
    <sheetView showGridLines="0" tabSelected="1" workbookViewId="0">
      <selection activeCell="E15" sqref="E15"/>
    </sheetView>
    <sheetView showGridLines="0" tabSelected="1" workbookViewId="1">
      <selection activeCell="G15" sqref="G15"/>
    </sheetView>
  </sheetViews>
  <sheetFormatPr defaultColWidth="0" defaultRowHeight="20.100000000000001" customHeight="1" zeroHeight="1" x14ac:dyDescent="0.25"/>
  <cols>
    <col min="1" max="2" width="4.59765625" customWidth="1"/>
    <col min="3" max="3" width="18.3984375" customWidth="1"/>
    <col min="4" max="4" width="4.59765625" customWidth="1"/>
    <col min="5" max="5" width="16.8984375" customWidth="1"/>
    <col min="6" max="6" width="4.59765625" customWidth="1"/>
    <col min="7" max="7" width="17.5" customWidth="1"/>
    <col min="8" max="9" width="4.59765625" customWidth="1"/>
    <col min="10" max="16384" width="10.59765625" hidden="1"/>
  </cols>
  <sheetData>
    <row r="1" spans="2:8" ht="20.100000000000001" customHeight="1" x14ac:dyDescent="0.25"/>
    <row r="2" spans="2:8" ht="20.100000000000001" customHeight="1" x14ac:dyDescent="0.25"/>
    <row r="3" spans="2:8" ht="20.100000000000001" customHeight="1" x14ac:dyDescent="0.35">
      <c r="C3" s="13" t="s">
        <v>0</v>
      </c>
      <c r="D3" s="13"/>
      <c r="E3" s="13"/>
      <c r="F3" s="13"/>
      <c r="G3" s="13"/>
    </row>
    <row r="4" spans="2:8" ht="39.9" customHeight="1" x14ac:dyDescent="0.4">
      <c r="C4" s="14" t="s">
        <v>927</v>
      </c>
      <c r="D4" s="14"/>
      <c r="E4" s="14"/>
      <c r="F4" s="14"/>
      <c r="G4" s="14"/>
    </row>
    <row r="5" spans="2:8" ht="20.100000000000001" customHeight="1" x14ac:dyDescent="0.25"/>
    <row r="6" spans="2:8" ht="20.100000000000001" customHeight="1" x14ac:dyDescent="0.25">
      <c r="B6" s="3"/>
      <c r="C6" s="4"/>
      <c r="D6" s="4"/>
      <c r="E6" s="4"/>
      <c r="F6" s="4"/>
      <c r="G6" s="4"/>
      <c r="H6" s="5"/>
    </row>
    <row r="7" spans="2:8" ht="20.100000000000001" customHeight="1" x14ac:dyDescent="0.25">
      <c r="B7" s="6"/>
      <c r="C7" s="12" t="s">
        <v>1</v>
      </c>
      <c r="E7" s="12" t="s">
        <v>2</v>
      </c>
      <c r="G7" s="12" t="s">
        <v>3</v>
      </c>
      <c r="H7" s="7"/>
    </row>
    <row r="8" spans="2:8" ht="24" customHeight="1" x14ac:dyDescent="0.25">
      <c r="B8" s="6"/>
      <c r="C8" s="8">
        <f>_xlfn.XLOOKUP(C4,customer_names,Data!G2:G587,"room not found")</f>
        <v>2009</v>
      </c>
      <c r="E8" s="18">
        <f ca="1">_xlfn.XLOOKUP(C4,customer_names,Data!I2:I587)</f>
        <v>44391</v>
      </c>
      <c r="G8" s="18">
        <f ca="1">_xlfn.XLOOKUP(C4,customer_names,Data!J2:J587)</f>
        <v>44392</v>
      </c>
      <c r="H8" s="7"/>
    </row>
    <row r="9" spans="2:8" ht="20.100000000000001" customHeight="1" x14ac:dyDescent="0.25">
      <c r="B9" s="6"/>
      <c r="H9" s="7"/>
    </row>
    <row r="10" spans="2:8" ht="20.100000000000001" customHeight="1" x14ac:dyDescent="0.25">
      <c r="B10" s="6"/>
      <c r="C10" s="12" t="s">
        <v>4</v>
      </c>
      <c r="E10" s="12" t="s">
        <v>5</v>
      </c>
      <c r="G10" s="12" t="s">
        <v>6</v>
      </c>
      <c r="H10" s="7"/>
    </row>
    <row r="11" spans="2:8" ht="29.4" customHeight="1" x14ac:dyDescent="0.25">
      <c r="B11" s="6"/>
      <c r="C11" s="19" t="str">
        <f>_xlfn.XLOOKUP(C4,customer_names, Data!H2:H587)</f>
        <v>Deluxe - 2 Person - with Breakfast</v>
      </c>
      <c r="E11" s="8">
        <f>_xlfn.XLOOKUP(C4,customer_names,Data!N2:N587)</f>
        <v>561</v>
      </c>
      <c r="G11" s="8">
        <f ca="1">_xlfn.XLOOKUP(C4,customer_names,Data!O2:O587)</f>
        <v>1</v>
      </c>
      <c r="H11" s="7"/>
    </row>
    <row r="12" spans="2:8" ht="20.100000000000001" customHeight="1" x14ac:dyDescent="0.25">
      <c r="B12" s="6"/>
      <c r="H12" s="7"/>
    </row>
    <row r="13" spans="2:8" ht="20.100000000000001" customHeight="1" x14ac:dyDescent="0.25">
      <c r="B13" s="9"/>
      <c r="C13" s="10"/>
      <c r="D13" s="10"/>
      <c r="E13" s="10"/>
      <c r="F13" s="10"/>
      <c r="G13" s="10"/>
      <c r="H13" s="11"/>
    </row>
    <row r="14" spans="2:8" ht="19.2" customHeight="1" thickBot="1" x14ac:dyDescent="0.3">
      <c r="B14" s="24"/>
      <c r="C14" s="24"/>
      <c r="D14" s="24"/>
      <c r="E14" s="24"/>
      <c r="F14" s="24"/>
      <c r="G14" s="24"/>
      <c r="H14" s="24"/>
    </row>
    <row r="15" spans="2:8" s="29" customFormat="1" ht="60" customHeight="1" x14ac:dyDescent="0.25">
      <c r="B15" s="30"/>
      <c r="C15" s="33" t="s">
        <v>1514</v>
      </c>
      <c r="D15" s="30"/>
      <c r="E15" s="30"/>
      <c r="F15" s="30"/>
      <c r="G15" s="31" t="s">
        <v>1515</v>
      </c>
      <c r="H15" s="30"/>
    </row>
    <row r="16" spans="2:8" s="29" customFormat="1" ht="17.399999999999999" customHeight="1" thickBot="1" x14ac:dyDescent="0.3">
      <c r="B16" s="30"/>
      <c r="C16" s="34">
        <f>COUNTBLANK(phone)</f>
        <v>50</v>
      </c>
      <c r="D16" s="30"/>
      <c r="E16" s="30"/>
      <c r="F16" s="30"/>
      <c r="G16" s="32">
        <f>SUM(total_money_spent)</f>
        <v>486337</v>
      </c>
      <c r="H16" s="30"/>
    </row>
    <row r="17" ht="20.100000000000001" customHeight="1" x14ac:dyDescent="0.25"/>
  </sheetData>
  <mergeCells count="2">
    <mergeCell ref="C3:G3"/>
    <mergeCell ref="C4:G4"/>
  </mergeCells>
  <dataValidations count="1">
    <dataValidation type="list" allowBlank="1" showInputMessage="1" showErrorMessage="1" sqref="C4:G4" xr:uid="{357185B0-BF70-4439-B6FD-6B53A553F833}">
      <formula1>customer_names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0DA-F458-49B0-B562-EC036EEBA752}">
  <sheetPr codeName="Sheet1">
    <tabColor theme="4" tint="0.59999389629810485"/>
  </sheetPr>
  <dimension ref="A1:P587"/>
  <sheetViews>
    <sheetView topLeftCell="C1" workbookViewId="0">
      <selection activeCell="P8" sqref="P8"/>
    </sheetView>
    <sheetView workbookViewId="1"/>
  </sheetViews>
  <sheetFormatPr defaultColWidth="10.69921875" defaultRowHeight="9.9" customHeight="1" outlineLevelCol="1" x14ac:dyDescent="0.25"/>
  <cols>
    <col min="1" max="1" width="20.09765625" style="1" bestFit="1" customWidth="1"/>
    <col min="2" max="2" width="28.5" style="1" bestFit="1" customWidth="1" outlineLevel="1"/>
    <col min="3" max="3" width="25.09765625" style="1" bestFit="1" customWidth="1" outlineLevel="1"/>
    <col min="4" max="4" width="16.09765625" style="1" bestFit="1" customWidth="1" outlineLevel="1"/>
    <col min="5" max="5" width="12.09765625" style="1" bestFit="1" customWidth="1"/>
    <col min="6" max="6" width="33" style="1" bestFit="1" customWidth="1"/>
    <col min="7" max="7" width="7.59765625" style="1" bestFit="1" customWidth="1"/>
    <col min="8" max="8" width="30.5" style="1" bestFit="1" customWidth="1"/>
    <col min="9" max="9" width="9.8984375" style="17" bestFit="1" customWidth="1"/>
    <col min="10" max="10" width="10" style="17" bestFit="1" customWidth="1"/>
    <col min="11" max="11" width="14.19921875" style="1" bestFit="1" customWidth="1"/>
    <col min="12" max="12" width="18.69921875" style="1" bestFit="1" customWidth="1"/>
    <col min="13" max="13" width="11.69921875" style="1" bestFit="1" customWidth="1"/>
    <col min="14" max="16384" width="10.69921875" style="1"/>
  </cols>
  <sheetData>
    <row r="1" spans="1:16" s="15" customFormat="1" ht="30.6" customHeight="1" x14ac:dyDescent="0.25">
      <c r="A1" s="15" t="s">
        <v>0</v>
      </c>
      <c r="B1" s="15" t="s">
        <v>7</v>
      </c>
      <c r="C1" s="15" t="s">
        <v>8</v>
      </c>
      <c r="D1" s="15" t="s">
        <v>9</v>
      </c>
      <c r="E1" s="15" t="s">
        <v>10</v>
      </c>
      <c r="F1" s="15" t="s">
        <v>11</v>
      </c>
      <c r="G1" s="15" t="s">
        <v>12</v>
      </c>
      <c r="H1" s="15" t="s">
        <v>4</v>
      </c>
      <c r="I1" s="16" t="s">
        <v>13</v>
      </c>
      <c r="J1" s="16" t="s">
        <v>14</v>
      </c>
      <c r="K1" s="15" t="s">
        <v>15</v>
      </c>
      <c r="L1" s="15" t="s">
        <v>16</v>
      </c>
      <c r="M1" s="15" t="s">
        <v>17</v>
      </c>
      <c r="N1" s="15" t="s">
        <v>1513</v>
      </c>
      <c r="O1" s="15" t="s">
        <v>6</v>
      </c>
    </row>
    <row r="2" spans="1:16" ht="13.8" x14ac:dyDescent="0.25">
      <c r="A2" s="1" t="s">
        <v>114</v>
      </c>
      <c r="B2" s="1" t="s">
        <v>109</v>
      </c>
      <c r="C2" s="1" t="s">
        <v>96</v>
      </c>
      <c r="D2" s="1" t="s">
        <v>96</v>
      </c>
      <c r="E2" s="1" t="s">
        <v>112</v>
      </c>
      <c r="F2" s="1" t="s">
        <v>113</v>
      </c>
      <c r="G2" s="1" t="s">
        <v>115</v>
      </c>
      <c r="H2" s="1" t="s">
        <v>32</v>
      </c>
      <c r="I2" s="17">
        <f ca="1">DATE(YEAR(TODAY())-1,8,7)</f>
        <v>44415</v>
      </c>
      <c r="J2" s="17">
        <f ca="1">DATE(YEAR(TODAY())-1,8,14)</f>
        <v>44422</v>
      </c>
      <c r="K2" s="1" t="s">
        <v>87</v>
      </c>
      <c r="L2" s="1" t="s">
        <v>73</v>
      </c>
      <c r="M2" s="1">
        <v>916</v>
      </c>
      <c r="N2" s="1" cm="1">
        <f t="array" ref="N2">_xlfn.RANK.EQ(M2,total_money_spent)</f>
        <v>111</v>
      </c>
      <c r="O2" s="1">
        <f ca="1">J2-I2</f>
        <v>7</v>
      </c>
      <c r="P2" s="2"/>
    </row>
    <row r="3" spans="1:16" ht="13.8" x14ac:dyDescent="0.25">
      <c r="A3" s="1" t="s">
        <v>1309</v>
      </c>
      <c r="B3" s="1" t="s">
        <v>1306</v>
      </c>
      <c r="C3" s="1" t="s">
        <v>170</v>
      </c>
      <c r="D3" s="1" t="s">
        <v>171</v>
      </c>
      <c r="E3" s="1" t="s">
        <v>1307</v>
      </c>
      <c r="F3" s="1" t="s">
        <v>1308</v>
      </c>
      <c r="G3" s="1" t="s">
        <v>115</v>
      </c>
      <c r="H3" s="1" t="s">
        <v>32</v>
      </c>
      <c r="I3" s="17">
        <f ca="1">DATE(YEAR(TODAY())-1,4,16)</f>
        <v>44302</v>
      </c>
      <c r="J3" s="17">
        <f ca="1">DATE(YEAR(TODAY())-1,4,23)</f>
        <v>44309</v>
      </c>
      <c r="K3" s="1" t="s">
        <v>33</v>
      </c>
      <c r="L3" s="1" t="s">
        <v>34</v>
      </c>
      <c r="M3" s="1">
        <v>920</v>
      </c>
      <c r="N3" s="1" cm="1">
        <f t="array" ref="N3">_xlfn.RANK.EQ(M3,total_money_spent)</f>
        <v>107</v>
      </c>
      <c r="O3" s="1">
        <f t="shared" ref="O3:O66" ca="1" si="0">J3-I3</f>
        <v>7</v>
      </c>
    </row>
    <row r="4" spans="1:16" ht="13.8" x14ac:dyDescent="0.25">
      <c r="A4" s="1" t="s">
        <v>1369</v>
      </c>
      <c r="B4" s="1" t="s">
        <v>1366</v>
      </c>
      <c r="C4" s="1" t="s">
        <v>140</v>
      </c>
      <c r="D4" s="1" t="s">
        <v>140</v>
      </c>
      <c r="E4" s="1" t="s">
        <v>1367</v>
      </c>
      <c r="F4" s="1" t="s">
        <v>1368</v>
      </c>
      <c r="G4" s="1" t="s">
        <v>122</v>
      </c>
      <c r="H4" s="1" t="s">
        <v>32</v>
      </c>
      <c r="I4" s="17">
        <f ca="1">DATE(YEAR(TODAY())-1,3,27)</f>
        <v>44282</v>
      </c>
      <c r="J4" s="17">
        <f ca="1">DATE(YEAR(TODAY())-1,4,4)</f>
        <v>44290</v>
      </c>
      <c r="K4" s="1" t="s">
        <v>34</v>
      </c>
      <c r="L4" s="1" t="s">
        <v>34</v>
      </c>
      <c r="M4" s="1">
        <v>961</v>
      </c>
      <c r="N4" s="1" cm="1">
        <f t="array" ref="N4">_xlfn.RANK.EQ(M4,total_money_spent)</f>
        <v>92</v>
      </c>
      <c r="O4" s="1">
        <f t="shared" ca="1" si="0"/>
        <v>8</v>
      </c>
    </row>
    <row r="5" spans="1:16" ht="13.8" x14ac:dyDescent="0.25">
      <c r="A5" s="1" t="s">
        <v>1243</v>
      </c>
      <c r="B5" s="1" t="s">
        <v>1239</v>
      </c>
      <c r="C5" s="1" t="s">
        <v>165</v>
      </c>
      <c r="D5" s="1" t="s">
        <v>166</v>
      </c>
      <c r="E5" s="1" t="s">
        <v>1242</v>
      </c>
      <c r="F5" s="1" t="s">
        <v>1240</v>
      </c>
      <c r="G5" s="1" t="s">
        <v>54</v>
      </c>
      <c r="H5" s="1" t="s">
        <v>32</v>
      </c>
      <c r="I5" s="17">
        <f ca="1">DATE(YEAR(TODAY())-1,5,31)</f>
        <v>44347</v>
      </c>
      <c r="J5" s="17">
        <f ca="1">DATE(YEAR(TODAY())-1,6,1)</f>
        <v>44348</v>
      </c>
      <c r="K5" s="1" t="s">
        <v>33</v>
      </c>
      <c r="L5" s="1" t="s">
        <v>34</v>
      </c>
      <c r="M5" s="1">
        <v>681</v>
      </c>
      <c r="N5" s="1" cm="1">
        <f t="array" ref="N5">_xlfn.RANK.EQ(M5,total_money_spent)</f>
        <v>502</v>
      </c>
      <c r="O5" s="1">
        <f t="shared" ca="1" si="0"/>
        <v>1</v>
      </c>
    </row>
    <row r="6" spans="1:16" ht="13.8" x14ac:dyDescent="0.25">
      <c r="A6" s="1" t="s">
        <v>1018</v>
      </c>
      <c r="B6" s="1" t="s">
        <v>1013</v>
      </c>
      <c r="C6" s="1" t="s">
        <v>106</v>
      </c>
      <c r="D6" s="1" t="s">
        <v>107</v>
      </c>
      <c r="E6" s="1" t="s">
        <v>1014</v>
      </c>
      <c r="F6" s="1" t="s">
        <v>1015</v>
      </c>
      <c r="G6" s="1" t="s">
        <v>60</v>
      </c>
      <c r="H6" s="1" t="s">
        <v>32</v>
      </c>
      <c r="I6" s="17">
        <f ca="1">DATE(YEAR(TODAY())-1,6,30)</f>
        <v>44377</v>
      </c>
      <c r="J6" s="17">
        <f ca="1">DATE(YEAR(TODAY())-1,7,6)</f>
        <v>44383</v>
      </c>
      <c r="K6" s="1" t="s">
        <v>16</v>
      </c>
      <c r="L6" s="1" t="s">
        <v>34</v>
      </c>
      <c r="M6" s="1">
        <v>853</v>
      </c>
      <c r="N6" s="1" cm="1">
        <f t="array" ref="N6">_xlfn.RANK.EQ(M6,total_money_spent)</f>
        <v>208</v>
      </c>
      <c r="O6" s="1">
        <f t="shared" ca="1" si="0"/>
        <v>6</v>
      </c>
    </row>
    <row r="7" spans="1:16" ht="13.8" x14ac:dyDescent="0.25">
      <c r="A7" s="1" t="s">
        <v>1170</v>
      </c>
      <c r="B7" s="1" t="s">
        <v>1167</v>
      </c>
      <c r="C7" s="1" t="s">
        <v>235</v>
      </c>
      <c r="D7" s="1" t="s">
        <v>235</v>
      </c>
      <c r="E7" s="1" t="s">
        <v>1168</v>
      </c>
      <c r="F7" s="1" t="s">
        <v>1169</v>
      </c>
      <c r="G7" s="1">
        <v>2009</v>
      </c>
      <c r="H7" s="1" t="s">
        <v>44</v>
      </c>
      <c r="I7" s="17">
        <f ca="1">DATE(YEAR(TODAY())-1,4,14)</f>
        <v>44300</v>
      </c>
      <c r="J7" s="17">
        <f ca="1">DATE(YEAR(TODAY())-1,4,18)</f>
        <v>44304</v>
      </c>
      <c r="K7" s="1" t="s">
        <v>143</v>
      </c>
      <c r="L7" s="1" t="s">
        <v>25</v>
      </c>
      <c r="M7" s="1">
        <v>829</v>
      </c>
      <c r="N7" s="1" cm="1">
        <f t="array" ref="N7">_xlfn.RANK.EQ(M7,total_money_spent)</f>
        <v>254</v>
      </c>
      <c r="O7" s="1">
        <f t="shared" ca="1" si="0"/>
        <v>4</v>
      </c>
    </row>
    <row r="8" spans="1:16" ht="13.8" x14ac:dyDescent="0.25">
      <c r="A8" s="1" t="s">
        <v>216</v>
      </c>
      <c r="B8" s="1" t="s">
        <v>217</v>
      </c>
      <c r="C8" s="1" t="s">
        <v>96</v>
      </c>
      <c r="D8" s="1" t="s">
        <v>96</v>
      </c>
      <c r="E8" s="1" t="s">
        <v>218</v>
      </c>
      <c r="F8" s="1" t="s">
        <v>219</v>
      </c>
      <c r="G8" s="1">
        <v>2005</v>
      </c>
      <c r="H8" s="1" t="s">
        <v>24</v>
      </c>
      <c r="I8" s="17">
        <f ca="1">DATE(YEAR(TODAY())-1,1,8)</f>
        <v>44204</v>
      </c>
      <c r="J8" s="17">
        <f ca="1">DATE(YEAR(TODAY())-1,1,12)</f>
        <v>44208</v>
      </c>
      <c r="K8" s="1" t="s">
        <v>34</v>
      </c>
      <c r="L8" s="1" t="s">
        <v>34</v>
      </c>
      <c r="M8" s="1">
        <v>797</v>
      </c>
      <c r="N8" s="1" cm="1">
        <f t="array" ref="N8">_xlfn.RANK.EQ(M8,total_money_spent)</f>
        <v>301</v>
      </c>
      <c r="O8" s="1">
        <f t="shared" ca="1" si="0"/>
        <v>4</v>
      </c>
    </row>
    <row r="9" spans="1:16" ht="13.8" x14ac:dyDescent="0.25">
      <c r="A9" s="1" t="s">
        <v>68</v>
      </c>
      <c r="B9" s="1" t="s">
        <v>69</v>
      </c>
      <c r="C9" s="1" t="s">
        <v>70</v>
      </c>
      <c r="D9" s="1" t="s">
        <v>70</v>
      </c>
      <c r="F9" s="1" t="s">
        <v>71</v>
      </c>
      <c r="G9" s="1">
        <v>2005</v>
      </c>
      <c r="H9" s="1" t="s">
        <v>24</v>
      </c>
      <c r="I9" s="17">
        <f ca="1">DATE(YEAR(TODAY())-2,12,14)</f>
        <v>44179</v>
      </c>
      <c r="J9" s="17">
        <f ca="1">DATE(YEAR(TODAY())-2,12,17)</f>
        <v>44182</v>
      </c>
      <c r="K9" s="1" t="s">
        <v>72</v>
      </c>
      <c r="L9" s="1" t="s">
        <v>73</v>
      </c>
      <c r="M9" s="1">
        <v>760</v>
      </c>
      <c r="N9" s="1" cm="1">
        <f t="array" ref="N9">_xlfn.RANK.EQ(M9,total_money_spent)</f>
        <v>396</v>
      </c>
      <c r="O9" s="1">
        <f t="shared" ca="1" si="0"/>
        <v>3</v>
      </c>
    </row>
    <row r="10" spans="1:16" ht="13.8" x14ac:dyDescent="0.25">
      <c r="A10" s="1" t="s">
        <v>927</v>
      </c>
      <c r="B10" s="1" t="s">
        <v>922</v>
      </c>
      <c r="C10" s="1" t="s">
        <v>337</v>
      </c>
      <c r="D10" s="1" t="s">
        <v>338</v>
      </c>
      <c r="F10" s="1" t="s">
        <v>925</v>
      </c>
      <c r="G10" s="1">
        <v>2009</v>
      </c>
      <c r="H10" s="1" t="s">
        <v>44</v>
      </c>
      <c r="I10" s="17">
        <f ca="1">DATE(YEAR(TODAY())-1,7,14)</f>
        <v>44391</v>
      </c>
      <c r="J10" s="17">
        <f ca="1">DATE(YEAR(TODAY())-1,7,15)</f>
        <v>44392</v>
      </c>
      <c r="K10" s="1" t="s">
        <v>72</v>
      </c>
      <c r="L10" s="1" t="s">
        <v>73</v>
      </c>
      <c r="M10" s="1">
        <v>659</v>
      </c>
      <c r="N10" s="1" cm="1">
        <f t="array" ref="N10">_xlfn.RANK.EQ(M10,total_money_spent)</f>
        <v>561</v>
      </c>
      <c r="O10" s="1">
        <f t="shared" ca="1" si="0"/>
        <v>1</v>
      </c>
    </row>
    <row r="11" spans="1:16" ht="13.8" x14ac:dyDescent="0.25">
      <c r="A11" s="1" t="s">
        <v>958</v>
      </c>
      <c r="B11" s="1" t="s">
        <v>953</v>
      </c>
      <c r="C11" s="1" t="s">
        <v>165</v>
      </c>
      <c r="D11" s="1" t="s">
        <v>166</v>
      </c>
      <c r="E11" s="1" t="s">
        <v>955</v>
      </c>
      <c r="F11" s="1" t="s">
        <v>956</v>
      </c>
      <c r="G11" s="1" t="s">
        <v>54</v>
      </c>
      <c r="H11" s="1" t="s">
        <v>32</v>
      </c>
      <c r="I11" s="17">
        <f ca="1">DATE(YEAR(TODAY())-1,6,5)</f>
        <v>44352</v>
      </c>
      <c r="J11" s="17">
        <f ca="1">DATE(YEAR(TODAY())-1,6,9)</f>
        <v>44356</v>
      </c>
      <c r="K11" s="1" t="s">
        <v>16</v>
      </c>
      <c r="L11" s="1" t="s">
        <v>34</v>
      </c>
      <c r="M11" s="1">
        <v>781</v>
      </c>
      <c r="N11" s="1" cm="1">
        <f t="array" ref="N11">_xlfn.RANK.EQ(M11,total_money_spent)</f>
        <v>341</v>
      </c>
      <c r="O11" s="1">
        <f t="shared" ca="1" si="0"/>
        <v>4</v>
      </c>
    </row>
    <row r="12" spans="1:16" ht="13.8" x14ac:dyDescent="0.25">
      <c r="A12" s="1" t="s">
        <v>1423</v>
      </c>
      <c r="B12" s="1" t="s">
        <v>1424</v>
      </c>
      <c r="C12" s="1" t="s">
        <v>70</v>
      </c>
      <c r="D12" s="1" t="s">
        <v>70</v>
      </c>
      <c r="E12" s="1" t="s">
        <v>1425</v>
      </c>
      <c r="F12" s="1" t="s">
        <v>1426</v>
      </c>
      <c r="G12" s="1">
        <v>3001</v>
      </c>
      <c r="H12" s="1" t="s">
        <v>81</v>
      </c>
      <c r="I12" s="17">
        <f ca="1">DATE(YEAR(TODAY())-1,5,30)</f>
        <v>44346</v>
      </c>
      <c r="J12" s="17">
        <f ca="1">DATE(YEAR(TODAY())-1,6,4)</f>
        <v>44351</v>
      </c>
      <c r="K12" s="1" t="s">
        <v>87</v>
      </c>
      <c r="L12" s="1" t="s">
        <v>73</v>
      </c>
      <c r="M12" s="1">
        <v>903</v>
      </c>
      <c r="N12" s="1" cm="1">
        <f t="array" ref="N12">_xlfn.RANK.EQ(M12,total_money_spent)</f>
        <v>146</v>
      </c>
      <c r="O12" s="1">
        <f t="shared" ca="1" si="0"/>
        <v>5</v>
      </c>
    </row>
    <row r="13" spans="1:16" ht="13.8" x14ac:dyDescent="0.25">
      <c r="A13" s="1" t="s">
        <v>770</v>
      </c>
      <c r="B13" s="1" t="s">
        <v>764</v>
      </c>
      <c r="C13" s="1" t="s">
        <v>229</v>
      </c>
      <c r="D13" s="1" t="s">
        <v>230</v>
      </c>
      <c r="E13" s="1" t="s">
        <v>765</v>
      </c>
      <c r="F13" s="1" t="s">
        <v>766</v>
      </c>
      <c r="G13" s="1" t="s">
        <v>226</v>
      </c>
      <c r="H13" s="1" t="s">
        <v>32</v>
      </c>
      <c r="I13" s="17">
        <f ca="1">DATE(YEAR(TODAY())-1,4,20)</f>
        <v>44306</v>
      </c>
      <c r="J13" s="17">
        <f ca="1">DATE(YEAR(TODAY())-1,4,21)</f>
        <v>44307</v>
      </c>
      <c r="K13" s="1" t="s">
        <v>136</v>
      </c>
      <c r="L13" s="1" t="s">
        <v>137</v>
      </c>
      <c r="M13" s="1">
        <v>671</v>
      </c>
      <c r="N13" s="1" cm="1">
        <f t="array" ref="N13">_xlfn.RANK.EQ(M13,total_money_spent)</f>
        <v>517</v>
      </c>
      <c r="O13" s="1">
        <f t="shared" ca="1" si="0"/>
        <v>1</v>
      </c>
    </row>
    <row r="14" spans="1:16" ht="13.8" x14ac:dyDescent="0.25">
      <c r="A14" s="1" t="s">
        <v>1412</v>
      </c>
      <c r="B14" s="1" t="s">
        <v>1409</v>
      </c>
      <c r="C14" s="1" t="s">
        <v>20</v>
      </c>
      <c r="D14" s="1" t="s">
        <v>21</v>
      </c>
      <c r="F14" s="1" t="s">
        <v>1411</v>
      </c>
      <c r="G14" s="1">
        <v>2004</v>
      </c>
      <c r="H14" s="1" t="s">
        <v>24</v>
      </c>
      <c r="I14" s="17">
        <f ca="1">DATE(YEAR(TODAY())-1,5,29)</f>
        <v>44345</v>
      </c>
      <c r="J14" s="17">
        <f ca="1">DATE(YEAR(TODAY())-1,6,1)</f>
        <v>44348</v>
      </c>
      <c r="K14" s="1" t="s">
        <v>82</v>
      </c>
      <c r="L14" s="1" t="s">
        <v>34</v>
      </c>
      <c r="M14" s="1">
        <v>772</v>
      </c>
      <c r="N14" s="1" cm="1">
        <f t="array" ref="N14">_xlfn.RANK.EQ(M14,total_money_spent)</f>
        <v>372</v>
      </c>
      <c r="O14" s="1">
        <f t="shared" ca="1" si="0"/>
        <v>3</v>
      </c>
    </row>
    <row r="15" spans="1:16" ht="13.8" x14ac:dyDescent="0.25">
      <c r="A15" s="1" t="s">
        <v>1375</v>
      </c>
      <c r="B15" s="1" t="s">
        <v>1372</v>
      </c>
      <c r="C15" s="1" t="s">
        <v>96</v>
      </c>
      <c r="D15" s="1" t="s">
        <v>96</v>
      </c>
      <c r="E15" s="1" t="s">
        <v>1373</v>
      </c>
      <c r="F15" s="1" t="s">
        <v>1374</v>
      </c>
      <c r="G15" s="1">
        <v>2006</v>
      </c>
      <c r="H15" s="1" t="s">
        <v>24</v>
      </c>
      <c r="I15" s="17">
        <f ca="1">DATE(YEAR(TODAY())-2,10,1)</f>
        <v>44105</v>
      </c>
      <c r="J15" s="17">
        <f ca="1">DATE(YEAR(TODAY())-2,10,2)</f>
        <v>44106</v>
      </c>
      <c r="K15" s="1" t="s">
        <v>16</v>
      </c>
      <c r="L15" s="1" t="s">
        <v>34</v>
      </c>
      <c r="M15" s="1">
        <v>673</v>
      </c>
      <c r="N15" s="1" cm="1">
        <f t="array" ref="N15">_xlfn.RANK.EQ(M15,total_money_spent)</f>
        <v>513</v>
      </c>
      <c r="O15" s="1">
        <f t="shared" ca="1" si="0"/>
        <v>1</v>
      </c>
    </row>
    <row r="16" spans="1:16" ht="13.8" x14ac:dyDescent="0.25">
      <c r="A16" s="1" t="s">
        <v>1445</v>
      </c>
      <c r="B16" s="1" t="s">
        <v>1446</v>
      </c>
      <c r="C16" s="1" t="s">
        <v>47</v>
      </c>
      <c r="D16" s="1" t="s">
        <v>48</v>
      </c>
      <c r="E16" s="1" t="s">
        <v>1447</v>
      </c>
      <c r="F16" s="1" t="s">
        <v>1448</v>
      </c>
      <c r="G16" s="1">
        <v>2008</v>
      </c>
      <c r="H16" s="1" t="s">
        <v>44</v>
      </c>
      <c r="I16" s="17">
        <f ca="1">DATE(YEAR(TODAY())-2,10,14)</f>
        <v>44118</v>
      </c>
      <c r="J16" s="17">
        <f ca="1">DATE(YEAR(TODAY())-2,10,17)</f>
        <v>44121</v>
      </c>
      <c r="K16" s="1" t="s">
        <v>33</v>
      </c>
      <c r="L16" s="1" t="s">
        <v>34</v>
      </c>
      <c r="M16" s="1">
        <v>780</v>
      </c>
      <c r="N16" s="1" cm="1">
        <f t="array" ref="N16">_xlfn.RANK.EQ(M16,total_money_spent)</f>
        <v>344</v>
      </c>
      <c r="O16" s="1">
        <f t="shared" ca="1" si="0"/>
        <v>3</v>
      </c>
    </row>
    <row r="17" spans="1:15" ht="13.8" x14ac:dyDescent="0.25">
      <c r="A17" s="1" t="s">
        <v>138</v>
      </c>
      <c r="B17" s="1" t="s">
        <v>139</v>
      </c>
      <c r="C17" s="1" t="s">
        <v>140</v>
      </c>
      <c r="D17" s="1" t="s">
        <v>140</v>
      </c>
      <c r="E17" s="1" t="s">
        <v>141</v>
      </c>
      <c r="F17" s="1" t="s">
        <v>142</v>
      </c>
      <c r="G17" s="1">
        <v>2006</v>
      </c>
      <c r="H17" s="1" t="s">
        <v>24</v>
      </c>
      <c r="I17" s="17">
        <f ca="1">DATE(YEAR(TODAY())-1,7,5)</f>
        <v>44382</v>
      </c>
      <c r="J17" s="17">
        <f ca="1">DATE(YEAR(TODAY())-1,7,11)</f>
        <v>44388</v>
      </c>
      <c r="K17" s="1" t="s">
        <v>143</v>
      </c>
      <c r="L17" s="1" t="s">
        <v>25</v>
      </c>
      <c r="M17" s="1">
        <v>893</v>
      </c>
      <c r="N17" s="1" cm="1">
        <f t="array" ref="N17">_xlfn.RANK.EQ(M17,total_money_spent)</f>
        <v>167</v>
      </c>
      <c r="O17" s="1">
        <f t="shared" ca="1" si="0"/>
        <v>6</v>
      </c>
    </row>
    <row r="18" spans="1:15" ht="13.8" x14ac:dyDescent="0.25">
      <c r="A18" s="1" t="s">
        <v>798</v>
      </c>
      <c r="B18" s="1" t="s">
        <v>794</v>
      </c>
      <c r="C18" s="1" t="s">
        <v>37</v>
      </c>
      <c r="D18" s="1" t="s">
        <v>38</v>
      </c>
      <c r="E18" s="1" t="s">
        <v>795</v>
      </c>
      <c r="F18" s="1" t="s">
        <v>796</v>
      </c>
      <c r="G18" s="1" t="s">
        <v>54</v>
      </c>
      <c r="H18" s="1" t="s">
        <v>32</v>
      </c>
      <c r="I18" s="17">
        <f ca="1">DATE(YEAR(TODAY())-1,6,21)</f>
        <v>44368</v>
      </c>
      <c r="J18" s="17">
        <f ca="1">DATE(YEAR(TODAY())-1,6,26)</f>
        <v>44373</v>
      </c>
      <c r="K18" s="1" t="s">
        <v>87</v>
      </c>
      <c r="L18" s="1" t="s">
        <v>73</v>
      </c>
      <c r="M18" s="1">
        <v>795</v>
      </c>
      <c r="N18" s="1" cm="1">
        <f t="array" ref="N18">_xlfn.RANK.EQ(M18,total_money_spent)</f>
        <v>307</v>
      </c>
      <c r="O18" s="1">
        <f t="shared" ca="1" si="0"/>
        <v>5</v>
      </c>
    </row>
    <row r="19" spans="1:15" ht="13.8" x14ac:dyDescent="0.25">
      <c r="A19" s="1" t="s">
        <v>1408</v>
      </c>
      <c r="B19" s="1" t="s">
        <v>1409</v>
      </c>
      <c r="C19" s="1" t="s">
        <v>110</v>
      </c>
      <c r="D19" s="1" t="s">
        <v>111</v>
      </c>
      <c r="E19" s="1" t="s">
        <v>1410</v>
      </c>
      <c r="F19" s="1" t="s">
        <v>1411</v>
      </c>
      <c r="G19" s="1">
        <v>2004</v>
      </c>
      <c r="H19" s="1" t="s">
        <v>24</v>
      </c>
      <c r="I19" s="17">
        <f ca="1">DATE(YEAR(TODAY())-1,9,1)</f>
        <v>44440</v>
      </c>
      <c r="J19" s="17">
        <f ca="1">DATE(YEAR(TODAY())-1,9,7)</f>
        <v>44446</v>
      </c>
      <c r="K19" s="1" t="s">
        <v>82</v>
      </c>
      <c r="L19" s="1" t="s">
        <v>34</v>
      </c>
      <c r="M19" s="1">
        <v>906</v>
      </c>
      <c r="N19" s="1" cm="1">
        <f t="array" ref="N19">_xlfn.RANK.EQ(M19,total_money_spent)</f>
        <v>137</v>
      </c>
      <c r="O19" s="1">
        <f t="shared" ca="1" si="0"/>
        <v>6</v>
      </c>
    </row>
    <row r="20" spans="1:15" ht="13.8" x14ac:dyDescent="0.25">
      <c r="A20" s="1" t="s">
        <v>767</v>
      </c>
      <c r="B20" s="1" t="s">
        <v>764</v>
      </c>
      <c r="C20" s="1" t="s">
        <v>101</v>
      </c>
      <c r="D20" s="1" t="s">
        <v>102</v>
      </c>
      <c r="E20" s="1" t="s">
        <v>765</v>
      </c>
      <c r="F20" s="1" t="s">
        <v>766</v>
      </c>
      <c r="G20" s="1">
        <v>2006</v>
      </c>
      <c r="H20" s="1" t="s">
        <v>24</v>
      </c>
      <c r="I20" s="17">
        <f ca="1">DATE(YEAR(TODAY())-2,12,18)</f>
        <v>44183</v>
      </c>
      <c r="J20" s="17">
        <f ca="1">DATE(YEAR(TODAY())-2,12,21)</f>
        <v>44186</v>
      </c>
      <c r="K20" s="1" t="s">
        <v>87</v>
      </c>
      <c r="L20" s="1" t="s">
        <v>73</v>
      </c>
      <c r="M20" s="1">
        <v>765</v>
      </c>
      <c r="N20" s="1" cm="1">
        <f t="array" ref="N20">_xlfn.RANK.EQ(M20,total_money_spent)</f>
        <v>386</v>
      </c>
      <c r="O20" s="1">
        <f t="shared" ca="1" si="0"/>
        <v>3</v>
      </c>
    </row>
    <row r="21" spans="1:15" ht="13.8" x14ac:dyDescent="0.25">
      <c r="A21" s="1" t="s">
        <v>356</v>
      </c>
      <c r="B21" s="1" t="s">
        <v>351</v>
      </c>
      <c r="C21" s="1" t="s">
        <v>197</v>
      </c>
      <c r="D21" s="1" t="s">
        <v>198</v>
      </c>
      <c r="E21" s="1" t="s">
        <v>352</v>
      </c>
      <c r="F21" s="1" t="s">
        <v>353</v>
      </c>
      <c r="G21" s="1" t="s">
        <v>122</v>
      </c>
      <c r="H21" s="1" t="s">
        <v>32</v>
      </c>
      <c r="I21" s="17">
        <f ca="1">DATE(YEAR(TODAY())-2,10,29)</f>
        <v>44133</v>
      </c>
      <c r="J21" s="17">
        <f ca="1">DATE(YEAR(TODAY())-2,11,4)</f>
        <v>44139</v>
      </c>
      <c r="K21" s="1" t="s">
        <v>16</v>
      </c>
      <c r="L21" s="1" t="s">
        <v>34</v>
      </c>
      <c r="M21" s="1">
        <v>846</v>
      </c>
      <c r="N21" s="1" cm="1">
        <f t="array" ref="N21">_xlfn.RANK.EQ(M21,total_money_spent)</f>
        <v>222</v>
      </c>
      <c r="O21" s="1">
        <f t="shared" ca="1" si="0"/>
        <v>6</v>
      </c>
    </row>
    <row r="22" spans="1:15" ht="13.8" x14ac:dyDescent="0.25">
      <c r="A22" s="1" t="s">
        <v>1500</v>
      </c>
      <c r="B22" s="1" t="s">
        <v>1497</v>
      </c>
      <c r="C22" s="1" t="s">
        <v>326</v>
      </c>
      <c r="D22" s="1" t="s">
        <v>140</v>
      </c>
      <c r="E22" s="1" t="s">
        <v>1498</v>
      </c>
      <c r="F22" s="1" t="s">
        <v>1499</v>
      </c>
      <c r="G22" s="1">
        <v>2010</v>
      </c>
      <c r="H22" s="1" t="s">
        <v>44</v>
      </c>
      <c r="I22" s="17">
        <f ca="1">DATE(YEAR(TODAY())-2,12,22)</f>
        <v>44187</v>
      </c>
      <c r="J22" s="17">
        <f ca="1">DATE(YEAR(TODAY())-2,12,26)</f>
        <v>44191</v>
      </c>
      <c r="K22" s="1" t="s">
        <v>33</v>
      </c>
      <c r="L22" s="1" t="s">
        <v>34</v>
      </c>
      <c r="M22" s="1">
        <v>841</v>
      </c>
      <c r="N22" s="1" cm="1">
        <f t="array" ref="N22">_xlfn.RANK.EQ(M22,total_money_spent)</f>
        <v>231</v>
      </c>
      <c r="O22" s="1">
        <f t="shared" ca="1" si="0"/>
        <v>4</v>
      </c>
    </row>
    <row r="23" spans="1:15" ht="13.8" x14ac:dyDescent="0.25">
      <c r="A23" s="1" t="s">
        <v>1244</v>
      </c>
      <c r="B23" s="1" t="s">
        <v>1245</v>
      </c>
      <c r="C23" s="1" t="s">
        <v>47</v>
      </c>
      <c r="D23" s="1" t="s">
        <v>48</v>
      </c>
      <c r="E23" s="1" t="s">
        <v>1246</v>
      </c>
      <c r="F23" s="1" t="s">
        <v>1247</v>
      </c>
      <c r="G23" s="1">
        <v>2005</v>
      </c>
      <c r="H23" s="1" t="s">
        <v>24</v>
      </c>
      <c r="I23" s="17">
        <f ca="1">DATE(YEAR(TODAY())-2,12,30)</f>
        <v>44195</v>
      </c>
      <c r="J23" s="17">
        <f ca="1">DATE(YEAR(TODAY())-1,1,6)</f>
        <v>44202</v>
      </c>
      <c r="K23" s="1" t="s">
        <v>34</v>
      </c>
      <c r="L23" s="1" t="s">
        <v>34</v>
      </c>
      <c r="M23" s="1">
        <v>977</v>
      </c>
      <c r="N23" s="1" cm="1">
        <f t="array" ref="N23">_xlfn.RANK.EQ(M23,total_money_spent)</f>
        <v>66</v>
      </c>
      <c r="O23" s="1">
        <f t="shared" ca="1" si="0"/>
        <v>7</v>
      </c>
    </row>
    <row r="24" spans="1:15" ht="13.8" x14ac:dyDescent="0.25">
      <c r="A24" s="1" t="s">
        <v>1256</v>
      </c>
      <c r="B24" s="1" t="s">
        <v>1251</v>
      </c>
      <c r="C24" s="1" t="s">
        <v>170</v>
      </c>
      <c r="D24" s="1" t="s">
        <v>171</v>
      </c>
      <c r="E24" s="1" t="s">
        <v>1253</v>
      </c>
      <c r="F24" s="1" t="s">
        <v>1254</v>
      </c>
      <c r="G24" s="1" t="s">
        <v>31</v>
      </c>
      <c r="H24" s="1" t="s">
        <v>32</v>
      </c>
      <c r="I24" s="17">
        <f ca="1">DATE(YEAR(TODAY())-2,11,10)</f>
        <v>44145</v>
      </c>
      <c r="J24" s="17">
        <f ca="1">DATE(YEAR(TODAY())-2,11,15)</f>
        <v>44150</v>
      </c>
      <c r="K24" s="1" t="s">
        <v>16</v>
      </c>
      <c r="L24" s="1" t="s">
        <v>34</v>
      </c>
      <c r="M24" s="1">
        <v>796</v>
      </c>
      <c r="N24" s="1" cm="1">
        <f t="array" ref="N24">_xlfn.RANK.EQ(M24,total_money_spent)</f>
        <v>304</v>
      </c>
      <c r="O24" s="1">
        <f t="shared" ca="1" si="0"/>
        <v>5</v>
      </c>
    </row>
    <row r="25" spans="1:15" ht="13.8" x14ac:dyDescent="0.25">
      <c r="A25" s="1" t="s">
        <v>1148</v>
      </c>
      <c r="B25" s="1" t="s">
        <v>1149</v>
      </c>
      <c r="C25" s="1" t="s">
        <v>177</v>
      </c>
      <c r="D25" s="1" t="s">
        <v>178</v>
      </c>
      <c r="F25" s="1" t="s">
        <v>1150</v>
      </c>
      <c r="G25" s="1">
        <v>3002</v>
      </c>
      <c r="H25" s="1" t="s">
        <v>81</v>
      </c>
      <c r="I25" s="17">
        <f ca="1">DATE(YEAR(TODAY())-1,3,10)</f>
        <v>44265</v>
      </c>
      <c r="J25" s="17">
        <f ca="1">DATE(YEAR(TODAY())-1,3,15)</f>
        <v>44270</v>
      </c>
      <c r="K25" s="1" t="s">
        <v>34</v>
      </c>
      <c r="L25" s="1" t="s">
        <v>34</v>
      </c>
      <c r="M25" s="1">
        <v>898</v>
      </c>
      <c r="N25" s="1" cm="1">
        <f t="array" ref="N25">_xlfn.RANK.EQ(M25,total_money_spent)</f>
        <v>157</v>
      </c>
      <c r="O25" s="1">
        <f t="shared" ca="1" si="0"/>
        <v>5</v>
      </c>
    </row>
    <row r="26" spans="1:15" ht="13.8" x14ac:dyDescent="0.25">
      <c r="A26" s="1" t="s">
        <v>1305</v>
      </c>
      <c r="B26" s="1" t="s">
        <v>1306</v>
      </c>
      <c r="C26" s="1" t="s">
        <v>64</v>
      </c>
      <c r="D26" s="1" t="s">
        <v>65</v>
      </c>
      <c r="E26" s="1" t="s">
        <v>1307</v>
      </c>
      <c r="F26" s="1" t="s">
        <v>1308</v>
      </c>
      <c r="G26" s="1" t="s">
        <v>54</v>
      </c>
      <c r="H26" s="1" t="s">
        <v>32</v>
      </c>
      <c r="I26" s="17">
        <f ca="1">DATE(YEAR(TODAY())-2,12,2)</f>
        <v>44167</v>
      </c>
      <c r="J26" s="17">
        <f ca="1">DATE(YEAR(TODAY())-2,12,9)</f>
        <v>44174</v>
      </c>
      <c r="K26" s="1" t="s">
        <v>25</v>
      </c>
      <c r="L26" s="1" t="s">
        <v>25</v>
      </c>
      <c r="M26" s="1">
        <v>918</v>
      </c>
      <c r="N26" s="1" cm="1">
        <f t="array" ref="N26">_xlfn.RANK.EQ(M26,total_money_spent)</f>
        <v>109</v>
      </c>
      <c r="O26" s="1">
        <f t="shared" ca="1" si="0"/>
        <v>7</v>
      </c>
    </row>
    <row r="27" spans="1:15" ht="13.8" x14ac:dyDescent="0.25">
      <c r="A27" s="1" t="s">
        <v>1508</v>
      </c>
      <c r="B27" s="1" t="s">
        <v>1505</v>
      </c>
      <c r="C27" s="1" t="s">
        <v>20</v>
      </c>
      <c r="D27" s="1" t="s">
        <v>21</v>
      </c>
      <c r="E27" s="1" t="s">
        <v>1506</v>
      </c>
      <c r="F27" s="1" t="s">
        <v>1507</v>
      </c>
      <c r="G27" s="1" t="s">
        <v>115</v>
      </c>
      <c r="H27" s="1" t="s">
        <v>32</v>
      </c>
      <c r="I27" s="17">
        <f ca="1">DATE(YEAR(TODAY())-1,2,5)</f>
        <v>44232</v>
      </c>
      <c r="J27" s="17">
        <f ca="1">DATE(YEAR(TODAY())-1,2,7)</f>
        <v>44234</v>
      </c>
      <c r="K27" s="1" t="s">
        <v>136</v>
      </c>
      <c r="L27" s="1" t="s">
        <v>137</v>
      </c>
      <c r="M27" s="1">
        <v>700</v>
      </c>
      <c r="N27" s="1" cm="1">
        <f t="array" ref="N27">_xlfn.RANK.EQ(M27,total_money_spent)</f>
        <v>486</v>
      </c>
      <c r="O27" s="1">
        <f t="shared" ca="1" si="0"/>
        <v>2</v>
      </c>
    </row>
    <row r="28" spans="1:15" ht="13.8" x14ac:dyDescent="0.25">
      <c r="A28" s="1" t="s">
        <v>1124</v>
      </c>
      <c r="B28" s="1" t="s">
        <v>1121</v>
      </c>
      <c r="C28" s="1" t="s">
        <v>52</v>
      </c>
      <c r="D28" s="1" t="s">
        <v>53</v>
      </c>
      <c r="E28" s="1" t="s">
        <v>1122</v>
      </c>
      <c r="F28" s="1" t="s">
        <v>1123</v>
      </c>
      <c r="G28" s="1">
        <v>3003</v>
      </c>
      <c r="H28" s="1" t="s">
        <v>81</v>
      </c>
      <c r="I28" s="17">
        <f ca="1">DATE(YEAR(TODAY())-1,1,22)</f>
        <v>44218</v>
      </c>
      <c r="J28" s="17">
        <f ca="1">DATE(YEAR(TODAY())-1,1,24)</f>
        <v>44220</v>
      </c>
      <c r="K28" s="1" t="s">
        <v>87</v>
      </c>
      <c r="L28" s="1" t="s">
        <v>73</v>
      </c>
      <c r="M28" s="1">
        <v>746</v>
      </c>
      <c r="N28" s="1" cm="1">
        <f t="array" ref="N28">_xlfn.RANK.EQ(M28,total_money_spent)</f>
        <v>410</v>
      </c>
      <c r="O28" s="1">
        <f t="shared" ca="1" si="0"/>
        <v>2</v>
      </c>
    </row>
    <row r="29" spans="1:15" ht="13.8" x14ac:dyDescent="0.25">
      <c r="A29" s="1" t="s">
        <v>597</v>
      </c>
      <c r="B29" s="1" t="s">
        <v>598</v>
      </c>
      <c r="C29" s="1" t="s">
        <v>70</v>
      </c>
      <c r="D29" s="1" t="s">
        <v>70</v>
      </c>
      <c r="E29" s="1" t="s">
        <v>599</v>
      </c>
      <c r="F29" s="1" t="s">
        <v>600</v>
      </c>
      <c r="G29" s="1">
        <v>3002</v>
      </c>
      <c r="H29" s="1" t="s">
        <v>81</v>
      </c>
      <c r="I29" s="17">
        <f ca="1">DATE(YEAR(TODAY())-1,9,10)</f>
        <v>44449</v>
      </c>
      <c r="J29" s="17">
        <f ca="1">DATE(YEAR(TODAY())-1,9,17)</f>
        <v>44456</v>
      </c>
      <c r="K29" s="1" t="s">
        <v>61</v>
      </c>
      <c r="L29" s="1" t="s">
        <v>34</v>
      </c>
      <c r="M29" s="1">
        <v>1127</v>
      </c>
      <c r="N29" s="1" cm="1">
        <f t="array" ref="N29">_xlfn.RANK.EQ(M29,total_money_spent)</f>
        <v>16</v>
      </c>
      <c r="O29" s="1">
        <f t="shared" ca="1" si="0"/>
        <v>7</v>
      </c>
    </row>
    <row r="30" spans="1:15" ht="13.8" x14ac:dyDescent="0.25">
      <c r="A30" s="1" t="s">
        <v>921</v>
      </c>
      <c r="B30" s="1" t="s">
        <v>922</v>
      </c>
      <c r="C30" s="1" t="s">
        <v>923</v>
      </c>
      <c r="D30" s="1" t="s">
        <v>618</v>
      </c>
      <c r="E30" s="1" t="s">
        <v>924</v>
      </c>
      <c r="F30" s="1" t="s">
        <v>925</v>
      </c>
      <c r="G30" s="1">
        <v>2006</v>
      </c>
      <c r="H30" s="1" t="s">
        <v>24</v>
      </c>
      <c r="I30" s="17">
        <f ca="1">DATE(YEAR(TODAY())-2,10,15)</f>
        <v>44119</v>
      </c>
      <c r="J30" s="17">
        <f ca="1">DATE(YEAR(TODAY())-2,10,17)</f>
        <v>44121</v>
      </c>
      <c r="K30" s="1" t="s">
        <v>143</v>
      </c>
      <c r="L30" s="1" t="s">
        <v>25</v>
      </c>
      <c r="M30" s="1">
        <v>705</v>
      </c>
      <c r="N30" s="1" cm="1">
        <f t="array" ref="N30">_xlfn.RANK.EQ(M30,total_money_spent)</f>
        <v>477</v>
      </c>
      <c r="O30" s="1">
        <f t="shared" ca="1" si="0"/>
        <v>2</v>
      </c>
    </row>
    <row r="31" spans="1:15" ht="13.8" x14ac:dyDescent="0.25">
      <c r="A31" s="1" t="s">
        <v>1324</v>
      </c>
      <c r="B31" s="1" t="s">
        <v>1320</v>
      </c>
      <c r="C31" s="1" t="s">
        <v>337</v>
      </c>
      <c r="D31" s="1" t="s">
        <v>338</v>
      </c>
      <c r="E31" s="1" t="s">
        <v>1321</v>
      </c>
      <c r="F31" s="1" t="s">
        <v>1322</v>
      </c>
      <c r="G31" s="1" t="s">
        <v>60</v>
      </c>
      <c r="H31" s="1" t="s">
        <v>32</v>
      </c>
      <c r="I31" s="17">
        <f ca="1">DATE(YEAR(TODAY())-1,8,17)</f>
        <v>44425</v>
      </c>
      <c r="J31" s="17">
        <f ca="1">DATE(YEAR(TODAY())-1,8,21)</f>
        <v>44429</v>
      </c>
      <c r="K31" s="1" t="s">
        <v>136</v>
      </c>
      <c r="L31" s="1" t="s">
        <v>137</v>
      </c>
      <c r="M31" s="1">
        <v>783</v>
      </c>
      <c r="N31" s="1" cm="1">
        <f t="array" ref="N31">_xlfn.RANK.EQ(M31,total_money_spent)</f>
        <v>336</v>
      </c>
      <c r="O31" s="1">
        <f t="shared" ca="1" si="0"/>
        <v>4</v>
      </c>
    </row>
    <row r="32" spans="1:15" ht="13.8" x14ac:dyDescent="0.25">
      <c r="A32" s="1" t="s">
        <v>668</v>
      </c>
      <c r="B32" s="1" t="s">
        <v>663</v>
      </c>
      <c r="C32" s="1" t="s">
        <v>170</v>
      </c>
      <c r="D32" s="1" t="s">
        <v>171</v>
      </c>
      <c r="E32" s="1" t="s">
        <v>667</v>
      </c>
      <c r="F32" s="1" t="s">
        <v>665</v>
      </c>
      <c r="G32" s="1" t="s">
        <v>115</v>
      </c>
      <c r="H32" s="1" t="s">
        <v>32</v>
      </c>
      <c r="I32" s="17">
        <f ca="1">DATE(YEAR(TODAY())-1,5,26)</f>
        <v>44342</v>
      </c>
      <c r="J32" s="17">
        <f ca="1">DATE(YEAR(TODAY())-1,5,30)</f>
        <v>44346</v>
      </c>
      <c r="K32" s="1" t="s">
        <v>33</v>
      </c>
      <c r="L32" s="1" t="s">
        <v>34</v>
      </c>
      <c r="M32" s="1">
        <v>793</v>
      </c>
      <c r="N32" s="1" cm="1">
        <f t="array" ref="N32">_xlfn.RANK.EQ(M32,total_money_spent)</f>
        <v>313</v>
      </c>
      <c r="O32" s="1">
        <f t="shared" ca="1" si="0"/>
        <v>4</v>
      </c>
    </row>
    <row r="33" spans="1:15" ht="13.8" x14ac:dyDescent="0.25">
      <c r="A33" s="1" t="s">
        <v>1267</v>
      </c>
      <c r="B33" s="1" t="s">
        <v>1268</v>
      </c>
      <c r="C33" s="1" t="s">
        <v>96</v>
      </c>
      <c r="D33" s="1" t="s">
        <v>96</v>
      </c>
      <c r="E33" s="1" t="s">
        <v>1269</v>
      </c>
      <c r="F33" s="1" t="s">
        <v>1270</v>
      </c>
      <c r="G33" s="1">
        <v>2002</v>
      </c>
      <c r="H33" s="1" t="s">
        <v>24</v>
      </c>
      <c r="I33" s="17">
        <f ca="1">DATE(YEAR(TODAY())-1,2,29)</f>
        <v>44256</v>
      </c>
      <c r="J33" s="17">
        <f ca="1">DATE(YEAR(TODAY())-1,3,7)</f>
        <v>44262</v>
      </c>
      <c r="K33" s="1" t="s">
        <v>61</v>
      </c>
      <c r="L33" s="1" t="s">
        <v>34</v>
      </c>
      <c r="M33" s="1">
        <v>894</v>
      </c>
      <c r="N33" s="1" cm="1">
        <f t="array" ref="N33">_xlfn.RANK.EQ(M33,total_money_spent)</f>
        <v>165</v>
      </c>
      <c r="O33" s="1">
        <f t="shared" ca="1" si="0"/>
        <v>6</v>
      </c>
    </row>
    <row r="34" spans="1:15" ht="13.8" x14ac:dyDescent="0.25">
      <c r="A34" s="1" t="s">
        <v>805</v>
      </c>
      <c r="B34" s="1" t="s">
        <v>806</v>
      </c>
      <c r="C34" s="1" t="s">
        <v>170</v>
      </c>
      <c r="D34" s="1" t="s">
        <v>171</v>
      </c>
      <c r="E34" s="1" t="s">
        <v>807</v>
      </c>
      <c r="F34" s="1" t="s">
        <v>808</v>
      </c>
      <c r="G34" s="1">
        <v>3002</v>
      </c>
      <c r="H34" s="1" t="s">
        <v>81</v>
      </c>
      <c r="I34" s="17">
        <f ca="1">DATE(YEAR(TODAY())-1,1,18)</f>
        <v>44214</v>
      </c>
      <c r="J34" s="17">
        <f ca="1">DATE(YEAR(TODAY())-1,1,20)</f>
        <v>44216</v>
      </c>
      <c r="K34" s="1" t="s">
        <v>136</v>
      </c>
      <c r="L34" s="1" t="s">
        <v>137</v>
      </c>
      <c r="M34" s="1">
        <v>737</v>
      </c>
      <c r="N34" s="1" cm="1">
        <f t="array" ref="N34">_xlfn.RANK.EQ(M34,total_money_spent)</f>
        <v>437</v>
      </c>
      <c r="O34" s="1">
        <f t="shared" ca="1" si="0"/>
        <v>2</v>
      </c>
    </row>
    <row r="35" spans="1:15" ht="13.8" x14ac:dyDescent="0.25">
      <c r="A35" s="1" t="s">
        <v>1433</v>
      </c>
      <c r="B35" s="1" t="s">
        <v>1434</v>
      </c>
      <c r="C35" s="1" t="s">
        <v>37</v>
      </c>
      <c r="D35" s="1" t="s">
        <v>38</v>
      </c>
      <c r="E35" s="1" t="s">
        <v>1435</v>
      </c>
      <c r="F35" s="1" t="s">
        <v>1436</v>
      </c>
      <c r="G35" s="1" t="s">
        <v>115</v>
      </c>
      <c r="H35" s="1" t="s">
        <v>32</v>
      </c>
      <c r="I35" s="17">
        <f ca="1">DATE(YEAR(TODAY())-2,11,7)</f>
        <v>44142</v>
      </c>
      <c r="J35" s="17">
        <f ca="1">DATE(YEAR(TODAY())-2,11,10)</f>
        <v>44145</v>
      </c>
      <c r="K35" s="1" t="s">
        <v>72</v>
      </c>
      <c r="L35" s="1" t="s">
        <v>73</v>
      </c>
      <c r="M35" s="1">
        <v>746</v>
      </c>
      <c r="N35" s="1" cm="1">
        <f t="array" ref="N35">_xlfn.RANK.EQ(M35,total_money_spent)</f>
        <v>410</v>
      </c>
      <c r="O35" s="1">
        <f t="shared" ca="1" si="0"/>
        <v>3</v>
      </c>
    </row>
    <row r="36" spans="1:15" ht="13.8" x14ac:dyDescent="0.25">
      <c r="A36" s="1" t="s">
        <v>1051</v>
      </c>
      <c r="B36" s="1" t="s">
        <v>1048</v>
      </c>
      <c r="C36" s="1" t="s">
        <v>372</v>
      </c>
      <c r="D36" s="1" t="s">
        <v>28</v>
      </c>
      <c r="E36" s="1" t="s">
        <v>1049</v>
      </c>
      <c r="F36" s="1" t="s">
        <v>1050</v>
      </c>
      <c r="G36" s="1">
        <v>3003</v>
      </c>
      <c r="H36" s="1" t="s">
        <v>81</v>
      </c>
      <c r="I36" s="17">
        <f ca="1">DATE(YEAR(TODAY())-1,9,13)</f>
        <v>44452</v>
      </c>
      <c r="J36" s="17">
        <f ca="1">DATE(YEAR(TODAY())-1,9,17)</f>
        <v>44456</v>
      </c>
      <c r="K36" s="1" t="s">
        <v>33</v>
      </c>
      <c r="L36" s="1" t="s">
        <v>34</v>
      </c>
      <c r="M36" s="1">
        <v>855</v>
      </c>
      <c r="N36" s="1" cm="1">
        <f t="array" ref="N36">_xlfn.RANK.EQ(M36,total_money_spent)</f>
        <v>203</v>
      </c>
      <c r="O36" s="1">
        <f t="shared" ca="1" si="0"/>
        <v>4</v>
      </c>
    </row>
    <row r="37" spans="1:15" ht="13.8" x14ac:dyDescent="0.25">
      <c r="A37" s="1" t="s">
        <v>280</v>
      </c>
      <c r="B37" s="1" t="s">
        <v>281</v>
      </c>
      <c r="C37" s="1" t="s">
        <v>91</v>
      </c>
      <c r="D37" s="1" t="s">
        <v>91</v>
      </c>
      <c r="E37" s="1" t="s">
        <v>282</v>
      </c>
      <c r="F37" s="1" t="s">
        <v>283</v>
      </c>
      <c r="G37" s="1">
        <v>2005</v>
      </c>
      <c r="H37" s="1" t="s">
        <v>24</v>
      </c>
      <c r="I37" s="17">
        <f ca="1">DATE(YEAR(TODAY())-2,10,31)</f>
        <v>44135</v>
      </c>
      <c r="J37" s="17">
        <f ca="1">DATE(YEAR(TODAY())-2,11,3)</f>
        <v>44138</v>
      </c>
      <c r="K37" s="1" t="s">
        <v>136</v>
      </c>
      <c r="L37" s="1" t="s">
        <v>137</v>
      </c>
      <c r="M37" s="1">
        <v>762</v>
      </c>
      <c r="N37" s="1" cm="1">
        <f t="array" ref="N37">_xlfn.RANK.EQ(M37,total_money_spent)</f>
        <v>392</v>
      </c>
      <c r="O37" s="1">
        <f t="shared" ca="1" si="0"/>
        <v>3</v>
      </c>
    </row>
    <row r="38" spans="1:15" ht="13.8" x14ac:dyDescent="0.25">
      <c r="A38" s="1" t="s">
        <v>1171</v>
      </c>
      <c r="B38" s="1" t="s">
        <v>1167</v>
      </c>
      <c r="C38" s="1" t="s">
        <v>64</v>
      </c>
      <c r="D38" s="1" t="s">
        <v>65</v>
      </c>
      <c r="E38" s="1" t="s">
        <v>1168</v>
      </c>
      <c r="F38" s="1" t="s">
        <v>1169</v>
      </c>
      <c r="G38" s="1">
        <v>2009</v>
      </c>
      <c r="H38" s="1" t="s">
        <v>44</v>
      </c>
      <c r="I38" s="17">
        <f ca="1">DATE(YEAR(TODAY())-1,7,29)</f>
        <v>44406</v>
      </c>
      <c r="J38" s="17">
        <f ca="1">DATE(YEAR(TODAY())-1,8,1)</f>
        <v>44409</v>
      </c>
      <c r="K38" s="1" t="s">
        <v>143</v>
      </c>
      <c r="L38" s="1" t="s">
        <v>25</v>
      </c>
      <c r="M38" s="1">
        <v>765</v>
      </c>
      <c r="N38" s="1" cm="1">
        <f t="array" ref="N38">_xlfn.RANK.EQ(M38,total_money_spent)</f>
        <v>386</v>
      </c>
      <c r="O38" s="1">
        <f t="shared" ca="1" si="0"/>
        <v>3</v>
      </c>
    </row>
    <row r="39" spans="1:15" ht="13.8" x14ac:dyDescent="0.25">
      <c r="A39" s="1" t="s">
        <v>1052</v>
      </c>
      <c r="B39" s="1" t="s">
        <v>1048</v>
      </c>
      <c r="C39" s="1" t="s">
        <v>64</v>
      </c>
      <c r="D39" s="1" t="s">
        <v>65</v>
      </c>
      <c r="E39" s="1" t="s">
        <v>1049</v>
      </c>
      <c r="F39" s="1" t="s">
        <v>1050</v>
      </c>
      <c r="G39" s="1">
        <v>3005</v>
      </c>
      <c r="H39" s="1" t="s">
        <v>203</v>
      </c>
      <c r="I39" s="17">
        <f ca="1">DATE(YEAR(TODAY())-1,4,8)</f>
        <v>44294</v>
      </c>
      <c r="J39" s="17">
        <f ca="1">DATE(YEAR(TODAY())-1,4,13)</f>
        <v>44299</v>
      </c>
      <c r="K39" s="1" t="s">
        <v>16</v>
      </c>
      <c r="L39" s="1" t="s">
        <v>34</v>
      </c>
      <c r="M39" s="1">
        <v>959</v>
      </c>
      <c r="N39" s="1" cm="1">
        <f t="array" ref="N39">_xlfn.RANK.EQ(M39,total_money_spent)</f>
        <v>98</v>
      </c>
      <c r="O39" s="1">
        <f t="shared" ca="1" si="0"/>
        <v>5</v>
      </c>
    </row>
    <row r="40" spans="1:15" ht="13.8" x14ac:dyDescent="0.25">
      <c r="A40" s="1" t="s">
        <v>570</v>
      </c>
      <c r="B40" s="1" t="s">
        <v>571</v>
      </c>
      <c r="C40" s="1" t="s">
        <v>337</v>
      </c>
      <c r="D40" s="1" t="s">
        <v>338</v>
      </c>
      <c r="E40" s="1" t="s">
        <v>572</v>
      </c>
      <c r="F40" s="1" t="s">
        <v>573</v>
      </c>
      <c r="G40" s="1">
        <v>2003</v>
      </c>
      <c r="H40" s="1" t="s">
        <v>24</v>
      </c>
      <c r="I40" s="17">
        <f ca="1">DATE(YEAR(TODAY())-1,7,27)</f>
        <v>44404</v>
      </c>
      <c r="J40" s="17">
        <f ca="1">DATE(YEAR(TODAY())-1,7,30)</f>
        <v>44407</v>
      </c>
      <c r="K40" s="1" t="s">
        <v>25</v>
      </c>
      <c r="L40" s="1" t="s">
        <v>25</v>
      </c>
      <c r="M40" s="1">
        <v>769</v>
      </c>
      <c r="N40" s="1" cm="1">
        <f t="array" ref="N40">_xlfn.RANK.EQ(M40,total_money_spent)</f>
        <v>378</v>
      </c>
      <c r="O40" s="1">
        <f t="shared" ca="1" si="0"/>
        <v>3</v>
      </c>
    </row>
    <row r="41" spans="1:15" ht="13.8" x14ac:dyDescent="0.25">
      <c r="A41" s="1" t="s">
        <v>404</v>
      </c>
      <c r="B41" s="1" t="s">
        <v>405</v>
      </c>
      <c r="C41" s="1" t="s">
        <v>52</v>
      </c>
      <c r="D41" s="1" t="s">
        <v>53</v>
      </c>
      <c r="E41" s="1" t="s">
        <v>406</v>
      </c>
      <c r="F41" s="1" t="s">
        <v>407</v>
      </c>
      <c r="G41" s="1">
        <v>2002</v>
      </c>
      <c r="H41" s="1" t="s">
        <v>24</v>
      </c>
      <c r="I41" s="17">
        <f ca="1">DATE(YEAR(TODAY())-2,12,27)</f>
        <v>44192</v>
      </c>
      <c r="J41" s="17">
        <f ca="1">DATE(YEAR(TODAY())-2,12,28)</f>
        <v>44193</v>
      </c>
      <c r="K41" s="1" t="s">
        <v>16</v>
      </c>
      <c r="L41" s="1" t="s">
        <v>34</v>
      </c>
      <c r="M41" s="1">
        <v>654</v>
      </c>
      <c r="N41" s="1" cm="1">
        <f t="array" ref="N41">_xlfn.RANK.EQ(M41,total_money_spent)</f>
        <v>579</v>
      </c>
      <c r="O41" s="1">
        <f t="shared" ca="1" si="0"/>
        <v>1</v>
      </c>
    </row>
    <row r="42" spans="1:15" ht="13.8" x14ac:dyDescent="0.25">
      <c r="A42" s="1" t="s">
        <v>509</v>
      </c>
      <c r="B42" s="1" t="s">
        <v>510</v>
      </c>
      <c r="C42" s="1" t="s">
        <v>37</v>
      </c>
      <c r="D42" s="1" t="s">
        <v>38</v>
      </c>
      <c r="E42" s="1" t="s">
        <v>511</v>
      </c>
      <c r="F42" s="1" t="s">
        <v>512</v>
      </c>
      <c r="G42" s="1">
        <v>2005</v>
      </c>
      <c r="H42" s="1" t="s">
        <v>24</v>
      </c>
      <c r="I42" s="17">
        <f ca="1">DATE(YEAR(TODAY())-1,9,16)</f>
        <v>44455</v>
      </c>
      <c r="J42" s="17">
        <f ca="1">DATE(YEAR(TODAY())-1,9,23)</f>
        <v>44462</v>
      </c>
      <c r="K42" s="1" t="s">
        <v>25</v>
      </c>
      <c r="L42" s="1" t="s">
        <v>25</v>
      </c>
      <c r="M42" s="1">
        <v>963</v>
      </c>
      <c r="N42" s="1" cm="1">
        <f t="array" ref="N42">_xlfn.RANK.EQ(M42,total_money_spent)</f>
        <v>88</v>
      </c>
      <c r="O42" s="1">
        <f t="shared" ca="1" si="0"/>
        <v>7</v>
      </c>
    </row>
    <row r="43" spans="1:15" ht="13.8" x14ac:dyDescent="0.25">
      <c r="A43" s="1" t="s">
        <v>565</v>
      </c>
      <c r="B43" s="1" t="s">
        <v>566</v>
      </c>
      <c r="C43" s="1" t="s">
        <v>235</v>
      </c>
      <c r="D43" s="1" t="s">
        <v>235</v>
      </c>
      <c r="E43" s="1" t="s">
        <v>567</v>
      </c>
      <c r="F43" s="1" t="s">
        <v>568</v>
      </c>
      <c r="G43" s="1" t="s">
        <v>60</v>
      </c>
      <c r="H43" s="1" t="s">
        <v>32</v>
      </c>
      <c r="I43" s="17">
        <f ca="1">DATE(YEAR(TODAY())-1,9,7)</f>
        <v>44446</v>
      </c>
      <c r="J43" s="17">
        <f ca="1">DATE(YEAR(TODAY())-1,9,8)</f>
        <v>44447</v>
      </c>
      <c r="K43" s="1" t="s">
        <v>34</v>
      </c>
      <c r="L43" s="1" t="s">
        <v>34</v>
      </c>
      <c r="M43" s="1">
        <v>672</v>
      </c>
      <c r="N43" s="1" cm="1">
        <f t="array" ref="N43">_xlfn.RANK.EQ(M43,total_money_spent)</f>
        <v>515</v>
      </c>
      <c r="O43" s="1">
        <f t="shared" ca="1" si="0"/>
        <v>1</v>
      </c>
    </row>
    <row r="44" spans="1:15" ht="13.8" x14ac:dyDescent="0.25">
      <c r="A44" s="1" t="s">
        <v>1365</v>
      </c>
      <c r="B44" s="1" t="s">
        <v>1366</v>
      </c>
      <c r="C44" s="1" t="s">
        <v>157</v>
      </c>
      <c r="D44" s="1" t="s">
        <v>158</v>
      </c>
      <c r="E44" s="1" t="s">
        <v>1367</v>
      </c>
      <c r="F44" s="1" t="s">
        <v>1368</v>
      </c>
      <c r="G44" s="1">
        <v>2010</v>
      </c>
      <c r="H44" s="1" t="s">
        <v>44</v>
      </c>
      <c r="I44" s="17">
        <f ca="1">DATE(YEAR(TODAY())-2,12,10)</f>
        <v>44175</v>
      </c>
      <c r="J44" s="17">
        <f ca="1">DATE(YEAR(TODAY())-2,12,14)</f>
        <v>44179</v>
      </c>
      <c r="K44" s="1" t="s">
        <v>34</v>
      </c>
      <c r="L44" s="1" t="s">
        <v>34</v>
      </c>
      <c r="M44" s="1">
        <v>837</v>
      </c>
      <c r="N44" s="1" cm="1">
        <f t="array" ref="N44">_xlfn.RANK.EQ(M44,total_money_spent)</f>
        <v>239</v>
      </c>
      <c r="O44" s="1">
        <f t="shared" ca="1" si="0"/>
        <v>4</v>
      </c>
    </row>
    <row r="45" spans="1:15" ht="13.8" x14ac:dyDescent="0.25">
      <c r="A45" s="1" t="s">
        <v>687</v>
      </c>
      <c r="B45" s="1" t="s">
        <v>688</v>
      </c>
      <c r="C45" s="1" t="s">
        <v>96</v>
      </c>
      <c r="D45" s="1" t="s">
        <v>96</v>
      </c>
      <c r="E45" s="1" t="s">
        <v>689</v>
      </c>
      <c r="F45" s="1" t="s">
        <v>690</v>
      </c>
      <c r="G45" s="1">
        <v>2008</v>
      </c>
      <c r="H45" s="1" t="s">
        <v>44</v>
      </c>
      <c r="I45" s="17">
        <f ca="1">DATE(YEAR(TODAY())-1,4,9)</f>
        <v>44295</v>
      </c>
      <c r="J45" s="17">
        <f ca="1">DATE(YEAR(TODAY())-1,4,16)</f>
        <v>44302</v>
      </c>
      <c r="K45" s="1" t="s">
        <v>136</v>
      </c>
      <c r="L45" s="1" t="s">
        <v>137</v>
      </c>
      <c r="M45" s="1">
        <v>1068</v>
      </c>
      <c r="N45" s="1" cm="1">
        <f t="array" ref="N45">_xlfn.RANK.EQ(M45,total_money_spent)</f>
        <v>37</v>
      </c>
      <c r="O45" s="1">
        <f t="shared" ca="1" si="0"/>
        <v>7</v>
      </c>
    </row>
    <row r="46" spans="1:15" ht="13.8" x14ac:dyDescent="0.25">
      <c r="A46" s="1" t="s">
        <v>946</v>
      </c>
      <c r="B46" s="1" t="s">
        <v>943</v>
      </c>
      <c r="C46" s="1" t="s">
        <v>76</v>
      </c>
      <c r="D46" s="1" t="s">
        <v>77</v>
      </c>
      <c r="E46" s="1" t="s">
        <v>944</v>
      </c>
      <c r="F46" s="1" t="s">
        <v>945</v>
      </c>
      <c r="G46" s="1">
        <v>3005</v>
      </c>
      <c r="H46" s="1" t="s">
        <v>203</v>
      </c>
      <c r="I46" s="17">
        <f ca="1">DATE(YEAR(TODAY())-1,6,24)</f>
        <v>44371</v>
      </c>
      <c r="J46" s="17">
        <f ca="1">DATE(YEAR(TODAY())-1,6,26)</f>
        <v>44373</v>
      </c>
      <c r="K46" s="1" t="s">
        <v>33</v>
      </c>
      <c r="L46" s="1" t="s">
        <v>34</v>
      </c>
      <c r="M46" s="1">
        <v>742</v>
      </c>
      <c r="N46" s="1" cm="1">
        <f t="array" ref="N46">_xlfn.RANK.EQ(M46,total_money_spent)</f>
        <v>419</v>
      </c>
      <c r="O46" s="1">
        <f t="shared" ca="1" si="0"/>
        <v>2</v>
      </c>
    </row>
    <row r="47" spans="1:15" ht="13.8" x14ac:dyDescent="0.25">
      <c r="A47" s="1" t="s">
        <v>361</v>
      </c>
      <c r="B47" s="1" t="s">
        <v>358</v>
      </c>
      <c r="C47" s="1" t="s">
        <v>229</v>
      </c>
      <c r="D47" s="1" t="s">
        <v>230</v>
      </c>
      <c r="E47" s="1" t="s">
        <v>359</v>
      </c>
      <c r="F47" s="1" t="s">
        <v>360</v>
      </c>
      <c r="G47" s="1" t="s">
        <v>226</v>
      </c>
      <c r="H47" s="1" t="s">
        <v>32</v>
      </c>
      <c r="I47" s="17">
        <f ca="1">DATE(YEAR(TODAY())-2,12,4)</f>
        <v>44169</v>
      </c>
      <c r="J47" s="17">
        <f ca="1">DATE(YEAR(TODAY())-2,12,9)</f>
        <v>44174</v>
      </c>
      <c r="K47" s="1" t="s">
        <v>61</v>
      </c>
      <c r="L47" s="1" t="s">
        <v>34</v>
      </c>
      <c r="M47" s="1">
        <v>810</v>
      </c>
      <c r="N47" s="1" cm="1">
        <f t="array" ref="N47">_xlfn.RANK.EQ(M47,total_money_spent)</f>
        <v>266</v>
      </c>
      <c r="O47" s="1">
        <f t="shared" ca="1" si="0"/>
        <v>5</v>
      </c>
    </row>
    <row r="48" spans="1:15" ht="13.8" x14ac:dyDescent="0.25">
      <c r="A48" s="1" t="s">
        <v>1318</v>
      </c>
      <c r="B48" s="1" t="s">
        <v>1315</v>
      </c>
      <c r="C48" s="1" t="s">
        <v>106</v>
      </c>
      <c r="D48" s="1" t="s">
        <v>107</v>
      </c>
      <c r="E48" s="1" t="s">
        <v>1316</v>
      </c>
      <c r="F48" s="1" t="s">
        <v>1317</v>
      </c>
      <c r="G48" s="1" t="s">
        <v>122</v>
      </c>
      <c r="H48" s="1" t="s">
        <v>32</v>
      </c>
      <c r="I48" s="17">
        <f ca="1">DATE(YEAR(TODAY())-1,1,13)</f>
        <v>44209</v>
      </c>
      <c r="J48" s="17">
        <f ca="1">DATE(YEAR(TODAY())-1,1,17)</f>
        <v>44213</v>
      </c>
      <c r="K48" s="1" t="s">
        <v>82</v>
      </c>
      <c r="L48" s="1" t="s">
        <v>34</v>
      </c>
      <c r="M48" s="1">
        <v>804</v>
      </c>
      <c r="N48" s="1" cm="1">
        <f t="array" ref="N48">_xlfn.RANK.EQ(M48,total_money_spent)</f>
        <v>280</v>
      </c>
      <c r="O48" s="1">
        <f t="shared" ca="1" si="0"/>
        <v>4</v>
      </c>
    </row>
    <row r="49" spans="1:15" ht="13.8" x14ac:dyDescent="0.25">
      <c r="A49" s="1" t="s">
        <v>367</v>
      </c>
      <c r="B49" s="1" t="s">
        <v>368</v>
      </c>
      <c r="C49" s="1" t="s">
        <v>101</v>
      </c>
      <c r="D49" s="1" t="s">
        <v>102</v>
      </c>
      <c r="E49" s="1" t="s">
        <v>369</v>
      </c>
      <c r="F49" s="1" t="s">
        <v>370</v>
      </c>
      <c r="G49" s="1">
        <v>2009</v>
      </c>
      <c r="H49" s="1" t="s">
        <v>44</v>
      </c>
      <c r="I49" s="17">
        <f ca="1">DATE(YEAR(TODAY())-1,4,5)</f>
        <v>44291</v>
      </c>
      <c r="J49" s="17">
        <f ca="1">DATE(YEAR(TODAY())-1,4,9)</f>
        <v>44295</v>
      </c>
      <c r="K49" s="1" t="s">
        <v>72</v>
      </c>
      <c r="L49" s="1" t="s">
        <v>73</v>
      </c>
      <c r="M49" s="1">
        <v>836</v>
      </c>
      <c r="N49" s="1" cm="1">
        <f t="array" ref="N49">_xlfn.RANK.EQ(M49,total_money_spent)</f>
        <v>241</v>
      </c>
      <c r="O49" s="1">
        <f t="shared" ca="1" si="0"/>
        <v>4</v>
      </c>
    </row>
    <row r="50" spans="1:15" ht="13.8" x14ac:dyDescent="0.25">
      <c r="A50" s="1" t="s">
        <v>951</v>
      </c>
      <c r="B50" s="1" t="s">
        <v>948</v>
      </c>
      <c r="C50" s="1" t="s">
        <v>96</v>
      </c>
      <c r="D50" s="1" t="s">
        <v>96</v>
      </c>
      <c r="E50" s="1" t="s">
        <v>949</v>
      </c>
      <c r="F50" s="1" t="s">
        <v>950</v>
      </c>
      <c r="G50" s="1" t="s">
        <v>31</v>
      </c>
      <c r="H50" s="1" t="s">
        <v>32</v>
      </c>
      <c r="I50" s="17">
        <f ca="1">DATE(YEAR(TODAY())-2,10,31)</f>
        <v>44135</v>
      </c>
      <c r="J50" s="17">
        <f ca="1">DATE(YEAR(TODAY())-2,11,4)</f>
        <v>44139</v>
      </c>
      <c r="K50" s="1" t="s">
        <v>82</v>
      </c>
      <c r="L50" s="1" t="s">
        <v>34</v>
      </c>
      <c r="M50" s="1">
        <v>789</v>
      </c>
      <c r="N50" s="1" cm="1">
        <f t="array" ref="N50">_xlfn.RANK.EQ(M50,total_money_spent)</f>
        <v>325</v>
      </c>
      <c r="O50" s="1">
        <f t="shared" ca="1" si="0"/>
        <v>4</v>
      </c>
    </row>
    <row r="51" spans="1:15" ht="13.8" x14ac:dyDescent="0.25">
      <c r="A51" s="1" t="s">
        <v>318</v>
      </c>
      <c r="B51" s="1" t="s">
        <v>316</v>
      </c>
      <c r="C51" s="1" t="s">
        <v>125</v>
      </c>
      <c r="D51" s="1" t="s">
        <v>126</v>
      </c>
      <c r="E51" s="1" t="s">
        <v>319</v>
      </c>
      <c r="F51" s="1" t="s">
        <v>317</v>
      </c>
      <c r="G51" s="1" t="s">
        <v>60</v>
      </c>
      <c r="H51" s="1" t="s">
        <v>32</v>
      </c>
      <c r="I51" s="17">
        <f ca="1">DATE(YEAR(TODAY())-1,4,26)</f>
        <v>44312</v>
      </c>
      <c r="J51" s="17">
        <f ca="1">DATE(YEAR(TODAY())-1,4,28)</f>
        <v>44314</v>
      </c>
      <c r="K51" s="1" t="s">
        <v>136</v>
      </c>
      <c r="L51" s="1" t="s">
        <v>137</v>
      </c>
      <c r="M51" s="1">
        <v>691</v>
      </c>
      <c r="N51" s="1" cm="1">
        <f t="array" ref="N51">_xlfn.RANK.EQ(M51,total_money_spent)</f>
        <v>495</v>
      </c>
      <c r="O51" s="1">
        <f t="shared" ca="1" si="0"/>
        <v>2</v>
      </c>
    </row>
    <row r="52" spans="1:15" ht="13.8" x14ac:dyDescent="0.25">
      <c r="A52" s="1" t="s">
        <v>780</v>
      </c>
      <c r="B52" s="1" t="s">
        <v>781</v>
      </c>
      <c r="C52" s="1" t="s">
        <v>337</v>
      </c>
      <c r="D52" s="1" t="s">
        <v>338</v>
      </c>
      <c r="E52" s="1" t="s">
        <v>782</v>
      </c>
      <c r="F52" s="1" t="s">
        <v>783</v>
      </c>
      <c r="G52" s="1" t="s">
        <v>60</v>
      </c>
      <c r="H52" s="1" t="s">
        <v>32</v>
      </c>
      <c r="I52" s="17">
        <f ca="1">DATE(YEAR(TODAY())-1,5,29)</f>
        <v>44345</v>
      </c>
      <c r="J52" s="17">
        <f ca="1">DATE(YEAR(TODAY())-1,6,1)</f>
        <v>44348</v>
      </c>
      <c r="K52" s="1" t="s">
        <v>82</v>
      </c>
      <c r="L52" s="1" t="s">
        <v>34</v>
      </c>
      <c r="M52" s="1">
        <v>741</v>
      </c>
      <c r="N52" s="1" cm="1">
        <f t="array" ref="N52">_xlfn.RANK.EQ(M52,total_money_spent)</f>
        <v>422</v>
      </c>
      <c r="O52" s="1">
        <f t="shared" ca="1" si="0"/>
        <v>3</v>
      </c>
    </row>
    <row r="53" spans="1:15" ht="13.8" x14ac:dyDescent="0.25">
      <c r="A53" s="1" t="s">
        <v>746</v>
      </c>
      <c r="B53" s="1" t="s">
        <v>743</v>
      </c>
      <c r="C53" s="1" t="s">
        <v>106</v>
      </c>
      <c r="D53" s="1" t="s">
        <v>107</v>
      </c>
      <c r="E53" s="1" t="s">
        <v>744</v>
      </c>
      <c r="F53" s="1" t="s">
        <v>745</v>
      </c>
      <c r="G53" s="1">
        <v>2006</v>
      </c>
      <c r="H53" s="1" t="s">
        <v>24</v>
      </c>
      <c r="I53" s="17">
        <f ca="1">DATE(YEAR(TODAY())-1,6,6)</f>
        <v>44353</v>
      </c>
      <c r="J53" s="17">
        <f ca="1">DATE(YEAR(TODAY())-1,6,10)</f>
        <v>44357</v>
      </c>
      <c r="K53" s="1" t="s">
        <v>34</v>
      </c>
      <c r="L53" s="1" t="s">
        <v>34</v>
      </c>
      <c r="M53" s="1">
        <v>812</v>
      </c>
      <c r="N53" s="1" cm="1">
        <f t="array" ref="N53">_xlfn.RANK.EQ(M53,total_money_spent)</f>
        <v>262</v>
      </c>
      <c r="O53" s="1">
        <f t="shared" ca="1" si="0"/>
        <v>4</v>
      </c>
    </row>
    <row r="54" spans="1:15" ht="13.8" x14ac:dyDescent="0.25">
      <c r="A54" s="1" t="s">
        <v>202</v>
      </c>
      <c r="B54" s="1" t="s">
        <v>196</v>
      </c>
      <c r="C54" s="1" t="s">
        <v>125</v>
      </c>
      <c r="D54" s="1" t="s">
        <v>126</v>
      </c>
      <c r="F54" s="1" t="s">
        <v>200</v>
      </c>
      <c r="G54" s="1">
        <v>3004</v>
      </c>
      <c r="H54" s="1" t="s">
        <v>203</v>
      </c>
      <c r="I54" s="17">
        <f ca="1">DATE(YEAR(TODAY())-2,12,20)</f>
        <v>44185</v>
      </c>
      <c r="J54" s="17">
        <f ca="1">DATE(YEAR(TODAY())-2,12,24)</f>
        <v>44189</v>
      </c>
      <c r="K54" s="1" t="s">
        <v>33</v>
      </c>
      <c r="L54" s="1" t="s">
        <v>34</v>
      </c>
      <c r="M54" s="1">
        <v>870</v>
      </c>
      <c r="N54" s="1" cm="1">
        <f t="array" ref="N54">_xlfn.RANK.EQ(M54,total_money_spent)</f>
        <v>181</v>
      </c>
      <c r="O54" s="1">
        <f t="shared" ca="1" si="0"/>
        <v>4</v>
      </c>
    </row>
    <row r="55" spans="1:15" ht="13.8" x14ac:dyDescent="0.25">
      <c r="A55" s="1" t="s">
        <v>919</v>
      </c>
      <c r="B55" s="1" t="s">
        <v>913</v>
      </c>
      <c r="C55" s="1" t="s">
        <v>37</v>
      </c>
      <c r="D55" s="1" t="s">
        <v>38</v>
      </c>
      <c r="E55" s="1" t="s">
        <v>914</v>
      </c>
      <c r="F55" s="1" t="s">
        <v>915</v>
      </c>
      <c r="G55" s="1">
        <v>3005</v>
      </c>
      <c r="H55" s="1" t="s">
        <v>203</v>
      </c>
      <c r="I55" s="17">
        <f ca="1">DATE(YEAR(TODAY())-1,9,21)</f>
        <v>44460</v>
      </c>
      <c r="J55" s="17">
        <f ca="1">DATE(YEAR(TODAY())-1,9,28)</f>
        <v>44467</v>
      </c>
      <c r="K55" s="1" t="s">
        <v>143</v>
      </c>
      <c r="L55" s="1" t="s">
        <v>25</v>
      </c>
      <c r="M55" s="1">
        <v>1350</v>
      </c>
      <c r="N55" s="1" cm="1">
        <f t="array" ref="N55">_xlfn.RANK.EQ(M55,total_money_spent)</f>
        <v>5</v>
      </c>
      <c r="O55" s="1">
        <f t="shared" ca="1" si="0"/>
        <v>7</v>
      </c>
    </row>
    <row r="56" spans="1:15" ht="13.8" x14ac:dyDescent="0.25">
      <c r="A56" s="1" t="s">
        <v>959</v>
      </c>
      <c r="B56" s="1" t="s">
        <v>960</v>
      </c>
      <c r="C56" s="1" t="s">
        <v>305</v>
      </c>
      <c r="D56" s="1" t="s">
        <v>211</v>
      </c>
      <c r="E56" s="1" t="s">
        <v>961</v>
      </c>
      <c r="F56" s="1" t="s">
        <v>962</v>
      </c>
      <c r="G56" s="1">
        <v>3001</v>
      </c>
      <c r="H56" s="1" t="s">
        <v>81</v>
      </c>
      <c r="I56" s="17">
        <f ca="1">DATE(YEAR(TODAY())-1,3,18)</f>
        <v>44273</v>
      </c>
      <c r="J56" s="17">
        <f ca="1">DATE(YEAR(TODAY())-1,3,23)</f>
        <v>44278</v>
      </c>
      <c r="K56" s="1" t="s">
        <v>25</v>
      </c>
      <c r="L56" s="1" t="s">
        <v>25</v>
      </c>
      <c r="M56" s="1">
        <v>892</v>
      </c>
      <c r="N56" s="1" cm="1">
        <f t="array" ref="N56">_xlfn.RANK.EQ(M56,total_money_spent)</f>
        <v>169</v>
      </c>
      <c r="O56" s="1">
        <f t="shared" ca="1" si="0"/>
        <v>5</v>
      </c>
    </row>
    <row r="57" spans="1:15" ht="13.8" x14ac:dyDescent="0.25">
      <c r="A57" s="1" t="s">
        <v>331</v>
      </c>
      <c r="B57" s="1" t="s">
        <v>325</v>
      </c>
      <c r="C57" s="1" t="s">
        <v>157</v>
      </c>
      <c r="D57" s="1" t="s">
        <v>158</v>
      </c>
      <c r="E57" s="1" t="s">
        <v>327</v>
      </c>
      <c r="F57" s="1" t="s">
        <v>328</v>
      </c>
      <c r="G57" s="1" t="s">
        <v>31</v>
      </c>
      <c r="H57" s="1" t="s">
        <v>32</v>
      </c>
      <c r="I57" s="17">
        <f ca="1">DATE(YEAR(TODAY())-1,3,24)</f>
        <v>44279</v>
      </c>
      <c r="J57" s="17">
        <f ca="1">DATE(YEAR(TODAY())-1,3,28)</f>
        <v>44283</v>
      </c>
      <c r="K57" s="1" t="s">
        <v>16</v>
      </c>
      <c r="L57" s="1" t="s">
        <v>34</v>
      </c>
      <c r="M57" s="1">
        <v>780</v>
      </c>
      <c r="N57" s="1" cm="1">
        <f t="array" ref="N57">_xlfn.RANK.EQ(M57,total_money_spent)</f>
        <v>344</v>
      </c>
      <c r="O57" s="1">
        <f t="shared" ca="1" si="0"/>
        <v>4</v>
      </c>
    </row>
    <row r="58" spans="1:15" ht="13.8" x14ac:dyDescent="0.25">
      <c r="A58" s="1" t="s">
        <v>300</v>
      </c>
      <c r="B58" s="1" t="s">
        <v>295</v>
      </c>
      <c r="C58" s="1" t="s">
        <v>76</v>
      </c>
      <c r="D58" s="1" t="s">
        <v>77</v>
      </c>
      <c r="F58" s="1" t="s">
        <v>297</v>
      </c>
      <c r="G58" s="1">
        <v>3002</v>
      </c>
      <c r="H58" s="1" t="s">
        <v>81</v>
      </c>
      <c r="I58" s="17">
        <f ca="1">DATE(YEAR(TODAY())-1,7,25)</f>
        <v>44402</v>
      </c>
      <c r="J58" s="17">
        <f ca="1">DATE(YEAR(TODAY())-1,7,29)</f>
        <v>44406</v>
      </c>
      <c r="K58" s="1" t="s">
        <v>72</v>
      </c>
      <c r="L58" s="1" t="s">
        <v>73</v>
      </c>
      <c r="M58" s="1">
        <v>861</v>
      </c>
      <c r="N58" s="1" cm="1">
        <f t="array" ref="N58">_xlfn.RANK.EQ(M58,total_money_spent)</f>
        <v>191</v>
      </c>
      <c r="O58" s="1">
        <f t="shared" ca="1" si="0"/>
        <v>4</v>
      </c>
    </row>
    <row r="59" spans="1:15" ht="13.8" x14ac:dyDescent="0.25">
      <c r="A59" s="1" t="s">
        <v>1133</v>
      </c>
      <c r="B59" s="1" t="s">
        <v>1134</v>
      </c>
      <c r="C59" s="1" t="s">
        <v>37</v>
      </c>
      <c r="D59" s="1" t="s">
        <v>38</v>
      </c>
      <c r="E59" s="1" t="s">
        <v>1135</v>
      </c>
      <c r="F59" s="1" t="s">
        <v>1136</v>
      </c>
      <c r="G59" s="1">
        <v>2008</v>
      </c>
      <c r="H59" s="1" t="s">
        <v>44</v>
      </c>
      <c r="I59" s="17">
        <f ca="1">DATE(YEAR(TODAY())-2,10,10)</f>
        <v>44114</v>
      </c>
      <c r="J59" s="17">
        <f ca="1">DATE(YEAR(TODAY())-2,10,13)</f>
        <v>44117</v>
      </c>
      <c r="K59" s="1" t="s">
        <v>82</v>
      </c>
      <c r="L59" s="1" t="s">
        <v>34</v>
      </c>
      <c r="M59" s="1">
        <v>766</v>
      </c>
      <c r="N59" s="1" cm="1">
        <f t="array" ref="N59">_xlfn.RANK.EQ(M59,total_money_spent)</f>
        <v>384</v>
      </c>
      <c r="O59" s="1">
        <f t="shared" ca="1" si="0"/>
        <v>3</v>
      </c>
    </row>
    <row r="60" spans="1:15" ht="13.8" x14ac:dyDescent="0.25">
      <c r="A60" s="1" t="s">
        <v>988</v>
      </c>
      <c r="B60" s="1" t="s">
        <v>989</v>
      </c>
      <c r="C60" s="1" t="s">
        <v>101</v>
      </c>
      <c r="D60" s="1" t="s">
        <v>102</v>
      </c>
      <c r="E60" s="1" t="s">
        <v>990</v>
      </c>
      <c r="F60" s="1" t="s">
        <v>991</v>
      </c>
      <c r="G60" s="1">
        <v>2007</v>
      </c>
      <c r="H60" s="1" t="s">
        <v>44</v>
      </c>
      <c r="I60" s="17">
        <f ca="1">DATE(YEAR(TODAY())-1,6,6)</f>
        <v>44353</v>
      </c>
      <c r="J60" s="17">
        <f ca="1">DATE(YEAR(TODAY())-1,6,8)</f>
        <v>44355</v>
      </c>
      <c r="K60" s="1" t="s">
        <v>34</v>
      </c>
      <c r="L60" s="1" t="s">
        <v>34</v>
      </c>
      <c r="M60" s="1">
        <v>739</v>
      </c>
      <c r="N60" s="1" cm="1">
        <f t="array" ref="N60">_xlfn.RANK.EQ(M60,total_money_spent)</f>
        <v>430</v>
      </c>
      <c r="O60" s="1">
        <f t="shared" ca="1" si="0"/>
        <v>2</v>
      </c>
    </row>
    <row r="61" spans="1:15" ht="13.8" x14ac:dyDescent="0.25">
      <c r="A61" s="1" t="s">
        <v>865</v>
      </c>
      <c r="B61" s="1" t="s">
        <v>866</v>
      </c>
      <c r="C61" s="1" t="s">
        <v>867</v>
      </c>
      <c r="D61" s="1" t="s">
        <v>618</v>
      </c>
      <c r="E61" s="1" t="s">
        <v>868</v>
      </c>
      <c r="F61" s="1" t="s">
        <v>869</v>
      </c>
      <c r="G61" s="1">
        <v>2007</v>
      </c>
      <c r="H61" s="1" t="s">
        <v>44</v>
      </c>
      <c r="I61" s="17">
        <f ca="1">DATE(YEAR(TODAY())-1,5,31)</f>
        <v>44347</v>
      </c>
      <c r="J61" s="17">
        <f ca="1">DATE(YEAR(TODAY())-1,6,3)</f>
        <v>44350</v>
      </c>
      <c r="K61" s="1" t="s">
        <v>136</v>
      </c>
      <c r="L61" s="1" t="s">
        <v>137</v>
      </c>
      <c r="M61" s="1">
        <v>761</v>
      </c>
      <c r="N61" s="1" cm="1">
        <f t="array" ref="N61">_xlfn.RANK.EQ(M61,total_money_spent)</f>
        <v>394</v>
      </c>
      <c r="O61" s="1">
        <f t="shared" ca="1" si="0"/>
        <v>3</v>
      </c>
    </row>
    <row r="62" spans="1:15" ht="13.8" x14ac:dyDescent="0.25">
      <c r="A62" s="1" t="s">
        <v>135</v>
      </c>
      <c r="B62" s="1" t="s">
        <v>130</v>
      </c>
      <c r="C62" s="1" t="s">
        <v>76</v>
      </c>
      <c r="D62" s="1" t="s">
        <v>77</v>
      </c>
      <c r="F62" s="1" t="s">
        <v>134</v>
      </c>
      <c r="G62" s="1">
        <v>3002</v>
      </c>
      <c r="H62" s="1" t="s">
        <v>81</v>
      </c>
      <c r="I62" s="17">
        <f ca="1">DATE(YEAR(TODAY())-1,3,23)</f>
        <v>44278</v>
      </c>
      <c r="J62" s="17">
        <f ca="1">DATE(YEAR(TODAY())-1,3,25)</f>
        <v>44280</v>
      </c>
      <c r="K62" s="1" t="s">
        <v>136</v>
      </c>
      <c r="L62" s="1" t="s">
        <v>137</v>
      </c>
      <c r="M62" s="1">
        <v>744</v>
      </c>
      <c r="N62" s="1" cm="1">
        <f t="array" ref="N62">_xlfn.RANK.EQ(M62,total_money_spent)</f>
        <v>414</v>
      </c>
      <c r="O62" s="1">
        <f t="shared" ca="1" si="0"/>
        <v>2</v>
      </c>
    </row>
    <row r="63" spans="1:15" ht="13.8" x14ac:dyDescent="0.25">
      <c r="A63" s="1" t="s">
        <v>1333</v>
      </c>
      <c r="B63" s="1" t="s">
        <v>1334</v>
      </c>
      <c r="C63" s="1" t="s">
        <v>186</v>
      </c>
      <c r="D63" s="1" t="s">
        <v>187</v>
      </c>
      <c r="E63" s="1" t="s">
        <v>1335</v>
      </c>
      <c r="F63" s="1" t="s">
        <v>1336</v>
      </c>
      <c r="G63" s="1">
        <v>3004</v>
      </c>
      <c r="H63" s="1" t="s">
        <v>203</v>
      </c>
      <c r="I63" s="17">
        <f ca="1">DATE(YEAR(TODAY())-1,8,27)</f>
        <v>44435</v>
      </c>
      <c r="J63" s="17">
        <f ca="1">DATE(YEAR(TODAY())-1,9,2)</f>
        <v>44441</v>
      </c>
      <c r="K63" s="1" t="s">
        <v>34</v>
      </c>
      <c r="L63" s="1" t="s">
        <v>34</v>
      </c>
      <c r="M63" s="1">
        <v>1075</v>
      </c>
      <c r="N63" s="1" cm="1">
        <f t="array" ref="N63">_xlfn.RANK.EQ(M63,total_money_spent)</f>
        <v>26</v>
      </c>
      <c r="O63" s="1">
        <f t="shared" ca="1" si="0"/>
        <v>6</v>
      </c>
    </row>
    <row r="64" spans="1:15" ht="13.8" x14ac:dyDescent="0.25">
      <c r="A64" s="1" t="s">
        <v>676</v>
      </c>
      <c r="B64" s="1" t="s">
        <v>670</v>
      </c>
      <c r="C64" s="1" t="s">
        <v>131</v>
      </c>
      <c r="D64" s="1" t="s">
        <v>132</v>
      </c>
      <c r="E64" s="1" t="s">
        <v>671</v>
      </c>
      <c r="F64" s="1" t="s">
        <v>672</v>
      </c>
      <c r="G64" s="1">
        <v>2008</v>
      </c>
      <c r="H64" s="1" t="s">
        <v>44</v>
      </c>
      <c r="I64" s="17">
        <f ca="1">DATE(YEAR(TODAY())-1,7,2)</f>
        <v>44379</v>
      </c>
      <c r="J64" s="17">
        <f ca="1">DATE(YEAR(TODAY())-1,7,3)</f>
        <v>44380</v>
      </c>
      <c r="K64" s="1" t="s">
        <v>33</v>
      </c>
      <c r="L64" s="1" t="s">
        <v>34</v>
      </c>
      <c r="M64" s="1">
        <v>667</v>
      </c>
      <c r="N64" s="1" cm="1">
        <f t="array" ref="N64">_xlfn.RANK.EQ(M64,total_money_spent)</f>
        <v>529</v>
      </c>
      <c r="O64" s="1">
        <f t="shared" ca="1" si="0"/>
        <v>1</v>
      </c>
    </row>
    <row r="65" spans="1:15" ht="13.8" x14ac:dyDescent="0.25">
      <c r="A65" s="1" t="s">
        <v>964</v>
      </c>
      <c r="B65" s="1" t="s">
        <v>960</v>
      </c>
      <c r="C65" s="1" t="s">
        <v>57</v>
      </c>
      <c r="D65" s="1" t="s">
        <v>57</v>
      </c>
      <c r="E65" s="1" t="s">
        <v>961</v>
      </c>
      <c r="F65" s="1" t="s">
        <v>962</v>
      </c>
      <c r="G65" s="1" t="s">
        <v>226</v>
      </c>
      <c r="H65" s="1" t="s">
        <v>32</v>
      </c>
      <c r="I65" s="17">
        <f ca="1">DATE(YEAR(TODAY())-1,3,5)</f>
        <v>44260</v>
      </c>
      <c r="J65" s="17">
        <f ca="1">DATE(YEAR(TODAY())-1,3,7)</f>
        <v>44262</v>
      </c>
      <c r="K65" s="1" t="s">
        <v>87</v>
      </c>
      <c r="L65" s="1" t="s">
        <v>73</v>
      </c>
      <c r="M65" s="1">
        <v>687</v>
      </c>
      <c r="N65" s="1" cm="1">
        <f t="array" ref="N65">_xlfn.RANK.EQ(M65,total_money_spent)</f>
        <v>499</v>
      </c>
      <c r="O65" s="1">
        <f t="shared" ca="1" si="0"/>
        <v>2</v>
      </c>
    </row>
    <row r="66" spans="1:15" ht="13.8" x14ac:dyDescent="0.25">
      <c r="A66" s="1" t="s">
        <v>1088</v>
      </c>
      <c r="B66" s="1" t="s">
        <v>1084</v>
      </c>
      <c r="C66" s="1" t="s">
        <v>210</v>
      </c>
      <c r="D66" s="1" t="s">
        <v>211</v>
      </c>
      <c r="E66" s="1" t="s">
        <v>1085</v>
      </c>
      <c r="F66" s="1" t="s">
        <v>1086</v>
      </c>
      <c r="G66" s="1">
        <v>3004</v>
      </c>
      <c r="H66" s="1" t="s">
        <v>203</v>
      </c>
      <c r="I66" s="17">
        <f ca="1">DATE(YEAR(TODAY())-1,5,3)</f>
        <v>44319</v>
      </c>
      <c r="J66" s="17">
        <f ca="1">DATE(YEAR(TODAY())-1,5,5)</f>
        <v>44321</v>
      </c>
      <c r="K66" s="1" t="s">
        <v>25</v>
      </c>
      <c r="L66" s="1" t="s">
        <v>25</v>
      </c>
      <c r="M66" s="1">
        <v>741</v>
      </c>
      <c r="N66" s="1" cm="1">
        <f t="array" ref="N66">_xlfn.RANK.EQ(M66,total_money_spent)</f>
        <v>422</v>
      </c>
      <c r="O66" s="1">
        <f t="shared" ca="1" si="0"/>
        <v>2</v>
      </c>
    </row>
    <row r="67" spans="1:15" ht="13.8" x14ac:dyDescent="0.25">
      <c r="A67" s="1" t="s">
        <v>994</v>
      </c>
      <c r="B67" s="1" t="s">
        <v>995</v>
      </c>
      <c r="C67" s="1" t="s">
        <v>147</v>
      </c>
      <c r="D67" s="1" t="s">
        <v>147</v>
      </c>
      <c r="E67" s="1" t="s">
        <v>996</v>
      </c>
      <c r="F67" s="1" t="s">
        <v>997</v>
      </c>
      <c r="G67" s="1">
        <v>3002</v>
      </c>
      <c r="H67" s="1" t="s">
        <v>81</v>
      </c>
      <c r="I67" s="17">
        <f ca="1">DATE(YEAR(TODAY())-2,12,23)</f>
        <v>44188</v>
      </c>
      <c r="J67" s="17">
        <f ca="1">DATE(YEAR(TODAY())-2,12,26)</f>
        <v>44191</v>
      </c>
      <c r="K67" s="1" t="s">
        <v>82</v>
      </c>
      <c r="L67" s="1" t="s">
        <v>34</v>
      </c>
      <c r="M67" s="1">
        <v>786</v>
      </c>
      <c r="N67" s="1" cm="1">
        <f t="array" ref="N67">_xlfn.RANK.EQ(M67,total_money_spent)</f>
        <v>330</v>
      </c>
      <c r="O67" s="1">
        <f t="shared" ref="O67:O130" ca="1" si="1">J67-I67</f>
        <v>3</v>
      </c>
    </row>
    <row r="68" spans="1:15" ht="13.8" x14ac:dyDescent="0.25">
      <c r="A68" s="1" t="s">
        <v>1161</v>
      </c>
      <c r="B68" s="1" t="s">
        <v>1162</v>
      </c>
      <c r="C68" s="1" t="s">
        <v>57</v>
      </c>
      <c r="D68" s="1" t="s">
        <v>57</v>
      </c>
      <c r="E68" s="1" t="s">
        <v>1163</v>
      </c>
      <c r="F68" s="1" t="s">
        <v>1164</v>
      </c>
      <c r="G68" s="1">
        <v>2003</v>
      </c>
      <c r="H68" s="1" t="s">
        <v>24</v>
      </c>
      <c r="I68" s="17">
        <f ca="1">DATE(YEAR(TODAY())-2,11,10)</f>
        <v>44145</v>
      </c>
      <c r="J68" s="17">
        <f ca="1">DATE(YEAR(TODAY())-2,11,11)</f>
        <v>44146</v>
      </c>
      <c r="K68" s="1" t="s">
        <v>25</v>
      </c>
      <c r="L68" s="1" t="s">
        <v>25</v>
      </c>
      <c r="M68" s="1">
        <v>661</v>
      </c>
      <c r="N68" s="1" cm="1">
        <f t="array" ref="N68">_xlfn.RANK.EQ(M68,total_money_spent)</f>
        <v>553</v>
      </c>
      <c r="O68" s="1">
        <f t="shared" ca="1" si="1"/>
        <v>1</v>
      </c>
    </row>
    <row r="69" spans="1:15" ht="13.8" x14ac:dyDescent="0.25">
      <c r="A69" s="1" t="s">
        <v>220</v>
      </c>
      <c r="B69" s="1" t="s">
        <v>221</v>
      </c>
      <c r="C69" s="1" t="s">
        <v>96</v>
      </c>
      <c r="D69" s="1" t="s">
        <v>96</v>
      </c>
      <c r="E69" s="1" t="s">
        <v>222</v>
      </c>
      <c r="F69" s="1" t="s">
        <v>223</v>
      </c>
      <c r="G69" s="1">
        <v>2002</v>
      </c>
      <c r="H69" s="1" t="s">
        <v>24</v>
      </c>
      <c r="I69" s="17">
        <f ca="1">DATE(YEAR(TODAY())-1,4,13)</f>
        <v>44299</v>
      </c>
      <c r="J69" s="17">
        <f ca="1">DATE(YEAR(TODAY())-1,4,15)</f>
        <v>44301</v>
      </c>
      <c r="K69" s="1" t="s">
        <v>33</v>
      </c>
      <c r="L69" s="1" t="s">
        <v>34</v>
      </c>
      <c r="M69" s="1">
        <v>707</v>
      </c>
      <c r="N69" s="1" cm="1">
        <f t="array" ref="N69">_xlfn.RANK.EQ(M69,total_money_spent)</f>
        <v>474</v>
      </c>
      <c r="O69" s="1">
        <f t="shared" ca="1" si="1"/>
        <v>2</v>
      </c>
    </row>
    <row r="70" spans="1:15" ht="13.8" x14ac:dyDescent="0.25">
      <c r="A70" s="1" t="s">
        <v>224</v>
      </c>
      <c r="B70" s="1" t="s">
        <v>221</v>
      </c>
      <c r="C70" s="1" t="s">
        <v>20</v>
      </c>
      <c r="D70" s="1" t="s">
        <v>21</v>
      </c>
      <c r="E70" s="1" t="s">
        <v>222</v>
      </c>
      <c r="F70" s="1" t="s">
        <v>223</v>
      </c>
      <c r="G70" s="1">
        <v>2002</v>
      </c>
      <c r="H70" s="1" t="s">
        <v>24</v>
      </c>
      <c r="I70" s="17">
        <f ca="1">DATE(YEAR(TODAY())-1,2,12)</f>
        <v>44239</v>
      </c>
      <c r="J70" s="17">
        <f ca="1">DATE(YEAR(TODAY())-1,2,14)</f>
        <v>44241</v>
      </c>
      <c r="K70" s="1" t="s">
        <v>72</v>
      </c>
      <c r="L70" s="1" t="s">
        <v>73</v>
      </c>
      <c r="M70" s="1">
        <v>708</v>
      </c>
      <c r="N70" s="1" cm="1">
        <f t="array" ref="N70">_xlfn.RANK.EQ(M70,total_money_spent)</f>
        <v>473</v>
      </c>
      <c r="O70" s="1">
        <f t="shared" ca="1" si="1"/>
        <v>2</v>
      </c>
    </row>
    <row r="71" spans="1:15" ht="13.8" x14ac:dyDescent="0.25">
      <c r="A71" s="1" t="s">
        <v>384</v>
      </c>
      <c r="B71" s="1" t="s">
        <v>379</v>
      </c>
      <c r="C71" s="1" t="s">
        <v>64</v>
      </c>
      <c r="D71" s="1" t="s">
        <v>65</v>
      </c>
      <c r="E71" s="1" t="s">
        <v>380</v>
      </c>
      <c r="F71" s="1" t="s">
        <v>381</v>
      </c>
      <c r="G71" s="1" t="s">
        <v>115</v>
      </c>
      <c r="H71" s="1" t="s">
        <v>32</v>
      </c>
      <c r="I71" s="17">
        <f ca="1">DATE(YEAR(TODAY())-1,1,2)</f>
        <v>44198</v>
      </c>
      <c r="J71" s="17">
        <f ca="1">DATE(YEAR(TODAY())-1,1,6)</f>
        <v>44202</v>
      </c>
      <c r="K71" s="1" t="s">
        <v>72</v>
      </c>
      <c r="L71" s="1" t="s">
        <v>73</v>
      </c>
      <c r="M71" s="1">
        <v>791</v>
      </c>
      <c r="N71" s="1" cm="1">
        <f t="array" ref="N71">_xlfn.RANK.EQ(M71,total_money_spent)</f>
        <v>319</v>
      </c>
      <c r="O71" s="1">
        <f t="shared" ca="1" si="1"/>
        <v>4</v>
      </c>
    </row>
    <row r="72" spans="1:15" ht="13.8" x14ac:dyDescent="0.25">
      <c r="A72" s="1" t="s">
        <v>651</v>
      </c>
      <c r="B72" s="1" t="s">
        <v>647</v>
      </c>
      <c r="C72" s="1" t="s">
        <v>47</v>
      </c>
      <c r="D72" s="1" t="s">
        <v>48</v>
      </c>
      <c r="E72" s="1" t="s">
        <v>648</v>
      </c>
      <c r="F72" s="1" t="s">
        <v>649</v>
      </c>
      <c r="G72" s="1">
        <v>3003</v>
      </c>
      <c r="H72" s="1" t="s">
        <v>81</v>
      </c>
      <c r="I72" s="17">
        <f ca="1">DATE(YEAR(TODAY())-1,7,8)</f>
        <v>44385</v>
      </c>
      <c r="J72" s="17">
        <f ca="1">DATE(YEAR(TODAY())-1,7,14)</f>
        <v>44391</v>
      </c>
      <c r="K72" s="1" t="s">
        <v>82</v>
      </c>
      <c r="L72" s="1" t="s">
        <v>34</v>
      </c>
      <c r="M72" s="1">
        <v>995</v>
      </c>
      <c r="N72" s="1" cm="1">
        <f t="array" ref="N72">_xlfn.RANK.EQ(M72,total_money_spent)</f>
        <v>60</v>
      </c>
      <c r="O72" s="1">
        <f t="shared" ca="1" si="1"/>
        <v>6</v>
      </c>
    </row>
    <row r="73" spans="1:15" ht="13.8" x14ac:dyDescent="0.25">
      <c r="A73" s="1" t="s">
        <v>880</v>
      </c>
      <c r="B73" s="1" t="s">
        <v>881</v>
      </c>
      <c r="C73" s="1" t="s">
        <v>91</v>
      </c>
      <c r="D73" s="1" t="s">
        <v>91</v>
      </c>
      <c r="E73" s="1" t="s">
        <v>882</v>
      </c>
      <c r="F73" s="1" t="s">
        <v>883</v>
      </c>
      <c r="G73" s="1">
        <v>2003</v>
      </c>
      <c r="H73" s="1" t="s">
        <v>24</v>
      </c>
      <c r="I73" s="17">
        <f ca="1">DATE(YEAR(TODAY())-2,11,1)</f>
        <v>44136</v>
      </c>
      <c r="J73" s="17">
        <f ca="1">DATE(YEAR(TODAY())-2,11,7)</f>
        <v>44142</v>
      </c>
      <c r="K73" s="1" t="s">
        <v>33</v>
      </c>
      <c r="L73" s="1" t="s">
        <v>34</v>
      </c>
      <c r="M73" s="1">
        <v>885</v>
      </c>
      <c r="N73" s="1" cm="1">
        <f t="array" ref="N73">_xlfn.RANK.EQ(M73,total_money_spent)</f>
        <v>179</v>
      </c>
      <c r="O73" s="1">
        <f t="shared" ca="1" si="1"/>
        <v>6</v>
      </c>
    </row>
    <row r="74" spans="1:15" ht="13.8" x14ac:dyDescent="0.25">
      <c r="A74" s="1" t="s">
        <v>1113</v>
      </c>
      <c r="B74" s="1" t="s">
        <v>1110</v>
      </c>
      <c r="C74" s="1" t="s">
        <v>372</v>
      </c>
      <c r="D74" s="1" t="s">
        <v>28</v>
      </c>
      <c r="F74" s="1" t="s">
        <v>1112</v>
      </c>
      <c r="G74" s="1">
        <v>2008</v>
      </c>
      <c r="H74" s="1" t="s">
        <v>44</v>
      </c>
      <c r="I74" s="17">
        <f ca="1">DATE(YEAR(TODAY())-1,5,22)</f>
        <v>44338</v>
      </c>
      <c r="J74" s="17">
        <f ca="1">DATE(YEAR(TODAY())-1,5,23)</f>
        <v>44339</v>
      </c>
      <c r="K74" s="1" t="s">
        <v>72</v>
      </c>
      <c r="L74" s="1" t="s">
        <v>73</v>
      </c>
      <c r="M74" s="1">
        <v>666</v>
      </c>
      <c r="N74" s="1" cm="1">
        <f t="array" ref="N74">_xlfn.RANK.EQ(M74,total_money_spent)</f>
        <v>533</v>
      </c>
      <c r="O74" s="1">
        <f t="shared" ca="1" si="1"/>
        <v>1</v>
      </c>
    </row>
    <row r="75" spans="1:15" ht="13.8" x14ac:dyDescent="0.25">
      <c r="A75" s="1" t="s">
        <v>718</v>
      </c>
      <c r="B75" s="1" t="s">
        <v>719</v>
      </c>
      <c r="C75" s="1" t="s">
        <v>372</v>
      </c>
      <c r="D75" s="1" t="s">
        <v>28</v>
      </c>
      <c r="F75" s="1" t="s">
        <v>720</v>
      </c>
      <c r="G75" s="1">
        <v>3002</v>
      </c>
      <c r="H75" s="1" t="s">
        <v>81</v>
      </c>
      <c r="I75" s="17">
        <f ca="1">DATE(YEAR(TODAY())-2,11,12)</f>
        <v>44147</v>
      </c>
      <c r="J75" s="17">
        <f ca="1">DATE(YEAR(TODAY())-2,11,14)</f>
        <v>44149</v>
      </c>
      <c r="K75" s="1" t="s">
        <v>25</v>
      </c>
      <c r="L75" s="1" t="s">
        <v>25</v>
      </c>
      <c r="M75" s="1">
        <v>738</v>
      </c>
      <c r="N75" s="1" cm="1">
        <f t="array" ref="N75">_xlfn.RANK.EQ(M75,total_money_spent)</f>
        <v>434</v>
      </c>
      <c r="O75" s="1">
        <f t="shared" ca="1" si="1"/>
        <v>2</v>
      </c>
    </row>
    <row r="76" spans="1:15" ht="13.8" x14ac:dyDescent="0.25">
      <c r="A76" s="1" t="s">
        <v>707</v>
      </c>
      <c r="B76" s="1" t="s">
        <v>708</v>
      </c>
      <c r="C76" s="1" t="s">
        <v>118</v>
      </c>
      <c r="D76" s="1" t="s">
        <v>119</v>
      </c>
      <c r="E76" s="1" t="s">
        <v>709</v>
      </c>
      <c r="F76" s="1" t="s">
        <v>710</v>
      </c>
      <c r="G76" s="1" t="s">
        <v>54</v>
      </c>
      <c r="H76" s="1" t="s">
        <v>32</v>
      </c>
      <c r="I76" s="17">
        <f ca="1">DATE(YEAR(TODAY())-1,9,13)</f>
        <v>44452</v>
      </c>
      <c r="J76" s="17">
        <f ca="1">DATE(YEAR(TODAY())-1,9,14)</f>
        <v>44453</v>
      </c>
      <c r="K76" s="1" t="s">
        <v>61</v>
      </c>
      <c r="L76" s="1" t="s">
        <v>34</v>
      </c>
      <c r="M76" s="1">
        <v>662</v>
      </c>
      <c r="N76" s="1" cm="1">
        <f t="array" ref="N76">_xlfn.RANK.EQ(M76,total_money_spent)</f>
        <v>549</v>
      </c>
      <c r="O76" s="1">
        <f t="shared" ca="1" si="1"/>
        <v>1</v>
      </c>
    </row>
    <row r="77" spans="1:15" ht="13.8" x14ac:dyDescent="0.25">
      <c r="A77" s="1" t="s">
        <v>1090</v>
      </c>
      <c r="B77" s="1" t="s">
        <v>1091</v>
      </c>
      <c r="C77" s="1" t="s">
        <v>504</v>
      </c>
      <c r="D77" s="1" t="s">
        <v>187</v>
      </c>
      <c r="E77" s="1" t="s">
        <v>1092</v>
      </c>
      <c r="F77" s="1" t="s">
        <v>1093</v>
      </c>
      <c r="G77" s="1">
        <v>2005</v>
      </c>
      <c r="H77" s="1" t="s">
        <v>24</v>
      </c>
      <c r="I77" s="17">
        <f ca="1">DATE(YEAR(TODAY())-1,2,24)</f>
        <v>44251</v>
      </c>
      <c r="J77" s="17">
        <f ca="1">DATE(YEAR(TODAY())-1,2,26)</f>
        <v>44253</v>
      </c>
      <c r="K77" s="1" t="s">
        <v>33</v>
      </c>
      <c r="L77" s="1" t="s">
        <v>34</v>
      </c>
      <c r="M77" s="1">
        <v>714</v>
      </c>
      <c r="N77" s="1" cm="1">
        <f t="array" ref="N77">_xlfn.RANK.EQ(M77,total_money_spent)</f>
        <v>467</v>
      </c>
      <c r="O77" s="1">
        <f t="shared" ca="1" si="1"/>
        <v>2</v>
      </c>
    </row>
    <row r="78" spans="1:15" ht="13.8" x14ac:dyDescent="0.25">
      <c r="A78" s="1" t="s">
        <v>83</v>
      </c>
      <c r="B78" s="1" t="s">
        <v>84</v>
      </c>
      <c r="C78" s="1" t="s">
        <v>64</v>
      </c>
      <c r="D78" s="1" t="s">
        <v>65</v>
      </c>
      <c r="E78" s="1" t="s">
        <v>85</v>
      </c>
      <c r="F78" s="1" t="s">
        <v>86</v>
      </c>
      <c r="G78" s="1">
        <v>2001</v>
      </c>
      <c r="H78" s="1" t="s">
        <v>24</v>
      </c>
      <c r="I78" s="17">
        <f ca="1">DATE(YEAR(TODAY())-1,6,23)</f>
        <v>44370</v>
      </c>
      <c r="J78" s="17">
        <f ca="1">DATE(YEAR(TODAY())-1,6,30)</f>
        <v>44377</v>
      </c>
      <c r="K78" s="1" t="s">
        <v>87</v>
      </c>
      <c r="L78" s="1" t="s">
        <v>73</v>
      </c>
      <c r="M78" s="1">
        <v>962</v>
      </c>
      <c r="N78" s="1" cm="1">
        <f t="array" ref="N78">_xlfn.RANK.EQ(M78,total_money_spent)</f>
        <v>90</v>
      </c>
      <c r="O78" s="1">
        <f t="shared" ca="1" si="1"/>
        <v>7</v>
      </c>
    </row>
    <row r="79" spans="1:15" ht="13.8" x14ac:dyDescent="0.25">
      <c r="A79" s="1" t="s">
        <v>236</v>
      </c>
      <c r="B79" s="1" t="s">
        <v>237</v>
      </c>
      <c r="C79" s="1" t="s">
        <v>110</v>
      </c>
      <c r="D79" s="1" t="s">
        <v>111</v>
      </c>
      <c r="E79" s="1" t="s">
        <v>238</v>
      </c>
      <c r="F79" s="1" t="s">
        <v>239</v>
      </c>
      <c r="G79" s="1">
        <v>3002</v>
      </c>
      <c r="H79" s="1" t="s">
        <v>81</v>
      </c>
      <c r="I79" s="17">
        <f ca="1">DATE(YEAR(TODAY())-1,3,4)</f>
        <v>44259</v>
      </c>
      <c r="J79" s="17">
        <f ca="1">DATE(YEAR(TODAY())-1,3,9)</f>
        <v>44264</v>
      </c>
      <c r="K79" s="1" t="s">
        <v>16</v>
      </c>
      <c r="L79" s="1" t="s">
        <v>34</v>
      </c>
      <c r="M79" s="1">
        <v>894</v>
      </c>
      <c r="N79" s="1" cm="1">
        <f t="array" ref="N79">_xlfn.RANK.EQ(M79,total_money_spent)</f>
        <v>165</v>
      </c>
      <c r="O79" s="1">
        <f t="shared" ca="1" si="1"/>
        <v>5</v>
      </c>
    </row>
    <row r="80" spans="1:15" ht="13.8" x14ac:dyDescent="0.25">
      <c r="A80" s="1" t="s">
        <v>1083</v>
      </c>
      <c r="B80" s="1" t="s">
        <v>1084</v>
      </c>
      <c r="C80" s="1" t="s">
        <v>372</v>
      </c>
      <c r="D80" s="1" t="s">
        <v>28</v>
      </c>
      <c r="E80" s="1" t="s">
        <v>1085</v>
      </c>
      <c r="F80" s="1" t="s">
        <v>1086</v>
      </c>
      <c r="G80" s="1">
        <v>2009</v>
      </c>
      <c r="H80" s="1" t="s">
        <v>44</v>
      </c>
      <c r="I80" s="17">
        <f ca="1">DATE(YEAR(TODAY())-2,11,22)</f>
        <v>44157</v>
      </c>
      <c r="J80" s="17">
        <f ca="1">DATE(YEAR(TODAY())-2,11,25)</f>
        <v>44160</v>
      </c>
      <c r="K80" s="1" t="s">
        <v>61</v>
      </c>
      <c r="L80" s="1" t="s">
        <v>34</v>
      </c>
      <c r="M80" s="1">
        <v>768</v>
      </c>
      <c r="N80" s="1" cm="1">
        <f t="array" ref="N80">_xlfn.RANK.EQ(M80,total_money_spent)</f>
        <v>380</v>
      </c>
      <c r="O80" s="1">
        <f t="shared" ca="1" si="1"/>
        <v>3</v>
      </c>
    </row>
    <row r="81" spans="1:15" ht="13.8" x14ac:dyDescent="0.25">
      <c r="A81" s="1" t="s">
        <v>675</v>
      </c>
      <c r="B81" s="1" t="s">
        <v>670</v>
      </c>
      <c r="C81" s="1" t="s">
        <v>337</v>
      </c>
      <c r="D81" s="1" t="s">
        <v>338</v>
      </c>
      <c r="E81" s="1" t="s">
        <v>671</v>
      </c>
      <c r="F81" s="1" t="s">
        <v>672</v>
      </c>
      <c r="G81" s="1">
        <v>2008</v>
      </c>
      <c r="H81" s="1" t="s">
        <v>44</v>
      </c>
      <c r="I81" s="17">
        <f ca="1">DATE(YEAR(TODAY())-2,11,14)</f>
        <v>44149</v>
      </c>
      <c r="J81" s="17">
        <f ca="1">DATE(YEAR(TODAY())-2,11,21)</f>
        <v>44156</v>
      </c>
      <c r="K81" s="1" t="s">
        <v>25</v>
      </c>
      <c r="L81" s="1" t="s">
        <v>25</v>
      </c>
      <c r="M81" s="1">
        <v>1066</v>
      </c>
      <c r="N81" s="1" cm="1">
        <f t="array" ref="N81">_xlfn.RANK.EQ(M81,total_money_spent)</f>
        <v>39</v>
      </c>
      <c r="O81" s="1">
        <f t="shared" ca="1" si="1"/>
        <v>7</v>
      </c>
    </row>
    <row r="82" spans="1:15" ht="13.8" x14ac:dyDescent="0.25">
      <c r="A82" s="1" t="s">
        <v>635</v>
      </c>
      <c r="B82" s="1" t="s">
        <v>631</v>
      </c>
      <c r="C82" s="1" t="s">
        <v>91</v>
      </c>
      <c r="D82" s="1" t="s">
        <v>91</v>
      </c>
      <c r="E82" s="1" t="s">
        <v>634</v>
      </c>
      <c r="F82" s="1" t="s">
        <v>632</v>
      </c>
      <c r="G82" s="1">
        <v>2010</v>
      </c>
      <c r="H82" s="1" t="s">
        <v>44</v>
      </c>
      <c r="I82" s="17">
        <f ca="1">DATE(YEAR(TODAY())-1,5,17)</f>
        <v>44333</v>
      </c>
      <c r="J82" s="17">
        <f ca="1">DATE(YEAR(TODAY())-1,5,23)</f>
        <v>44339</v>
      </c>
      <c r="K82" s="1" t="s">
        <v>25</v>
      </c>
      <c r="L82" s="1" t="s">
        <v>25</v>
      </c>
      <c r="M82" s="1">
        <v>973</v>
      </c>
      <c r="N82" s="1" cm="1">
        <f t="array" ref="N82">_xlfn.RANK.EQ(M82,total_money_spent)</f>
        <v>74</v>
      </c>
      <c r="O82" s="1">
        <f t="shared" ca="1" si="1"/>
        <v>6</v>
      </c>
    </row>
    <row r="83" spans="1:15" ht="13.8" x14ac:dyDescent="0.25">
      <c r="A83" s="1" t="s">
        <v>299</v>
      </c>
      <c r="B83" s="1" t="s">
        <v>295</v>
      </c>
      <c r="C83" s="1" t="s">
        <v>210</v>
      </c>
      <c r="D83" s="1" t="s">
        <v>211</v>
      </c>
      <c r="E83" s="1" t="s">
        <v>296</v>
      </c>
      <c r="F83" s="1" t="s">
        <v>297</v>
      </c>
      <c r="G83" s="1">
        <v>3001</v>
      </c>
      <c r="H83" s="1" t="s">
        <v>81</v>
      </c>
      <c r="I83" s="17">
        <f ca="1">DATE(YEAR(TODAY())-1,8,1)</f>
        <v>44409</v>
      </c>
      <c r="J83" s="17">
        <f ca="1">DATE(YEAR(TODAY())-1,8,3)</f>
        <v>44411</v>
      </c>
      <c r="K83" s="1" t="s">
        <v>72</v>
      </c>
      <c r="L83" s="1" t="s">
        <v>73</v>
      </c>
      <c r="M83" s="1">
        <v>743</v>
      </c>
      <c r="N83" s="1" cm="1">
        <f t="array" ref="N83">_xlfn.RANK.EQ(M83,total_money_spent)</f>
        <v>416</v>
      </c>
      <c r="O83" s="1">
        <f t="shared" ca="1" si="1"/>
        <v>2</v>
      </c>
    </row>
    <row r="84" spans="1:15" ht="13.8" x14ac:dyDescent="0.25">
      <c r="A84" s="1" t="s">
        <v>233</v>
      </c>
      <c r="B84" s="1" t="s">
        <v>228</v>
      </c>
      <c r="C84" s="1" t="s">
        <v>152</v>
      </c>
      <c r="D84" s="1" t="s">
        <v>153</v>
      </c>
      <c r="E84" s="1" t="s">
        <v>231</v>
      </c>
      <c r="F84" s="1" t="s">
        <v>232</v>
      </c>
      <c r="G84" s="1">
        <v>2009</v>
      </c>
      <c r="H84" s="1" t="s">
        <v>44</v>
      </c>
      <c r="I84" s="17">
        <f ca="1">DATE(YEAR(TODAY())-1,1,3)</f>
        <v>44199</v>
      </c>
      <c r="J84" s="17">
        <f ca="1">DATE(YEAR(TODAY())-1,1,5)</f>
        <v>44201</v>
      </c>
      <c r="K84" s="1" t="s">
        <v>136</v>
      </c>
      <c r="L84" s="1" t="s">
        <v>137</v>
      </c>
      <c r="M84" s="1">
        <v>735</v>
      </c>
      <c r="N84" s="1" cm="1">
        <f t="array" ref="N84">_xlfn.RANK.EQ(M84,total_money_spent)</f>
        <v>442</v>
      </c>
      <c r="O84" s="1">
        <f t="shared" ca="1" si="1"/>
        <v>2</v>
      </c>
    </row>
    <row r="85" spans="1:15" ht="13.8" x14ac:dyDescent="0.25">
      <c r="A85" s="1" t="s">
        <v>1206</v>
      </c>
      <c r="B85" s="1" t="s">
        <v>1207</v>
      </c>
      <c r="C85" s="1" t="s">
        <v>70</v>
      </c>
      <c r="D85" s="1" t="s">
        <v>70</v>
      </c>
      <c r="E85" s="1" t="s">
        <v>1208</v>
      </c>
      <c r="F85" s="1" t="s">
        <v>1209</v>
      </c>
      <c r="G85" s="1">
        <v>3001</v>
      </c>
      <c r="H85" s="1" t="s">
        <v>81</v>
      </c>
      <c r="I85" s="17">
        <f ca="1">DATE(YEAR(TODAY())-1,4,24)</f>
        <v>44310</v>
      </c>
      <c r="J85" s="17">
        <f ca="1">DATE(YEAR(TODAY())-1,4,30)</f>
        <v>44316</v>
      </c>
      <c r="K85" s="1" t="s">
        <v>61</v>
      </c>
      <c r="L85" s="1" t="s">
        <v>34</v>
      </c>
      <c r="M85" s="1">
        <v>999</v>
      </c>
      <c r="N85" s="1" cm="1">
        <f t="array" ref="N85">_xlfn.RANK.EQ(M85,total_money_spent)</f>
        <v>56</v>
      </c>
      <c r="O85" s="1">
        <f t="shared" ca="1" si="1"/>
        <v>6</v>
      </c>
    </row>
    <row r="86" spans="1:15" ht="13.8" x14ac:dyDescent="0.25">
      <c r="A86" s="1" t="s">
        <v>832</v>
      </c>
      <c r="B86" s="1" t="s">
        <v>833</v>
      </c>
      <c r="C86" s="1" t="s">
        <v>47</v>
      </c>
      <c r="D86" s="1" t="s">
        <v>48</v>
      </c>
      <c r="F86" s="1" t="s">
        <v>834</v>
      </c>
      <c r="G86" s="1">
        <v>3002</v>
      </c>
      <c r="H86" s="1" t="s">
        <v>81</v>
      </c>
      <c r="I86" s="17">
        <f ca="1">DATE(YEAR(TODAY())-2,12,9)</f>
        <v>44174</v>
      </c>
      <c r="J86" s="17">
        <f ca="1">DATE(YEAR(TODAY())-2,12,11)</f>
        <v>44176</v>
      </c>
      <c r="K86" s="1" t="s">
        <v>87</v>
      </c>
      <c r="L86" s="1" t="s">
        <v>73</v>
      </c>
      <c r="M86" s="1">
        <v>750</v>
      </c>
      <c r="N86" s="1" cm="1">
        <f t="array" ref="N86">_xlfn.RANK.EQ(M86,total_money_spent)</f>
        <v>406</v>
      </c>
      <c r="O86" s="1">
        <f t="shared" ca="1" si="1"/>
        <v>2</v>
      </c>
    </row>
    <row r="87" spans="1:15" ht="13.8" x14ac:dyDescent="0.25">
      <c r="A87" s="1" t="s">
        <v>884</v>
      </c>
      <c r="B87" s="1" t="s">
        <v>881</v>
      </c>
      <c r="C87" s="1" t="s">
        <v>125</v>
      </c>
      <c r="D87" s="1" t="s">
        <v>126</v>
      </c>
      <c r="E87" s="1" t="s">
        <v>882</v>
      </c>
      <c r="F87" s="1" t="s">
        <v>883</v>
      </c>
      <c r="G87" s="1">
        <v>2007</v>
      </c>
      <c r="H87" s="1" t="s">
        <v>44</v>
      </c>
      <c r="I87" s="17">
        <f ca="1">DATE(YEAR(TODAY())-1,4,18)</f>
        <v>44304</v>
      </c>
      <c r="J87" s="17">
        <f ca="1">DATE(YEAR(TODAY())-1,4,24)</f>
        <v>44310</v>
      </c>
      <c r="K87" s="1" t="s">
        <v>87</v>
      </c>
      <c r="L87" s="1" t="s">
        <v>73</v>
      </c>
      <c r="M87" s="1">
        <v>974</v>
      </c>
      <c r="N87" s="1" cm="1">
        <f t="array" ref="N87">_xlfn.RANK.EQ(M87,total_money_spent)</f>
        <v>72</v>
      </c>
      <c r="O87" s="1">
        <f t="shared" ca="1" si="1"/>
        <v>6</v>
      </c>
    </row>
    <row r="88" spans="1:15" ht="13.8" x14ac:dyDescent="0.25">
      <c r="A88" s="1" t="s">
        <v>429</v>
      </c>
      <c r="B88" s="1" t="s">
        <v>430</v>
      </c>
      <c r="C88" s="1" t="s">
        <v>106</v>
      </c>
      <c r="D88" s="1" t="s">
        <v>107</v>
      </c>
      <c r="E88" s="1" t="s">
        <v>431</v>
      </c>
      <c r="F88" s="1" t="s">
        <v>432</v>
      </c>
      <c r="G88" s="1">
        <v>2003</v>
      </c>
      <c r="H88" s="1" t="s">
        <v>24</v>
      </c>
      <c r="I88" s="17">
        <f ca="1">DATE(YEAR(TODAY())-2,11,13)</f>
        <v>44148</v>
      </c>
      <c r="J88" s="17">
        <f ca="1">DATE(YEAR(TODAY())-2,11,20)</f>
        <v>44155</v>
      </c>
      <c r="K88" s="1" t="s">
        <v>82</v>
      </c>
      <c r="L88" s="1" t="s">
        <v>34</v>
      </c>
      <c r="M88" s="1">
        <v>975</v>
      </c>
      <c r="N88" s="1" cm="1">
        <f t="array" ref="N88">_xlfn.RANK.EQ(M88,total_money_spent)</f>
        <v>70</v>
      </c>
      <c r="O88" s="1">
        <f t="shared" ca="1" si="1"/>
        <v>7</v>
      </c>
    </row>
    <row r="89" spans="1:15" ht="13.8" x14ac:dyDescent="0.25">
      <c r="A89" s="1" t="s">
        <v>906</v>
      </c>
      <c r="B89" s="1" t="s">
        <v>901</v>
      </c>
      <c r="C89" s="1" t="s">
        <v>246</v>
      </c>
      <c r="D89" s="1" t="s">
        <v>247</v>
      </c>
      <c r="E89" s="1" t="s">
        <v>902</v>
      </c>
      <c r="F89" s="1" t="s">
        <v>903</v>
      </c>
      <c r="G89" s="1" t="s">
        <v>31</v>
      </c>
      <c r="H89" s="1" t="s">
        <v>32</v>
      </c>
      <c r="I89" s="17">
        <f ca="1">DATE(YEAR(TODAY())-1,4,20)</f>
        <v>44306</v>
      </c>
      <c r="J89" s="17">
        <f ca="1">DATE(YEAR(TODAY())-1,4,24)</f>
        <v>44310</v>
      </c>
      <c r="K89" s="1" t="s">
        <v>33</v>
      </c>
      <c r="L89" s="1" t="s">
        <v>34</v>
      </c>
      <c r="M89" s="1">
        <v>778</v>
      </c>
      <c r="N89" s="1" cm="1">
        <f t="array" ref="N89">_xlfn.RANK.EQ(M89,total_money_spent)</f>
        <v>350</v>
      </c>
      <c r="O89" s="1">
        <f t="shared" ca="1" si="1"/>
        <v>4</v>
      </c>
    </row>
    <row r="90" spans="1:15" ht="13.8" x14ac:dyDescent="0.25">
      <c r="A90" s="1" t="s">
        <v>116</v>
      </c>
      <c r="B90" s="1" t="s">
        <v>117</v>
      </c>
      <c r="C90" s="1" t="s">
        <v>118</v>
      </c>
      <c r="D90" s="1" t="s">
        <v>119</v>
      </c>
      <c r="E90" s="1" t="s">
        <v>120</v>
      </c>
      <c r="F90" s="1" t="s">
        <v>121</v>
      </c>
      <c r="G90" s="1" t="s">
        <v>122</v>
      </c>
      <c r="H90" s="1" t="s">
        <v>32</v>
      </c>
      <c r="I90" s="17">
        <f ca="1">DATE(YEAR(TODAY())-1,8,21)</f>
        <v>44429</v>
      </c>
      <c r="J90" s="17">
        <f ca="1">DATE(YEAR(TODAY())-1,8,25)</f>
        <v>44433</v>
      </c>
      <c r="K90" s="1" t="s">
        <v>61</v>
      </c>
      <c r="L90" s="1" t="s">
        <v>34</v>
      </c>
      <c r="M90" s="1">
        <v>798</v>
      </c>
      <c r="N90" s="1" cm="1">
        <f t="array" ref="N90">_xlfn.RANK.EQ(M90,total_money_spent)</f>
        <v>298</v>
      </c>
      <c r="O90" s="1">
        <f t="shared" ca="1" si="1"/>
        <v>4</v>
      </c>
    </row>
    <row r="91" spans="1:15" ht="13.8" x14ac:dyDescent="0.25">
      <c r="A91" s="1" t="s">
        <v>1343</v>
      </c>
      <c r="B91" s="1" t="s">
        <v>1339</v>
      </c>
      <c r="C91" s="1" t="s">
        <v>197</v>
      </c>
      <c r="D91" s="1" t="s">
        <v>198</v>
      </c>
      <c r="E91" s="1" t="s">
        <v>1342</v>
      </c>
      <c r="F91" s="1" t="s">
        <v>1340</v>
      </c>
      <c r="G91" s="1">
        <v>2007</v>
      </c>
      <c r="H91" s="1" t="s">
        <v>44</v>
      </c>
      <c r="I91" s="17">
        <f ca="1">DATE(YEAR(TODAY())-1,8,6)</f>
        <v>44414</v>
      </c>
      <c r="J91" s="17">
        <f ca="1">DATE(YEAR(TODAY())-1,8,9)</f>
        <v>44417</v>
      </c>
      <c r="K91" s="1" t="s">
        <v>72</v>
      </c>
      <c r="L91" s="1" t="s">
        <v>73</v>
      </c>
      <c r="M91" s="1">
        <v>771</v>
      </c>
      <c r="N91" s="1" cm="1">
        <f t="array" ref="N91">_xlfn.RANK.EQ(M91,total_money_spent)</f>
        <v>374</v>
      </c>
      <c r="O91" s="1">
        <f t="shared" ca="1" si="1"/>
        <v>3</v>
      </c>
    </row>
    <row r="92" spans="1:15" ht="13.8" x14ac:dyDescent="0.25">
      <c r="A92" s="1" t="s">
        <v>1224</v>
      </c>
      <c r="B92" s="1" t="s">
        <v>1225</v>
      </c>
      <c r="C92" s="1" t="s">
        <v>96</v>
      </c>
      <c r="D92" s="1" t="s">
        <v>96</v>
      </c>
      <c r="E92" s="1" t="s">
        <v>1226</v>
      </c>
      <c r="F92" s="1" t="s">
        <v>1227</v>
      </c>
      <c r="G92" s="1">
        <v>2007</v>
      </c>
      <c r="H92" s="1" t="s">
        <v>44</v>
      </c>
      <c r="I92" s="17">
        <f ca="1">DATE(YEAR(TODAY())-1,1,11)</f>
        <v>44207</v>
      </c>
      <c r="J92" s="17">
        <f ca="1">DATE(YEAR(TODAY())-1,1,14)</f>
        <v>44210</v>
      </c>
      <c r="K92" s="1" t="s">
        <v>34</v>
      </c>
      <c r="L92" s="1" t="s">
        <v>34</v>
      </c>
      <c r="M92" s="1">
        <v>763</v>
      </c>
      <c r="N92" s="1" cm="1">
        <f t="array" ref="N92">_xlfn.RANK.EQ(M92,total_money_spent)</f>
        <v>390</v>
      </c>
      <c r="O92" s="1">
        <f t="shared" ca="1" si="1"/>
        <v>3</v>
      </c>
    </row>
    <row r="93" spans="1:15" ht="13.8" x14ac:dyDescent="0.25">
      <c r="A93" s="1" t="s">
        <v>941</v>
      </c>
      <c r="B93" s="1" t="s">
        <v>938</v>
      </c>
      <c r="C93" s="1" t="s">
        <v>140</v>
      </c>
      <c r="D93" s="1" t="s">
        <v>140</v>
      </c>
      <c r="E93" s="1" t="s">
        <v>939</v>
      </c>
      <c r="F93" s="1" t="s">
        <v>940</v>
      </c>
      <c r="G93" s="1">
        <v>2004</v>
      </c>
      <c r="H93" s="1" t="s">
        <v>24</v>
      </c>
      <c r="I93" s="17">
        <f ca="1">DATE(YEAR(TODAY())-1,1,19)</f>
        <v>44215</v>
      </c>
      <c r="J93" s="17">
        <f ca="1">DATE(YEAR(TODAY())-1,1,24)</f>
        <v>44220</v>
      </c>
      <c r="K93" s="1" t="s">
        <v>136</v>
      </c>
      <c r="L93" s="1" t="s">
        <v>137</v>
      </c>
      <c r="M93" s="1">
        <v>859</v>
      </c>
      <c r="N93" s="1" cm="1">
        <f t="array" ref="N93">_xlfn.RANK.EQ(M93,total_money_spent)</f>
        <v>195</v>
      </c>
      <c r="O93" s="1">
        <f t="shared" ca="1" si="1"/>
        <v>5</v>
      </c>
    </row>
    <row r="94" spans="1:15" ht="13.8" x14ac:dyDescent="0.25">
      <c r="A94" s="1" t="s">
        <v>311</v>
      </c>
      <c r="B94" s="1" t="s">
        <v>312</v>
      </c>
      <c r="C94" s="1" t="s">
        <v>106</v>
      </c>
      <c r="D94" s="1" t="s">
        <v>107</v>
      </c>
      <c r="E94" s="1" t="s">
        <v>313</v>
      </c>
      <c r="F94" s="1" t="s">
        <v>314</v>
      </c>
      <c r="G94" s="1">
        <v>2001</v>
      </c>
      <c r="H94" s="1" t="s">
        <v>24</v>
      </c>
      <c r="I94" s="17">
        <f ca="1">DATE(YEAR(TODAY())-1,6,1)</f>
        <v>44348</v>
      </c>
      <c r="J94" s="17">
        <f ca="1">DATE(YEAR(TODAY())-1,6,2)</f>
        <v>44349</v>
      </c>
      <c r="K94" s="1" t="s">
        <v>16</v>
      </c>
      <c r="L94" s="1" t="s">
        <v>34</v>
      </c>
      <c r="M94" s="1">
        <v>656</v>
      </c>
      <c r="N94" s="1" cm="1">
        <f t="array" ref="N94">_xlfn.RANK.EQ(M94,total_money_spent)</f>
        <v>573</v>
      </c>
      <c r="O94" s="1">
        <f t="shared" ca="1" si="1"/>
        <v>1</v>
      </c>
    </row>
    <row r="95" spans="1:15" ht="13.8" x14ac:dyDescent="0.25">
      <c r="A95" s="1" t="s">
        <v>498</v>
      </c>
      <c r="B95" s="1" t="s">
        <v>495</v>
      </c>
      <c r="C95" s="1" t="s">
        <v>20</v>
      </c>
      <c r="D95" s="1" t="s">
        <v>21</v>
      </c>
      <c r="E95" s="1" t="s">
        <v>496</v>
      </c>
      <c r="F95" s="1" t="s">
        <v>497</v>
      </c>
      <c r="G95" s="1">
        <v>2008</v>
      </c>
      <c r="H95" s="1" t="s">
        <v>44</v>
      </c>
      <c r="I95" s="17">
        <f ca="1">DATE(YEAR(TODAY())-1,2,8)</f>
        <v>44235</v>
      </c>
      <c r="J95" s="17">
        <f ca="1">DATE(YEAR(TODAY())-1,2,11)</f>
        <v>44238</v>
      </c>
      <c r="K95" s="1" t="s">
        <v>143</v>
      </c>
      <c r="L95" s="1" t="s">
        <v>25</v>
      </c>
      <c r="M95" s="1">
        <v>764</v>
      </c>
      <c r="N95" s="1" cm="1">
        <f t="array" ref="N95">_xlfn.RANK.EQ(M95,total_money_spent)</f>
        <v>388</v>
      </c>
      <c r="O95" s="1">
        <f t="shared" ca="1" si="1"/>
        <v>3</v>
      </c>
    </row>
    <row r="96" spans="1:15" ht="13.8" x14ac:dyDescent="0.25">
      <c r="A96" s="1" t="s">
        <v>1257</v>
      </c>
      <c r="B96" s="1" t="s">
        <v>1258</v>
      </c>
      <c r="C96" s="1" t="s">
        <v>229</v>
      </c>
      <c r="D96" s="1" t="s">
        <v>230</v>
      </c>
      <c r="E96" s="1" t="s">
        <v>1259</v>
      </c>
      <c r="F96" s="1" t="s">
        <v>1260</v>
      </c>
      <c r="G96" s="1">
        <v>2004</v>
      </c>
      <c r="H96" s="1" t="s">
        <v>24</v>
      </c>
      <c r="I96" s="17">
        <f ca="1">DATE(YEAR(TODAY())-1,4,17)</f>
        <v>44303</v>
      </c>
      <c r="J96" s="17">
        <f ca="1">DATE(YEAR(TODAY())-1,4,20)</f>
        <v>44306</v>
      </c>
      <c r="K96" s="1" t="s">
        <v>34</v>
      </c>
      <c r="L96" s="1" t="s">
        <v>34</v>
      </c>
      <c r="M96" s="1">
        <v>757</v>
      </c>
      <c r="N96" s="1" cm="1">
        <f t="array" ref="N96">_xlfn.RANK.EQ(M96,total_money_spent)</f>
        <v>402</v>
      </c>
      <c r="O96" s="1">
        <f t="shared" ca="1" si="1"/>
        <v>3</v>
      </c>
    </row>
    <row r="97" spans="1:15" ht="13.8" x14ac:dyDescent="0.25">
      <c r="A97" s="1" t="s">
        <v>1031</v>
      </c>
      <c r="B97" s="1" t="s">
        <v>1032</v>
      </c>
      <c r="C97" s="1" t="s">
        <v>110</v>
      </c>
      <c r="D97" s="1" t="s">
        <v>111</v>
      </c>
      <c r="E97" s="1" t="s">
        <v>1033</v>
      </c>
      <c r="F97" s="1" t="s">
        <v>1034</v>
      </c>
      <c r="G97" s="1">
        <v>2008</v>
      </c>
      <c r="H97" s="1" t="s">
        <v>44</v>
      </c>
      <c r="I97" s="17">
        <f ca="1">DATE(YEAR(TODAY())-1,3,12)</f>
        <v>44267</v>
      </c>
      <c r="J97" s="17">
        <f ca="1">DATE(YEAR(TODAY())-1,3,15)</f>
        <v>44270</v>
      </c>
      <c r="K97" s="1" t="s">
        <v>87</v>
      </c>
      <c r="L97" s="1" t="s">
        <v>73</v>
      </c>
      <c r="M97" s="1">
        <v>775</v>
      </c>
      <c r="N97" s="1" cm="1">
        <f t="array" ref="N97">_xlfn.RANK.EQ(M97,total_money_spent)</f>
        <v>362</v>
      </c>
      <c r="O97" s="1">
        <f t="shared" ca="1" si="1"/>
        <v>3</v>
      </c>
    </row>
    <row r="98" spans="1:15" ht="13.8" x14ac:dyDescent="0.25">
      <c r="A98" s="1" t="s">
        <v>180</v>
      </c>
      <c r="B98" s="1" t="s">
        <v>181</v>
      </c>
      <c r="C98" s="1" t="s">
        <v>152</v>
      </c>
      <c r="D98" s="1" t="s">
        <v>153</v>
      </c>
      <c r="E98" s="1" t="s">
        <v>182</v>
      </c>
      <c r="F98" s="1" t="s">
        <v>183</v>
      </c>
      <c r="G98" s="1" t="s">
        <v>54</v>
      </c>
      <c r="H98" s="1" t="s">
        <v>32</v>
      </c>
      <c r="I98" s="17">
        <f ca="1">DATE(YEAR(TODAY())-1,8,10)</f>
        <v>44418</v>
      </c>
      <c r="J98" s="17">
        <f ca="1">DATE(YEAR(TODAY())-1,8,11)</f>
        <v>44419</v>
      </c>
      <c r="K98" s="1" t="s">
        <v>34</v>
      </c>
      <c r="L98" s="1" t="s">
        <v>34</v>
      </c>
      <c r="M98" s="1">
        <v>675</v>
      </c>
      <c r="N98" s="1" cm="1">
        <f t="array" ref="N98">_xlfn.RANK.EQ(M98,total_money_spent)</f>
        <v>509</v>
      </c>
      <c r="O98" s="1">
        <f t="shared" ca="1" si="1"/>
        <v>1</v>
      </c>
    </row>
    <row r="99" spans="1:15" ht="13.8" x14ac:dyDescent="0.25">
      <c r="A99" s="1" t="s">
        <v>401</v>
      </c>
      <c r="B99" s="1" t="s">
        <v>395</v>
      </c>
      <c r="C99" s="1" t="s">
        <v>210</v>
      </c>
      <c r="D99" s="1" t="s">
        <v>211</v>
      </c>
      <c r="F99" s="1" t="s">
        <v>397</v>
      </c>
      <c r="G99" s="1">
        <v>3005</v>
      </c>
      <c r="H99" s="1" t="s">
        <v>203</v>
      </c>
      <c r="I99" s="17">
        <f ca="1">DATE(YEAR(TODAY())-1,4,16)</f>
        <v>44302</v>
      </c>
      <c r="J99" s="17">
        <f ca="1">DATE(YEAR(TODAY())-1,4,17)</f>
        <v>44303</v>
      </c>
      <c r="K99" s="1" t="s">
        <v>33</v>
      </c>
      <c r="L99" s="1" t="s">
        <v>34</v>
      </c>
      <c r="M99" s="1">
        <v>664</v>
      </c>
      <c r="N99" s="1" cm="1">
        <f t="array" ref="N99">_xlfn.RANK.EQ(M99,total_money_spent)</f>
        <v>541</v>
      </c>
      <c r="O99" s="1">
        <f t="shared" ca="1" si="1"/>
        <v>1</v>
      </c>
    </row>
    <row r="100" spans="1:15" ht="13.8" x14ac:dyDescent="0.25">
      <c r="A100" s="1" t="s">
        <v>793</v>
      </c>
      <c r="B100" s="1" t="s">
        <v>794</v>
      </c>
      <c r="C100" s="1" t="s">
        <v>177</v>
      </c>
      <c r="D100" s="1" t="s">
        <v>178</v>
      </c>
      <c r="E100" s="1" t="s">
        <v>795</v>
      </c>
      <c r="F100" s="1" t="s">
        <v>796</v>
      </c>
      <c r="G100" s="1">
        <v>3001</v>
      </c>
      <c r="H100" s="1" t="s">
        <v>81</v>
      </c>
      <c r="I100" s="17">
        <f ca="1">DATE(YEAR(TODAY())-1,1,25)</f>
        <v>44221</v>
      </c>
      <c r="J100" s="17">
        <f ca="1">DATE(YEAR(TODAY())-1,1,26)</f>
        <v>44222</v>
      </c>
      <c r="K100" s="1" t="s">
        <v>136</v>
      </c>
      <c r="L100" s="1" t="s">
        <v>137</v>
      </c>
      <c r="M100" s="1">
        <v>655</v>
      </c>
      <c r="N100" s="1" cm="1">
        <f t="array" ref="N100">_xlfn.RANK.EQ(M100,total_money_spent)</f>
        <v>576</v>
      </c>
      <c r="O100" s="1">
        <f t="shared" ca="1" si="1"/>
        <v>1</v>
      </c>
    </row>
    <row r="101" spans="1:15" ht="13.8" x14ac:dyDescent="0.25">
      <c r="A101" s="1" t="s">
        <v>144</v>
      </c>
      <c r="B101" s="1" t="s">
        <v>139</v>
      </c>
      <c r="C101" s="1" t="s">
        <v>57</v>
      </c>
      <c r="D101" s="1" t="s">
        <v>57</v>
      </c>
      <c r="E101" s="1" t="s">
        <v>141</v>
      </c>
      <c r="F101" s="1" t="s">
        <v>142</v>
      </c>
      <c r="G101" s="1">
        <v>3002</v>
      </c>
      <c r="H101" s="1" t="s">
        <v>81</v>
      </c>
      <c r="I101" s="17">
        <f ca="1">DATE(YEAR(TODAY())-1,6,5)</f>
        <v>44352</v>
      </c>
      <c r="J101" s="17">
        <f ca="1">DATE(YEAR(TODAY())-1,6,8)</f>
        <v>44355</v>
      </c>
      <c r="K101" s="1" t="s">
        <v>34</v>
      </c>
      <c r="L101" s="1" t="s">
        <v>34</v>
      </c>
      <c r="M101" s="1">
        <v>777</v>
      </c>
      <c r="N101" s="1" cm="1">
        <f t="array" ref="N101">_xlfn.RANK.EQ(M101,total_money_spent)</f>
        <v>354</v>
      </c>
      <c r="O101" s="1">
        <f t="shared" ca="1" si="1"/>
        <v>3</v>
      </c>
    </row>
    <row r="102" spans="1:15" ht="13.8" x14ac:dyDescent="0.25">
      <c r="A102" s="1" t="s">
        <v>520</v>
      </c>
      <c r="B102" s="1" t="s">
        <v>515</v>
      </c>
      <c r="C102" s="1" t="s">
        <v>210</v>
      </c>
      <c r="D102" s="1" t="s">
        <v>211</v>
      </c>
      <c r="E102" s="1" t="s">
        <v>516</v>
      </c>
      <c r="F102" s="1" t="s">
        <v>517</v>
      </c>
      <c r="G102" s="1" t="s">
        <v>54</v>
      </c>
      <c r="H102" s="1" t="s">
        <v>32</v>
      </c>
      <c r="I102" s="17">
        <f ca="1">DATE(YEAR(TODAY())-2,11,7)</f>
        <v>44142</v>
      </c>
      <c r="J102" s="17">
        <f ca="1">DATE(YEAR(TODAY())-2,11,8)</f>
        <v>44143</v>
      </c>
      <c r="K102" s="1" t="s">
        <v>143</v>
      </c>
      <c r="L102" s="1" t="s">
        <v>25</v>
      </c>
      <c r="M102" s="1">
        <v>663</v>
      </c>
      <c r="N102" s="1" cm="1">
        <f t="array" ref="N102">_xlfn.RANK.EQ(M102,total_money_spent)</f>
        <v>545</v>
      </c>
      <c r="O102" s="1">
        <f t="shared" ca="1" si="1"/>
        <v>1</v>
      </c>
    </row>
    <row r="103" spans="1:15" ht="13.8" x14ac:dyDescent="0.25">
      <c r="A103" s="1" t="s">
        <v>829</v>
      </c>
      <c r="B103" s="1" t="s">
        <v>826</v>
      </c>
      <c r="C103" s="1" t="s">
        <v>118</v>
      </c>
      <c r="D103" s="1" t="s">
        <v>119</v>
      </c>
      <c r="E103" s="1" t="s">
        <v>827</v>
      </c>
      <c r="F103" s="1" t="s">
        <v>828</v>
      </c>
      <c r="G103" s="1">
        <v>2008</v>
      </c>
      <c r="H103" s="1" t="s">
        <v>44</v>
      </c>
      <c r="I103" s="17">
        <f ca="1">DATE(YEAR(TODAY())-1,7,7)</f>
        <v>44384</v>
      </c>
      <c r="J103" s="17">
        <f ca="1">DATE(YEAR(TODAY())-1,7,8)</f>
        <v>44385</v>
      </c>
      <c r="K103" s="1" t="s">
        <v>33</v>
      </c>
      <c r="L103" s="1" t="s">
        <v>34</v>
      </c>
      <c r="M103" s="1">
        <v>670</v>
      </c>
      <c r="N103" s="1" cm="1">
        <f t="array" ref="N103">_xlfn.RANK.EQ(M103,total_money_spent)</f>
        <v>519</v>
      </c>
      <c r="O103" s="1">
        <f t="shared" ca="1" si="1"/>
        <v>1</v>
      </c>
    </row>
    <row r="104" spans="1:15" ht="13.8" x14ac:dyDescent="0.25">
      <c r="A104" s="1" t="s">
        <v>662</v>
      </c>
      <c r="B104" s="1" t="s">
        <v>663</v>
      </c>
      <c r="C104" s="1" t="s">
        <v>664</v>
      </c>
      <c r="D104" s="1" t="s">
        <v>147</v>
      </c>
      <c r="F104" s="1" t="s">
        <v>665</v>
      </c>
      <c r="G104" s="1" t="s">
        <v>60</v>
      </c>
      <c r="H104" s="1" t="s">
        <v>32</v>
      </c>
      <c r="I104" s="17">
        <f ca="1">DATE(YEAR(TODAY())-2,11,15)</f>
        <v>44150</v>
      </c>
      <c r="J104" s="17">
        <f ca="1">DATE(YEAR(TODAY())-2,11,22)</f>
        <v>44157</v>
      </c>
      <c r="K104" s="1" t="s">
        <v>34</v>
      </c>
      <c r="L104" s="1" t="s">
        <v>34</v>
      </c>
      <c r="M104" s="1">
        <v>913</v>
      </c>
      <c r="N104" s="1" cm="1">
        <f t="array" ref="N104">_xlfn.RANK.EQ(M104,total_money_spent)</f>
        <v>116</v>
      </c>
      <c r="O104" s="1">
        <f t="shared" ca="1" si="1"/>
        <v>7</v>
      </c>
    </row>
    <row r="105" spans="1:15" ht="13.8" x14ac:dyDescent="0.25">
      <c r="A105" s="1" t="s">
        <v>1384</v>
      </c>
      <c r="B105" s="1" t="s">
        <v>1379</v>
      </c>
      <c r="C105" s="1" t="s">
        <v>270</v>
      </c>
      <c r="D105" s="1" t="s">
        <v>271</v>
      </c>
      <c r="E105" s="1" t="s">
        <v>1380</v>
      </c>
      <c r="F105" s="1" t="s">
        <v>1381</v>
      </c>
      <c r="G105" s="1">
        <v>3002</v>
      </c>
      <c r="H105" s="1" t="s">
        <v>81</v>
      </c>
      <c r="I105" s="17">
        <f ca="1">DATE(YEAR(TODAY())-2,11,26)</f>
        <v>44161</v>
      </c>
      <c r="J105" s="17">
        <f ca="1">DATE(YEAR(TODAY())-2,12,3)</f>
        <v>44168</v>
      </c>
      <c r="K105" s="1" t="s">
        <v>136</v>
      </c>
      <c r="L105" s="1" t="s">
        <v>137</v>
      </c>
      <c r="M105" s="1">
        <v>1600</v>
      </c>
      <c r="N105" s="1" cm="1">
        <f t="array" ref="N105">_xlfn.RANK.EQ(M105,total_money_spent)</f>
        <v>2</v>
      </c>
      <c r="O105" s="1">
        <f t="shared" ca="1" si="1"/>
        <v>7</v>
      </c>
    </row>
    <row r="106" spans="1:15" ht="13.8" x14ac:dyDescent="0.25">
      <c r="A106" s="1" t="s">
        <v>382</v>
      </c>
      <c r="B106" s="1" t="s">
        <v>379</v>
      </c>
      <c r="C106" s="1" t="s">
        <v>170</v>
      </c>
      <c r="D106" s="1" t="s">
        <v>171</v>
      </c>
      <c r="E106" s="1" t="s">
        <v>380</v>
      </c>
      <c r="F106" s="1" t="s">
        <v>381</v>
      </c>
      <c r="G106" s="1" t="s">
        <v>226</v>
      </c>
      <c r="H106" s="1" t="s">
        <v>32</v>
      </c>
      <c r="I106" s="17">
        <f ca="1">DATE(YEAR(TODAY())-1,6,17)</f>
        <v>44364</v>
      </c>
      <c r="J106" s="17">
        <f ca="1">DATE(YEAR(TODAY())-1,6,23)</f>
        <v>44370</v>
      </c>
      <c r="K106" s="1" t="s">
        <v>87</v>
      </c>
      <c r="L106" s="1" t="s">
        <v>73</v>
      </c>
      <c r="M106" s="1">
        <v>842</v>
      </c>
      <c r="N106" s="1" cm="1">
        <f t="array" ref="N106">_xlfn.RANK.EQ(M106,total_money_spent)</f>
        <v>229</v>
      </c>
      <c r="O106" s="1">
        <f t="shared" ca="1" si="1"/>
        <v>6</v>
      </c>
    </row>
    <row r="107" spans="1:15" ht="13.8" x14ac:dyDescent="0.25">
      <c r="A107" s="1" t="s">
        <v>673</v>
      </c>
      <c r="B107" s="1" t="s">
        <v>670</v>
      </c>
      <c r="C107" s="1" t="s">
        <v>125</v>
      </c>
      <c r="D107" s="1" t="s">
        <v>126</v>
      </c>
      <c r="E107" s="1" t="s">
        <v>671</v>
      </c>
      <c r="F107" s="1" t="s">
        <v>672</v>
      </c>
      <c r="G107" s="1">
        <v>2004</v>
      </c>
      <c r="H107" s="1" t="s">
        <v>24</v>
      </c>
      <c r="I107" s="17">
        <f ca="1">DATE(YEAR(TODAY())-2,12,11)</f>
        <v>44176</v>
      </c>
      <c r="J107" s="17">
        <f ca="1">DATE(YEAR(TODAY())-2,12,12)</f>
        <v>44177</v>
      </c>
      <c r="K107" s="1" t="s">
        <v>87</v>
      </c>
      <c r="L107" s="1" t="s">
        <v>73</v>
      </c>
      <c r="M107" s="1">
        <v>665</v>
      </c>
      <c r="N107" s="1" cm="1">
        <f t="array" ref="N107">_xlfn.RANK.EQ(M107,total_money_spent)</f>
        <v>537</v>
      </c>
      <c r="O107" s="1">
        <f t="shared" ca="1" si="1"/>
        <v>1</v>
      </c>
    </row>
    <row r="108" spans="1:15" ht="13.8" x14ac:dyDescent="0.25">
      <c r="A108" s="1" t="s">
        <v>355</v>
      </c>
      <c r="B108" s="1" t="s">
        <v>351</v>
      </c>
      <c r="C108" s="1" t="s">
        <v>76</v>
      </c>
      <c r="D108" s="1" t="s">
        <v>77</v>
      </c>
      <c r="E108" s="1" t="s">
        <v>352</v>
      </c>
      <c r="F108" s="1" t="s">
        <v>353</v>
      </c>
      <c r="G108" s="1">
        <v>2010</v>
      </c>
      <c r="H108" s="1" t="s">
        <v>44</v>
      </c>
      <c r="I108" s="17">
        <f ca="1">DATE(YEAR(TODAY())-1,5,7)</f>
        <v>44323</v>
      </c>
      <c r="J108" s="17">
        <f ca="1">DATE(YEAR(TODAY())-1,5,10)</f>
        <v>44326</v>
      </c>
      <c r="K108" s="1" t="s">
        <v>34</v>
      </c>
      <c r="L108" s="1" t="s">
        <v>34</v>
      </c>
      <c r="M108" s="1">
        <v>774</v>
      </c>
      <c r="N108" s="1" cm="1">
        <f t="array" ref="N108">_xlfn.RANK.EQ(M108,total_money_spent)</f>
        <v>366</v>
      </c>
      <c r="O108" s="1">
        <f t="shared" ca="1" si="1"/>
        <v>3</v>
      </c>
    </row>
    <row r="109" spans="1:15" ht="13.8" x14ac:dyDescent="0.25">
      <c r="A109" s="1" t="s">
        <v>487</v>
      </c>
      <c r="B109" s="1" t="s">
        <v>484</v>
      </c>
      <c r="C109" s="1" t="s">
        <v>52</v>
      </c>
      <c r="D109" s="1" t="s">
        <v>53</v>
      </c>
      <c r="E109" s="1" t="s">
        <v>485</v>
      </c>
      <c r="F109" s="1" t="s">
        <v>486</v>
      </c>
      <c r="G109" s="1">
        <v>3002</v>
      </c>
      <c r="H109" s="1" t="s">
        <v>81</v>
      </c>
      <c r="I109" s="17">
        <f ca="1">DATE(YEAR(TODAY())-1,8,30)</f>
        <v>44438</v>
      </c>
      <c r="J109" s="17">
        <f ca="1">DATE(YEAR(TODAY())-1,9,3)</f>
        <v>44442</v>
      </c>
      <c r="K109" s="1" t="s">
        <v>33</v>
      </c>
      <c r="L109" s="1" t="s">
        <v>34</v>
      </c>
      <c r="M109" s="1">
        <v>863</v>
      </c>
      <c r="N109" s="1" cm="1">
        <f t="array" ref="N109">_xlfn.RANK.EQ(M109,total_money_spent)</f>
        <v>187</v>
      </c>
      <c r="O109" s="1">
        <f t="shared" ca="1" si="1"/>
        <v>4</v>
      </c>
    </row>
    <row r="110" spans="1:15" ht="13.8" x14ac:dyDescent="0.25">
      <c r="A110" s="1" t="s">
        <v>1039</v>
      </c>
      <c r="B110" s="1" t="s">
        <v>1036</v>
      </c>
      <c r="C110" s="1" t="s">
        <v>504</v>
      </c>
      <c r="D110" s="1" t="s">
        <v>187</v>
      </c>
      <c r="E110" s="1" t="s">
        <v>1037</v>
      </c>
      <c r="F110" s="1" t="s">
        <v>1038</v>
      </c>
      <c r="G110" s="1" t="s">
        <v>226</v>
      </c>
      <c r="H110" s="1" t="s">
        <v>32</v>
      </c>
      <c r="I110" s="17">
        <f ca="1">DATE(YEAR(TODAY())-1,5,31)</f>
        <v>44347</v>
      </c>
      <c r="J110" s="17">
        <f ca="1">DATE(YEAR(TODAY())-1,6,1)</f>
        <v>44348</v>
      </c>
      <c r="K110" s="1" t="s">
        <v>16</v>
      </c>
      <c r="L110" s="1" t="s">
        <v>34</v>
      </c>
      <c r="M110" s="1">
        <v>660</v>
      </c>
      <c r="N110" s="1" cm="1">
        <f t="array" ref="N110">_xlfn.RANK.EQ(M110,total_money_spent)</f>
        <v>557</v>
      </c>
      <c r="O110" s="1">
        <f t="shared" ca="1" si="1"/>
        <v>1</v>
      </c>
    </row>
    <row r="111" spans="1:15" ht="13.8" x14ac:dyDescent="0.25">
      <c r="A111" s="1" t="s">
        <v>330</v>
      </c>
      <c r="B111" s="1" t="s">
        <v>325</v>
      </c>
      <c r="C111" s="1" t="s">
        <v>152</v>
      </c>
      <c r="D111" s="1" t="s">
        <v>153</v>
      </c>
      <c r="F111" s="1" t="s">
        <v>328</v>
      </c>
      <c r="G111" s="1">
        <v>3004</v>
      </c>
      <c r="H111" s="1" t="s">
        <v>203</v>
      </c>
      <c r="I111" s="17">
        <f ca="1">DATE(YEAR(TODAY())-1,1,2)</f>
        <v>44198</v>
      </c>
      <c r="J111" s="17">
        <f ca="1">DATE(YEAR(TODAY())-1,1,5)</f>
        <v>44201</v>
      </c>
      <c r="K111" s="1" t="s">
        <v>25</v>
      </c>
      <c r="L111" s="1" t="s">
        <v>25</v>
      </c>
      <c r="M111" s="1">
        <v>789</v>
      </c>
      <c r="N111" s="1" cm="1">
        <f t="array" ref="N111">_xlfn.RANK.EQ(M111,total_money_spent)</f>
        <v>325</v>
      </c>
      <c r="O111" s="1">
        <f t="shared" ca="1" si="1"/>
        <v>3</v>
      </c>
    </row>
    <row r="112" spans="1:15" ht="13.8" x14ac:dyDescent="0.25">
      <c r="A112" s="1" t="s">
        <v>302</v>
      </c>
      <c r="B112" s="1" t="s">
        <v>295</v>
      </c>
      <c r="C112" s="1" t="s">
        <v>52</v>
      </c>
      <c r="D112" s="1" t="s">
        <v>53</v>
      </c>
      <c r="E112" s="1" t="s">
        <v>296</v>
      </c>
      <c r="F112" s="1" t="s">
        <v>297</v>
      </c>
      <c r="G112" s="1" t="s">
        <v>122</v>
      </c>
      <c r="H112" s="1" t="s">
        <v>32</v>
      </c>
      <c r="I112" s="17">
        <f ca="1">DATE(YEAR(TODAY())-1,1,20)</f>
        <v>44216</v>
      </c>
      <c r="J112" s="17">
        <f ca="1">DATE(YEAR(TODAY())-1,1,21)</f>
        <v>44217</v>
      </c>
      <c r="K112" s="1" t="s">
        <v>25</v>
      </c>
      <c r="L112" s="1" t="s">
        <v>25</v>
      </c>
      <c r="M112" s="1">
        <v>666</v>
      </c>
      <c r="N112" s="1" cm="1">
        <f t="array" ref="N112">_xlfn.RANK.EQ(M112,total_money_spent)</f>
        <v>533</v>
      </c>
      <c r="O112" s="1">
        <f t="shared" ca="1" si="1"/>
        <v>1</v>
      </c>
    </row>
    <row r="113" spans="1:15" ht="13.8" x14ac:dyDescent="0.25">
      <c r="A113" s="1" t="s">
        <v>476</v>
      </c>
      <c r="B113" s="1" t="s">
        <v>477</v>
      </c>
      <c r="C113" s="1" t="s">
        <v>246</v>
      </c>
      <c r="D113" s="1" t="s">
        <v>247</v>
      </c>
      <c r="F113" s="1" t="s">
        <v>478</v>
      </c>
      <c r="G113" s="1">
        <v>3001</v>
      </c>
      <c r="H113" s="1" t="s">
        <v>81</v>
      </c>
      <c r="I113" s="17">
        <f ca="1">DATE(YEAR(TODAY())-1,2,12)</f>
        <v>44239</v>
      </c>
      <c r="J113" s="17">
        <f ca="1">DATE(YEAR(TODAY())-1,2,18)</f>
        <v>44245</v>
      </c>
      <c r="K113" s="1" t="s">
        <v>143</v>
      </c>
      <c r="L113" s="1" t="s">
        <v>25</v>
      </c>
      <c r="M113" s="1">
        <v>1003</v>
      </c>
      <c r="N113" s="1" cm="1">
        <f t="array" ref="N113">_xlfn.RANK.EQ(M113,total_money_spent)</f>
        <v>52</v>
      </c>
      <c r="O113" s="1">
        <f t="shared" ca="1" si="1"/>
        <v>6</v>
      </c>
    </row>
    <row r="114" spans="1:15" ht="13.8" x14ac:dyDescent="0.25">
      <c r="A114" s="1" t="s">
        <v>1104</v>
      </c>
      <c r="B114" s="1" t="s">
        <v>1105</v>
      </c>
      <c r="C114" s="1" t="s">
        <v>131</v>
      </c>
      <c r="D114" s="1" t="s">
        <v>132</v>
      </c>
      <c r="E114" s="1" t="s">
        <v>1106</v>
      </c>
      <c r="F114" s="1" t="s">
        <v>1107</v>
      </c>
      <c r="G114" s="1">
        <v>2006</v>
      </c>
      <c r="H114" s="1" t="s">
        <v>24</v>
      </c>
      <c r="I114" s="17">
        <f ca="1">DATE(YEAR(TODAY())-2,12,27)</f>
        <v>44192</v>
      </c>
      <c r="J114" s="17">
        <f ca="1">DATE(YEAR(TODAY())-2,12,31)</f>
        <v>44196</v>
      </c>
      <c r="K114" s="1" t="s">
        <v>82</v>
      </c>
      <c r="L114" s="1" t="s">
        <v>34</v>
      </c>
      <c r="M114" s="1">
        <v>803</v>
      </c>
      <c r="N114" s="1" cm="1">
        <f t="array" ref="N114">_xlfn.RANK.EQ(M114,total_money_spent)</f>
        <v>283</v>
      </c>
      <c r="O114" s="1">
        <f t="shared" ca="1" si="1"/>
        <v>4</v>
      </c>
    </row>
    <row r="115" spans="1:15" ht="13.8" x14ac:dyDescent="0.25">
      <c r="A115" s="1" t="s">
        <v>449</v>
      </c>
      <c r="B115" s="1" t="s">
        <v>447</v>
      </c>
      <c r="C115" s="1" t="s">
        <v>110</v>
      </c>
      <c r="D115" s="1" t="s">
        <v>111</v>
      </c>
      <c r="E115" s="1" t="s">
        <v>450</v>
      </c>
      <c r="F115" s="1" t="s">
        <v>448</v>
      </c>
      <c r="G115" s="1">
        <v>2003</v>
      </c>
      <c r="H115" s="1" t="s">
        <v>24</v>
      </c>
      <c r="I115" s="17">
        <f ca="1">DATE(YEAR(TODAY())-1,6,1)</f>
        <v>44348</v>
      </c>
      <c r="J115" s="17">
        <f ca="1">DATE(YEAR(TODAY())-1,6,5)</f>
        <v>44352</v>
      </c>
      <c r="K115" s="1" t="s">
        <v>61</v>
      </c>
      <c r="L115" s="1" t="s">
        <v>34</v>
      </c>
      <c r="M115" s="1">
        <v>809</v>
      </c>
      <c r="N115" s="1" cm="1">
        <f t="array" ref="N115">_xlfn.RANK.EQ(M115,total_money_spent)</f>
        <v>268</v>
      </c>
      <c r="O115" s="1">
        <f t="shared" ca="1" si="1"/>
        <v>4</v>
      </c>
    </row>
    <row r="116" spans="1:15" ht="13.8" x14ac:dyDescent="0.25">
      <c r="A116" s="1" t="s">
        <v>636</v>
      </c>
      <c r="B116" s="1" t="s">
        <v>631</v>
      </c>
      <c r="C116" s="1" t="s">
        <v>47</v>
      </c>
      <c r="D116" s="1" t="s">
        <v>48</v>
      </c>
      <c r="E116" s="1" t="s">
        <v>634</v>
      </c>
      <c r="F116" s="1" t="s">
        <v>632</v>
      </c>
      <c r="G116" s="1" t="s">
        <v>54</v>
      </c>
      <c r="H116" s="1" t="s">
        <v>32</v>
      </c>
      <c r="I116" s="17">
        <f ca="1">DATE(YEAR(TODAY())-1,2,28)</f>
        <v>44255</v>
      </c>
      <c r="J116" s="17">
        <f ca="1">DATE(YEAR(TODAY())-1,3,3)</f>
        <v>44258</v>
      </c>
      <c r="K116" s="1" t="s">
        <v>82</v>
      </c>
      <c r="L116" s="1" t="s">
        <v>34</v>
      </c>
      <c r="M116" s="1">
        <v>728</v>
      </c>
      <c r="N116" s="1" cm="1">
        <f t="array" ref="N116">_xlfn.RANK.EQ(M116,total_money_spent)</f>
        <v>452</v>
      </c>
      <c r="O116" s="1">
        <f t="shared" ca="1" si="1"/>
        <v>3</v>
      </c>
    </row>
    <row r="117" spans="1:15" ht="13.8" x14ac:dyDescent="0.25">
      <c r="A117" s="1" t="s">
        <v>398</v>
      </c>
      <c r="B117" s="1" t="s">
        <v>395</v>
      </c>
      <c r="C117" s="1" t="s">
        <v>64</v>
      </c>
      <c r="D117" s="1" t="s">
        <v>65</v>
      </c>
      <c r="E117" s="1" t="s">
        <v>396</v>
      </c>
      <c r="F117" s="1" t="s">
        <v>397</v>
      </c>
      <c r="G117" s="1">
        <v>2006</v>
      </c>
      <c r="H117" s="1" t="s">
        <v>24</v>
      </c>
      <c r="I117" s="17">
        <f ca="1">DATE(YEAR(TODAY())-1,6,26)</f>
        <v>44373</v>
      </c>
      <c r="J117" s="17">
        <f ca="1">DATE(YEAR(TODAY())-1,6,28)</f>
        <v>44375</v>
      </c>
      <c r="K117" s="1" t="s">
        <v>34</v>
      </c>
      <c r="L117" s="1" t="s">
        <v>34</v>
      </c>
      <c r="M117" s="1">
        <v>709</v>
      </c>
      <c r="N117" s="1" cm="1">
        <f t="array" ref="N117">_xlfn.RANK.EQ(M117,total_money_spent)</f>
        <v>472</v>
      </c>
      <c r="O117" s="1">
        <f t="shared" ca="1" si="1"/>
        <v>2</v>
      </c>
    </row>
    <row r="118" spans="1:15" ht="13.8" x14ac:dyDescent="0.25">
      <c r="A118" s="1" t="s">
        <v>703</v>
      </c>
      <c r="B118" s="1" t="s">
        <v>704</v>
      </c>
      <c r="C118" s="1" t="s">
        <v>186</v>
      </c>
      <c r="D118" s="1" t="s">
        <v>187</v>
      </c>
      <c r="E118" s="1" t="s">
        <v>705</v>
      </c>
      <c r="F118" s="1" t="s">
        <v>706</v>
      </c>
      <c r="G118" s="1" t="s">
        <v>54</v>
      </c>
      <c r="H118" s="1" t="s">
        <v>32</v>
      </c>
      <c r="I118" s="17">
        <f ca="1">DATE(YEAR(TODAY())-1,5,2)</f>
        <v>44318</v>
      </c>
      <c r="J118" s="17">
        <f ca="1">DATE(YEAR(TODAY())-1,5,8)</f>
        <v>44324</v>
      </c>
      <c r="K118" s="1" t="s">
        <v>34</v>
      </c>
      <c r="L118" s="1" t="s">
        <v>34</v>
      </c>
      <c r="M118" s="1">
        <v>845</v>
      </c>
      <c r="N118" s="1" cm="1">
        <f t="array" ref="N118">_xlfn.RANK.EQ(M118,total_money_spent)</f>
        <v>224</v>
      </c>
      <c r="O118" s="1">
        <f t="shared" ca="1" si="1"/>
        <v>6</v>
      </c>
    </row>
    <row r="119" spans="1:15" ht="13.8" x14ac:dyDescent="0.25">
      <c r="A119" s="1" t="s">
        <v>890</v>
      </c>
      <c r="B119" s="1" t="s">
        <v>891</v>
      </c>
      <c r="C119" s="1" t="s">
        <v>91</v>
      </c>
      <c r="D119" s="1" t="s">
        <v>91</v>
      </c>
      <c r="E119" s="1" t="s">
        <v>892</v>
      </c>
      <c r="F119" s="1" t="s">
        <v>893</v>
      </c>
      <c r="G119" s="1">
        <v>3005</v>
      </c>
      <c r="H119" s="1" t="s">
        <v>203</v>
      </c>
      <c r="I119" s="17">
        <f ca="1">DATE(YEAR(TODAY())-1,6,28)</f>
        <v>44375</v>
      </c>
      <c r="J119" s="17">
        <f ca="1">DATE(YEAR(TODAY())-1,7,4)</f>
        <v>44381</v>
      </c>
      <c r="K119" s="1" t="s">
        <v>33</v>
      </c>
      <c r="L119" s="1" t="s">
        <v>34</v>
      </c>
      <c r="M119" s="1">
        <v>1059</v>
      </c>
      <c r="N119" s="1" cm="1">
        <f t="array" ref="N119">_xlfn.RANK.EQ(M119,total_money_spent)</f>
        <v>46</v>
      </c>
      <c r="O119" s="1">
        <f t="shared" ca="1" si="1"/>
        <v>6</v>
      </c>
    </row>
    <row r="120" spans="1:15" ht="13.8" x14ac:dyDescent="0.25">
      <c r="A120" s="1" t="s">
        <v>503</v>
      </c>
      <c r="B120" s="1" t="s">
        <v>500</v>
      </c>
      <c r="C120" s="1" t="s">
        <v>504</v>
      </c>
      <c r="D120" s="1" t="s">
        <v>187</v>
      </c>
      <c r="E120" s="1" t="s">
        <v>501</v>
      </c>
      <c r="F120" s="1" t="s">
        <v>502</v>
      </c>
      <c r="G120" s="1">
        <v>3001</v>
      </c>
      <c r="H120" s="1" t="s">
        <v>81</v>
      </c>
      <c r="I120" s="17">
        <f ca="1">DATE(YEAR(TODAY())-1,3,9)</f>
        <v>44264</v>
      </c>
      <c r="J120" s="17">
        <f ca="1">DATE(YEAR(TODAY())-1,3,11)</f>
        <v>44266</v>
      </c>
      <c r="K120" s="1" t="s">
        <v>25</v>
      </c>
      <c r="L120" s="1" t="s">
        <v>25</v>
      </c>
      <c r="M120" s="1">
        <v>740</v>
      </c>
      <c r="N120" s="1" cm="1">
        <f t="array" ref="N120">_xlfn.RANK.EQ(M120,total_money_spent)</f>
        <v>426</v>
      </c>
      <c r="O120" s="1">
        <f t="shared" ca="1" si="1"/>
        <v>2</v>
      </c>
    </row>
    <row r="121" spans="1:15" ht="13.8" x14ac:dyDescent="0.25">
      <c r="A121" s="1" t="s">
        <v>145</v>
      </c>
      <c r="B121" s="1" t="s">
        <v>146</v>
      </c>
      <c r="C121" s="1" t="s">
        <v>147</v>
      </c>
      <c r="D121" s="1" t="s">
        <v>147</v>
      </c>
      <c r="E121" s="1" t="s">
        <v>148</v>
      </c>
      <c r="F121" s="1" t="s">
        <v>149</v>
      </c>
      <c r="G121" s="1">
        <v>2005</v>
      </c>
      <c r="H121" s="1" t="s">
        <v>24</v>
      </c>
      <c r="I121" s="17">
        <f ca="1">DATE(YEAR(TODAY())-1,4,30)</f>
        <v>44316</v>
      </c>
      <c r="J121" s="17">
        <f ca="1">DATE(YEAR(TODAY())-1,5,2)</f>
        <v>44318</v>
      </c>
      <c r="K121" s="1" t="s">
        <v>16</v>
      </c>
      <c r="L121" s="1" t="s">
        <v>34</v>
      </c>
      <c r="M121" s="1">
        <v>702</v>
      </c>
      <c r="N121" s="1" cm="1">
        <f t="array" ref="N121">_xlfn.RANK.EQ(M121,total_money_spent)</f>
        <v>483</v>
      </c>
      <c r="O121" s="1">
        <f t="shared" ca="1" si="1"/>
        <v>2</v>
      </c>
    </row>
    <row r="122" spans="1:15" ht="13.8" x14ac:dyDescent="0.25">
      <c r="A122" s="1" t="s">
        <v>1059</v>
      </c>
      <c r="B122" s="1" t="s">
        <v>1054</v>
      </c>
      <c r="C122" s="1" t="s">
        <v>118</v>
      </c>
      <c r="D122" s="1" t="s">
        <v>119</v>
      </c>
      <c r="E122" s="1" t="s">
        <v>1058</v>
      </c>
      <c r="F122" s="1" t="s">
        <v>1056</v>
      </c>
      <c r="G122" s="1">
        <v>3005</v>
      </c>
      <c r="H122" s="1" t="s">
        <v>203</v>
      </c>
      <c r="I122" s="17">
        <f ca="1">DATE(YEAR(TODAY())-1,5,19)</f>
        <v>44335</v>
      </c>
      <c r="J122" s="17">
        <f ca="1">DATE(YEAR(TODAY())-1,5,20)</f>
        <v>44336</v>
      </c>
      <c r="K122" s="1" t="s">
        <v>143</v>
      </c>
      <c r="L122" s="1" t="s">
        <v>25</v>
      </c>
      <c r="M122" s="1">
        <v>663</v>
      </c>
      <c r="N122" s="1" cm="1">
        <f t="array" ref="N122">_xlfn.RANK.EQ(M122,total_money_spent)</f>
        <v>545</v>
      </c>
      <c r="O122" s="1">
        <f t="shared" ca="1" si="1"/>
        <v>1</v>
      </c>
    </row>
    <row r="123" spans="1:15" ht="13.8" x14ac:dyDescent="0.25">
      <c r="A123" s="1" t="s">
        <v>488</v>
      </c>
      <c r="B123" s="1" t="s">
        <v>484</v>
      </c>
      <c r="C123" s="1" t="s">
        <v>131</v>
      </c>
      <c r="D123" s="1" t="s">
        <v>132</v>
      </c>
      <c r="E123" s="1" t="s">
        <v>485</v>
      </c>
      <c r="F123" s="1" t="s">
        <v>486</v>
      </c>
      <c r="G123" s="1">
        <v>3005</v>
      </c>
      <c r="H123" s="1" t="s">
        <v>203</v>
      </c>
      <c r="I123" s="17">
        <f ca="1">DATE(YEAR(TODAY())-1,7,13)</f>
        <v>44390</v>
      </c>
      <c r="J123" s="17">
        <f ca="1">DATE(YEAR(TODAY())-1,7,19)</f>
        <v>44396</v>
      </c>
      <c r="K123" s="1" t="s">
        <v>82</v>
      </c>
      <c r="L123" s="1" t="s">
        <v>34</v>
      </c>
      <c r="M123" s="1">
        <v>1074</v>
      </c>
      <c r="N123" s="1" cm="1">
        <f t="array" ref="N123">_xlfn.RANK.EQ(M123,total_money_spent)</f>
        <v>27</v>
      </c>
      <c r="O123" s="1">
        <f t="shared" ca="1" si="1"/>
        <v>6</v>
      </c>
    </row>
    <row r="124" spans="1:15" ht="13.8" x14ac:dyDescent="0.25">
      <c r="A124" s="1" t="s">
        <v>329</v>
      </c>
      <c r="B124" s="1" t="s">
        <v>325</v>
      </c>
      <c r="C124" s="1" t="s">
        <v>70</v>
      </c>
      <c r="D124" s="1" t="s">
        <v>70</v>
      </c>
      <c r="E124" s="1" t="s">
        <v>327</v>
      </c>
      <c r="F124" s="1" t="s">
        <v>328</v>
      </c>
      <c r="G124" s="1">
        <v>3003</v>
      </c>
      <c r="H124" s="1" t="s">
        <v>81</v>
      </c>
      <c r="I124" s="17">
        <f ca="1">DATE(YEAR(TODAY())-1,1,12)</f>
        <v>44208</v>
      </c>
      <c r="J124" s="17">
        <f ca="1">DATE(YEAR(TODAY())-1,1,15)</f>
        <v>44211</v>
      </c>
      <c r="K124" s="1" t="s">
        <v>82</v>
      </c>
      <c r="L124" s="1" t="s">
        <v>34</v>
      </c>
      <c r="M124" s="1">
        <v>778</v>
      </c>
      <c r="N124" s="1" cm="1">
        <f t="array" ref="N124">_xlfn.RANK.EQ(M124,total_money_spent)</f>
        <v>350</v>
      </c>
      <c r="O124" s="1">
        <f t="shared" ca="1" si="1"/>
        <v>3</v>
      </c>
    </row>
    <row r="125" spans="1:15" ht="13.8" x14ac:dyDescent="0.25">
      <c r="A125" s="1" t="s">
        <v>298</v>
      </c>
      <c r="B125" s="1" t="s">
        <v>295</v>
      </c>
      <c r="C125" s="1" t="s">
        <v>250</v>
      </c>
      <c r="D125" s="1" t="s">
        <v>53</v>
      </c>
      <c r="E125" s="1" t="s">
        <v>296</v>
      </c>
      <c r="F125" s="1" t="s">
        <v>297</v>
      </c>
      <c r="G125" s="1">
        <v>2007</v>
      </c>
      <c r="H125" s="1" t="s">
        <v>44</v>
      </c>
      <c r="I125" s="17">
        <f ca="1">DATE(YEAR(TODAY())-1,2,26)</f>
        <v>44253</v>
      </c>
      <c r="J125" s="17">
        <f ca="1">DATE(YEAR(TODAY())-1,3,3)</f>
        <v>44258</v>
      </c>
      <c r="K125" s="1" t="s">
        <v>25</v>
      </c>
      <c r="L125" s="1" t="s">
        <v>25</v>
      </c>
      <c r="M125" s="1">
        <v>909</v>
      </c>
      <c r="N125" s="1" cm="1">
        <f t="array" ref="N125">_xlfn.RANK.EQ(M125,total_money_spent)</f>
        <v>128</v>
      </c>
      <c r="O125" s="1">
        <f t="shared" ca="1" si="1"/>
        <v>5</v>
      </c>
    </row>
    <row r="126" spans="1:15" ht="13.8" x14ac:dyDescent="0.25">
      <c r="A126" s="1" t="s">
        <v>1404</v>
      </c>
      <c r="B126" s="1" t="s">
        <v>1405</v>
      </c>
      <c r="C126" s="1" t="s">
        <v>270</v>
      </c>
      <c r="D126" s="1" t="s">
        <v>271</v>
      </c>
      <c r="E126" s="1" t="s">
        <v>1406</v>
      </c>
      <c r="F126" s="1" t="s">
        <v>1407</v>
      </c>
      <c r="G126" s="1">
        <v>2008</v>
      </c>
      <c r="H126" s="1" t="s">
        <v>44</v>
      </c>
      <c r="I126" s="17">
        <f ca="1">DATE(YEAR(TODAY())-1,6,29)</f>
        <v>44376</v>
      </c>
      <c r="J126" s="17">
        <f ca="1">DATE(YEAR(TODAY())-1,7,2)</f>
        <v>44379</v>
      </c>
      <c r="K126" s="1" t="s">
        <v>34</v>
      </c>
      <c r="L126" s="1" t="s">
        <v>34</v>
      </c>
      <c r="M126" s="1">
        <v>777</v>
      </c>
      <c r="N126" s="1" cm="1">
        <f t="array" ref="N126">_xlfn.RANK.EQ(M126,total_money_spent)</f>
        <v>354</v>
      </c>
      <c r="O126" s="1">
        <f t="shared" ca="1" si="1"/>
        <v>3</v>
      </c>
    </row>
    <row r="127" spans="1:15" ht="13.8" x14ac:dyDescent="0.25">
      <c r="A127" s="1" t="s">
        <v>1378</v>
      </c>
      <c r="B127" s="1" t="s">
        <v>1379</v>
      </c>
      <c r="C127" s="1" t="s">
        <v>664</v>
      </c>
      <c r="D127" s="1" t="s">
        <v>147</v>
      </c>
      <c r="E127" s="1" t="s">
        <v>1380</v>
      </c>
      <c r="F127" s="1" t="s">
        <v>1381</v>
      </c>
      <c r="G127" s="1">
        <v>2002</v>
      </c>
      <c r="H127" s="1" t="s">
        <v>24</v>
      </c>
      <c r="I127" s="17">
        <f ca="1">DATE(YEAR(TODAY())-1,5,1)</f>
        <v>44317</v>
      </c>
      <c r="J127" s="17">
        <f ca="1">DATE(YEAR(TODAY())-1,5,7)</f>
        <v>44323</v>
      </c>
      <c r="K127" s="1" t="s">
        <v>136</v>
      </c>
      <c r="L127" s="1" t="s">
        <v>137</v>
      </c>
      <c r="M127" s="1">
        <v>891</v>
      </c>
      <c r="N127" s="1" cm="1">
        <f t="array" ref="N127">_xlfn.RANK.EQ(M127,total_money_spent)</f>
        <v>171</v>
      </c>
      <c r="O127" s="1">
        <f t="shared" ca="1" si="1"/>
        <v>6</v>
      </c>
    </row>
    <row r="128" spans="1:15" ht="13.8" x14ac:dyDescent="0.25">
      <c r="A128" s="1" t="s">
        <v>650</v>
      </c>
      <c r="B128" s="1" t="s">
        <v>647</v>
      </c>
      <c r="C128" s="1" t="s">
        <v>170</v>
      </c>
      <c r="D128" s="1" t="s">
        <v>171</v>
      </c>
      <c r="E128" s="1" t="s">
        <v>648</v>
      </c>
      <c r="F128" s="1" t="s">
        <v>649</v>
      </c>
      <c r="G128" s="1">
        <v>3001</v>
      </c>
      <c r="H128" s="1" t="s">
        <v>81</v>
      </c>
      <c r="I128" s="17">
        <f ca="1">DATE(YEAR(TODAY())-1,5,3)</f>
        <v>44319</v>
      </c>
      <c r="J128" s="17">
        <f ca="1">DATE(YEAR(TODAY())-1,5,7)</f>
        <v>44323</v>
      </c>
      <c r="K128" s="1" t="s">
        <v>34</v>
      </c>
      <c r="L128" s="1" t="s">
        <v>34</v>
      </c>
      <c r="M128" s="1">
        <v>854</v>
      </c>
      <c r="N128" s="1" cm="1">
        <f t="array" ref="N128">_xlfn.RANK.EQ(M128,total_money_spent)</f>
        <v>205</v>
      </c>
      <c r="O128" s="1">
        <f t="shared" ca="1" si="1"/>
        <v>4</v>
      </c>
    </row>
    <row r="129" spans="1:15" ht="13.8" x14ac:dyDescent="0.25">
      <c r="A129" s="1" t="s">
        <v>824</v>
      </c>
      <c r="B129" s="1" t="s">
        <v>821</v>
      </c>
      <c r="C129" s="1" t="s">
        <v>177</v>
      </c>
      <c r="D129" s="1" t="s">
        <v>178</v>
      </c>
      <c r="E129" s="1" t="s">
        <v>822</v>
      </c>
      <c r="F129" s="1" t="s">
        <v>823</v>
      </c>
      <c r="G129" s="1">
        <v>2010</v>
      </c>
      <c r="H129" s="1" t="s">
        <v>44</v>
      </c>
      <c r="I129" s="17">
        <f ca="1">DATE(YEAR(TODAY())-1,1,11)</f>
        <v>44207</v>
      </c>
      <c r="J129" s="17">
        <f ca="1">DATE(YEAR(TODAY())-1,1,14)</f>
        <v>44210</v>
      </c>
      <c r="K129" s="1" t="s">
        <v>143</v>
      </c>
      <c r="L129" s="1" t="s">
        <v>25</v>
      </c>
      <c r="M129" s="1">
        <v>779</v>
      </c>
      <c r="N129" s="1" cm="1">
        <f t="array" ref="N129">_xlfn.RANK.EQ(M129,total_money_spent)</f>
        <v>347</v>
      </c>
      <c r="O129" s="1">
        <f t="shared" ca="1" si="1"/>
        <v>3</v>
      </c>
    </row>
    <row r="130" spans="1:15" ht="13.8" x14ac:dyDescent="0.25">
      <c r="A130" s="1" t="s">
        <v>195</v>
      </c>
      <c r="B130" s="1" t="s">
        <v>196</v>
      </c>
      <c r="C130" s="1" t="s">
        <v>197</v>
      </c>
      <c r="D130" s="1" t="s">
        <v>198</v>
      </c>
      <c r="E130" s="1" t="s">
        <v>199</v>
      </c>
      <c r="F130" s="1" t="s">
        <v>200</v>
      </c>
      <c r="G130" s="1">
        <v>2008</v>
      </c>
      <c r="H130" s="1" t="s">
        <v>44</v>
      </c>
      <c r="I130" s="17">
        <f ca="1">DATE(YEAR(TODAY())-2,11,10)</f>
        <v>44145</v>
      </c>
      <c r="J130" s="17">
        <f ca="1">DATE(YEAR(TODAY())-2,11,11)</f>
        <v>44146</v>
      </c>
      <c r="K130" s="1" t="s">
        <v>72</v>
      </c>
      <c r="L130" s="1" t="s">
        <v>73</v>
      </c>
      <c r="M130" s="1">
        <v>669</v>
      </c>
      <c r="N130" s="1" cm="1">
        <f t="array" ref="N130">_xlfn.RANK.EQ(M130,total_money_spent)</f>
        <v>522</v>
      </c>
      <c r="O130" s="1">
        <f t="shared" ca="1" si="1"/>
        <v>1</v>
      </c>
    </row>
    <row r="131" spans="1:15" ht="13.8" x14ac:dyDescent="0.25">
      <c r="A131" s="1" t="s">
        <v>972</v>
      </c>
      <c r="B131" s="1" t="s">
        <v>973</v>
      </c>
      <c r="C131" s="1" t="s">
        <v>57</v>
      </c>
      <c r="D131" s="1" t="s">
        <v>57</v>
      </c>
      <c r="E131" s="1" t="s">
        <v>974</v>
      </c>
      <c r="F131" s="1" t="s">
        <v>975</v>
      </c>
      <c r="G131" s="1">
        <v>2001</v>
      </c>
      <c r="H131" s="1" t="s">
        <v>24</v>
      </c>
      <c r="I131" s="17">
        <f ca="1">DATE(YEAR(TODAY())-2,10,25)</f>
        <v>44129</v>
      </c>
      <c r="J131" s="17">
        <f ca="1">DATE(YEAR(TODAY())-2,10,28)</f>
        <v>44132</v>
      </c>
      <c r="K131" s="1" t="s">
        <v>87</v>
      </c>
      <c r="L131" s="1" t="s">
        <v>73</v>
      </c>
      <c r="M131" s="1">
        <v>759</v>
      </c>
      <c r="N131" s="1" cm="1">
        <f t="array" ref="N131">_xlfn.RANK.EQ(M131,total_money_spent)</f>
        <v>398</v>
      </c>
      <c r="O131" s="1">
        <f t="shared" ref="O131:O194" ca="1" si="2">J131-I131</f>
        <v>3</v>
      </c>
    </row>
    <row r="132" spans="1:15" ht="13.8" x14ac:dyDescent="0.25">
      <c r="A132" s="1" t="s">
        <v>1195</v>
      </c>
      <c r="B132" s="1" t="s">
        <v>1196</v>
      </c>
      <c r="C132" s="1" t="s">
        <v>246</v>
      </c>
      <c r="D132" s="1" t="s">
        <v>247</v>
      </c>
      <c r="E132" s="1" t="s">
        <v>1197</v>
      </c>
      <c r="F132" s="1" t="s">
        <v>1198</v>
      </c>
      <c r="G132" s="1">
        <v>2002</v>
      </c>
      <c r="H132" s="1" t="s">
        <v>24</v>
      </c>
      <c r="I132" s="17">
        <f ca="1">DATE(YEAR(TODAY())-1,9,23)</f>
        <v>44462</v>
      </c>
      <c r="J132" s="17">
        <f ca="1">DATE(YEAR(TODAY())-1,9,28)</f>
        <v>44467</v>
      </c>
      <c r="K132" s="1" t="s">
        <v>136</v>
      </c>
      <c r="L132" s="1" t="s">
        <v>137</v>
      </c>
      <c r="M132" s="1">
        <v>853</v>
      </c>
      <c r="N132" s="1" cm="1">
        <f t="array" ref="N132">_xlfn.RANK.EQ(M132,total_money_spent)</f>
        <v>208</v>
      </c>
      <c r="O132" s="1">
        <f t="shared" ca="1" si="2"/>
        <v>5</v>
      </c>
    </row>
    <row r="133" spans="1:15" ht="13.8" x14ac:dyDescent="0.25">
      <c r="A133" s="1" t="s">
        <v>1504</v>
      </c>
      <c r="B133" s="1" t="s">
        <v>1505</v>
      </c>
      <c r="C133" s="1" t="s">
        <v>337</v>
      </c>
      <c r="D133" s="1" t="s">
        <v>338</v>
      </c>
      <c r="E133" s="1" t="s">
        <v>1506</v>
      </c>
      <c r="F133" s="1" t="s">
        <v>1507</v>
      </c>
      <c r="G133" s="1" t="s">
        <v>31</v>
      </c>
      <c r="H133" s="1" t="s">
        <v>32</v>
      </c>
      <c r="I133" s="17">
        <f ca="1">DATE(YEAR(TODAY())-2,12,2)</f>
        <v>44167</v>
      </c>
      <c r="J133" s="17">
        <f ca="1">DATE(YEAR(TODAY())-2,12,9)</f>
        <v>44174</v>
      </c>
      <c r="K133" s="1" t="s">
        <v>82</v>
      </c>
      <c r="L133" s="1" t="s">
        <v>34</v>
      </c>
      <c r="M133" s="1">
        <v>914</v>
      </c>
      <c r="N133" s="1" cm="1">
        <f t="array" ref="N133">_xlfn.RANK.EQ(M133,total_money_spent)</f>
        <v>114</v>
      </c>
      <c r="O133" s="1">
        <f t="shared" ca="1" si="2"/>
        <v>7</v>
      </c>
    </row>
    <row r="134" spans="1:15" ht="13.8" x14ac:dyDescent="0.25">
      <c r="A134" s="1" t="s">
        <v>850</v>
      </c>
      <c r="B134" s="1" t="s">
        <v>846</v>
      </c>
      <c r="C134" s="1" t="s">
        <v>110</v>
      </c>
      <c r="D134" s="1" t="s">
        <v>111</v>
      </c>
      <c r="E134" s="1" t="s">
        <v>847</v>
      </c>
      <c r="F134" s="1" t="s">
        <v>848</v>
      </c>
      <c r="G134" s="1" t="s">
        <v>122</v>
      </c>
      <c r="H134" s="1" t="s">
        <v>32</v>
      </c>
      <c r="I134" s="17">
        <f ca="1">DATE(YEAR(TODAY())-2,12,28)</f>
        <v>44193</v>
      </c>
      <c r="J134" s="17">
        <f ca="1">DATE(YEAR(TODAY())-1,1,2)</f>
        <v>44198</v>
      </c>
      <c r="K134" s="1" t="s">
        <v>143</v>
      </c>
      <c r="L134" s="1" t="s">
        <v>25</v>
      </c>
      <c r="M134" s="1">
        <v>804</v>
      </c>
      <c r="N134" s="1" cm="1">
        <f t="array" ref="N134">_xlfn.RANK.EQ(M134,total_money_spent)</f>
        <v>280</v>
      </c>
      <c r="O134" s="1">
        <f t="shared" ca="1" si="2"/>
        <v>5</v>
      </c>
    </row>
    <row r="135" spans="1:15" ht="13.8" x14ac:dyDescent="0.25">
      <c r="A135" s="1" t="s">
        <v>1341</v>
      </c>
      <c r="B135" s="1" t="s">
        <v>1339</v>
      </c>
      <c r="C135" s="1" t="s">
        <v>118</v>
      </c>
      <c r="D135" s="1" t="s">
        <v>119</v>
      </c>
      <c r="E135" s="1" t="s">
        <v>1342</v>
      </c>
      <c r="F135" s="1" t="s">
        <v>1340</v>
      </c>
      <c r="G135" s="1">
        <v>2003</v>
      </c>
      <c r="H135" s="1" t="s">
        <v>24</v>
      </c>
      <c r="I135" s="17">
        <f ca="1">DATE(YEAR(TODAY())-1,9,3)</f>
        <v>44442</v>
      </c>
      <c r="J135" s="17">
        <f ca="1">DATE(YEAR(TODAY())-1,9,5)</f>
        <v>44444</v>
      </c>
      <c r="K135" s="1" t="s">
        <v>61</v>
      </c>
      <c r="L135" s="1" t="s">
        <v>34</v>
      </c>
      <c r="M135" s="1">
        <v>716</v>
      </c>
      <c r="N135" s="1" cm="1">
        <f t="array" ref="N135">_xlfn.RANK.EQ(M135,total_money_spent)</f>
        <v>465</v>
      </c>
      <c r="O135" s="1">
        <f t="shared" ca="1" si="2"/>
        <v>2</v>
      </c>
    </row>
    <row r="136" spans="1:15" ht="13.8" x14ac:dyDescent="0.25">
      <c r="A136" s="1" t="s">
        <v>809</v>
      </c>
      <c r="B136" s="1" t="s">
        <v>806</v>
      </c>
      <c r="C136" s="1" t="s">
        <v>96</v>
      </c>
      <c r="D136" s="1" t="s">
        <v>96</v>
      </c>
      <c r="E136" s="1" t="s">
        <v>807</v>
      </c>
      <c r="F136" s="1" t="s">
        <v>808</v>
      </c>
      <c r="G136" s="1">
        <v>3004</v>
      </c>
      <c r="H136" s="1" t="s">
        <v>203</v>
      </c>
      <c r="I136" s="17">
        <f ca="1">DATE(YEAR(TODAY())-2,10,23)</f>
        <v>44127</v>
      </c>
      <c r="J136" s="17">
        <f ca="1">DATE(YEAR(TODAY())-2,10,28)</f>
        <v>44132</v>
      </c>
      <c r="K136" s="1" t="s">
        <v>33</v>
      </c>
      <c r="L136" s="1" t="s">
        <v>34</v>
      </c>
      <c r="M136" s="1">
        <v>957</v>
      </c>
      <c r="N136" s="1" cm="1">
        <f t="array" ref="N136">_xlfn.RANK.EQ(M136,total_money_spent)</f>
        <v>102</v>
      </c>
      <c r="O136" s="1">
        <f t="shared" ca="1" si="2"/>
        <v>5</v>
      </c>
    </row>
    <row r="137" spans="1:15" ht="13.8" x14ac:dyDescent="0.25">
      <c r="A137" s="1" t="s">
        <v>434</v>
      </c>
      <c r="B137" s="1" t="s">
        <v>435</v>
      </c>
      <c r="C137" s="1" t="s">
        <v>326</v>
      </c>
      <c r="D137" s="1" t="s">
        <v>140</v>
      </c>
      <c r="E137" s="1" t="s">
        <v>436</v>
      </c>
      <c r="F137" s="1" t="s">
        <v>437</v>
      </c>
      <c r="G137" s="1" t="s">
        <v>31</v>
      </c>
      <c r="H137" s="1" t="s">
        <v>32</v>
      </c>
      <c r="I137" s="17">
        <f ca="1">DATE(YEAR(TODAY())-1,3,3)</f>
        <v>44258</v>
      </c>
      <c r="J137" s="17">
        <f ca="1">DATE(YEAR(TODAY())-1,3,6)</f>
        <v>44261</v>
      </c>
      <c r="K137" s="1" t="s">
        <v>87</v>
      </c>
      <c r="L137" s="1" t="s">
        <v>73</v>
      </c>
      <c r="M137" s="1">
        <v>742</v>
      </c>
      <c r="N137" s="1" cm="1">
        <f t="array" ref="N137">_xlfn.RANK.EQ(M137,total_money_spent)</f>
        <v>419</v>
      </c>
      <c r="O137" s="1">
        <f t="shared" ca="1" si="2"/>
        <v>3</v>
      </c>
    </row>
    <row r="138" spans="1:15" ht="13.8" x14ac:dyDescent="0.25">
      <c r="A138" s="1" t="s">
        <v>284</v>
      </c>
      <c r="B138" s="1" t="s">
        <v>281</v>
      </c>
      <c r="C138" s="1" t="s">
        <v>70</v>
      </c>
      <c r="D138" s="1" t="s">
        <v>70</v>
      </c>
      <c r="E138" s="1" t="s">
        <v>282</v>
      </c>
      <c r="F138" s="1" t="s">
        <v>283</v>
      </c>
      <c r="G138" s="1" t="s">
        <v>226</v>
      </c>
      <c r="H138" s="1" t="s">
        <v>32</v>
      </c>
      <c r="I138" s="17">
        <f ca="1">DATE(YEAR(TODAY())-1,2,7)</f>
        <v>44234</v>
      </c>
      <c r="J138" s="17">
        <f ca="1">DATE(YEAR(TODAY())-1,2,10)</f>
        <v>44237</v>
      </c>
      <c r="K138" s="1" t="s">
        <v>61</v>
      </c>
      <c r="L138" s="1" t="s">
        <v>34</v>
      </c>
      <c r="M138" s="1">
        <v>732</v>
      </c>
      <c r="N138" s="1" cm="1">
        <f t="array" ref="N138">_xlfn.RANK.EQ(M138,total_money_spent)</f>
        <v>448</v>
      </c>
      <c r="O138" s="1">
        <f t="shared" ca="1" si="2"/>
        <v>3</v>
      </c>
    </row>
    <row r="139" spans="1:15" ht="13.8" x14ac:dyDescent="0.25">
      <c r="A139" s="1" t="s">
        <v>514</v>
      </c>
      <c r="B139" s="1" t="s">
        <v>515</v>
      </c>
      <c r="C139" s="1" t="s">
        <v>57</v>
      </c>
      <c r="D139" s="1" t="s">
        <v>57</v>
      </c>
      <c r="E139" s="1" t="s">
        <v>516</v>
      </c>
      <c r="F139" s="1" t="s">
        <v>517</v>
      </c>
      <c r="G139" s="1">
        <v>2003</v>
      </c>
      <c r="H139" s="1" t="s">
        <v>24</v>
      </c>
      <c r="I139" s="17">
        <f ca="1">DATE(YEAR(TODAY())-1,2,4)</f>
        <v>44231</v>
      </c>
      <c r="J139" s="17">
        <f ca="1">DATE(YEAR(TODAY())-1,2,9)</f>
        <v>44236</v>
      </c>
      <c r="K139" s="1" t="s">
        <v>82</v>
      </c>
      <c r="L139" s="1" t="s">
        <v>34</v>
      </c>
      <c r="M139" s="1">
        <v>848</v>
      </c>
      <c r="N139" s="1" cm="1">
        <f t="array" ref="N139">_xlfn.RANK.EQ(M139,total_money_spent)</f>
        <v>218</v>
      </c>
      <c r="O139" s="1">
        <f t="shared" ca="1" si="2"/>
        <v>5</v>
      </c>
    </row>
    <row r="140" spans="1:15" ht="13.8" x14ac:dyDescent="0.25">
      <c r="A140" s="1" t="s">
        <v>1354</v>
      </c>
      <c r="B140" s="1" t="s">
        <v>1351</v>
      </c>
      <c r="C140" s="1" t="s">
        <v>131</v>
      </c>
      <c r="D140" s="1" t="s">
        <v>132</v>
      </c>
      <c r="E140" s="1" t="s">
        <v>1352</v>
      </c>
      <c r="F140" s="1" t="s">
        <v>1353</v>
      </c>
      <c r="G140" s="1">
        <v>3003</v>
      </c>
      <c r="H140" s="1" t="s">
        <v>81</v>
      </c>
      <c r="I140" s="17">
        <f ca="1">DATE(YEAR(TODAY())-2,12,10)</f>
        <v>44175</v>
      </c>
      <c r="J140" s="17">
        <f ca="1">DATE(YEAR(TODAY())-2,12,14)</f>
        <v>44179</v>
      </c>
      <c r="K140" s="1" t="s">
        <v>16</v>
      </c>
      <c r="L140" s="1" t="s">
        <v>34</v>
      </c>
      <c r="M140" s="1">
        <v>856</v>
      </c>
      <c r="N140" s="1" cm="1">
        <f t="array" ref="N140">_xlfn.RANK.EQ(M140,total_money_spent)</f>
        <v>201</v>
      </c>
      <c r="O140" s="1">
        <f t="shared" ca="1" si="2"/>
        <v>4</v>
      </c>
    </row>
    <row r="141" spans="1:15" ht="13.8" x14ac:dyDescent="0.25">
      <c r="A141" s="1" t="s">
        <v>408</v>
      </c>
      <c r="B141" s="1" t="s">
        <v>405</v>
      </c>
      <c r="C141" s="1" t="s">
        <v>101</v>
      </c>
      <c r="D141" s="1" t="s">
        <v>102</v>
      </c>
      <c r="E141" s="1" t="s">
        <v>406</v>
      </c>
      <c r="F141" s="1" t="s">
        <v>407</v>
      </c>
      <c r="G141" s="1">
        <v>2007</v>
      </c>
      <c r="H141" s="1" t="s">
        <v>44</v>
      </c>
      <c r="I141" s="17">
        <f ca="1">DATE(YEAR(TODAY())-2,12,16)</f>
        <v>44181</v>
      </c>
      <c r="J141" s="17">
        <f ca="1">DATE(YEAR(TODAY())-2,12,17)</f>
        <v>44182</v>
      </c>
      <c r="K141" s="1" t="s">
        <v>87</v>
      </c>
      <c r="L141" s="1" t="s">
        <v>73</v>
      </c>
      <c r="M141" s="1">
        <v>655</v>
      </c>
      <c r="N141" s="1" cm="1">
        <f t="array" ref="N141">_xlfn.RANK.EQ(M141,total_money_spent)</f>
        <v>576</v>
      </c>
      <c r="O141" s="1">
        <f t="shared" ca="1" si="2"/>
        <v>1</v>
      </c>
    </row>
    <row r="142" spans="1:15" ht="13.8" x14ac:dyDescent="0.25">
      <c r="A142" s="1" t="s">
        <v>513</v>
      </c>
      <c r="B142" s="1" t="s">
        <v>510</v>
      </c>
      <c r="C142" s="1" t="s">
        <v>118</v>
      </c>
      <c r="D142" s="1" t="s">
        <v>119</v>
      </c>
      <c r="E142" s="1" t="s">
        <v>511</v>
      </c>
      <c r="F142" s="1" t="s">
        <v>512</v>
      </c>
      <c r="G142" s="1">
        <v>3002</v>
      </c>
      <c r="H142" s="1" t="s">
        <v>81</v>
      </c>
      <c r="I142" s="17">
        <f ca="1">DATE(YEAR(TODAY())-1,5,3)</f>
        <v>44319</v>
      </c>
      <c r="J142" s="17">
        <f ca="1">DATE(YEAR(TODAY())-1,5,7)</f>
        <v>44323</v>
      </c>
      <c r="K142" s="1" t="s">
        <v>25</v>
      </c>
      <c r="L142" s="1" t="s">
        <v>25</v>
      </c>
      <c r="M142" s="1">
        <v>859</v>
      </c>
      <c r="N142" s="1" cm="1">
        <f t="array" ref="N142">_xlfn.RANK.EQ(M142,total_money_spent)</f>
        <v>195</v>
      </c>
      <c r="O142" s="1">
        <f t="shared" ca="1" si="2"/>
        <v>4</v>
      </c>
    </row>
    <row r="143" spans="1:15" ht="13.8" x14ac:dyDescent="0.25">
      <c r="A143" s="1" t="s">
        <v>176</v>
      </c>
      <c r="B143" s="1" t="s">
        <v>173</v>
      </c>
      <c r="C143" s="1" t="s">
        <v>177</v>
      </c>
      <c r="D143" s="1" t="s">
        <v>178</v>
      </c>
      <c r="E143" s="1" t="s">
        <v>174</v>
      </c>
      <c r="F143" s="1" t="s">
        <v>175</v>
      </c>
      <c r="G143" s="1">
        <v>2005</v>
      </c>
      <c r="H143" s="1" t="s">
        <v>24</v>
      </c>
      <c r="I143" s="17">
        <f ca="1">DATE(YEAR(TODAY())-1,5,13)</f>
        <v>44329</v>
      </c>
      <c r="J143" s="17">
        <f ca="1">DATE(YEAR(TODAY())-1,5,17)</f>
        <v>44333</v>
      </c>
      <c r="K143" s="1" t="s">
        <v>16</v>
      </c>
      <c r="L143" s="1" t="s">
        <v>34</v>
      </c>
      <c r="M143" s="1">
        <v>813</v>
      </c>
      <c r="N143" s="1" cm="1">
        <f t="array" ref="N143">_xlfn.RANK.EQ(M143,total_money_spent)</f>
        <v>260</v>
      </c>
      <c r="O143" s="1">
        <f t="shared" ca="1" si="2"/>
        <v>4</v>
      </c>
    </row>
    <row r="144" spans="1:15" ht="13.8" x14ac:dyDescent="0.25">
      <c r="A144" s="1" t="s">
        <v>301</v>
      </c>
      <c r="B144" s="1" t="s">
        <v>295</v>
      </c>
      <c r="C144" s="1" t="s">
        <v>101</v>
      </c>
      <c r="D144" s="1" t="s">
        <v>102</v>
      </c>
      <c r="E144" s="1" t="s">
        <v>296</v>
      </c>
      <c r="F144" s="1" t="s">
        <v>297</v>
      </c>
      <c r="G144" s="1">
        <v>3005</v>
      </c>
      <c r="H144" s="1" t="s">
        <v>203</v>
      </c>
      <c r="I144" s="17">
        <f ca="1">DATE(YEAR(TODAY())-2,12,29)</f>
        <v>44194</v>
      </c>
      <c r="J144" s="17">
        <f ca="1">DATE(YEAR(TODAY())-1,1,1)</f>
        <v>44197</v>
      </c>
      <c r="K144" s="1" t="s">
        <v>25</v>
      </c>
      <c r="L144" s="1" t="s">
        <v>25</v>
      </c>
      <c r="M144" s="1">
        <v>793</v>
      </c>
      <c r="N144" s="1" cm="1">
        <f t="array" ref="N144">_xlfn.RANK.EQ(M144,total_money_spent)</f>
        <v>313</v>
      </c>
      <c r="O144" s="1">
        <f t="shared" ca="1" si="2"/>
        <v>3</v>
      </c>
    </row>
    <row r="145" spans="1:15" ht="13.8" x14ac:dyDescent="0.25">
      <c r="A145" s="1" t="s">
        <v>904</v>
      </c>
      <c r="B145" s="1" t="s">
        <v>901</v>
      </c>
      <c r="C145" s="1" t="s">
        <v>197</v>
      </c>
      <c r="D145" s="1" t="s">
        <v>198</v>
      </c>
      <c r="E145" s="1" t="s">
        <v>902</v>
      </c>
      <c r="F145" s="1" t="s">
        <v>903</v>
      </c>
      <c r="G145" s="1">
        <v>2010</v>
      </c>
      <c r="H145" s="1" t="s">
        <v>44</v>
      </c>
      <c r="I145" s="17">
        <f ca="1">DATE(YEAR(TODAY())-1,9,22)</f>
        <v>44461</v>
      </c>
      <c r="J145" s="17">
        <f ca="1">DATE(YEAR(TODAY())-1,9,27)</f>
        <v>44466</v>
      </c>
      <c r="K145" s="1" t="s">
        <v>87</v>
      </c>
      <c r="L145" s="1" t="s">
        <v>73</v>
      </c>
      <c r="M145" s="1">
        <v>904</v>
      </c>
      <c r="N145" s="1" cm="1">
        <f t="array" ref="N145">_xlfn.RANK.EQ(M145,total_money_spent)</f>
        <v>143</v>
      </c>
      <c r="O145" s="1">
        <f t="shared" ca="1" si="2"/>
        <v>5</v>
      </c>
    </row>
    <row r="146" spans="1:15" ht="13.8" x14ac:dyDescent="0.25">
      <c r="A146" s="1" t="s">
        <v>593</v>
      </c>
      <c r="B146" s="1" t="s">
        <v>590</v>
      </c>
      <c r="C146" s="1" t="s">
        <v>166</v>
      </c>
      <c r="D146" s="1" t="s">
        <v>166</v>
      </c>
      <c r="F146" s="1" t="s">
        <v>592</v>
      </c>
      <c r="G146" s="1">
        <v>2005</v>
      </c>
      <c r="H146" s="1" t="s">
        <v>24</v>
      </c>
      <c r="I146" s="17">
        <f ca="1">DATE(YEAR(TODAY())-1,1,13)</f>
        <v>44209</v>
      </c>
      <c r="J146" s="17">
        <f ca="1">DATE(YEAR(TODAY())-1,1,18)</f>
        <v>44214</v>
      </c>
      <c r="K146" s="1" t="s">
        <v>143</v>
      </c>
      <c r="L146" s="1" t="s">
        <v>25</v>
      </c>
      <c r="M146" s="1">
        <v>856</v>
      </c>
      <c r="N146" s="1" cm="1">
        <f t="array" ref="N146">_xlfn.RANK.EQ(M146,total_money_spent)</f>
        <v>201</v>
      </c>
      <c r="O146" s="1">
        <f t="shared" ca="1" si="2"/>
        <v>5</v>
      </c>
    </row>
    <row r="147" spans="1:15" ht="13.8" x14ac:dyDescent="0.25">
      <c r="A147" s="1" t="s">
        <v>428</v>
      </c>
      <c r="B147" s="1" t="s">
        <v>423</v>
      </c>
      <c r="C147" s="1" t="s">
        <v>101</v>
      </c>
      <c r="D147" s="1" t="s">
        <v>102</v>
      </c>
      <c r="E147" s="1" t="s">
        <v>424</v>
      </c>
      <c r="F147" s="1" t="s">
        <v>425</v>
      </c>
      <c r="G147" s="1" t="s">
        <v>60</v>
      </c>
      <c r="H147" s="1" t="s">
        <v>32</v>
      </c>
      <c r="I147" s="17">
        <f ca="1">DATE(YEAR(TODAY())-1,2,24)</f>
        <v>44251</v>
      </c>
      <c r="J147" s="17">
        <f ca="1">DATE(YEAR(TODAY())-1,2,25)</f>
        <v>44252</v>
      </c>
      <c r="K147" s="1" t="s">
        <v>87</v>
      </c>
      <c r="L147" s="1" t="s">
        <v>73</v>
      </c>
      <c r="M147" s="1">
        <v>679</v>
      </c>
      <c r="N147" s="1" cm="1">
        <f t="array" ref="N147">_xlfn.RANK.EQ(M147,total_money_spent)</f>
        <v>504</v>
      </c>
      <c r="O147" s="1">
        <f t="shared" ca="1" si="2"/>
        <v>1</v>
      </c>
    </row>
    <row r="148" spans="1:15" ht="13.8" x14ac:dyDescent="0.25">
      <c r="A148" s="1" t="s">
        <v>936</v>
      </c>
      <c r="B148" s="1" t="s">
        <v>933</v>
      </c>
      <c r="C148" s="1" t="s">
        <v>523</v>
      </c>
      <c r="D148" s="1" t="s">
        <v>158</v>
      </c>
      <c r="E148" s="1" t="s">
        <v>934</v>
      </c>
      <c r="F148" s="1" t="s">
        <v>935</v>
      </c>
      <c r="G148" s="1" t="s">
        <v>115</v>
      </c>
      <c r="H148" s="1" t="s">
        <v>32</v>
      </c>
      <c r="I148" s="17">
        <f ca="1">DATE(YEAR(TODAY())-2,10,26)</f>
        <v>44130</v>
      </c>
      <c r="J148" s="17">
        <f ca="1">DATE(YEAR(TODAY())-2,11,1)</f>
        <v>44136</v>
      </c>
      <c r="K148" s="1" t="s">
        <v>25</v>
      </c>
      <c r="L148" s="1" t="s">
        <v>25</v>
      </c>
      <c r="M148" s="1">
        <v>833</v>
      </c>
      <c r="N148" s="1" cm="1">
        <f t="array" ref="N148">_xlfn.RANK.EQ(M148,total_money_spent)</f>
        <v>247</v>
      </c>
      <c r="O148" s="1">
        <f t="shared" ca="1" si="2"/>
        <v>6</v>
      </c>
    </row>
    <row r="149" spans="1:15" ht="13.8" x14ac:dyDescent="0.25">
      <c r="A149" s="1" t="s">
        <v>723</v>
      </c>
      <c r="B149" s="1" t="s">
        <v>724</v>
      </c>
      <c r="C149" s="1" t="s">
        <v>250</v>
      </c>
      <c r="D149" s="1" t="s">
        <v>53</v>
      </c>
      <c r="E149" s="1" t="s">
        <v>725</v>
      </c>
      <c r="F149" s="1" t="s">
        <v>726</v>
      </c>
      <c r="G149" s="1">
        <v>3003</v>
      </c>
      <c r="H149" s="1" t="s">
        <v>81</v>
      </c>
      <c r="I149" s="17">
        <f ca="1">DATE(YEAR(TODAY())-1,8,13)</f>
        <v>44421</v>
      </c>
      <c r="J149" s="17">
        <f ca="1">DATE(YEAR(TODAY())-1,8,20)</f>
        <v>44428</v>
      </c>
      <c r="K149" s="1" t="s">
        <v>87</v>
      </c>
      <c r="L149" s="1" t="s">
        <v>73</v>
      </c>
      <c r="M149" s="1">
        <v>1100</v>
      </c>
      <c r="N149" s="1" cm="1">
        <f t="array" ref="N149">_xlfn.RANK.EQ(M149,total_money_spent)</f>
        <v>22</v>
      </c>
      <c r="O149" s="1">
        <f t="shared" ca="1" si="2"/>
        <v>7</v>
      </c>
    </row>
    <row r="150" spans="1:15" ht="13.8" x14ac:dyDescent="0.25">
      <c r="A150" s="1" t="s">
        <v>1178</v>
      </c>
      <c r="B150" s="1" t="s">
        <v>1179</v>
      </c>
      <c r="C150" s="1" t="s">
        <v>270</v>
      </c>
      <c r="D150" s="1" t="s">
        <v>271</v>
      </c>
      <c r="E150" s="1" t="s">
        <v>1180</v>
      </c>
      <c r="F150" s="1" t="s">
        <v>1181</v>
      </c>
      <c r="G150" s="1">
        <v>2003</v>
      </c>
      <c r="H150" s="1" t="s">
        <v>24</v>
      </c>
      <c r="I150" s="17">
        <f ca="1">DATE(YEAR(TODAY())-1,3,29)</f>
        <v>44284</v>
      </c>
      <c r="J150" s="17">
        <f ca="1">DATE(YEAR(TODAY())-1,4,6)</f>
        <v>44292</v>
      </c>
      <c r="K150" s="1" t="s">
        <v>72</v>
      </c>
      <c r="L150" s="1" t="s">
        <v>73</v>
      </c>
      <c r="M150" s="1">
        <v>1072</v>
      </c>
      <c r="N150" s="1" cm="1">
        <f t="array" ref="N150">_xlfn.RANK.EQ(M150,total_money_spent)</f>
        <v>29</v>
      </c>
      <c r="O150" s="1">
        <f t="shared" ca="1" si="2"/>
        <v>8</v>
      </c>
    </row>
    <row r="151" spans="1:15" ht="13.8" x14ac:dyDescent="0.25">
      <c r="A151" s="1" t="s">
        <v>269</v>
      </c>
      <c r="B151" s="1" t="s">
        <v>265</v>
      </c>
      <c r="C151" s="1" t="s">
        <v>270</v>
      </c>
      <c r="D151" s="1" t="s">
        <v>271</v>
      </c>
      <c r="E151" s="1" t="s">
        <v>266</v>
      </c>
      <c r="F151" s="1" t="s">
        <v>267</v>
      </c>
      <c r="G151" s="1">
        <v>3002</v>
      </c>
      <c r="H151" s="1" t="s">
        <v>81</v>
      </c>
      <c r="I151" s="17">
        <f ca="1">DATE(YEAR(TODAY())-1,8,16)</f>
        <v>44424</v>
      </c>
      <c r="J151" s="17">
        <f ca="1">DATE(YEAR(TODAY())-1,8,21)</f>
        <v>44429</v>
      </c>
      <c r="K151" s="1" t="s">
        <v>72</v>
      </c>
      <c r="L151" s="1" t="s">
        <v>73</v>
      </c>
      <c r="M151" s="1">
        <v>896</v>
      </c>
      <c r="N151" s="1" cm="1">
        <f t="array" ref="N151">_xlfn.RANK.EQ(M151,total_money_spent)</f>
        <v>161</v>
      </c>
      <c r="O151" s="1">
        <f t="shared" ca="1" si="2"/>
        <v>5</v>
      </c>
    </row>
    <row r="152" spans="1:15" ht="13.8" x14ac:dyDescent="0.25">
      <c r="A152" s="1" t="s">
        <v>1021</v>
      </c>
      <c r="B152" s="1" t="s">
        <v>1022</v>
      </c>
      <c r="C152" s="1" t="s">
        <v>177</v>
      </c>
      <c r="D152" s="1" t="s">
        <v>178</v>
      </c>
      <c r="F152" s="1" t="s">
        <v>1023</v>
      </c>
      <c r="G152" s="1">
        <v>2001</v>
      </c>
      <c r="H152" s="1" t="s">
        <v>24</v>
      </c>
      <c r="I152" s="17">
        <f ca="1">DATE(YEAR(TODAY())-1,9,18)</f>
        <v>44457</v>
      </c>
      <c r="J152" s="17">
        <f ca="1">DATE(YEAR(TODAY())-1,9,20)</f>
        <v>44459</v>
      </c>
      <c r="K152" s="1" t="s">
        <v>34</v>
      </c>
      <c r="L152" s="1" t="s">
        <v>34</v>
      </c>
      <c r="M152" s="1">
        <v>723</v>
      </c>
      <c r="N152" s="1" cm="1">
        <f t="array" ref="N152">_xlfn.RANK.EQ(M152,total_money_spent)</f>
        <v>458</v>
      </c>
      <c r="O152" s="1">
        <f t="shared" ca="1" si="2"/>
        <v>2</v>
      </c>
    </row>
    <row r="153" spans="1:15" ht="13.8" x14ac:dyDescent="0.25">
      <c r="A153" s="1" t="s">
        <v>307</v>
      </c>
      <c r="B153" s="1" t="s">
        <v>308</v>
      </c>
      <c r="C153" s="1" t="s">
        <v>101</v>
      </c>
      <c r="D153" s="1" t="s">
        <v>102</v>
      </c>
      <c r="E153" s="1" t="s">
        <v>309</v>
      </c>
      <c r="F153" s="1" t="s">
        <v>310</v>
      </c>
      <c r="G153" s="1">
        <v>2010</v>
      </c>
      <c r="H153" s="1" t="s">
        <v>44</v>
      </c>
      <c r="I153" s="17">
        <f ca="1">DATE(YEAR(TODAY())-1,5,30)</f>
        <v>44346</v>
      </c>
      <c r="J153" s="17">
        <f ca="1">DATE(YEAR(TODAY())-1,6,5)</f>
        <v>44352</v>
      </c>
      <c r="K153" s="1" t="s">
        <v>82</v>
      </c>
      <c r="L153" s="1" t="s">
        <v>34</v>
      </c>
      <c r="M153" s="1">
        <v>976</v>
      </c>
      <c r="N153" s="1" cm="1">
        <f t="array" ref="N153">_xlfn.RANK.EQ(M153,total_money_spent)</f>
        <v>68</v>
      </c>
      <c r="O153" s="1">
        <f t="shared" ca="1" si="2"/>
        <v>6</v>
      </c>
    </row>
    <row r="154" spans="1:15" ht="13.8" x14ac:dyDescent="0.25">
      <c r="A154" s="1" t="s">
        <v>268</v>
      </c>
      <c r="B154" s="1" t="s">
        <v>265</v>
      </c>
      <c r="C154" s="1" t="s">
        <v>152</v>
      </c>
      <c r="D154" s="1" t="s">
        <v>153</v>
      </c>
      <c r="E154" s="1" t="s">
        <v>266</v>
      </c>
      <c r="F154" s="1" t="s">
        <v>267</v>
      </c>
      <c r="G154" s="1">
        <v>2004</v>
      </c>
      <c r="H154" s="1" t="s">
        <v>24</v>
      </c>
      <c r="I154" s="17">
        <f ca="1">DATE(YEAR(TODAY())-1,2,21)</f>
        <v>44248</v>
      </c>
      <c r="J154" s="17">
        <f ca="1">DATE(YEAR(TODAY())-1,2,24)</f>
        <v>44251</v>
      </c>
      <c r="K154" s="1" t="s">
        <v>25</v>
      </c>
      <c r="L154" s="1" t="s">
        <v>25</v>
      </c>
      <c r="M154" s="1">
        <v>761</v>
      </c>
      <c r="N154" s="1" cm="1">
        <f t="array" ref="N154">_xlfn.RANK.EQ(M154,total_money_spent)</f>
        <v>394</v>
      </c>
      <c r="O154" s="1">
        <f t="shared" ca="1" si="2"/>
        <v>3</v>
      </c>
    </row>
    <row r="155" spans="1:15" ht="13.8" x14ac:dyDescent="0.25">
      <c r="A155" s="1" t="s">
        <v>1348</v>
      </c>
      <c r="B155" s="1" t="s">
        <v>1345</v>
      </c>
      <c r="C155" s="1" t="s">
        <v>118</v>
      </c>
      <c r="D155" s="1" t="s">
        <v>119</v>
      </c>
      <c r="E155" s="1" t="s">
        <v>1346</v>
      </c>
      <c r="F155" s="1" t="s">
        <v>1347</v>
      </c>
      <c r="G155" s="1">
        <v>2005</v>
      </c>
      <c r="H155" s="1" t="s">
        <v>24</v>
      </c>
      <c r="I155" s="17">
        <f ca="1">DATE(YEAR(TODAY())-1,1,28)</f>
        <v>44224</v>
      </c>
      <c r="J155" s="17">
        <f ca="1">DATE(YEAR(TODAY())-1,2,1)</f>
        <v>44228</v>
      </c>
      <c r="K155" s="1" t="s">
        <v>82</v>
      </c>
      <c r="L155" s="1" t="s">
        <v>34</v>
      </c>
      <c r="M155" s="1">
        <v>806</v>
      </c>
      <c r="N155" s="1" cm="1">
        <f t="array" ref="N155">_xlfn.RANK.EQ(M155,total_money_spent)</f>
        <v>274</v>
      </c>
      <c r="O155" s="1">
        <f t="shared" ca="1" si="2"/>
        <v>4</v>
      </c>
    </row>
    <row r="156" spans="1:15" ht="13.8" x14ac:dyDescent="0.25">
      <c r="A156" s="1" t="s">
        <v>1249</v>
      </c>
      <c r="B156" s="1" t="s">
        <v>1245</v>
      </c>
      <c r="C156" s="1" t="s">
        <v>177</v>
      </c>
      <c r="D156" s="1" t="s">
        <v>178</v>
      </c>
      <c r="E156" s="1" t="s">
        <v>1246</v>
      </c>
      <c r="F156" s="1" t="s">
        <v>1247</v>
      </c>
      <c r="G156" s="1" t="s">
        <v>122</v>
      </c>
      <c r="H156" s="1" t="s">
        <v>32</v>
      </c>
      <c r="I156" s="17">
        <f ca="1">DATE(YEAR(TODAY())-1,7,24)</f>
        <v>44401</v>
      </c>
      <c r="J156" s="17">
        <f ca="1">DATE(YEAR(TODAY())-1,7,30)</f>
        <v>44407</v>
      </c>
      <c r="K156" s="1" t="s">
        <v>82</v>
      </c>
      <c r="L156" s="1" t="s">
        <v>34</v>
      </c>
      <c r="M156" s="1">
        <v>854</v>
      </c>
      <c r="N156" s="1" cm="1">
        <f t="array" ref="N156">_xlfn.RANK.EQ(M156,total_money_spent)</f>
        <v>205</v>
      </c>
      <c r="O156" s="1">
        <f t="shared" ca="1" si="2"/>
        <v>6</v>
      </c>
    </row>
    <row r="157" spans="1:15" ht="13.8" x14ac:dyDescent="0.25">
      <c r="A157" s="1" t="s">
        <v>1250</v>
      </c>
      <c r="B157" s="1" t="s">
        <v>1251</v>
      </c>
      <c r="C157" s="1" t="s">
        <v>1252</v>
      </c>
      <c r="D157" s="1" t="s">
        <v>618</v>
      </c>
      <c r="E157" s="1" t="s">
        <v>1253</v>
      </c>
      <c r="F157" s="1" t="s">
        <v>1254</v>
      </c>
      <c r="G157" s="1">
        <v>2006</v>
      </c>
      <c r="H157" s="1" t="s">
        <v>24</v>
      </c>
      <c r="I157" s="17">
        <f ca="1">DATE(YEAR(TODAY())-1,1,16)</f>
        <v>44212</v>
      </c>
      <c r="J157" s="17">
        <f ca="1">DATE(YEAR(TODAY())-1,1,20)</f>
        <v>44216</v>
      </c>
      <c r="K157" s="1" t="s">
        <v>136</v>
      </c>
      <c r="L157" s="1" t="s">
        <v>137</v>
      </c>
      <c r="M157" s="1">
        <v>795</v>
      </c>
      <c r="N157" s="1" cm="1">
        <f t="array" ref="N157">_xlfn.RANK.EQ(M157,total_money_spent)</f>
        <v>307</v>
      </c>
      <c r="O157" s="1">
        <f t="shared" ca="1" si="2"/>
        <v>4</v>
      </c>
    </row>
    <row r="158" spans="1:15" ht="13.8" x14ac:dyDescent="0.25">
      <c r="A158" s="1" t="s">
        <v>123</v>
      </c>
      <c r="B158" s="1" t="s">
        <v>124</v>
      </c>
      <c r="C158" s="1" t="s">
        <v>125</v>
      </c>
      <c r="D158" s="1" t="s">
        <v>126</v>
      </c>
      <c r="E158" s="1" t="s">
        <v>127</v>
      </c>
      <c r="F158" s="1" t="s">
        <v>128</v>
      </c>
      <c r="G158" s="1" t="s">
        <v>31</v>
      </c>
      <c r="H158" s="1" t="s">
        <v>32</v>
      </c>
      <c r="I158" s="17">
        <f ca="1">DATE(YEAR(TODAY())-1,9,21)</f>
        <v>44460</v>
      </c>
      <c r="J158" s="17">
        <f ca="1">DATE(YEAR(TODAY())-1,9,24)</f>
        <v>44463</v>
      </c>
      <c r="K158" s="1" t="s">
        <v>33</v>
      </c>
      <c r="L158" s="1" t="s">
        <v>34</v>
      </c>
      <c r="M158" s="1">
        <v>735</v>
      </c>
      <c r="N158" s="1" cm="1">
        <f t="array" ref="N158">_xlfn.RANK.EQ(M158,total_money_spent)</f>
        <v>442</v>
      </c>
      <c r="O158" s="1">
        <f t="shared" ca="1" si="2"/>
        <v>3</v>
      </c>
    </row>
    <row r="159" spans="1:15" ht="13.8" x14ac:dyDescent="0.25">
      <c r="A159" s="1" t="s">
        <v>1280</v>
      </c>
      <c r="B159" s="1" t="s">
        <v>1276</v>
      </c>
      <c r="C159" s="1" t="s">
        <v>57</v>
      </c>
      <c r="D159" s="1" t="s">
        <v>57</v>
      </c>
      <c r="E159" s="1" t="s">
        <v>1277</v>
      </c>
      <c r="F159" s="1" t="s">
        <v>1278</v>
      </c>
      <c r="G159" s="1" t="s">
        <v>31</v>
      </c>
      <c r="H159" s="1" t="s">
        <v>32</v>
      </c>
      <c r="I159" s="17">
        <f ca="1">DATE(YEAR(TODAY())-1,2,14)</f>
        <v>44241</v>
      </c>
      <c r="J159" s="17">
        <f ca="1">DATE(YEAR(TODAY())-1,2,18)</f>
        <v>44245</v>
      </c>
      <c r="K159" s="1" t="s">
        <v>87</v>
      </c>
      <c r="L159" s="1" t="s">
        <v>73</v>
      </c>
      <c r="M159" s="1">
        <v>773</v>
      </c>
      <c r="N159" s="1" cm="1">
        <f t="array" ref="N159">_xlfn.RANK.EQ(M159,total_money_spent)</f>
        <v>369</v>
      </c>
      <c r="O159" s="1">
        <f t="shared" ca="1" si="2"/>
        <v>4</v>
      </c>
    </row>
    <row r="160" spans="1:15" ht="13.8" x14ac:dyDescent="0.25">
      <c r="A160" s="1" t="s">
        <v>1217</v>
      </c>
      <c r="B160" s="1" t="s">
        <v>1213</v>
      </c>
      <c r="C160" s="1" t="s">
        <v>166</v>
      </c>
      <c r="D160" s="1" t="s">
        <v>166</v>
      </c>
      <c r="E160" s="1" t="s">
        <v>1214</v>
      </c>
      <c r="F160" s="1" t="s">
        <v>1215</v>
      </c>
      <c r="G160" s="1">
        <v>3005</v>
      </c>
      <c r="H160" s="1" t="s">
        <v>203</v>
      </c>
      <c r="I160" s="17">
        <f ca="1">DATE(YEAR(TODAY())-1,5,7)</f>
        <v>44323</v>
      </c>
      <c r="J160" s="17">
        <f ca="1">DATE(YEAR(TODAY())-1,5,13)</f>
        <v>44329</v>
      </c>
      <c r="K160" s="1" t="s">
        <v>33</v>
      </c>
      <c r="L160" s="1" t="s">
        <v>34</v>
      </c>
      <c r="M160" s="1">
        <v>1064</v>
      </c>
      <c r="N160" s="1" cm="1">
        <f t="array" ref="N160">_xlfn.RANK.EQ(M160,total_money_spent)</f>
        <v>41</v>
      </c>
      <c r="O160" s="1">
        <f t="shared" ca="1" si="2"/>
        <v>6</v>
      </c>
    </row>
    <row r="161" spans="1:15" ht="13.8" x14ac:dyDescent="0.25">
      <c r="A161" s="1" t="s">
        <v>1081</v>
      </c>
      <c r="B161" s="1" t="s">
        <v>1079</v>
      </c>
      <c r="C161" s="1" t="s">
        <v>270</v>
      </c>
      <c r="D161" s="1" t="s">
        <v>271</v>
      </c>
      <c r="E161" s="1" t="s">
        <v>1082</v>
      </c>
      <c r="F161" s="1" t="s">
        <v>1080</v>
      </c>
      <c r="G161" s="1">
        <v>2009</v>
      </c>
      <c r="H161" s="1" t="s">
        <v>44</v>
      </c>
      <c r="I161" s="17">
        <f ca="1">DATE(YEAR(TODAY())-1,4,19)</f>
        <v>44305</v>
      </c>
      <c r="J161" s="17">
        <f ca="1">DATE(YEAR(TODAY())-1,4,24)</f>
        <v>44310</v>
      </c>
      <c r="K161" s="1" t="s">
        <v>25</v>
      </c>
      <c r="L161" s="1" t="s">
        <v>25</v>
      </c>
      <c r="M161" s="1">
        <v>910</v>
      </c>
      <c r="N161" s="1" cm="1">
        <f t="array" ref="N161">_xlfn.RANK.EQ(M161,total_money_spent)</f>
        <v>125</v>
      </c>
      <c r="O161" s="1">
        <f t="shared" ca="1" si="2"/>
        <v>5</v>
      </c>
    </row>
    <row r="162" spans="1:15" ht="13.8" x14ac:dyDescent="0.25">
      <c r="A162" s="1" t="s">
        <v>163</v>
      </c>
      <c r="B162" s="1" t="s">
        <v>164</v>
      </c>
      <c r="C162" s="1" t="s">
        <v>165</v>
      </c>
      <c r="D162" s="1" t="s">
        <v>166</v>
      </c>
      <c r="E162" s="1" t="s">
        <v>167</v>
      </c>
      <c r="F162" s="1" t="s">
        <v>168</v>
      </c>
      <c r="G162" s="1" t="s">
        <v>122</v>
      </c>
      <c r="H162" s="1" t="s">
        <v>32</v>
      </c>
      <c r="I162" s="17">
        <f ca="1">DATE(YEAR(TODAY())-1,1,3)</f>
        <v>44199</v>
      </c>
      <c r="J162" s="17">
        <f ca="1">DATE(YEAR(TODAY())-1,1,6)</f>
        <v>44202</v>
      </c>
      <c r="K162" s="1" t="s">
        <v>33</v>
      </c>
      <c r="L162" s="1" t="s">
        <v>34</v>
      </c>
      <c r="M162" s="1">
        <v>739</v>
      </c>
      <c r="N162" s="1" cm="1">
        <f t="array" ref="N162">_xlfn.RANK.EQ(M162,total_money_spent)</f>
        <v>430</v>
      </c>
      <c r="O162" s="1">
        <f t="shared" ca="1" si="2"/>
        <v>3</v>
      </c>
    </row>
    <row r="163" spans="1:15" ht="13.8" x14ac:dyDescent="0.25">
      <c r="A163" s="1" t="s">
        <v>1166</v>
      </c>
      <c r="B163" s="1" t="s">
        <v>1167</v>
      </c>
      <c r="C163" s="1" t="s">
        <v>125</v>
      </c>
      <c r="D163" s="1" t="s">
        <v>126</v>
      </c>
      <c r="E163" s="1" t="s">
        <v>1168</v>
      </c>
      <c r="F163" s="1" t="s">
        <v>1169</v>
      </c>
      <c r="G163" s="1">
        <v>2003</v>
      </c>
      <c r="H163" s="1" t="s">
        <v>24</v>
      </c>
      <c r="I163" s="17">
        <f ca="1">DATE(YEAR(TODAY())-1,1,18)</f>
        <v>44214</v>
      </c>
      <c r="J163" s="17">
        <f ca="1">DATE(YEAR(TODAY())-1,1,23)</f>
        <v>44219</v>
      </c>
      <c r="K163" s="1" t="s">
        <v>87</v>
      </c>
      <c r="L163" s="1" t="s">
        <v>73</v>
      </c>
      <c r="M163" s="1">
        <v>852</v>
      </c>
      <c r="N163" s="1" cm="1">
        <f t="array" ref="N163">_xlfn.RANK.EQ(M163,total_money_spent)</f>
        <v>210</v>
      </c>
      <c r="O163" s="1">
        <f t="shared" ca="1" si="2"/>
        <v>5</v>
      </c>
    </row>
    <row r="164" spans="1:15" ht="13.8" x14ac:dyDescent="0.25">
      <c r="A164" s="1" t="s">
        <v>804</v>
      </c>
      <c r="B164" s="1" t="s">
        <v>800</v>
      </c>
      <c r="C164" s="1" t="s">
        <v>270</v>
      </c>
      <c r="D164" s="1" t="s">
        <v>271</v>
      </c>
      <c r="E164" s="1" t="s">
        <v>801</v>
      </c>
      <c r="F164" s="1" t="s">
        <v>802</v>
      </c>
      <c r="G164" s="1" t="s">
        <v>122</v>
      </c>
      <c r="H164" s="1" t="s">
        <v>32</v>
      </c>
      <c r="I164" s="17">
        <f ca="1">DATE(YEAR(TODAY())-1,2,9)</f>
        <v>44236</v>
      </c>
      <c r="J164" s="17">
        <f ca="1">DATE(YEAR(TODAY())-1,2,12)</f>
        <v>44239</v>
      </c>
      <c r="K164" s="1" t="s">
        <v>87</v>
      </c>
      <c r="L164" s="1" t="s">
        <v>73</v>
      </c>
      <c r="M164" s="1">
        <v>725</v>
      </c>
      <c r="N164" s="1" cm="1">
        <f t="array" ref="N164">_xlfn.RANK.EQ(M164,total_money_spent)</f>
        <v>455</v>
      </c>
      <c r="O164" s="1">
        <f t="shared" ca="1" si="2"/>
        <v>3</v>
      </c>
    </row>
    <row r="165" spans="1:15" ht="13.8" x14ac:dyDescent="0.25">
      <c r="A165" s="1" t="s">
        <v>357</v>
      </c>
      <c r="B165" s="1" t="s">
        <v>358</v>
      </c>
      <c r="C165" s="1" t="s">
        <v>52</v>
      </c>
      <c r="D165" s="1" t="s">
        <v>53</v>
      </c>
      <c r="E165" s="1" t="s">
        <v>359</v>
      </c>
      <c r="F165" s="1" t="s">
        <v>360</v>
      </c>
      <c r="G165" s="1">
        <v>3005</v>
      </c>
      <c r="H165" s="1" t="s">
        <v>203</v>
      </c>
      <c r="I165" s="17">
        <f ca="1">DATE(YEAR(TODAY())-2,11,15)</f>
        <v>44150</v>
      </c>
      <c r="J165" s="17">
        <f ca="1">DATE(YEAR(TODAY())-2,11,16)</f>
        <v>44151</v>
      </c>
      <c r="K165" s="1" t="s">
        <v>61</v>
      </c>
      <c r="L165" s="1" t="s">
        <v>34</v>
      </c>
      <c r="M165" s="1">
        <v>667</v>
      </c>
      <c r="N165" s="1" cm="1">
        <f t="array" ref="N165">_xlfn.RANK.EQ(M165,total_money_spent)</f>
        <v>529</v>
      </c>
      <c r="O165" s="1">
        <f t="shared" ca="1" si="2"/>
        <v>1</v>
      </c>
    </row>
    <row r="166" spans="1:15" ht="13.8" x14ac:dyDescent="0.25">
      <c r="A166" s="1" t="s">
        <v>1344</v>
      </c>
      <c r="B166" s="1" t="s">
        <v>1345</v>
      </c>
      <c r="C166" s="1" t="s">
        <v>165</v>
      </c>
      <c r="D166" s="1" t="s">
        <v>166</v>
      </c>
      <c r="E166" s="1" t="s">
        <v>1346</v>
      </c>
      <c r="F166" s="1" t="s">
        <v>1347</v>
      </c>
      <c r="G166" s="1">
        <v>2002</v>
      </c>
      <c r="H166" s="1" t="s">
        <v>24</v>
      </c>
      <c r="I166" s="17">
        <f ca="1">DATE(YEAR(TODAY())-1,2,9)</f>
        <v>44236</v>
      </c>
      <c r="J166" s="17">
        <f ca="1">DATE(YEAR(TODAY())-1,2,12)</f>
        <v>44239</v>
      </c>
      <c r="K166" s="1" t="s">
        <v>16</v>
      </c>
      <c r="L166" s="1" t="s">
        <v>34</v>
      </c>
      <c r="M166" s="1">
        <v>767</v>
      </c>
      <c r="N166" s="1" cm="1">
        <f t="array" ref="N166">_xlfn.RANK.EQ(M166,total_money_spent)</f>
        <v>382</v>
      </c>
      <c r="O166" s="1">
        <f t="shared" ca="1" si="2"/>
        <v>3</v>
      </c>
    </row>
    <row r="167" spans="1:15" ht="13.8" x14ac:dyDescent="0.25">
      <c r="A167" s="1" t="s">
        <v>415</v>
      </c>
      <c r="B167" s="1" t="s">
        <v>416</v>
      </c>
      <c r="C167" s="1" t="s">
        <v>37</v>
      </c>
      <c r="D167" s="1" t="s">
        <v>38</v>
      </c>
      <c r="E167" s="1" t="s">
        <v>417</v>
      </c>
      <c r="F167" s="1" t="s">
        <v>418</v>
      </c>
      <c r="G167" s="1">
        <v>2001</v>
      </c>
      <c r="H167" s="1" t="s">
        <v>24</v>
      </c>
      <c r="I167" s="17">
        <f ca="1">DATE(YEAR(TODAY())-1,1,15)</f>
        <v>44211</v>
      </c>
      <c r="J167" s="17">
        <f ca="1">DATE(YEAR(TODAY())-1,1,18)</f>
        <v>44214</v>
      </c>
      <c r="K167" s="1" t="s">
        <v>25</v>
      </c>
      <c r="L167" s="1" t="s">
        <v>25</v>
      </c>
      <c r="M167" s="1">
        <v>774</v>
      </c>
      <c r="N167" s="1" cm="1">
        <f t="array" ref="N167">_xlfn.RANK.EQ(M167,total_money_spent)</f>
        <v>366</v>
      </c>
      <c r="O167" s="1">
        <f t="shared" ca="1" si="2"/>
        <v>3</v>
      </c>
    </row>
    <row r="168" spans="1:15" ht="13.8" x14ac:dyDescent="0.25">
      <c r="A168" s="1" t="s">
        <v>918</v>
      </c>
      <c r="B168" s="1" t="s">
        <v>913</v>
      </c>
      <c r="C168" s="1" t="s">
        <v>64</v>
      </c>
      <c r="D168" s="1" t="s">
        <v>65</v>
      </c>
      <c r="E168" s="1" t="s">
        <v>914</v>
      </c>
      <c r="F168" s="1" t="s">
        <v>915</v>
      </c>
      <c r="G168" s="1">
        <v>3004</v>
      </c>
      <c r="H168" s="1" t="s">
        <v>203</v>
      </c>
      <c r="I168" s="17">
        <f ca="1">DATE(YEAR(TODAY())-1,5,20)</f>
        <v>44336</v>
      </c>
      <c r="J168" s="17">
        <f ca="1">DATE(YEAR(TODAY())-1,5,27)</f>
        <v>44343</v>
      </c>
      <c r="K168" s="1" t="s">
        <v>82</v>
      </c>
      <c r="L168" s="1" t="s">
        <v>34</v>
      </c>
      <c r="M168" s="1">
        <v>1300</v>
      </c>
      <c r="N168" s="1" cm="1">
        <f t="array" ref="N168">_xlfn.RANK.EQ(M168,total_money_spent)</f>
        <v>7</v>
      </c>
      <c r="O168" s="1">
        <f t="shared" ca="1" si="2"/>
        <v>7</v>
      </c>
    </row>
    <row r="169" spans="1:15" ht="13.8" x14ac:dyDescent="0.25">
      <c r="A169" s="1" t="s">
        <v>717</v>
      </c>
      <c r="B169" s="1" t="s">
        <v>712</v>
      </c>
      <c r="C169" s="1" t="s">
        <v>125</v>
      </c>
      <c r="D169" s="1" t="s">
        <v>126</v>
      </c>
      <c r="E169" s="1" t="s">
        <v>713</v>
      </c>
      <c r="F169" s="1" t="s">
        <v>714</v>
      </c>
      <c r="G169" s="1" t="s">
        <v>226</v>
      </c>
      <c r="H169" s="1" t="s">
        <v>32</v>
      </c>
      <c r="I169" s="17">
        <f ca="1">DATE(YEAR(TODAY())-2,11,10)</f>
        <v>44145</v>
      </c>
      <c r="J169" s="17">
        <f ca="1">DATE(YEAR(TODAY())-2,11,14)</f>
        <v>44149</v>
      </c>
      <c r="K169" s="1" t="s">
        <v>33</v>
      </c>
      <c r="L169" s="1" t="s">
        <v>34</v>
      </c>
      <c r="M169" s="1">
        <v>777</v>
      </c>
      <c r="N169" s="1" cm="1">
        <f t="array" ref="N169">_xlfn.RANK.EQ(M169,total_money_spent)</f>
        <v>354</v>
      </c>
      <c r="O169" s="1">
        <f t="shared" ca="1" si="2"/>
        <v>4</v>
      </c>
    </row>
    <row r="170" spans="1:15" ht="13.8" x14ac:dyDescent="0.25">
      <c r="A170" s="1" t="s">
        <v>606</v>
      </c>
      <c r="B170" s="1" t="s">
        <v>607</v>
      </c>
      <c r="C170" s="1" t="s">
        <v>147</v>
      </c>
      <c r="D170" s="1" t="s">
        <v>147</v>
      </c>
      <c r="E170" s="1" t="s">
        <v>608</v>
      </c>
      <c r="F170" s="1" t="s">
        <v>609</v>
      </c>
      <c r="G170" s="1">
        <v>2008</v>
      </c>
      <c r="H170" s="1" t="s">
        <v>44</v>
      </c>
      <c r="I170" s="17">
        <f ca="1">DATE(YEAR(TODAY())-1,5,30)</f>
        <v>44346</v>
      </c>
      <c r="J170" s="17">
        <f ca="1">DATE(YEAR(TODAY())-1,5,31)</f>
        <v>44347</v>
      </c>
      <c r="K170" s="1" t="s">
        <v>72</v>
      </c>
      <c r="L170" s="1" t="s">
        <v>73</v>
      </c>
      <c r="M170" s="1">
        <v>658</v>
      </c>
      <c r="N170" s="1" cm="1">
        <f t="array" ref="N170">_xlfn.RANK.EQ(M170,total_money_spent)</f>
        <v>565</v>
      </c>
      <c r="O170" s="1">
        <f t="shared" ca="1" si="2"/>
        <v>1</v>
      </c>
    </row>
    <row r="171" spans="1:15" ht="13.8" x14ac:dyDescent="0.25">
      <c r="A171" s="1" t="s">
        <v>1470</v>
      </c>
      <c r="B171" s="1" t="s">
        <v>1471</v>
      </c>
      <c r="C171" s="1" t="s">
        <v>186</v>
      </c>
      <c r="D171" s="1" t="s">
        <v>187</v>
      </c>
      <c r="F171" s="1" t="s">
        <v>1472</v>
      </c>
      <c r="G171" s="1">
        <v>3005</v>
      </c>
      <c r="H171" s="1" t="s">
        <v>203</v>
      </c>
      <c r="I171" s="17">
        <f ca="1">DATE(YEAR(TODAY())-1,3,27)</f>
        <v>44282</v>
      </c>
      <c r="J171" s="17">
        <f ca="1">DATE(YEAR(TODAY())-1,4,3)</f>
        <v>44289</v>
      </c>
      <c r="K171" s="1" t="s">
        <v>25</v>
      </c>
      <c r="L171" s="1" t="s">
        <v>25</v>
      </c>
      <c r="M171" s="1">
        <v>1325</v>
      </c>
      <c r="N171" s="1" cm="1">
        <f t="array" ref="N171">_xlfn.RANK.EQ(M171,total_money_spent)</f>
        <v>6</v>
      </c>
      <c r="O171" s="1">
        <f t="shared" ca="1" si="2"/>
        <v>7</v>
      </c>
    </row>
    <row r="172" spans="1:15" ht="13.8" x14ac:dyDescent="0.25">
      <c r="A172" s="1" t="s">
        <v>1314</v>
      </c>
      <c r="B172" s="1" t="s">
        <v>1315</v>
      </c>
      <c r="C172" s="1" t="s">
        <v>305</v>
      </c>
      <c r="D172" s="1" t="s">
        <v>211</v>
      </c>
      <c r="E172" s="1" t="s">
        <v>1316</v>
      </c>
      <c r="F172" s="1" t="s">
        <v>1317</v>
      </c>
      <c r="G172" s="1">
        <v>3004</v>
      </c>
      <c r="H172" s="1" t="s">
        <v>203</v>
      </c>
      <c r="I172" s="17">
        <f ca="1">DATE(YEAR(TODAY())-1,1,9)</f>
        <v>44205</v>
      </c>
      <c r="J172" s="17">
        <f ca="1">DATE(YEAR(TODAY())-1,1,16)</f>
        <v>44212</v>
      </c>
      <c r="K172" s="1" t="s">
        <v>16</v>
      </c>
      <c r="L172" s="1" t="s">
        <v>34</v>
      </c>
      <c r="M172" s="1">
        <v>1225</v>
      </c>
      <c r="N172" s="1" cm="1">
        <f t="array" ref="N172">_xlfn.RANK.EQ(M172,total_money_spent)</f>
        <v>12</v>
      </c>
      <c r="O172" s="1">
        <f t="shared" ca="1" si="2"/>
        <v>7</v>
      </c>
    </row>
    <row r="173" spans="1:15" ht="13.8" x14ac:dyDescent="0.25">
      <c r="A173" s="1" t="s">
        <v>803</v>
      </c>
      <c r="B173" s="1" t="s">
        <v>800</v>
      </c>
      <c r="C173" s="1" t="s">
        <v>91</v>
      </c>
      <c r="D173" s="1" t="s">
        <v>91</v>
      </c>
      <c r="E173" s="1" t="s">
        <v>801</v>
      </c>
      <c r="F173" s="1" t="s">
        <v>802</v>
      </c>
      <c r="G173" s="1" t="s">
        <v>122</v>
      </c>
      <c r="H173" s="1" t="s">
        <v>32</v>
      </c>
      <c r="I173" s="17">
        <f ca="1">DATE(YEAR(TODAY())-1,8,12)</f>
        <v>44420</v>
      </c>
      <c r="J173" s="17">
        <f ca="1">DATE(YEAR(TODAY())-1,8,16)</f>
        <v>44424</v>
      </c>
      <c r="K173" s="1" t="s">
        <v>143</v>
      </c>
      <c r="L173" s="1" t="s">
        <v>25</v>
      </c>
      <c r="M173" s="1">
        <v>776</v>
      </c>
      <c r="N173" s="1" cm="1">
        <f t="array" ref="N173">_xlfn.RANK.EQ(M173,total_money_spent)</f>
        <v>358</v>
      </c>
      <c r="O173" s="1">
        <f t="shared" ca="1" si="2"/>
        <v>4</v>
      </c>
    </row>
    <row r="174" spans="1:15" ht="13.8" x14ac:dyDescent="0.25">
      <c r="A174" s="1" t="s">
        <v>252</v>
      </c>
      <c r="B174" s="1" t="s">
        <v>253</v>
      </c>
      <c r="C174" s="1" t="s">
        <v>152</v>
      </c>
      <c r="D174" s="1" t="s">
        <v>153</v>
      </c>
      <c r="E174" s="1" t="s">
        <v>254</v>
      </c>
      <c r="F174" s="1" t="s">
        <v>255</v>
      </c>
      <c r="G174" s="1">
        <v>2004</v>
      </c>
      <c r="H174" s="1" t="s">
        <v>24</v>
      </c>
      <c r="I174" s="17">
        <f ca="1">DATE(YEAR(TODAY())-1,8,14)</f>
        <v>44422</v>
      </c>
      <c r="J174" s="17">
        <f ca="1">DATE(YEAR(TODAY())-1,8,15)</f>
        <v>44423</v>
      </c>
      <c r="K174" s="1" t="s">
        <v>82</v>
      </c>
      <c r="L174" s="1" t="s">
        <v>34</v>
      </c>
      <c r="M174" s="1">
        <v>663</v>
      </c>
      <c r="N174" s="1" cm="1">
        <f t="array" ref="N174">_xlfn.RANK.EQ(M174,total_money_spent)</f>
        <v>545</v>
      </c>
      <c r="O174" s="1">
        <f t="shared" ca="1" si="2"/>
        <v>1</v>
      </c>
    </row>
    <row r="175" spans="1:15" ht="13.8" x14ac:dyDescent="0.25">
      <c r="A175" s="1" t="s">
        <v>209</v>
      </c>
      <c r="B175" s="1" t="s">
        <v>205</v>
      </c>
      <c r="C175" s="1" t="s">
        <v>210</v>
      </c>
      <c r="D175" s="1" t="s">
        <v>211</v>
      </c>
      <c r="E175" s="1" t="s">
        <v>207</v>
      </c>
      <c r="F175" s="1" t="s">
        <v>208</v>
      </c>
      <c r="G175" s="1">
        <v>2010</v>
      </c>
      <c r="H175" s="1" t="s">
        <v>44</v>
      </c>
      <c r="I175" s="17">
        <f ca="1">DATE(YEAR(TODAY())-1,5,11)</f>
        <v>44327</v>
      </c>
      <c r="J175" s="17">
        <f ca="1">DATE(YEAR(TODAY())-1,5,14)</f>
        <v>44330</v>
      </c>
      <c r="K175" s="1" t="s">
        <v>72</v>
      </c>
      <c r="L175" s="1" t="s">
        <v>73</v>
      </c>
      <c r="M175" s="1">
        <v>773</v>
      </c>
      <c r="N175" s="1" cm="1">
        <f t="array" ref="N175">_xlfn.RANK.EQ(M175,total_money_spent)</f>
        <v>369</v>
      </c>
      <c r="O175" s="1">
        <f t="shared" ca="1" si="2"/>
        <v>3</v>
      </c>
    </row>
    <row r="176" spans="1:15" ht="13.8" x14ac:dyDescent="0.25">
      <c r="A176" s="1" t="s">
        <v>521</v>
      </c>
      <c r="B176" s="1" t="s">
        <v>522</v>
      </c>
      <c r="C176" s="1" t="s">
        <v>523</v>
      </c>
      <c r="D176" s="1" t="s">
        <v>158</v>
      </c>
      <c r="E176" s="1" t="s">
        <v>524</v>
      </c>
      <c r="F176" s="1" t="s">
        <v>525</v>
      </c>
      <c r="G176" s="1">
        <v>2009</v>
      </c>
      <c r="H176" s="1" t="s">
        <v>44</v>
      </c>
      <c r="I176" s="17">
        <f ca="1">DATE(YEAR(TODAY())-1,9,4)</f>
        <v>44443</v>
      </c>
      <c r="J176" s="17">
        <f ca="1">DATE(YEAR(TODAY())-1,9,10)</f>
        <v>44449</v>
      </c>
      <c r="K176" s="1" t="s">
        <v>136</v>
      </c>
      <c r="L176" s="1" t="s">
        <v>137</v>
      </c>
      <c r="M176" s="1">
        <v>977</v>
      </c>
      <c r="N176" s="1" cm="1">
        <f t="array" ref="N176">_xlfn.RANK.EQ(M176,total_money_spent)</f>
        <v>66</v>
      </c>
      <c r="O176" s="1">
        <f t="shared" ca="1" si="2"/>
        <v>6</v>
      </c>
    </row>
    <row r="177" spans="1:15" ht="13.8" x14ac:dyDescent="0.25">
      <c r="A177" s="1" t="s">
        <v>784</v>
      </c>
      <c r="B177" s="1" t="s">
        <v>785</v>
      </c>
      <c r="C177" s="1" t="s">
        <v>235</v>
      </c>
      <c r="D177" s="1" t="s">
        <v>235</v>
      </c>
      <c r="F177" s="1" t="s">
        <v>786</v>
      </c>
      <c r="G177" s="1">
        <v>2009</v>
      </c>
      <c r="H177" s="1" t="s">
        <v>44</v>
      </c>
      <c r="I177" s="17">
        <f ca="1">DATE(YEAR(TODAY())-2,12,16)</f>
        <v>44181</v>
      </c>
      <c r="J177" s="17">
        <f ca="1">DATE(YEAR(TODAY())-2,12,21)</f>
        <v>44186</v>
      </c>
      <c r="K177" s="1" t="s">
        <v>34</v>
      </c>
      <c r="L177" s="1" t="s">
        <v>34</v>
      </c>
      <c r="M177" s="1">
        <v>915</v>
      </c>
      <c r="N177" s="1" cm="1">
        <f t="array" ref="N177">_xlfn.RANK.EQ(M177,total_money_spent)</f>
        <v>112</v>
      </c>
      <c r="O177" s="1">
        <f t="shared" ca="1" si="2"/>
        <v>5</v>
      </c>
    </row>
    <row r="178" spans="1:15" ht="13.8" x14ac:dyDescent="0.25">
      <c r="A178" s="1" t="s">
        <v>1485</v>
      </c>
      <c r="B178" s="1" t="s">
        <v>1486</v>
      </c>
      <c r="C178" s="1" t="s">
        <v>229</v>
      </c>
      <c r="D178" s="1" t="s">
        <v>230</v>
      </c>
      <c r="E178" s="1" t="s">
        <v>1487</v>
      </c>
      <c r="F178" s="1" t="s">
        <v>1488</v>
      </c>
      <c r="G178" s="1">
        <v>3001</v>
      </c>
      <c r="H178" s="1" t="s">
        <v>81</v>
      </c>
      <c r="I178" s="17">
        <f ca="1">DATE(YEAR(TODAY())-1,6,9)</f>
        <v>44356</v>
      </c>
      <c r="J178" s="17">
        <f ca="1">DATE(YEAR(TODAY())-1,6,11)</f>
        <v>44358</v>
      </c>
      <c r="K178" s="1" t="s">
        <v>87</v>
      </c>
      <c r="L178" s="1" t="s">
        <v>73</v>
      </c>
      <c r="M178" s="1">
        <v>751</v>
      </c>
      <c r="N178" s="1" cm="1">
        <f t="array" ref="N178">_xlfn.RANK.EQ(M178,total_money_spent)</f>
        <v>405</v>
      </c>
      <c r="O178" s="1">
        <f t="shared" ca="1" si="2"/>
        <v>2</v>
      </c>
    </row>
    <row r="179" spans="1:15" ht="13.8" x14ac:dyDescent="0.25">
      <c r="A179" s="1" t="s">
        <v>1238</v>
      </c>
      <c r="B179" s="1" t="s">
        <v>1239</v>
      </c>
      <c r="C179" s="1" t="s">
        <v>165</v>
      </c>
      <c r="D179" s="1" t="s">
        <v>166</v>
      </c>
      <c r="F179" s="1" t="s">
        <v>1240</v>
      </c>
      <c r="G179" s="1">
        <v>2010</v>
      </c>
      <c r="H179" s="1" t="s">
        <v>44</v>
      </c>
      <c r="I179" s="17">
        <f ca="1">DATE(YEAR(TODAY())-1,1,30)</f>
        <v>44226</v>
      </c>
      <c r="J179" s="17">
        <f ca="1">DATE(YEAR(TODAY())-1,2,3)</f>
        <v>44230</v>
      </c>
      <c r="K179" s="1" t="s">
        <v>25</v>
      </c>
      <c r="L179" s="1" t="s">
        <v>25</v>
      </c>
      <c r="M179" s="1">
        <v>838</v>
      </c>
      <c r="N179" s="1" cm="1">
        <f t="array" ref="N179">_xlfn.RANK.EQ(M179,total_money_spent)</f>
        <v>237</v>
      </c>
      <c r="O179" s="1">
        <f t="shared" ca="1" si="2"/>
        <v>4</v>
      </c>
    </row>
    <row r="180" spans="1:15" ht="13.8" x14ac:dyDescent="0.25">
      <c r="A180" s="1" t="s">
        <v>992</v>
      </c>
      <c r="B180" s="1" t="s">
        <v>989</v>
      </c>
      <c r="C180" s="1" t="s">
        <v>110</v>
      </c>
      <c r="D180" s="1" t="s">
        <v>111</v>
      </c>
      <c r="E180" s="1" t="s">
        <v>990</v>
      </c>
      <c r="F180" s="1" t="s">
        <v>991</v>
      </c>
      <c r="G180" s="1">
        <v>3005</v>
      </c>
      <c r="H180" s="1" t="s">
        <v>203</v>
      </c>
      <c r="I180" s="17">
        <f ca="1">DATE(YEAR(TODAY())-1,5,1)</f>
        <v>44317</v>
      </c>
      <c r="J180" s="17">
        <f ca="1">DATE(YEAR(TODAY())-1,5,3)</f>
        <v>44319</v>
      </c>
      <c r="K180" s="1" t="s">
        <v>61</v>
      </c>
      <c r="L180" s="1" t="s">
        <v>34</v>
      </c>
      <c r="M180" s="1">
        <v>743</v>
      </c>
      <c r="N180" s="1" cm="1">
        <f t="array" ref="N180">_xlfn.RANK.EQ(M180,total_money_spent)</f>
        <v>416</v>
      </c>
      <c r="O180" s="1">
        <f t="shared" ca="1" si="2"/>
        <v>2</v>
      </c>
    </row>
    <row r="181" spans="1:15" ht="13.8" x14ac:dyDescent="0.25">
      <c r="A181" s="1" t="s">
        <v>1300</v>
      </c>
      <c r="B181" s="1" t="s">
        <v>1301</v>
      </c>
      <c r="C181" s="1" t="s">
        <v>101</v>
      </c>
      <c r="D181" s="1" t="s">
        <v>102</v>
      </c>
      <c r="F181" s="1" t="s">
        <v>1302</v>
      </c>
      <c r="G181" s="1">
        <v>3003</v>
      </c>
      <c r="H181" s="1" t="s">
        <v>81</v>
      </c>
      <c r="I181" s="17">
        <f ca="1">DATE(YEAR(TODAY())-1,3,22)</f>
        <v>44277</v>
      </c>
      <c r="J181" s="17">
        <f ca="1">DATE(YEAR(TODAY())-1,3,28)</f>
        <v>44283</v>
      </c>
      <c r="K181" s="1" t="s">
        <v>34</v>
      </c>
      <c r="L181" s="1" t="s">
        <v>34</v>
      </c>
      <c r="M181" s="1">
        <v>1004</v>
      </c>
      <c r="N181" s="1" cm="1">
        <f t="array" ref="N181">_xlfn.RANK.EQ(M181,total_money_spent)</f>
        <v>51</v>
      </c>
      <c r="O181" s="1">
        <f t="shared" ca="1" si="2"/>
        <v>6</v>
      </c>
    </row>
    <row r="182" spans="1:15" ht="13.8" x14ac:dyDescent="0.25">
      <c r="A182" s="1" t="s">
        <v>1103</v>
      </c>
      <c r="B182" s="1" t="s">
        <v>1100</v>
      </c>
      <c r="C182" s="1" t="s">
        <v>37</v>
      </c>
      <c r="D182" s="1" t="s">
        <v>38</v>
      </c>
      <c r="E182" s="1" t="s">
        <v>1101</v>
      </c>
      <c r="F182" s="1" t="s">
        <v>1102</v>
      </c>
      <c r="G182" s="1">
        <v>2007</v>
      </c>
      <c r="H182" s="1" t="s">
        <v>44</v>
      </c>
      <c r="I182" s="17">
        <f ca="1">DATE(YEAR(TODAY())-2,12,7)</f>
        <v>44172</v>
      </c>
      <c r="J182" s="17">
        <f ca="1">DATE(YEAR(TODAY())-2,12,8)</f>
        <v>44173</v>
      </c>
      <c r="K182" s="1" t="s">
        <v>82</v>
      </c>
      <c r="L182" s="1" t="s">
        <v>34</v>
      </c>
      <c r="M182" s="1">
        <v>664</v>
      </c>
      <c r="N182" s="1" cm="1">
        <f t="array" ref="N182">_xlfn.RANK.EQ(M182,total_money_spent)</f>
        <v>541</v>
      </c>
      <c r="O182" s="1">
        <f t="shared" ca="1" si="2"/>
        <v>1</v>
      </c>
    </row>
    <row r="183" spans="1:15" ht="13.8" x14ac:dyDescent="0.25">
      <c r="A183" s="1" t="s">
        <v>917</v>
      </c>
      <c r="B183" s="1" t="s">
        <v>913</v>
      </c>
      <c r="C183" s="1" t="s">
        <v>125</v>
      </c>
      <c r="D183" s="1" t="s">
        <v>126</v>
      </c>
      <c r="E183" s="1" t="s">
        <v>914</v>
      </c>
      <c r="F183" s="1" t="s">
        <v>915</v>
      </c>
      <c r="G183" s="1">
        <v>2009</v>
      </c>
      <c r="H183" s="1" t="s">
        <v>44</v>
      </c>
      <c r="I183" s="17">
        <f ca="1">DATE(YEAR(TODAY())-1,1,15)</f>
        <v>44211</v>
      </c>
      <c r="J183" s="17">
        <f ca="1">DATE(YEAR(TODAY())-1,1,16)</f>
        <v>44212</v>
      </c>
      <c r="K183" s="1" t="s">
        <v>25</v>
      </c>
      <c r="L183" s="1" t="s">
        <v>25</v>
      </c>
      <c r="M183" s="1">
        <v>653</v>
      </c>
      <c r="N183" s="1" cm="1">
        <f t="array" ref="N183">_xlfn.RANK.EQ(M183,total_money_spent)</f>
        <v>582</v>
      </c>
      <c r="O183" s="1">
        <f t="shared" ca="1" si="2"/>
        <v>1</v>
      </c>
    </row>
    <row r="184" spans="1:15" ht="13.8" x14ac:dyDescent="0.25">
      <c r="A184" s="1" t="s">
        <v>1479</v>
      </c>
      <c r="B184" s="1" t="s">
        <v>1474</v>
      </c>
      <c r="C184" s="1" t="s">
        <v>131</v>
      </c>
      <c r="D184" s="1" t="s">
        <v>132</v>
      </c>
      <c r="E184" s="1" t="s">
        <v>1475</v>
      </c>
      <c r="F184" s="1" t="s">
        <v>1476</v>
      </c>
      <c r="G184" s="1" t="s">
        <v>122</v>
      </c>
      <c r="H184" s="1" t="s">
        <v>32</v>
      </c>
      <c r="I184" s="17">
        <f ca="1">DATE(YEAR(TODAY())-1,3,9)</f>
        <v>44264</v>
      </c>
      <c r="J184" s="17">
        <f ca="1">DATE(YEAR(TODAY())-1,3,16)</f>
        <v>44271</v>
      </c>
      <c r="K184" s="1" t="s">
        <v>72</v>
      </c>
      <c r="L184" s="1" t="s">
        <v>73</v>
      </c>
      <c r="M184" s="1">
        <v>922</v>
      </c>
      <c r="N184" s="1" cm="1">
        <f t="array" ref="N184">_xlfn.RANK.EQ(M184,total_money_spent)</f>
        <v>105</v>
      </c>
      <c r="O184" s="1">
        <f t="shared" ca="1" si="2"/>
        <v>7</v>
      </c>
    </row>
    <row r="185" spans="1:15" ht="13.8" x14ac:dyDescent="0.25">
      <c r="A185" s="1" t="s">
        <v>757</v>
      </c>
      <c r="B185" s="1" t="s">
        <v>758</v>
      </c>
      <c r="C185" s="1" t="s">
        <v>110</v>
      </c>
      <c r="D185" s="1" t="s">
        <v>111</v>
      </c>
      <c r="E185" s="1" t="s">
        <v>759</v>
      </c>
      <c r="F185" s="1" t="s">
        <v>760</v>
      </c>
      <c r="G185" s="1">
        <v>3004</v>
      </c>
      <c r="H185" s="1" t="s">
        <v>203</v>
      </c>
      <c r="I185" s="17">
        <f ca="1">DATE(YEAR(TODAY())-1,7,18)</f>
        <v>44395</v>
      </c>
      <c r="J185" s="17">
        <f ca="1">DATE(YEAR(TODAY())-1,7,19)</f>
        <v>44396</v>
      </c>
      <c r="K185" s="1" t="s">
        <v>33</v>
      </c>
      <c r="L185" s="1" t="s">
        <v>34</v>
      </c>
      <c r="M185" s="1">
        <v>666</v>
      </c>
      <c r="N185" s="1" cm="1">
        <f t="array" ref="N185">_xlfn.RANK.EQ(M185,total_money_spent)</f>
        <v>533</v>
      </c>
      <c r="O185" s="1">
        <f t="shared" ca="1" si="2"/>
        <v>1</v>
      </c>
    </row>
    <row r="186" spans="1:15" ht="13.8" x14ac:dyDescent="0.25">
      <c r="A186" s="1" t="s">
        <v>212</v>
      </c>
      <c r="B186" s="1" t="s">
        <v>213</v>
      </c>
      <c r="C186" s="1" t="s">
        <v>197</v>
      </c>
      <c r="D186" s="1" t="s">
        <v>198</v>
      </c>
      <c r="E186" s="1" t="s">
        <v>214</v>
      </c>
      <c r="F186" s="1" t="s">
        <v>215</v>
      </c>
      <c r="G186" s="1" t="s">
        <v>122</v>
      </c>
      <c r="H186" s="1" t="s">
        <v>32</v>
      </c>
      <c r="I186" s="17">
        <f ca="1">DATE(YEAR(TODAY())-2,11,8)</f>
        <v>44143</v>
      </c>
      <c r="J186" s="17">
        <f ca="1">DATE(YEAR(TODAY())-2,11,12)</f>
        <v>44147</v>
      </c>
      <c r="K186" s="1" t="s">
        <v>61</v>
      </c>
      <c r="L186" s="1" t="s">
        <v>34</v>
      </c>
      <c r="M186" s="1">
        <v>797</v>
      </c>
      <c r="N186" s="1" cm="1">
        <f t="array" ref="N186">_xlfn.RANK.EQ(M186,total_money_spent)</f>
        <v>301</v>
      </c>
      <c r="O186" s="1">
        <f t="shared" ca="1" si="2"/>
        <v>4</v>
      </c>
    </row>
    <row r="187" spans="1:15" ht="13.8" x14ac:dyDescent="0.25">
      <c r="A187" s="1" t="s">
        <v>371</v>
      </c>
      <c r="B187" s="1" t="s">
        <v>368</v>
      </c>
      <c r="C187" s="1" t="s">
        <v>372</v>
      </c>
      <c r="D187" s="1" t="s">
        <v>28</v>
      </c>
      <c r="E187" s="1" t="s">
        <v>369</v>
      </c>
      <c r="F187" s="1" t="s">
        <v>370</v>
      </c>
      <c r="G187" s="1" t="s">
        <v>54</v>
      </c>
      <c r="H187" s="1" t="s">
        <v>32</v>
      </c>
      <c r="I187" s="17">
        <f ca="1">DATE(YEAR(TODAY())-1,4,7)</f>
        <v>44293</v>
      </c>
      <c r="J187" s="17">
        <f ca="1">DATE(YEAR(TODAY())-1,4,9)</f>
        <v>44295</v>
      </c>
      <c r="K187" s="1" t="s">
        <v>72</v>
      </c>
      <c r="L187" s="1" t="s">
        <v>73</v>
      </c>
      <c r="M187" s="1">
        <v>704</v>
      </c>
      <c r="N187" s="1" cm="1">
        <f t="array" ref="N187">_xlfn.RANK.EQ(M187,total_money_spent)</f>
        <v>479</v>
      </c>
      <c r="O187" s="1">
        <f t="shared" ca="1" si="2"/>
        <v>2</v>
      </c>
    </row>
    <row r="188" spans="1:15" ht="13.8" x14ac:dyDescent="0.25">
      <c r="A188" s="1" t="s">
        <v>594</v>
      </c>
      <c r="B188" s="1" t="s">
        <v>590</v>
      </c>
      <c r="C188" s="1" t="s">
        <v>119</v>
      </c>
      <c r="D188" s="1" t="s">
        <v>119</v>
      </c>
      <c r="E188" s="1" t="s">
        <v>591</v>
      </c>
      <c r="F188" s="1" t="s">
        <v>592</v>
      </c>
      <c r="G188" s="1">
        <v>2006</v>
      </c>
      <c r="H188" s="1" t="s">
        <v>24</v>
      </c>
      <c r="I188" s="17">
        <f ca="1">DATE(YEAR(TODAY())-1,9,22)</f>
        <v>44461</v>
      </c>
      <c r="J188" s="17">
        <f ca="1">DATE(YEAR(TODAY())-1,9,28)</f>
        <v>44467</v>
      </c>
      <c r="K188" s="1" t="s">
        <v>72</v>
      </c>
      <c r="L188" s="1" t="s">
        <v>73</v>
      </c>
      <c r="M188" s="1">
        <v>903</v>
      </c>
      <c r="N188" s="1" cm="1">
        <f t="array" ref="N188">_xlfn.RANK.EQ(M188,total_money_spent)</f>
        <v>146</v>
      </c>
      <c r="O188" s="1">
        <f t="shared" ca="1" si="2"/>
        <v>6</v>
      </c>
    </row>
    <row r="189" spans="1:15" ht="13.8" x14ac:dyDescent="0.25">
      <c r="A189" s="1" t="s">
        <v>1035</v>
      </c>
      <c r="B189" s="1" t="s">
        <v>1036</v>
      </c>
      <c r="C189" s="1" t="s">
        <v>235</v>
      </c>
      <c r="D189" s="1" t="s">
        <v>235</v>
      </c>
      <c r="E189" s="1" t="s">
        <v>1037</v>
      </c>
      <c r="F189" s="1" t="s">
        <v>1038</v>
      </c>
      <c r="G189" s="1">
        <v>2005</v>
      </c>
      <c r="H189" s="1" t="s">
        <v>24</v>
      </c>
      <c r="I189" s="17">
        <f ca="1">DATE(YEAR(TODAY())-1,2,6)</f>
        <v>44233</v>
      </c>
      <c r="J189" s="17">
        <f ca="1">DATE(YEAR(TODAY())-1,2,9)</f>
        <v>44236</v>
      </c>
      <c r="K189" s="1" t="s">
        <v>33</v>
      </c>
      <c r="L189" s="1" t="s">
        <v>34</v>
      </c>
      <c r="M189" s="1">
        <v>758</v>
      </c>
      <c r="N189" s="1" cm="1">
        <f t="array" ref="N189">_xlfn.RANK.EQ(M189,total_money_spent)</f>
        <v>400</v>
      </c>
      <c r="O189" s="1">
        <f t="shared" ca="1" si="2"/>
        <v>3</v>
      </c>
    </row>
    <row r="190" spans="1:15" ht="13.8" x14ac:dyDescent="0.25">
      <c r="A190" s="1" t="s">
        <v>315</v>
      </c>
      <c r="B190" s="1" t="s">
        <v>316</v>
      </c>
      <c r="C190" s="1" t="s">
        <v>91</v>
      </c>
      <c r="D190" s="1" t="s">
        <v>91</v>
      </c>
      <c r="F190" s="1" t="s">
        <v>317</v>
      </c>
      <c r="G190" s="1" t="s">
        <v>60</v>
      </c>
      <c r="H190" s="1" t="s">
        <v>32</v>
      </c>
      <c r="I190" s="17">
        <f ca="1">DATE(YEAR(TODAY())-1,9,4)</f>
        <v>44443</v>
      </c>
      <c r="J190" s="17">
        <f ca="1">DATE(YEAR(TODAY())-1,9,6)</f>
        <v>44445</v>
      </c>
      <c r="K190" s="1" t="s">
        <v>72</v>
      </c>
      <c r="L190" s="1" t="s">
        <v>73</v>
      </c>
      <c r="M190" s="1">
        <v>690</v>
      </c>
      <c r="N190" s="1" cm="1">
        <f t="array" ref="N190">_xlfn.RANK.EQ(M190,total_money_spent)</f>
        <v>496</v>
      </c>
      <c r="O190" s="1">
        <f t="shared" ca="1" si="2"/>
        <v>2</v>
      </c>
    </row>
    <row r="191" spans="1:15" ht="13.8" x14ac:dyDescent="0.25">
      <c r="A191" s="1" t="s">
        <v>580</v>
      </c>
      <c r="B191" s="1" t="s">
        <v>581</v>
      </c>
      <c r="C191" s="1" t="s">
        <v>305</v>
      </c>
      <c r="D191" s="1" t="s">
        <v>211</v>
      </c>
      <c r="E191" s="1" t="s">
        <v>582</v>
      </c>
      <c r="F191" s="1" t="s">
        <v>583</v>
      </c>
      <c r="G191" s="1">
        <v>2002</v>
      </c>
      <c r="H191" s="1" t="s">
        <v>24</v>
      </c>
      <c r="I191" s="17">
        <f ca="1">DATE(YEAR(TODAY())-1,8,18)</f>
        <v>44426</v>
      </c>
      <c r="J191" s="17">
        <f ca="1">DATE(YEAR(TODAY())-1,8,24)</f>
        <v>44432</v>
      </c>
      <c r="K191" s="1" t="s">
        <v>143</v>
      </c>
      <c r="L191" s="1" t="s">
        <v>25</v>
      </c>
      <c r="M191" s="1">
        <v>904</v>
      </c>
      <c r="N191" s="1" cm="1">
        <f t="array" ref="N191">_xlfn.RANK.EQ(M191,total_money_spent)</f>
        <v>143</v>
      </c>
      <c r="O191" s="1">
        <f t="shared" ca="1" si="2"/>
        <v>6</v>
      </c>
    </row>
    <row r="192" spans="1:15" ht="13.8" x14ac:dyDescent="0.25">
      <c r="A192" s="1" t="s">
        <v>1418</v>
      </c>
      <c r="B192" s="1" t="s">
        <v>1415</v>
      </c>
      <c r="C192" s="1" t="s">
        <v>119</v>
      </c>
      <c r="D192" s="1" t="s">
        <v>119</v>
      </c>
      <c r="E192" s="1" t="s">
        <v>1416</v>
      </c>
      <c r="F192" s="1" t="s">
        <v>1417</v>
      </c>
      <c r="G192" s="1" t="s">
        <v>54</v>
      </c>
      <c r="H192" s="1" t="s">
        <v>32</v>
      </c>
      <c r="I192" s="17">
        <f ca="1">DATE(YEAR(TODAY())-1,1,16)</f>
        <v>44212</v>
      </c>
      <c r="J192" s="17">
        <f ca="1">DATE(YEAR(TODAY())-1,1,22)</f>
        <v>44218</v>
      </c>
      <c r="K192" s="1" t="s">
        <v>82</v>
      </c>
      <c r="L192" s="1" t="s">
        <v>34</v>
      </c>
      <c r="M192" s="1">
        <v>847</v>
      </c>
      <c r="N192" s="1" cm="1">
        <f t="array" ref="N192">_xlfn.RANK.EQ(M192,total_money_spent)</f>
        <v>220</v>
      </c>
      <c r="O192" s="1">
        <f t="shared" ca="1" si="2"/>
        <v>6</v>
      </c>
    </row>
    <row r="193" spans="1:15" ht="13.8" x14ac:dyDescent="0.25">
      <c r="A193" s="1" t="s">
        <v>1026</v>
      </c>
      <c r="B193" s="1" t="s">
        <v>1027</v>
      </c>
      <c r="C193" s="1" t="s">
        <v>157</v>
      </c>
      <c r="D193" s="1" t="s">
        <v>158</v>
      </c>
      <c r="E193" s="1" t="s">
        <v>1028</v>
      </c>
      <c r="F193" s="1" t="s">
        <v>1029</v>
      </c>
      <c r="G193" s="1">
        <v>2004</v>
      </c>
      <c r="H193" s="1" t="s">
        <v>24</v>
      </c>
      <c r="I193" s="17">
        <f ca="1">DATE(YEAR(TODAY())-1,8,22)</f>
        <v>44430</v>
      </c>
      <c r="J193" s="17">
        <f ca="1">DATE(YEAR(TODAY())-1,8,23)</f>
        <v>44431</v>
      </c>
      <c r="K193" s="1" t="s">
        <v>34</v>
      </c>
      <c r="L193" s="1" t="s">
        <v>34</v>
      </c>
      <c r="M193" s="1">
        <v>668</v>
      </c>
      <c r="N193" s="1" cm="1">
        <f t="array" ref="N193">_xlfn.RANK.EQ(M193,total_money_spent)</f>
        <v>525</v>
      </c>
      <c r="O193" s="1">
        <f t="shared" ca="1" si="2"/>
        <v>1</v>
      </c>
    </row>
    <row r="194" spans="1:15" ht="13.8" x14ac:dyDescent="0.25">
      <c r="A194" s="1" t="s">
        <v>1419</v>
      </c>
      <c r="B194" s="1" t="s">
        <v>1420</v>
      </c>
      <c r="C194" s="1" t="s">
        <v>229</v>
      </c>
      <c r="D194" s="1" t="s">
        <v>230</v>
      </c>
      <c r="E194" s="1" t="s">
        <v>1421</v>
      </c>
      <c r="F194" s="1" t="s">
        <v>1422</v>
      </c>
      <c r="G194" s="1">
        <v>2009</v>
      </c>
      <c r="H194" s="1" t="s">
        <v>44</v>
      </c>
      <c r="I194" s="17">
        <f ca="1">DATE(YEAR(TODAY())-1,5,11)</f>
        <v>44327</v>
      </c>
      <c r="J194" s="17">
        <f ca="1">DATE(YEAR(TODAY())-1,5,16)</f>
        <v>44332</v>
      </c>
      <c r="K194" s="1" t="s">
        <v>87</v>
      </c>
      <c r="L194" s="1" t="s">
        <v>73</v>
      </c>
      <c r="M194" s="1">
        <v>914</v>
      </c>
      <c r="N194" s="1" cm="1">
        <f t="array" ref="N194">_xlfn.RANK.EQ(M194,total_money_spent)</f>
        <v>114</v>
      </c>
      <c r="O194" s="1">
        <f t="shared" ca="1" si="2"/>
        <v>5</v>
      </c>
    </row>
    <row r="195" spans="1:15" ht="13.8" x14ac:dyDescent="0.25">
      <c r="A195" s="1" t="s">
        <v>535</v>
      </c>
      <c r="B195" s="1" t="s">
        <v>536</v>
      </c>
      <c r="C195" s="1" t="s">
        <v>337</v>
      </c>
      <c r="D195" s="1" t="s">
        <v>338</v>
      </c>
      <c r="E195" s="1" t="s">
        <v>537</v>
      </c>
      <c r="F195" s="1" t="s">
        <v>538</v>
      </c>
      <c r="G195" s="1">
        <v>2006</v>
      </c>
      <c r="H195" s="1" t="s">
        <v>24</v>
      </c>
      <c r="I195" s="17">
        <f ca="1">DATE(YEAR(TODAY())-1,6,13)</f>
        <v>44360</v>
      </c>
      <c r="J195" s="17">
        <f ca="1">DATE(YEAR(TODAY())-1,6,20)</f>
        <v>44367</v>
      </c>
      <c r="K195" s="1" t="s">
        <v>33</v>
      </c>
      <c r="L195" s="1" t="s">
        <v>34</v>
      </c>
      <c r="M195" s="1">
        <v>958</v>
      </c>
      <c r="N195" s="1" cm="1">
        <f t="array" ref="N195">_xlfn.RANK.EQ(M195,total_money_spent)</f>
        <v>100</v>
      </c>
      <c r="O195" s="1">
        <f t="shared" ref="O195:O258" ca="1" si="3">J195-I195</f>
        <v>7</v>
      </c>
    </row>
    <row r="196" spans="1:15" ht="13.8" x14ac:dyDescent="0.25">
      <c r="A196" s="1" t="s">
        <v>669</v>
      </c>
      <c r="B196" s="1" t="s">
        <v>670</v>
      </c>
      <c r="C196" s="1" t="s">
        <v>210</v>
      </c>
      <c r="D196" s="1" t="s">
        <v>211</v>
      </c>
      <c r="E196" s="1" t="s">
        <v>671</v>
      </c>
      <c r="F196" s="1" t="s">
        <v>672</v>
      </c>
      <c r="G196" s="1">
        <v>2004</v>
      </c>
      <c r="H196" s="1" t="s">
        <v>24</v>
      </c>
      <c r="I196" s="17">
        <f ca="1">DATE(YEAR(TODAY())-1,4,12)</f>
        <v>44298</v>
      </c>
      <c r="J196" s="17">
        <f ca="1">DATE(YEAR(TODAY())-1,4,16)</f>
        <v>44302</v>
      </c>
      <c r="K196" s="1" t="s">
        <v>34</v>
      </c>
      <c r="L196" s="1" t="s">
        <v>34</v>
      </c>
      <c r="M196" s="1">
        <v>807</v>
      </c>
      <c r="N196" s="1" cm="1">
        <f t="array" ref="N196">_xlfn.RANK.EQ(M196,total_money_spent)</f>
        <v>272</v>
      </c>
      <c r="O196" s="1">
        <f t="shared" ca="1" si="3"/>
        <v>4</v>
      </c>
    </row>
    <row r="197" spans="1:15" ht="13.8" x14ac:dyDescent="0.25">
      <c r="A197" s="1" t="s">
        <v>875</v>
      </c>
      <c r="B197" s="1" t="s">
        <v>872</v>
      </c>
      <c r="C197" s="1" t="s">
        <v>131</v>
      </c>
      <c r="D197" s="1" t="s">
        <v>132</v>
      </c>
      <c r="E197" s="1" t="s">
        <v>873</v>
      </c>
      <c r="F197" s="1" t="s">
        <v>874</v>
      </c>
      <c r="G197" s="1" t="s">
        <v>226</v>
      </c>
      <c r="H197" s="1" t="s">
        <v>32</v>
      </c>
      <c r="I197" s="17">
        <f ca="1">DATE(YEAR(TODAY())-1,5,25)</f>
        <v>44341</v>
      </c>
      <c r="J197" s="17">
        <f ca="1">DATE(YEAR(TODAY())-1,5,26)</f>
        <v>44342</v>
      </c>
      <c r="K197" s="1" t="s">
        <v>16</v>
      </c>
      <c r="L197" s="1" t="s">
        <v>34</v>
      </c>
      <c r="M197" s="1">
        <v>659</v>
      </c>
      <c r="N197" s="1" cm="1">
        <f t="array" ref="N197">_xlfn.RANK.EQ(M197,total_money_spent)</f>
        <v>561</v>
      </c>
      <c r="O197" s="1">
        <f t="shared" ca="1" si="3"/>
        <v>1</v>
      </c>
    </row>
    <row r="198" spans="1:15" ht="13.8" x14ac:dyDescent="0.25">
      <c r="A198" s="1" t="s">
        <v>555</v>
      </c>
      <c r="B198" s="1" t="s">
        <v>556</v>
      </c>
      <c r="C198" s="1" t="s">
        <v>64</v>
      </c>
      <c r="D198" s="1" t="s">
        <v>65</v>
      </c>
      <c r="E198" s="1" t="s">
        <v>557</v>
      </c>
      <c r="F198" s="1" t="s">
        <v>558</v>
      </c>
      <c r="G198" s="1">
        <v>3004</v>
      </c>
      <c r="H198" s="1" t="s">
        <v>203</v>
      </c>
      <c r="I198" s="17">
        <f ca="1">DATE(YEAR(TODAY())-1,4,23)</f>
        <v>44309</v>
      </c>
      <c r="J198" s="17">
        <f ca="1">DATE(YEAR(TODAY())-1,4,29)</f>
        <v>44315</v>
      </c>
      <c r="K198" s="1" t="s">
        <v>72</v>
      </c>
      <c r="L198" s="1" t="s">
        <v>73</v>
      </c>
      <c r="M198" s="1">
        <v>1070</v>
      </c>
      <c r="N198" s="1" cm="1">
        <f t="array" ref="N198">_xlfn.RANK.EQ(M198,total_money_spent)</f>
        <v>33</v>
      </c>
      <c r="O198" s="1">
        <f t="shared" ca="1" si="3"/>
        <v>6</v>
      </c>
    </row>
    <row r="199" spans="1:15" ht="13.8" x14ac:dyDescent="0.25">
      <c r="A199" s="1" t="s">
        <v>411</v>
      </c>
      <c r="B199" s="1" t="s">
        <v>412</v>
      </c>
      <c r="C199" s="1" t="s">
        <v>101</v>
      </c>
      <c r="D199" s="1" t="s">
        <v>102</v>
      </c>
      <c r="E199" s="1" t="s">
        <v>413</v>
      </c>
      <c r="F199" s="1" t="s">
        <v>414</v>
      </c>
      <c r="G199" s="1" t="s">
        <v>54</v>
      </c>
      <c r="H199" s="1" t="s">
        <v>32</v>
      </c>
      <c r="I199" s="17">
        <f ca="1">DATE(YEAR(TODAY())-1,2,14)</f>
        <v>44241</v>
      </c>
      <c r="J199" s="17">
        <f ca="1">DATE(YEAR(TODAY())-1,2,18)</f>
        <v>44245</v>
      </c>
      <c r="K199" s="1" t="s">
        <v>61</v>
      </c>
      <c r="L199" s="1" t="s">
        <v>34</v>
      </c>
      <c r="M199" s="1">
        <v>779</v>
      </c>
      <c r="N199" s="1" cm="1">
        <f t="array" ref="N199">_xlfn.RANK.EQ(M199,total_money_spent)</f>
        <v>347</v>
      </c>
      <c r="O199" s="1">
        <f t="shared" ca="1" si="3"/>
        <v>4</v>
      </c>
    </row>
    <row r="200" spans="1:15" ht="13.8" x14ac:dyDescent="0.25">
      <c r="A200" s="1" t="s">
        <v>1173</v>
      </c>
      <c r="B200" s="1" t="s">
        <v>1174</v>
      </c>
      <c r="C200" s="1" t="s">
        <v>246</v>
      </c>
      <c r="D200" s="1" t="s">
        <v>247</v>
      </c>
      <c r="E200" s="1" t="s">
        <v>1175</v>
      </c>
      <c r="F200" s="1" t="s">
        <v>1176</v>
      </c>
      <c r="G200" s="1" t="s">
        <v>226</v>
      </c>
      <c r="H200" s="1" t="s">
        <v>32</v>
      </c>
      <c r="I200" s="17">
        <f ca="1">DATE(YEAR(TODAY())-1,6,27)</f>
        <v>44374</v>
      </c>
      <c r="J200" s="17">
        <f ca="1">DATE(YEAR(TODAY())-1,6,30)</f>
        <v>44377</v>
      </c>
      <c r="K200" s="1" t="s">
        <v>136</v>
      </c>
      <c r="L200" s="1" t="s">
        <v>137</v>
      </c>
      <c r="M200" s="1">
        <v>736</v>
      </c>
      <c r="N200" s="1" cm="1">
        <f t="array" ref="N200">_xlfn.RANK.EQ(M200,total_money_spent)</f>
        <v>440</v>
      </c>
      <c r="O200" s="1">
        <f t="shared" ca="1" si="3"/>
        <v>3</v>
      </c>
    </row>
    <row r="201" spans="1:15" ht="13.8" x14ac:dyDescent="0.25">
      <c r="A201" s="1" t="s">
        <v>732</v>
      </c>
      <c r="B201" s="1" t="s">
        <v>729</v>
      </c>
      <c r="C201" s="1" t="s">
        <v>206</v>
      </c>
      <c r="D201" s="1" t="s">
        <v>21</v>
      </c>
      <c r="E201" s="1" t="s">
        <v>730</v>
      </c>
      <c r="F201" s="1" t="s">
        <v>731</v>
      </c>
      <c r="G201" s="1" t="s">
        <v>54</v>
      </c>
      <c r="H201" s="1" t="s">
        <v>32</v>
      </c>
      <c r="I201" s="17">
        <f ca="1">DATE(YEAR(TODAY())-2,12,22)</f>
        <v>44187</v>
      </c>
      <c r="J201" s="17">
        <f ca="1">DATE(YEAR(TODAY())-2,12,28)</f>
        <v>44193</v>
      </c>
      <c r="K201" s="1" t="s">
        <v>82</v>
      </c>
      <c r="L201" s="1" t="s">
        <v>34</v>
      </c>
      <c r="M201" s="1">
        <v>839</v>
      </c>
      <c r="N201" s="1" cm="1">
        <f t="array" ref="N201">_xlfn.RANK.EQ(M201,total_money_spent)</f>
        <v>235</v>
      </c>
      <c r="O201" s="1">
        <f t="shared" ca="1" si="3"/>
        <v>6</v>
      </c>
    </row>
    <row r="202" spans="1:15" ht="13.8" x14ac:dyDescent="0.25">
      <c r="A202" s="1" t="s">
        <v>303</v>
      </c>
      <c r="B202" s="1" t="s">
        <v>304</v>
      </c>
      <c r="C202" s="1" t="s">
        <v>305</v>
      </c>
      <c r="D202" s="1" t="s">
        <v>211</v>
      </c>
      <c r="F202" s="1" t="s">
        <v>306</v>
      </c>
      <c r="G202" s="1" t="s">
        <v>115</v>
      </c>
      <c r="H202" s="1" t="s">
        <v>32</v>
      </c>
      <c r="I202" s="17">
        <f ca="1">DATE(YEAR(TODAY())-2,12,21)</f>
        <v>44186</v>
      </c>
      <c r="J202" s="17">
        <f ca="1">DATE(YEAR(TODAY())-2,12,27)</f>
        <v>44192</v>
      </c>
      <c r="K202" s="1" t="s">
        <v>72</v>
      </c>
      <c r="L202" s="1" t="s">
        <v>73</v>
      </c>
      <c r="M202" s="1">
        <v>848</v>
      </c>
      <c r="N202" s="1" cm="1">
        <f t="array" ref="N202">_xlfn.RANK.EQ(M202,total_money_spent)</f>
        <v>218</v>
      </c>
      <c r="O202" s="1">
        <f t="shared" ca="1" si="3"/>
        <v>6</v>
      </c>
    </row>
    <row r="203" spans="1:15" ht="13.8" x14ac:dyDescent="0.25">
      <c r="A203" s="1" t="s">
        <v>263</v>
      </c>
      <c r="B203" s="1" t="s">
        <v>260</v>
      </c>
      <c r="C203" s="1" t="s">
        <v>246</v>
      </c>
      <c r="D203" s="1" t="s">
        <v>247</v>
      </c>
      <c r="E203" s="1" t="s">
        <v>261</v>
      </c>
      <c r="F203" s="1" t="s">
        <v>262</v>
      </c>
      <c r="G203" s="1" t="s">
        <v>226</v>
      </c>
      <c r="H203" s="1" t="s">
        <v>32</v>
      </c>
      <c r="I203" s="17">
        <f ca="1">DATE(YEAR(TODAY())-2,10,21)</f>
        <v>44125</v>
      </c>
      <c r="J203" s="17">
        <f ca="1">DATE(YEAR(TODAY())-2,10,23)</f>
        <v>44127</v>
      </c>
      <c r="K203" s="1" t="s">
        <v>61</v>
      </c>
      <c r="L203" s="1" t="s">
        <v>34</v>
      </c>
      <c r="M203" s="1">
        <v>692</v>
      </c>
      <c r="N203" s="1" cm="1">
        <f t="array" ref="N203">_xlfn.RANK.EQ(M203,total_money_spent)</f>
        <v>494</v>
      </c>
      <c r="O203" s="1">
        <f t="shared" ca="1" si="3"/>
        <v>2</v>
      </c>
    </row>
    <row r="204" spans="1:15" ht="13.8" x14ac:dyDescent="0.25">
      <c r="A204" s="1" t="s">
        <v>762</v>
      </c>
      <c r="B204" s="1" t="s">
        <v>758</v>
      </c>
      <c r="C204" s="1" t="s">
        <v>28</v>
      </c>
      <c r="D204" s="1" t="s">
        <v>28</v>
      </c>
      <c r="E204" s="1" t="s">
        <v>759</v>
      </c>
      <c r="F204" s="1" t="s">
        <v>760</v>
      </c>
      <c r="G204" s="1" t="s">
        <v>122</v>
      </c>
      <c r="H204" s="1" t="s">
        <v>32</v>
      </c>
      <c r="I204" s="17">
        <f ca="1">DATE(YEAR(TODAY())-1,6,24)</f>
        <v>44371</v>
      </c>
      <c r="J204" s="17">
        <f ca="1">DATE(YEAR(TODAY())-1,6,30)</f>
        <v>44377</v>
      </c>
      <c r="K204" s="1" t="s">
        <v>16</v>
      </c>
      <c r="L204" s="1" t="s">
        <v>34</v>
      </c>
      <c r="M204" s="1">
        <v>843</v>
      </c>
      <c r="N204" s="1" cm="1">
        <f t="array" ref="N204">_xlfn.RANK.EQ(M204,total_money_spent)</f>
        <v>227</v>
      </c>
      <c r="O204" s="1">
        <f t="shared" ca="1" si="3"/>
        <v>6</v>
      </c>
    </row>
    <row r="205" spans="1:15" ht="13.8" x14ac:dyDescent="0.25">
      <c r="A205" s="1" t="s">
        <v>1281</v>
      </c>
      <c r="B205" s="1" t="s">
        <v>1282</v>
      </c>
      <c r="C205" s="1" t="s">
        <v>387</v>
      </c>
      <c r="D205" s="1" t="s">
        <v>153</v>
      </c>
      <c r="E205" s="1" t="s">
        <v>1283</v>
      </c>
      <c r="F205" s="1" t="s">
        <v>1284</v>
      </c>
      <c r="G205" s="1">
        <v>2009</v>
      </c>
      <c r="H205" s="1" t="s">
        <v>44</v>
      </c>
      <c r="I205" s="17">
        <f ca="1">DATE(YEAR(TODAY())-1,1,28)</f>
        <v>44224</v>
      </c>
      <c r="J205" s="17">
        <f ca="1">DATE(YEAR(TODAY())-1,2,4)</f>
        <v>44231</v>
      </c>
      <c r="K205" s="1" t="s">
        <v>82</v>
      </c>
      <c r="L205" s="1" t="s">
        <v>34</v>
      </c>
      <c r="M205" s="1">
        <v>1058</v>
      </c>
      <c r="N205" s="1" cm="1">
        <f t="array" ref="N205">_xlfn.RANK.EQ(M205,total_money_spent)</f>
        <v>47</v>
      </c>
      <c r="O205" s="1">
        <f t="shared" ca="1" si="3"/>
        <v>7</v>
      </c>
    </row>
    <row r="206" spans="1:15" ht="13.8" x14ac:dyDescent="0.25">
      <c r="A206" s="1" t="s">
        <v>1042</v>
      </c>
      <c r="B206" s="1" t="s">
        <v>1043</v>
      </c>
      <c r="C206" s="1" t="s">
        <v>140</v>
      </c>
      <c r="D206" s="1" t="s">
        <v>140</v>
      </c>
      <c r="E206" s="1" t="s">
        <v>1044</v>
      </c>
      <c r="F206" s="1" t="s">
        <v>1045</v>
      </c>
      <c r="G206" s="1">
        <v>2001</v>
      </c>
      <c r="H206" s="1" t="s">
        <v>24</v>
      </c>
      <c r="I206" s="17">
        <f ca="1">DATE(YEAR(TODAY())-1,2,19)</f>
        <v>44246</v>
      </c>
      <c r="J206" s="17">
        <f ca="1">DATE(YEAR(TODAY())-1,2,26)</f>
        <v>44253</v>
      </c>
      <c r="K206" s="1" t="s">
        <v>72</v>
      </c>
      <c r="L206" s="1" t="s">
        <v>73</v>
      </c>
      <c r="M206" s="1">
        <v>959</v>
      </c>
      <c r="N206" s="1" cm="1">
        <f t="array" ref="N206">_xlfn.RANK.EQ(M206,total_money_spent)</f>
        <v>98</v>
      </c>
      <c r="O206" s="1">
        <f t="shared" ca="1" si="3"/>
        <v>7</v>
      </c>
    </row>
    <row r="207" spans="1:15" ht="13.8" x14ac:dyDescent="0.25">
      <c r="A207" s="1" t="s">
        <v>293</v>
      </c>
      <c r="B207" s="1" t="s">
        <v>290</v>
      </c>
      <c r="C207" s="1" t="s">
        <v>274</v>
      </c>
      <c r="D207" s="1" t="s">
        <v>258</v>
      </c>
      <c r="E207" s="1" t="s">
        <v>291</v>
      </c>
      <c r="F207" s="1" t="s">
        <v>292</v>
      </c>
      <c r="G207" s="1" t="s">
        <v>226</v>
      </c>
      <c r="H207" s="1" t="s">
        <v>32</v>
      </c>
      <c r="I207" s="17">
        <f ca="1">DATE(YEAR(TODAY())-2,10,14)</f>
        <v>44118</v>
      </c>
      <c r="J207" s="17">
        <f ca="1">DATE(YEAR(TODAY())-2,10,18)</f>
        <v>44122</v>
      </c>
      <c r="K207" s="1" t="s">
        <v>34</v>
      </c>
      <c r="L207" s="1" t="s">
        <v>34</v>
      </c>
      <c r="M207" s="1">
        <v>785</v>
      </c>
      <c r="N207" s="1" cm="1">
        <f t="array" ref="N207">_xlfn.RANK.EQ(M207,total_money_spent)</f>
        <v>332</v>
      </c>
      <c r="O207" s="1">
        <f t="shared" ca="1" si="3"/>
        <v>4</v>
      </c>
    </row>
    <row r="208" spans="1:15" ht="13.8" x14ac:dyDescent="0.25">
      <c r="A208" s="1" t="s">
        <v>374</v>
      </c>
      <c r="B208" s="1" t="s">
        <v>375</v>
      </c>
      <c r="C208" s="1" t="s">
        <v>147</v>
      </c>
      <c r="D208" s="1" t="s">
        <v>147</v>
      </c>
      <c r="E208" s="1" t="s">
        <v>376</v>
      </c>
      <c r="F208" s="1" t="s">
        <v>377</v>
      </c>
      <c r="G208" s="1" t="s">
        <v>115</v>
      </c>
      <c r="H208" s="1" t="s">
        <v>32</v>
      </c>
      <c r="I208" s="17">
        <f ca="1">DATE(YEAR(TODAY())-1,8,18)</f>
        <v>44426</v>
      </c>
      <c r="J208" s="17">
        <f ca="1">DATE(YEAR(TODAY())-1,8,20)</f>
        <v>44428</v>
      </c>
      <c r="K208" s="1" t="s">
        <v>87</v>
      </c>
      <c r="L208" s="1" t="s">
        <v>73</v>
      </c>
      <c r="M208" s="1">
        <v>696</v>
      </c>
      <c r="N208" s="1" cm="1">
        <f t="array" ref="N208">_xlfn.RANK.EQ(M208,total_money_spent)</f>
        <v>490</v>
      </c>
      <c r="O208" s="1">
        <f t="shared" ca="1" si="3"/>
        <v>2</v>
      </c>
    </row>
    <row r="209" spans="1:15" ht="13.8" x14ac:dyDescent="0.25">
      <c r="A209" s="1" t="s">
        <v>1137</v>
      </c>
      <c r="B209" s="1" t="s">
        <v>1134</v>
      </c>
      <c r="C209" s="1" t="s">
        <v>57</v>
      </c>
      <c r="D209" s="1" t="s">
        <v>57</v>
      </c>
      <c r="E209" s="1" t="s">
        <v>1135</v>
      </c>
      <c r="F209" s="1" t="s">
        <v>1136</v>
      </c>
      <c r="G209" s="1">
        <v>3001</v>
      </c>
      <c r="H209" s="1" t="s">
        <v>81</v>
      </c>
      <c r="I209" s="17">
        <f ca="1">DATE(YEAR(TODAY())-2,12,13)</f>
        <v>44178</v>
      </c>
      <c r="J209" s="17">
        <f ca="1">DATE(YEAR(TODAY())-2,12,20)</f>
        <v>44185</v>
      </c>
      <c r="K209" s="1" t="s">
        <v>87</v>
      </c>
      <c r="L209" s="1" t="s">
        <v>73</v>
      </c>
      <c r="M209" s="1">
        <v>1126</v>
      </c>
      <c r="N209" s="1" cm="1">
        <f t="array" ref="N209">_xlfn.RANK.EQ(M209,total_money_spent)</f>
        <v>17</v>
      </c>
      <c r="O209" s="1">
        <f t="shared" ca="1" si="3"/>
        <v>7</v>
      </c>
    </row>
    <row r="210" spans="1:15" ht="13.8" x14ac:dyDescent="0.25">
      <c r="A210" s="1" t="s">
        <v>1382</v>
      </c>
      <c r="B210" s="1" t="s">
        <v>1379</v>
      </c>
      <c r="C210" s="1" t="s">
        <v>1383</v>
      </c>
      <c r="D210" s="1" t="s">
        <v>618</v>
      </c>
      <c r="E210" s="1" t="s">
        <v>1380</v>
      </c>
      <c r="F210" s="1" t="s">
        <v>1381</v>
      </c>
      <c r="G210" s="1">
        <v>2003</v>
      </c>
      <c r="H210" s="1" t="s">
        <v>24</v>
      </c>
      <c r="I210" s="17">
        <f ca="1">DATE(YEAR(TODAY())-2,11,22)</f>
        <v>44157</v>
      </c>
      <c r="J210" s="17">
        <f ca="1">DATE(YEAR(TODAY())-2,11,24)</f>
        <v>44159</v>
      </c>
      <c r="K210" s="1" t="s">
        <v>143</v>
      </c>
      <c r="L210" s="1" t="s">
        <v>25</v>
      </c>
      <c r="M210" s="1">
        <v>706</v>
      </c>
      <c r="N210" s="1" cm="1">
        <f t="array" ref="N210">_xlfn.RANK.EQ(M210,total_money_spent)</f>
        <v>475</v>
      </c>
      <c r="O210" s="1">
        <f t="shared" ca="1" si="3"/>
        <v>2</v>
      </c>
    </row>
    <row r="211" spans="1:15" ht="13.8" x14ac:dyDescent="0.25">
      <c r="A211" s="1" t="s">
        <v>870</v>
      </c>
      <c r="B211" s="1" t="s">
        <v>866</v>
      </c>
      <c r="C211" s="1" t="s">
        <v>229</v>
      </c>
      <c r="D211" s="1" t="s">
        <v>230</v>
      </c>
      <c r="E211" s="1" t="s">
        <v>868</v>
      </c>
      <c r="F211" s="1" t="s">
        <v>869</v>
      </c>
      <c r="G211" s="1">
        <v>3001</v>
      </c>
      <c r="H211" s="1" t="s">
        <v>81</v>
      </c>
      <c r="I211" s="17">
        <f ca="1">DATE(YEAR(TODAY())-2,12,4)</f>
        <v>44169</v>
      </c>
      <c r="J211" s="17">
        <f ca="1">DATE(YEAR(TODAY())-2,12,10)</f>
        <v>44175</v>
      </c>
      <c r="K211" s="1" t="s">
        <v>61</v>
      </c>
      <c r="L211" s="1" t="s">
        <v>34</v>
      </c>
      <c r="M211" s="1">
        <v>996</v>
      </c>
      <c r="N211" s="1" cm="1">
        <f t="array" ref="N211">_xlfn.RANK.EQ(M211,total_money_spent)</f>
        <v>59</v>
      </c>
      <c r="O211" s="1">
        <f t="shared" ca="1" si="3"/>
        <v>6</v>
      </c>
    </row>
    <row r="212" spans="1:15" ht="13.8" x14ac:dyDescent="0.25">
      <c r="A212" s="1" t="s">
        <v>1199</v>
      </c>
      <c r="B212" s="1" t="s">
        <v>1196</v>
      </c>
      <c r="C212" s="1" t="s">
        <v>131</v>
      </c>
      <c r="D212" s="1" t="s">
        <v>132</v>
      </c>
      <c r="E212" s="1" t="s">
        <v>1197</v>
      </c>
      <c r="F212" s="1" t="s">
        <v>1198</v>
      </c>
      <c r="G212" s="1">
        <v>2006</v>
      </c>
      <c r="H212" s="1" t="s">
        <v>24</v>
      </c>
      <c r="I212" s="17">
        <f ca="1">DATE(YEAR(TODAY())-2,12,6)</f>
        <v>44171</v>
      </c>
      <c r="J212" s="17">
        <f ca="1">DATE(YEAR(TODAY())-2,12,13)</f>
        <v>44178</v>
      </c>
      <c r="K212" s="1" t="s">
        <v>61</v>
      </c>
      <c r="L212" s="1" t="s">
        <v>34</v>
      </c>
      <c r="M212" s="1">
        <v>966</v>
      </c>
      <c r="N212" s="1" cm="1">
        <f t="array" ref="N212">_xlfn.RANK.EQ(M212,total_money_spent)</f>
        <v>84</v>
      </c>
      <c r="O212" s="1">
        <f t="shared" ca="1" si="3"/>
        <v>7</v>
      </c>
    </row>
    <row r="213" spans="1:15" ht="13.8" x14ac:dyDescent="0.25">
      <c r="A213" s="1" t="s">
        <v>1119</v>
      </c>
      <c r="B213" s="1" t="s">
        <v>1115</v>
      </c>
      <c r="C213" s="1" t="s">
        <v>664</v>
      </c>
      <c r="D213" s="1" t="s">
        <v>147</v>
      </c>
      <c r="E213" s="1" t="s">
        <v>1116</v>
      </c>
      <c r="F213" s="1" t="s">
        <v>1117</v>
      </c>
      <c r="G213" s="1">
        <v>2009</v>
      </c>
      <c r="H213" s="1" t="s">
        <v>44</v>
      </c>
      <c r="I213" s="17">
        <f ca="1">DATE(YEAR(TODAY())-1,5,22)</f>
        <v>44338</v>
      </c>
      <c r="J213" s="17">
        <f ca="1">DATE(YEAR(TODAY())-1,5,29)</f>
        <v>44345</v>
      </c>
      <c r="K213" s="1" t="s">
        <v>82</v>
      </c>
      <c r="L213" s="1" t="s">
        <v>34</v>
      </c>
      <c r="M213" s="1">
        <v>1065</v>
      </c>
      <c r="N213" s="1" cm="1">
        <f t="array" ref="N213">_xlfn.RANK.EQ(M213,total_money_spent)</f>
        <v>40</v>
      </c>
      <c r="O213" s="1">
        <f t="shared" ca="1" si="3"/>
        <v>7</v>
      </c>
    </row>
    <row r="214" spans="1:15" ht="13.8" x14ac:dyDescent="0.25">
      <c r="A214" s="1" t="s">
        <v>711</v>
      </c>
      <c r="B214" s="1" t="s">
        <v>712</v>
      </c>
      <c r="C214" s="1" t="s">
        <v>246</v>
      </c>
      <c r="D214" s="1" t="s">
        <v>247</v>
      </c>
      <c r="E214" s="1" t="s">
        <v>713</v>
      </c>
      <c r="F214" s="1" t="s">
        <v>714</v>
      </c>
      <c r="G214" s="1">
        <v>2003</v>
      </c>
      <c r="H214" s="1" t="s">
        <v>24</v>
      </c>
      <c r="I214" s="17">
        <f ca="1">DATE(YEAR(TODAY())-1,8,18)</f>
        <v>44426</v>
      </c>
      <c r="J214" s="17">
        <f ca="1">DATE(YEAR(TODAY())-1,8,24)</f>
        <v>44432</v>
      </c>
      <c r="K214" s="1" t="s">
        <v>16</v>
      </c>
      <c r="L214" s="1" t="s">
        <v>34</v>
      </c>
      <c r="M214" s="1">
        <v>887</v>
      </c>
      <c r="N214" s="1" cm="1">
        <f t="array" ref="N214">_xlfn.RANK.EQ(M214,total_money_spent)</f>
        <v>177</v>
      </c>
      <c r="O214" s="1">
        <f t="shared" ca="1" si="3"/>
        <v>6</v>
      </c>
    </row>
    <row r="215" spans="1:15" ht="13.8" x14ac:dyDescent="0.25">
      <c r="A215" s="1" t="s">
        <v>1061</v>
      </c>
      <c r="B215" s="1" t="s">
        <v>1062</v>
      </c>
      <c r="C215" s="1" t="s">
        <v>170</v>
      </c>
      <c r="D215" s="1" t="s">
        <v>171</v>
      </c>
      <c r="E215" s="1" t="s">
        <v>1063</v>
      </c>
      <c r="F215" s="1" t="s">
        <v>1064</v>
      </c>
      <c r="G215" s="1">
        <v>2006</v>
      </c>
      <c r="H215" s="1" t="s">
        <v>24</v>
      </c>
      <c r="I215" s="17">
        <f ca="1">DATE(YEAR(TODAY())-1,9,10)</f>
        <v>44449</v>
      </c>
      <c r="J215" s="17">
        <f ca="1">DATE(YEAR(TODAY())-1,9,16)</f>
        <v>44455</v>
      </c>
      <c r="K215" s="1" t="s">
        <v>25</v>
      </c>
      <c r="L215" s="1" t="s">
        <v>25</v>
      </c>
      <c r="M215" s="1">
        <v>898</v>
      </c>
      <c r="N215" s="1" cm="1">
        <f t="array" ref="N215">_xlfn.RANK.EQ(M215,total_money_spent)</f>
        <v>157</v>
      </c>
      <c r="O215" s="1">
        <f t="shared" ca="1" si="3"/>
        <v>6</v>
      </c>
    </row>
    <row r="216" spans="1:15" ht="13.8" x14ac:dyDescent="0.25">
      <c r="A216" s="1" t="s">
        <v>129</v>
      </c>
      <c r="B216" s="1" t="s">
        <v>130</v>
      </c>
      <c r="C216" s="1" t="s">
        <v>131</v>
      </c>
      <c r="D216" s="1" t="s">
        <v>132</v>
      </c>
      <c r="E216" s="1" t="s">
        <v>133</v>
      </c>
      <c r="F216" s="1" t="s">
        <v>134</v>
      </c>
      <c r="G216" s="1">
        <v>2004</v>
      </c>
      <c r="H216" s="1" t="s">
        <v>24</v>
      </c>
      <c r="I216" s="17">
        <f ca="1">DATE(YEAR(TODAY())-2,11,5)</f>
        <v>44140</v>
      </c>
      <c r="J216" s="17">
        <f ca="1">DATE(YEAR(TODAY())-2,11,7)</f>
        <v>44142</v>
      </c>
      <c r="K216" s="1" t="s">
        <v>34</v>
      </c>
      <c r="L216" s="1" t="s">
        <v>34</v>
      </c>
      <c r="M216" s="1">
        <v>713</v>
      </c>
      <c r="N216" s="1" cm="1">
        <f t="array" ref="N216">_xlfn.RANK.EQ(M216,total_money_spent)</f>
        <v>468</v>
      </c>
      <c r="O216" s="1">
        <f t="shared" ca="1" si="3"/>
        <v>2</v>
      </c>
    </row>
    <row r="217" spans="1:15" ht="13.8" x14ac:dyDescent="0.25">
      <c r="A217" s="1" t="s">
        <v>341</v>
      </c>
      <c r="B217" s="1" t="s">
        <v>342</v>
      </c>
      <c r="C217" s="1" t="s">
        <v>140</v>
      </c>
      <c r="D217" s="1" t="s">
        <v>140</v>
      </c>
      <c r="E217" s="1" t="s">
        <v>343</v>
      </c>
      <c r="F217" s="1" t="s">
        <v>344</v>
      </c>
      <c r="G217" s="1" t="s">
        <v>60</v>
      </c>
      <c r="H217" s="1" t="s">
        <v>32</v>
      </c>
      <c r="I217" s="17">
        <f ca="1">DATE(YEAR(TODAY())-1,9,24)</f>
        <v>44463</v>
      </c>
      <c r="J217" s="17">
        <f ca="1">DATE(YEAR(TODAY())-1,9,30)</f>
        <v>44469</v>
      </c>
      <c r="K217" s="1" t="s">
        <v>33</v>
      </c>
      <c r="L217" s="1" t="s">
        <v>34</v>
      </c>
      <c r="M217" s="1">
        <v>837</v>
      </c>
      <c r="N217" s="1" cm="1">
        <f t="array" ref="N217">_xlfn.RANK.EQ(M217,total_money_spent)</f>
        <v>239</v>
      </c>
      <c r="O217" s="1">
        <f t="shared" ca="1" si="3"/>
        <v>6</v>
      </c>
    </row>
    <row r="218" spans="1:15" ht="13.8" x14ac:dyDescent="0.25">
      <c r="A218" s="1" t="s">
        <v>952</v>
      </c>
      <c r="B218" s="1" t="s">
        <v>953</v>
      </c>
      <c r="C218" s="1" t="s">
        <v>954</v>
      </c>
      <c r="D218" s="1" t="s">
        <v>618</v>
      </c>
      <c r="E218" s="1" t="s">
        <v>955</v>
      </c>
      <c r="F218" s="1" t="s">
        <v>956</v>
      </c>
      <c r="G218" s="1">
        <v>2010</v>
      </c>
      <c r="H218" s="1" t="s">
        <v>44</v>
      </c>
      <c r="I218" s="17">
        <f ca="1">DATE(YEAR(TODAY())-1,9,14)</f>
        <v>44453</v>
      </c>
      <c r="J218" s="17">
        <f ca="1">DATE(YEAR(TODAY())-1,9,17)</f>
        <v>44456</v>
      </c>
      <c r="K218" s="1" t="s">
        <v>72</v>
      </c>
      <c r="L218" s="1" t="s">
        <v>73</v>
      </c>
      <c r="M218" s="1">
        <v>760</v>
      </c>
      <c r="N218" s="1" cm="1">
        <f t="array" ref="N218">_xlfn.RANK.EQ(M218,total_money_spent)</f>
        <v>396</v>
      </c>
      <c r="O218" s="1">
        <f t="shared" ca="1" si="3"/>
        <v>3</v>
      </c>
    </row>
    <row r="219" spans="1:15" ht="13.8" x14ac:dyDescent="0.25">
      <c r="A219" s="1" t="s">
        <v>733</v>
      </c>
      <c r="B219" s="1" t="s">
        <v>734</v>
      </c>
      <c r="C219" s="1" t="s">
        <v>372</v>
      </c>
      <c r="D219" s="1" t="s">
        <v>28</v>
      </c>
      <c r="E219" s="1" t="s">
        <v>735</v>
      </c>
      <c r="F219" s="1" t="s">
        <v>736</v>
      </c>
      <c r="G219" s="1">
        <v>2001</v>
      </c>
      <c r="H219" s="1" t="s">
        <v>24</v>
      </c>
      <c r="I219" s="17">
        <f ca="1">DATE(YEAR(TODAY())-1,5,20)</f>
        <v>44336</v>
      </c>
      <c r="J219" s="17">
        <f ca="1">DATE(YEAR(TODAY())-1,5,22)</f>
        <v>44338</v>
      </c>
      <c r="K219" s="1" t="s">
        <v>82</v>
      </c>
      <c r="L219" s="1" t="s">
        <v>34</v>
      </c>
      <c r="M219" s="1">
        <v>712</v>
      </c>
      <c r="N219" s="1" cm="1">
        <f t="array" ref="N219">_xlfn.RANK.EQ(M219,total_money_spent)</f>
        <v>469</v>
      </c>
      <c r="O219" s="1">
        <f t="shared" ca="1" si="3"/>
        <v>2</v>
      </c>
    </row>
    <row r="220" spans="1:15" ht="13.8" x14ac:dyDescent="0.25">
      <c r="A220" s="1" t="s">
        <v>275</v>
      </c>
      <c r="B220" s="1" t="s">
        <v>276</v>
      </c>
      <c r="C220" s="1" t="s">
        <v>235</v>
      </c>
      <c r="D220" s="1" t="s">
        <v>235</v>
      </c>
      <c r="E220" s="1" t="s">
        <v>277</v>
      </c>
      <c r="F220" s="1" t="s">
        <v>278</v>
      </c>
      <c r="G220" s="1">
        <v>2002</v>
      </c>
      <c r="H220" s="1" t="s">
        <v>24</v>
      </c>
      <c r="I220" s="17">
        <f ca="1">DATE(YEAR(TODAY())-2,10,22)</f>
        <v>44126</v>
      </c>
      <c r="J220" s="17">
        <f ca="1">DATE(YEAR(TODAY())-2,10,23)</f>
        <v>44127</v>
      </c>
      <c r="K220" s="1" t="s">
        <v>25</v>
      </c>
      <c r="L220" s="1" t="s">
        <v>25</v>
      </c>
      <c r="M220" s="1">
        <v>660</v>
      </c>
      <c r="N220" s="1" cm="1">
        <f t="array" ref="N220">_xlfn.RANK.EQ(M220,total_money_spent)</f>
        <v>557</v>
      </c>
      <c r="O220" s="1">
        <f t="shared" ca="1" si="3"/>
        <v>1</v>
      </c>
    </row>
    <row r="221" spans="1:15" ht="13.8" x14ac:dyDescent="0.25">
      <c r="A221" s="1" t="s">
        <v>779</v>
      </c>
      <c r="B221" s="1" t="s">
        <v>776</v>
      </c>
      <c r="C221" s="1" t="s">
        <v>28</v>
      </c>
      <c r="D221" s="1" t="s">
        <v>28</v>
      </c>
      <c r="E221" s="1" t="s">
        <v>777</v>
      </c>
      <c r="F221" s="1" t="s">
        <v>778</v>
      </c>
      <c r="G221" s="1">
        <v>3005</v>
      </c>
      <c r="H221" s="1" t="s">
        <v>203</v>
      </c>
      <c r="I221" s="17">
        <f ca="1">DATE(YEAR(TODAY())-2,12,12)</f>
        <v>44177</v>
      </c>
      <c r="J221" s="17">
        <f ca="1">DATE(YEAR(TODAY())-2,12,18)</f>
        <v>44183</v>
      </c>
      <c r="K221" s="1" t="s">
        <v>34</v>
      </c>
      <c r="L221" s="1" t="s">
        <v>34</v>
      </c>
      <c r="M221" s="1">
        <v>1073</v>
      </c>
      <c r="N221" s="1" cm="1">
        <f t="array" ref="N221">_xlfn.RANK.EQ(M221,total_money_spent)</f>
        <v>28</v>
      </c>
      <c r="O221" s="1">
        <f t="shared" ca="1" si="3"/>
        <v>6</v>
      </c>
    </row>
    <row r="222" spans="1:15" ht="13.8" x14ac:dyDescent="0.25">
      <c r="A222" s="1" t="s">
        <v>546</v>
      </c>
      <c r="B222" s="1" t="s">
        <v>547</v>
      </c>
      <c r="C222" s="1" t="s">
        <v>118</v>
      </c>
      <c r="D222" s="1" t="s">
        <v>119</v>
      </c>
      <c r="E222" s="1" t="s">
        <v>548</v>
      </c>
      <c r="F222" s="1" t="s">
        <v>549</v>
      </c>
      <c r="G222" s="1">
        <v>2007</v>
      </c>
      <c r="H222" s="1" t="s">
        <v>44</v>
      </c>
      <c r="I222" s="17">
        <f ca="1">DATE(YEAR(TODAY())-1,7,28)</f>
        <v>44405</v>
      </c>
      <c r="J222" s="17">
        <f ca="1">DATE(YEAR(TODAY())-1,7,31)</f>
        <v>44408</v>
      </c>
      <c r="K222" s="1" t="s">
        <v>87</v>
      </c>
      <c r="L222" s="1" t="s">
        <v>73</v>
      </c>
      <c r="M222" s="1">
        <v>772</v>
      </c>
      <c r="N222" s="1" cm="1">
        <f t="array" ref="N222">_xlfn.RANK.EQ(M222,total_money_spent)</f>
        <v>372</v>
      </c>
      <c r="O222" s="1">
        <f t="shared" ca="1" si="3"/>
        <v>3</v>
      </c>
    </row>
    <row r="223" spans="1:15" ht="13.8" x14ac:dyDescent="0.25">
      <c r="A223" s="1" t="s">
        <v>1066</v>
      </c>
      <c r="B223" s="1" t="s">
        <v>1062</v>
      </c>
      <c r="C223" s="1" t="s">
        <v>504</v>
      </c>
      <c r="D223" s="1" t="s">
        <v>187</v>
      </c>
      <c r="E223" s="1" t="s">
        <v>1063</v>
      </c>
      <c r="F223" s="1" t="s">
        <v>1064</v>
      </c>
      <c r="G223" s="1" t="s">
        <v>226</v>
      </c>
      <c r="H223" s="1" t="s">
        <v>32</v>
      </c>
      <c r="I223" s="17">
        <f ca="1">DATE(YEAR(TODAY())-1,4,23)</f>
        <v>44309</v>
      </c>
      <c r="J223" s="17">
        <f ca="1">DATE(YEAR(TODAY())-1,4,28)</f>
        <v>44314</v>
      </c>
      <c r="K223" s="1" t="s">
        <v>34</v>
      </c>
      <c r="L223" s="1" t="s">
        <v>34</v>
      </c>
      <c r="M223" s="1">
        <v>799</v>
      </c>
      <c r="N223" s="1" cm="1">
        <f t="array" ref="N223">_xlfn.RANK.EQ(M223,total_money_spent)</f>
        <v>295</v>
      </c>
      <c r="O223" s="1">
        <f t="shared" ca="1" si="3"/>
        <v>5</v>
      </c>
    </row>
    <row r="224" spans="1:15" ht="13.8" x14ac:dyDescent="0.25">
      <c r="A224" s="1" t="s">
        <v>99</v>
      </c>
      <c r="B224" s="1" t="s">
        <v>100</v>
      </c>
      <c r="C224" s="1" t="s">
        <v>101</v>
      </c>
      <c r="D224" s="1" t="s">
        <v>102</v>
      </c>
      <c r="E224" s="1" t="s">
        <v>103</v>
      </c>
      <c r="F224" s="1" t="s">
        <v>104</v>
      </c>
      <c r="G224" s="1">
        <v>2003</v>
      </c>
      <c r="H224" s="1" t="s">
        <v>24</v>
      </c>
      <c r="I224" s="17">
        <f ca="1">DATE(YEAR(TODAY())-1,7,19)</f>
        <v>44396</v>
      </c>
      <c r="J224" s="17">
        <f ca="1">DATE(YEAR(TODAY())-1,7,20)</f>
        <v>44397</v>
      </c>
      <c r="K224" s="1" t="s">
        <v>72</v>
      </c>
      <c r="L224" s="1" t="s">
        <v>73</v>
      </c>
      <c r="M224" s="1">
        <v>667</v>
      </c>
      <c r="N224" s="1" cm="1">
        <f t="array" ref="N224">_xlfn.RANK.EQ(M224,total_money_spent)</f>
        <v>529</v>
      </c>
      <c r="O224" s="1">
        <f t="shared" ca="1" si="3"/>
        <v>1</v>
      </c>
    </row>
    <row r="225" spans="1:15" ht="13.8" x14ac:dyDescent="0.25">
      <c r="A225" s="1" t="s">
        <v>150</v>
      </c>
      <c r="B225" s="1" t="s">
        <v>151</v>
      </c>
      <c r="C225" s="1" t="s">
        <v>152</v>
      </c>
      <c r="D225" s="1" t="s">
        <v>153</v>
      </c>
      <c r="E225" s="1" t="s">
        <v>154</v>
      </c>
      <c r="F225" s="1" t="s">
        <v>155</v>
      </c>
      <c r="G225" s="1" t="s">
        <v>60</v>
      </c>
      <c r="H225" s="1" t="s">
        <v>32</v>
      </c>
      <c r="I225" s="17">
        <f ca="1">DATE(YEAR(TODAY())-1,2,26)</f>
        <v>44253</v>
      </c>
      <c r="J225" s="17">
        <f ca="1">DATE(YEAR(TODAY())-1,2,29)</f>
        <v>44256</v>
      </c>
      <c r="K225" s="1" t="s">
        <v>136</v>
      </c>
      <c r="L225" s="1" t="s">
        <v>137</v>
      </c>
      <c r="M225" s="1">
        <v>733</v>
      </c>
      <c r="N225" s="1" cm="1">
        <f t="array" ref="N225">_xlfn.RANK.EQ(M225,total_money_spent)</f>
        <v>446</v>
      </c>
      <c r="O225" s="1">
        <f t="shared" ca="1" si="3"/>
        <v>3</v>
      </c>
    </row>
    <row r="226" spans="1:15" ht="13.8" x14ac:dyDescent="0.25">
      <c r="A226" s="1" t="s">
        <v>1266</v>
      </c>
      <c r="B226" s="1" t="s">
        <v>1263</v>
      </c>
      <c r="C226" s="1" t="s">
        <v>246</v>
      </c>
      <c r="D226" s="1" t="s">
        <v>247</v>
      </c>
      <c r="F226" s="1" t="s">
        <v>1265</v>
      </c>
      <c r="G226" s="1" t="s">
        <v>115</v>
      </c>
      <c r="H226" s="1" t="s">
        <v>32</v>
      </c>
      <c r="I226" s="17">
        <f ca="1">DATE(YEAR(TODAY())-1,1,27)</f>
        <v>44223</v>
      </c>
      <c r="J226" s="17">
        <f ca="1">DATE(YEAR(TODAY())-1,2,3)</f>
        <v>44230</v>
      </c>
      <c r="K226" s="1" t="s">
        <v>34</v>
      </c>
      <c r="L226" s="1" t="s">
        <v>34</v>
      </c>
      <c r="M226" s="1">
        <v>909</v>
      </c>
      <c r="N226" s="1" cm="1">
        <f t="array" ref="N226">_xlfn.RANK.EQ(M226,total_money_spent)</f>
        <v>128</v>
      </c>
      <c r="O226" s="1">
        <f t="shared" ca="1" si="3"/>
        <v>7</v>
      </c>
    </row>
    <row r="227" spans="1:15" ht="13.8" x14ac:dyDescent="0.25">
      <c r="A227" s="1" t="s">
        <v>1296</v>
      </c>
      <c r="B227" s="1" t="s">
        <v>1297</v>
      </c>
      <c r="C227" s="1" t="s">
        <v>152</v>
      </c>
      <c r="D227" s="1" t="s">
        <v>153</v>
      </c>
      <c r="E227" s="1" t="s">
        <v>1298</v>
      </c>
      <c r="F227" s="1" t="s">
        <v>1299</v>
      </c>
      <c r="G227" s="1">
        <v>3002</v>
      </c>
      <c r="H227" s="1" t="s">
        <v>81</v>
      </c>
      <c r="I227" s="17">
        <f ca="1">DATE(YEAR(TODAY())-1,2,27)</f>
        <v>44254</v>
      </c>
      <c r="J227" s="17">
        <f ca="1">DATE(YEAR(TODAY())-1,2,28)</f>
        <v>44255</v>
      </c>
      <c r="K227" s="1" t="s">
        <v>82</v>
      </c>
      <c r="L227" s="1" t="s">
        <v>34</v>
      </c>
      <c r="M227" s="1">
        <v>661</v>
      </c>
      <c r="N227" s="1" cm="1">
        <f t="array" ref="N227">_xlfn.RANK.EQ(M227,total_money_spent)</f>
        <v>553</v>
      </c>
      <c r="O227" s="1">
        <f t="shared" ca="1" si="3"/>
        <v>1</v>
      </c>
    </row>
    <row r="228" spans="1:15" ht="13.8" x14ac:dyDescent="0.25">
      <c r="A228" s="1" t="s">
        <v>184</v>
      </c>
      <c r="B228" s="1" t="s">
        <v>185</v>
      </c>
      <c r="C228" s="1" t="s">
        <v>186</v>
      </c>
      <c r="D228" s="1" t="s">
        <v>187</v>
      </c>
      <c r="E228" s="1" t="s">
        <v>188</v>
      </c>
      <c r="F228" s="1" t="s">
        <v>189</v>
      </c>
      <c r="G228" s="1">
        <v>2002</v>
      </c>
      <c r="H228" s="1" t="s">
        <v>24</v>
      </c>
      <c r="I228" s="17">
        <f ca="1">DATE(YEAR(TODAY())-1,6,11)</f>
        <v>44358</v>
      </c>
      <c r="J228" s="17">
        <f ca="1">DATE(YEAR(TODAY())-1,6,18)</f>
        <v>44365</v>
      </c>
      <c r="K228" s="1" t="s">
        <v>82</v>
      </c>
      <c r="L228" s="1" t="s">
        <v>34</v>
      </c>
      <c r="M228" s="1">
        <v>967</v>
      </c>
      <c r="N228" s="1" cm="1">
        <f t="array" ref="N228">_xlfn.RANK.EQ(M228,total_money_spent)</f>
        <v>83</v>
      </c>
      <c r="O228" s="1">
        <f t="shared" ca="1" si="3"/>
        <v>7</v>
      </c>
    </row>
    <row r="229" spans="1:15" ht="13.8" x14ac:dyDescent="0.25">
      <c r="A229" s="1" t="s">
        <v>89</v>
      </c>
      <c r="B229" s="1" t="s">
        <v>90</v>
      </c>
      <c r="C229" s="1" t="s">
        <v>91</v>
      </c>
      <c r="D229" s="1" t="s">
        <v>91</v>
      </c>
      <c r="E229" s="1" t="s">
        <v>92</v>
      </c>
      <c r="F229" s="1" t="s">
        <v>93</v>
      </c>
      <c r="G229" s="1">
        <v>2002</v>
      </c>
      <c r="H229" s="1" t="s">
        <v>24</v>
      </c>
      <c r="I229" s="17">
        <f ca="1">DATE(YEAR(TODAY())-1,6,29)</f>
        <v>44376</v>
      </c>
      <c r="J229" s="17">
        <f ca="1">DATE(YEAR(TODAY())-1,7,4)</f>
        <v>44381</v>
      </c>
      <c r="K229" s="1" t="s">
        <v>16</v>
      </c>
      <c r="L229" s="1" t="s">
        <v>34</v>
      </c>
      <c r="M229" s="1">
        <v>851</v>
      </c>
      <c r="N229" s="1" cm="1">
        <f t="array" ref="N229">_xlfn.RANK.EQ(M229,total_money_spent)</f>
        <v>212</v>
      </c>
      <c r="O229" s="1">
        <f t="shared" ca="1" si="3"/>
        <v>5</v>
      </c>
    </row>
    <row r="230" spans="1:15" ht="13.8" x14ac:dyDescent="0.25">
      <c r="A230" s="1" t="s">
        <v>1109</v>
      </c>
      <c r="B230" s="1" t="s">
        <v>1110</v>
      </c>
      <c r="C230" s="1" t="s">
        <v>101</v>
      </c>
      <c r="D230" s="1" t="s">
        <v>102</v>
      </c>
      <c r="E230" s="1" t="s">
        <v>1111</v>
      </c>
      <c r="F230" s="1" t="s">
        <v>1112</v>
      </c>
      <c r="G230" s="1">
        <v>2002</v>
      </c>
      <c r="H230" s="1" t="s">
        <v>24</v>
      </c>
      <c r="I230" s="17">
        <f ca="1">DATE(YEAR(TODAY())-1,1,1)</f>
        <v>44197</v>
      </c>
      <c r="J230" s="17">
        <f ca="1">DATE(YEAR(TODAY())-1,1,6)</f>
        <v>44202</v>
      </c>
      <c r="K230" s="1" t="s">
        <v>34</v>
      </c>
      <c r="L230" s="1" t="s">
        <v>34</v>
      </c>
      <c r="M230" s="1">
        <v>854</v>
      </c>
      <c r="N230" s="1" cm="1">
        <f t="array" ref="N230">_xlfn.RANK.EQ(M230,total_money_spent)</f>
        <v>205</v>
      </c>
      <c r="O230" s="1">
        <f t="shared" ca="1" si="3"/>
        <v>5</v>
      </c>
    </row>
    <row r="231" spans="1:15" ht="13.8" x14ac:dyDescent="0.25">
      <c r="A231" s="1" t="s">
        <v>825</v>
      </c>
      <c r="B231" s="1" t="s">
        <v>826</v>
      </c>
      <c r="C231" s="1" t="s">
        <v>372</v>
      </c>
      <c r="D231" s="1" t="s">
        <v>28</v>
      </c>
      <c r="E231" s="1" t="s">
        <v>827</v>
      </c>
      <c r="F231" s="1" t="s">
        <v>828</v>
      </c>
      <c r="G231" s="1">
        <v>2006</v>
      </c>
      <c r="H231" s="1" t="s">
        <v>24</v>
      </c>
      <c r="I231" s="17">
        <f ca="1">DATE(YEAR(TODAY())-2,12,14)</f>
        <v>44179</v>
      </c>
      <c r="J231" s="17">
        <f ca="1">DATE(YEAR(TODAY())-2,12,17)</f>
        <v>44182</v>
      </c>
      <c r="K231" s="1" t="s">
        <v>33</v>
      </c>
      <c r="L231" s="1" t="s">
        <v>34</v>
      </c>
      <c r="M231" s="1">
        <v>776</v>
      </c>
      <c r="N231" s="1" cm="1">
        <f t="array" ref="N231">_xlfn.RANK.EQ(M231,total_money_spent)</f>
        <v>358</v>
      </c>
      <c r="O231" s="1">
        <f t="shared" ca="1" si="3"/>
        <v>3</v>
      </c>
    </row>
    <row r="232" spans="1:15" ht="13.8" x14ac:dyDescent="0.25">
      <c r="A232" s="1" t="s">
        <v>1323</v>
      </c>
      <c r="B232" s="1" t="s">
        <v>1320</v>
      </c>
      <c r="C232" s="1" t="s">
        <v>106</v>
      </c>
      <c r="D232" s="1" t="s">
        <v>107</v>
      </c>
      <c r="E232" s="1" t="s">
        <v>1321</v>
      </c>
      <c r="F232" s="1" t="s">
        <v>1322</v>
      </c>
      <c r="G232" s="1">
        <v>2010</v>
      </c>
      <c r="H232" s="1" t="s">
        <v>44</v>
      </c>
      <c r="I232" s="17">
        <f ca="1">DATE(YEAR(TODAY())-1,2,17)</f>
        <v>44244</v>
      </c>
      <c r="J232" s="17">
        <f ca="1">DATE(YEAR(TODAY())-1,2,21)</f>
        <v>44248</v>
      </c>
      <c r="K232" s="1" t="s">
        <v>82</v>
      </c>
      <c r="L232" s="1" t="s">
        <v>34</v>
      </c>
      <c r="M232" s="1">
        <v>825</v>
      </c>
      <c r="N232" s="1" cm="1">
        <f t="array" ref="N232">_xlfn.RANK.EQ(M232,total_money_spent)</f>
        <v>258</v>
      </c>
      <c r="O232" s="1">
        <f t="shared" ca="1" si="3"/>
        <v>4</v>
      </c>
    </row>
    <row r="233" spans="1:15" ht="13.8" x14ac:dyDescent="0.25">
      <c r="A233" s="1" t="s">
        <v>1490</v>
      </c>
      <c r="B233" s="1" t="s">
        <v>1491</v>
      </c>
      <c r="C233" s="1" t="s">
        <v>235</v>
      </c>
      <c r="D233" s="1" t="s">
        <v>235</v>
      </c>
      <c r="E233" s="1" t="s">
        <v>1492</v>
      </c>
      <c r="F233" s="1" t="s">
        <v>1493</v>
      </c>
      <c r="G233" s="1">
        <v>2002</v>
      </c>
      <c r="H233" s="1" t="s">
        <v>24</v>
      </c>
      <c r="I233" s="17">
        <f ca="1">DATE(YEAR(TODAY())-1,7,31)</f>
        <v>44408</v>
      </c>
      <c r="J233" s="17">
        <f ca="1">DATE(YEAR(TODAY())-1,8,7)</f>
        <v>44415</v>
      </c>
      <c r="K233" s="1" t="s">
        <v>82</v>
      </c>
      <c r="L233" s="1" t="s">
        <v>34</v>
      </c>
      <c r="M233" s="1">
        <v>979</v>
      </c>
      <c r="N233" s="1" cm="1">
        <f t="array" ref="N233">_xlfn.RANK.EQ(M233,total_money_spent)</f>
        <v>62</v>
      </c>
      <c r="O233" s="1">
        <f t="shared" ca="1" si="3"/>
        <v>7</v>
      </c>
    </row>
    <row r="234" spans="1:15" ht="13.8" x14ac:dyDescent="0.25">
      <c r="A234" s="1" t="s">
        <v>1094</v>
      </c>
      <c r="B234" s="1" t="s">
        <v>1091</v>
      </c>
      <c r="C234" s="1" t="s">
        <v>170</v>
      </c>
      <c r="D234" s="1" t="s">
        <v>171</v>
      </c>
      <c r="E234" s="1" t="s">
        <v>1092</v>
      </c>
      <c r="F234" s="1" t="s">
        <v>1093</v>
      </c>
      <c r="G234" s="1">
        <v>2009</v>
      </c>
      <c r="H234" s="1" t="s">
        <v>44</v>
      </c>
      <c r="I234" s="17">
        <f ca="1">DATE(YEAR(TODAY())-1,2,11)</f>
        <v>44238</v>
      </c>
      <c r="J234" s="17">
        <f ca="1">DATE(YEAR(TODAY())-1,2,14)</f>
        <v>44241</v>
      </c>
      <c r="K234" s="1" t="s">
        <v>33</v>
      </c>
      <c r="L234" s="1" t="s">
        <v>34</v>
      </c>
      <c r="M234" s="1">
        <v>767</v>
      </c>
      <c r="N234" s="1" cm="1">
        <f t="array" ref="N234">_xlfn.RANK.EQ(M234,total_money_spent)</f>
        <v>382</v>
      </c>
      <c r="O234" s="1">
        <f t="shared" ca="1" si="3"/>
        <v>3</v>
      </c>
    </row>
    <row r="235" spans="1:15" ht="13.8" x14ac:dyDescent="0.25">
      <c r="A235" s="1" t="s">
        <v>51</v>
      </c>
      <c r="B235" s="1" t="s">
        <v>46</v>
      </c>
      <c r="C235" s="1" t="s">
        <v>52</v>
      </c>
      <c r="D235" s="1" t="s">
        <v>53</v>
      </c>
      <c r="E235" s="1" t="s">
        <v>49</v>
      </c>
      <c r="F235" s="1" t="s">
        <v>50</v>
      </c>
      <c r="G235" s="1" t="s">
        <v>54</v>
      </c>
      <c r="H235" s="1" t="s">
        <v>32</v>
      </c>
      <c r="I235" s="17">
        <f ca="1">DATE(YEAR(TODAY())-1,4,9)</f>
        <v>44295</v>
      </c>
      <c r="J235" s="17">
        <f ca="1">DATE(YEAR(TODAY())-1,4,13)</f>
        <v>44299</v>
      </c>
      <c r="K235" s="1" t="s">
        <v>33</v>
      </c>
      <c r="L235" s="1" t="s">
        <v>34</v>
      </c>
      <c r="M235" s="1">
        <v>802</v>
      </c>
      <c r="N235" s="1" cm="1">
        <f t="array" ref="N235">_xlfn.RANK.EQ(M235,total_money_spent)</f>
        <v>286</v>
      </c>
      <c r="O235" s="1">
        <f t="shared" ca="1" si="3"/>
        <v>4</v>
      </c>
    </row>
    <row r="236" spans="1:15" ht="13.8" x14ac:dyDescent="0.25">
      <c r="A236" s="1" t="s">
        <v>886</v>
      </c>
      <c r="B236" s="1" t="s">
        <v>887</v>
      </c>
      <c r="C236" s="1" t="s">
        <v>57</v>
      </c>
      <c r="D236" s="1" t="s">
        <v>57</v>
      </c>
      <c r="E236" s="1" t="s">
        <v>888</v>
      </c>
      <c r="F236" s="1" t="s">
        <v>889</v>
      </c>
      <c r="G236" s="1" t="s">
        <v>31</v>
      </c>
      <c r="H236" s="1" t="s">
        <v>32</v>
      </c>
      <c r="I236" s="17">
        <f ca="1">DATE(YEAR(TODAY())-1,8,23)</f>
        <v>44431</v>
      </c>
      <c r="J236" s="17">
        <f ca="1">DATE(YEAR(TODAY())-1,8,30)</f>
        <v>44438</v>
      </c>
      <c r="K236" s="1" t="s">
        <v>16</v>
      </c>
      <c r="L236" s="1" t="s">
        <v>34</v>
      </c>
      <c r="M236" s="1">
        <v>904</v>
      </c>
      <c r="N236" s="1" cm="1">
        <f t="array" ref="N236">_xlfn.RANK.EQ(M236,total_money_spent)</f>
        <v>143</v>
      </c>
      <c r="O236" s="1">
        <f t="shared" ca="1" si="3"/>
        <v>7</v>
      </c>
    </row>
    <row r="237" spans="1:15" ht="13.8" x14ac:dyDescent="0.25">
      <c r="A237" s="1" t="s">
        <v>489</v>
      </c>
      <c r="B237" s="1" t="s">
        <v>490</v>
      </c>
      <c r="C237" s="1" t="s">
        <v>229</v>
      </c>
      <c r="D237" s="1" t="s">
        <v>230</v>
      </c>
      <c r="F237" s="1" t="s">
        <v>491</v>
      </c>
      <c r="G237" s="1">
        <v>3001</v>
      </c>
      <c r="H237" s="1" t="s">
        <v>81</v>
      </c>
      <c r="I237" s="17">
        <f ca="1">DATE(YEAR(TODAY())-1,6,18)</f>
        <v>44365</v>
      </c>
      <c r="J237" s="17">
        <f ca="1">DATE(YEAR(TODAY())-1,6,25)</f>
        <v>44372</v>
      </c>
      <c r="K237" s="1" t="s">
        <v>25</v>
      </c>
      <c r="L237" s="1" t="s">
        <v>25</v>
      </c>
      <c r="M237" s="1">
        <v>1124</v>
      </c>
      <c r="N237" s="1" cm="1">
        <f t="array" ref="N237">_xlfn.RANK.EQ(M237,total_money_spent)</f>
        <v>19</v>
      </c>
      <c r="O237" s="1">
        <f t="shared" ca="1" si="3"/>
        <v>7</v>
      </c>
    </row>
    <row r="238" spans="1:15" ht="13.8" x14ac:dyDescent="0.25">
      <c r="A238" s="1" t="s">
        <v>678</v>
      </c>
      <c r="B238" s="1" t="s">
        <v>679</v>
      </c>
      <c r="C238" s="1" t="s">
        <v>110</v>
      </c>
      <c r="D238" s="1" t="s">
        <v>111</v>
      </c>
      <c r="E238" s="1" t="s">
        <v>680</v>
      </c>
      <c r="F238" s="1" t="s">
        <v>681</v>
      </c>
      <c r="G238" s="1">
        <v>2006</v>
      </c>
      <c r="H238" s="1" t="s">
        <v>24</v>
      </c>
      <c r="I238" s="17">
        <f ca="1">DATE(YEAR(TODAY())-2,10,18)</f>
        <v>44122</v>
      </c>
      <c r="J238" s="17">
        <f ca="1">DATE(YEAR(TODAY())-2,10,25)</f>
        <v>44129</v>
      </c>
      <c r="K238" s="1" t="s">
        <v>87</v>
      </c>
      <c r="L238" s="1" t="s">
        <v>73</v>
      </c>
      <c r="M238" s="1">
        <v>972</v>
      </c>
      <c r="N238" s="1" cm="1">
        <f t="array" ref="N238">_xlfn.RANK.EQ(M238,total_money_spent)</f>
        <v>76</v>
      </c>
      <c r="O238" s="1">
        <f t="shared" ca="1" si="3"/>
        <v>7</v>
      </c>
    </row>
    <row r="239" spans="1:15" ht="13.8" x14ac:dyDescent="0.25">
      <c r="A239" s="1" t="s">
        <v>797</v>
      </c>
      <c r="B239" s="1" t="s">
        <v>794</v>
      </c>
      <c r="C239" s="1" t="s">
        <v>197</v>
      </c>
      <c r="D239" s="1" t="s">
        <v>198</v>
      </c>
      <c r="E239" s="1" t="s">
        <v>795</v>
      </c>
      <c r="F239" s="1" t="s">
        <v>796</v>
      </c>
      <c r="G239" s="1">
        <v>3002</v>
      </c>
      <c r="H239" s="1" t="s">
        <v>81</v>
      </c>
      <c r="I239" s="17">
        <f ca="1">DATE(YEAR(TODAY())-2,12,18)</f>
        <v>44183</v>
      </c>
      <c r="J239" s="17">
        <f ca="1">DATE(YEAR(TODAY())-2,12,23)</f>
        <v>44188</v>
      </c>
      <c r="K239" s="1" t="s">
        <v>87</v>
      </c>
      <c r="L239" s="1" t="s">
        <v>73</v>
      </c>
      <c r="M239" s="1">
        <v>890</v>
      </c>
      <c r="N239" s="1" cm="1">
        <f t="array" ref="N239">_xlfn.RANK.EQ(M239,total_money_spent)</f>
        <v>173</v>
      </c>
      <c r="O239" s="1">
        <f t="shared" ca="1" si="3"/>
        <v>5</v>
      </c>
    </row>
    <row r="240" spans="1:15" ht="13.8" x14ac:dyDescent="0.25">
      <c r="A240" s="1" t="s">
        <v>818</v>
      </c>
      <c r="B240" s="1" t="s">
        <v>815</v>
      </c>
      <c r="C240" s="1" t="s">
        <v>197</v>
      </c>
      <c r="D240" s="1" t="s">
        <v>198</v>
      </c>
      <c r="F240" s="1" t="s">
        <v>817</v>
      </c>
      <c r="G240" s="1">
        <v>3005</v>
      </c>
      <c r="H240" s="1" t="s">
        <v>203</v>
      </c>
      <c r="I240" s="17">
        <f ca="1">DATE(YEAR(TODAY())-1,4,22)</f>
        <v>44308</v>
      </c>
      <c r="J240" s="17">
        <f ca="1">DATE(YEAR(TODAY())-1,4,24)</f>
        <v>44310</v>
      </c>
      <c r="K240" s="1" t="s">
        <v>16</v>
      </c>
      <c r="L240" s="1" t="s">
        <v>34</v>
      </c>
      <c r="M240" s="1">
        <v>739</v>
      </c>
      <c r="N240" s="1" cm="1">
        <f t="array" ref="N240">_xlfn.RANK.EQ(M240,total_money_spent)</f>
        <v>430</v>
      </c>
      <c r="O240" s="1">
        <f t="shared" ca="1" si="3"/>
        <v>2</v>
      </c>
    </row>
    <row r="241" spans="1:15" ht="13.8" x14ac:dyDescent="0.25">
      <c r="A241" s="1" t="s">
        <v>461</v>
      </c>
      <c r="B241" s="1" t="s">
        <v>458</v>
      </c>
      <c r="C241" s="1" t="s">
        <v>166</v>
      </c>
      <c r="D241" s="1" t="s">
        <v>166</v>
      </c>
      <c r="E241" s="1" t="s">
        <v>459</v>
      </c>
      <c r="F241" s="1" t="s">
        <v>460</v>
      </c>
      <c r="G241" s="1">
        <v>2010</v>
      </c>
      <c r="H241" s="1" t="s">
        <v>44</v>
      </c>
      <c r="I241" s="17">
        <f ca="1">DATE(YEAR(TODAY())-1,7,30)</f>
        <v>44407</v>
      </c>
      <c r="J241" s="17">
        <f ca="1">DATE(YEAR(TODAY())-1,8,5)</f>
        <v>44413</v>
      </c>
      <c r="K241" s="1" t="s">
        <v>34</v>
      </c>
      <c r="L241" s="1" t="s">
        <v>34</v>
      </c>
      <c r="M241" s="1">
        <v>978</v>
      </c>
      <c r="N241" s="1" cm="1">
        <f t="array" ref="N241">_xlfn.RANK.EQ(M241,total_money_spent)</f>
        <v>64</v>
      </c>
      <c r="O241" s="1">
        <f t="shared" ca="1" si="3"/>
        <v>6</v>
      </c>
    </row>
    <row r="242" spans="1:15" ht="13.8" x14ac:dyDescent="0.25">
      <c r="A242" s="1" t="s">
        <v>475</v>
      </c>
      <c r="B242" s="1" t="s">
        <v>471</v>
      </c>
      <c r="C242" s="1" t="s">
        <v>57</v>
      </c>
      <c r="D242" s="1" t="s">
        <v>57</v>
      </c>
      <c r="E242" s="1" t="s">
        <v>472</v>
      </c>
      <c r="F242" s="1" t="s">
        <v>473</v>
      </c>
      <c r="G242" s="1" t="s">
        <v>60</v>
      </c>
      <c r="H242" s="1" t="s">
        <v>32</v>
      </c>
      <c r="I242" s="17">
        <f ca="1">DATE(YEAR(TODAY())-1,8,8)</f>
        <v>44416</v>
      </c>
      <c r="J242" s="17">
        <f ca="1">DATE(YEAR(TODAY())-1,8,11)</f>
        <v>44419</v>
      </c>
      <c r="K242" s="1" t="s">
        <v>33</v>
      </c>
      <c r="L242" s="1" t="s">
        <v>34</v>
      </c>
      <c r="M242" s="1">
        <v>731</v>
      </c>
      <c r="N242" s="1" cm="1">
        <f t="array" ref="N242">_xlfn.RANK.EQ(M242,total_money_spent)</f>
        <v>449</v>
      </c>
      <c r="O242" s="1">
        <f t="shared" ca="1" si="3"/>
        <v>3</v>
      </c>
    </row>
    <row r="243" spans="1:15" ht="13.8" x14ac:dyDescent="0.25">
      <c r="A243" s="1" t="s">
        <v>227</v>
      </c>
      <c r="B243" s="1" t="s">
        <v>228</v>
      </c>
      <c r="C243" s="1" t="s">
        <v>229</v>
      </c>
      <c r="D243" s="1" t="s">
        <v>230</v>
      </c>
      <c r="E243" s="1" t="s">
        <v>231</v>
      </c>
      <c r="F243" s="1" t="s">
        <v>232</v>
      </c>
      <c r="G243" s="1">
        <v>2001</v>
      </c>
      <c r="H243" s="1" t="s">
        <v>24</v>
      </c>
      <c r="I243" s="17">
        <f ca="1">DATE(YEAR(TODAY())-1,4,29)</f>
        <v>44315</v>
      </c>
      <c r="J243" s="17">
        <f ca="1">DATE(YEAR(TODAY())-1,4,30)</f>
        <v>44316</v>
      </c>
      <c r="K243" s="1" t="s">
        <v>136</v>
      </c>
      <c r="L243" s="1" t="s">
        <v>137</v>
      </c>
      <c r="M243" s="1">
        <v>659</v>
      </c>
      <c r="N243" s="1" cm="1">
        <f t="array" ref="N243">_xlfn.RANK.EQ(M243,total_money_spent)</f>
        <v>561</v>
      </c>
      <c r="O243" s="1">
        <f t="shared" ca="1" si="3"/>
        <v>1</v>
      </c>
    </row>
    <row r="244" spans="1:15" ht="13.8" x14ac:dyDescent="0.25">
      <c r="A244" s="1" t="s">
        <v>937</v>
      </c>
      <c r="B244" s="1" t="s">
        <v>938</v>
      </c>
      <c r="C244" s="1" t="s">
        <v>147</v>
      </c>
      <c r="D244" s="1" t="s">
        <v>147</v>
      </c>
      <c r="E244" s="1" t="s">
        <v>939</v>
      </c>
      <c r="F244" s="1" t="s">
        <v>940</v>
      </c>
      <c r="G244" s="1">
        <v>2002</v>
      </c>
      <c r="H244" s="1" t="s">
        <v>24</v>
      </c>
      <c r="I244" s="17">
        <f ca="1">DATE(YEAR(TODAY())-1,7,17)</f>
        <v>44394</v>
      </c>
      <c r="J244" s="17">
        <f ca="1">DATE(YEAR(TODAY())-1,7,18)</f>
        <v>44395</v>
      </c>
      <c r="K244" s="1" t="s">
        <v>16</v>
      </c>
      <c r="L244" s="1" t="s">
        <v>34</v>
      </c>
      <c r="M244" s="1">
        <v>670</v>
      </c>
      <c r="N244" s="1" cm="1">
        <f t="array" ref="N244">_xlfn.RANK.EQ(M244,total_money_spent)</f>
        <v>519</v>
      </c>
      <c r="O244" s="1">
        <f t="shared" ca="1" si="3"/>
        <v>1</v>
      </c>
    </row>
    <row r="245" spans="1:15" ht="13.8" x14ac:dyDescent="0.25">
      <c r="A245" s="1" t="s">
        <v>849</v>
      </c>
      <c r="B245" s="1" t="s">
        <v>846</v>
      </c>
      <c r="C245" s="1" t="s">
        <v>125</v>
      </c>
      <c r="D245" s="1" t="s">
        <v>126</v>
      </c>
      <c r="E245" s="1" t="s">
        <v>847</v>
      </c>
      <c r="F245" s="1" t="s">
        <v>848</v>
      </c>
      <c r="G245" s="1">
        <v>3003</v>
      </c>
      <c r="H245" s="1" t="s">
        <v>81</v>
      </c>
      <c r="I245" s="17">
        <f ca="1">DATE(YEAR(TODAY())-2,11,27)</f>
        <v>44162</v>
      </c>
      <c r="J245" s="17">
        <f ca="1">DATE(YEAR(TODAY())-2,12,3)</f>
        <v>44168</v>
      </c>
      <c r="K245" s="1" t="s">
        <v>136</v>
      </c>
      <c r="L245" s="1" t="s">
        <v>137</v>
      </c>
      <c r="M245" s="1">
        <v>1002</v>
      </c>
      <c r="N245" s="1" cm="1">
        <f t="array" ref="N245">_xlfn.RANK.EQ(M245,total_money_spent)</f>
        <v>53</v>
      </c>
      <c r="O245" s="1">
        <f t="shared" ca="1" si="3"/>
        <v>6</v>
      </c>
    </row>
    <row r="246" spans="1:15" ht="13.8" x14ac:dyDescent="0.25">
      <c r="A246" s="1" t="s">
        <v>1338</v>
      </c>
      <c r="B246" s="1" t="s">
        <v>1339</v>
      </c>
      <c r="C246" s="1" t="s">
        <v>197</v>
      </c>
      <c r="D246" s="1" t="s">
        <v>198</v>
      </c>
      <c r="F246" s="1" t="s">
        <v>1340</v>
      </c>
      <c r="G246" s="1">
        <v>2002</v>
      </c>
      <c r="H246" s="1" t="s">
        <v>24</v>
      </c>
      <c r="I246" s="17">
        <f ca="1">DATE(YEAR(TODAY())-2,11,21)</f>
        <v>44156</v>
      </c>
      <c r="J246" s="17">
        <f ca="1">DATE(YEAR(TODAY())-2,11,25)</f>
        <v>44160</v>
      </c>
      <c r="K246" s="1" t="s">
        <v>82</v>
      </c>
      <c r="L246" s="1" t="s">
        <v>34</v>
      </c>
      <c r="M246" s="1">
        <v>805</v>
      </c>
      <c r="N246" s="1" cm="1">
        <f t="array" ref="N246">_xlfn.RANK.EQ(M246,total_money_spent)</f>
        <v>277</v>
      </c>
      <c r="O246" s="1">
        <f t="shared" ca="1" si="3"/>
        <v>4</v>
      </c>
    </row>
    <row r="247" spans="1:15" ht="13.8" x14ac:dyDescent="0.25">
      <c r="A247" s="1" t="s">
        <v>605</v>
      </c>
      <c r="B247" s="1" t="s">
        <v>602</v>
      </c>
      <c r="C247" s="1" t="s">
        <v>37</v>
      </c>
      <c r="D247" s="1" t="s">
        <v>38</v>
      </c>
      <c r="E247" s="1" t="s">
        <v>603</v>
      </c>
      <c r="F247" s="1" t="s">
        <v>604</v>
      </c>
      <c r="G247" s="1" t="s">
        <v>31</v>
      </c>
      <c r="H247" s="1" t="s">
        <v>32</v>
      </c>
      <c r="I247" s="17">
        <f ca="1">DATE(YEAR(TODAY())-2,12,22)</f>
        <v>44187</v>
      </c>
      <c r="J247" s="17">
        <f ca="1">DATE(YEAR(TODAY())-2,12,24)</f>
        <v>44189</v>
      </c>
      <c r="K247" s="1" t="s">
        <v>143</v>
      </c>
      <c r="L247" s="1" t="s">
        <v>25</v>
      </c>
      <c r="M247" s="1">
        <v>702</v>
      </c>
      <c r="N247" s="1" cm="1">
        <f t="array" ref="N247">_xlfn.RANK.EQ(M247,total_money_spent)</f>
        <v>483</v>
      </c>
      <c r="O247" s="1">
        <f t="shared" ca="1" si="3"/>
        <v>2</v>
      </c>
    </row>
    <row r="248" spans="1:15" ht="13.8" x14ac:dyDescent="0.25">
      <c r="A248" s="1" t="s">
        <v>1399</v>
      </c>
      <c r="B248" s="1" t="s">
        <v>1396</v>
      </c>
      <c r="C248" s="1" t="s">
        <v>270</v>
      </c>
      <c r="D248" s="1" t="s">
        <v>271</v>
      </c>
      <c r="E248" s="1" t="s">
        <v>1397</v>
      </c>
      <c r="F248" s="1" t="s">
        <v>1398</v>
      </c>
      <c r="G248" s="1">
        <v>2001</v>
      </c>
      <c r="H248" s="1" t="s">
        <v>24</v>
      </c>
      <c r="I248" s="17">
        <f ca="1">DATE(YEAR(TODAY())-2,12,30)</f>
        <v>44195</v>
      </c>
      <c r="J248" s="17">
        <f ca="1">DATE(YEAR(TODAY())-2,12,31)</f>
        <v>44196</v>
      </c>
      <c r="K248" s="1" t="s">
        <v>82</v>
      </c>
      <c r="L248" s="1" t="s">
        <v>34</v>
      </c>
      <c r="M248" s="1">
        <v>655</v>
      </c>
      <c r="N248" s="1" cm="1">
        <f t="array" ref="N248">_xlfn.RANK.EQ(M248,total_money_spent)</f>
        <v>576</v>
      </c>
      <c r="O248" s="1">
        <f t="shared" ca="1" si="3"/>
        <v>1</v>
      </c>
    </row>
    <row r="249" spans="1:15" ht="13.8" x14ac:dyDescent="0.25">
      <c r="A249" s="1" t="s">
        <v>1428</v>
      </c>
      <c r="B249" s="1" t="s">
        <v>1429</v>
      </c>
      <c r="C249" s="1" t="s">
        <v>96</v>
      </c>
      <c r="D249" s="1" t="s">
        <v>96</v>
      </c>
      <c r="E249" s="1" t="s">
        <v>1430</v>
      </c>
      <c r="F249" s="1" t="s">
        <v>1431</v>
      </c>
      <c r="G249" s="1">
        <v>2007</v>
      </c>
      <c r="H249" s="1" t="s">
        <v>44</v>
      </c>
      <c r="I249" s="17">
        <f ca="1">DATE(YEAR(TODAY())-2,10,18)</f>
        <v>44122</v>
      </c>
      <c r="J249" s="17">
        <f ca="1">DATE(YEAR(TODAY())-2,10,22)</f>
        <v>44126</v>
      </c>
      <c r="K249" s="1" t="s">
        <v>87</v>
      </c>
      <c r="L249" s="1" t="s">
        <v>73</v>
      </c>
      <c r="M249" s="1">
        <v>842</v>
      </c>
      <c r="N249" s="1" cm="1">
        <f t="array" ref="N249">_xlfn.RANK.EQ(M249,total_money_spent)</f>
        <v>229</v>
      </c>
      <c r="O249" s="1">
        <f t="shared" ca="1" si="3"/>
        <v>4</v>
      </c>
    </row>
    <row r="250" spans="1:15" ht="13.8" x14ac:dyDescent="0.25">
      <c r="A250" s="1" t="s">
        <v>641</v>
      </c>
      <c r="B250" s="1" t="s">
        <v>638</v>
      </c>
      <c r="C250" s="1" t="s">
        <v>106</v>
      </c>
      <c r="D250" s="1" t="s">
        <v>107</v>
      </c>
      <c r="E250" s="1" t="s">
        <v>639</v>
      </c>
      <c r="F250" s="1" t="s">
        <v>640</v>
      </c>
      <c r="G250" s="1" t="s">
        <v>31</v>
      </c>
      <c r="H250" s="1" t="s">
        <v>32</v>
      </c>
      <c r="I250" s="17">
        <f ca="1">DATE(YEAR(TODAY())-1,6,17)</f>
        <v>44364</v>
      </c>
      <c r="J250" s="17">
        <f ca="1">DATE(YEAR(TODAY())-1,6,20)</f>
        <v>44367</v>
      </c>
      <c r="K250" s="1" t="s">
        <v>61</v>
      </c>
      <c r="L250" s="1" t="s">
        <v>34</v>
      </c>
      <c r="M250" s="1">
        <v>726</v>
      </c>
      <c r="N250" s="1" cm="1">
        <f t="array" ref="N250">_xlfn.RANK.EQ(M250,total_money_spent)</f>
        <v>454</v>
      </c>
      <c r="O250" s="1">
        <f t="shared" ca="1" si="3"/>
        <v>3</v>
      </c>
    </row>
    <row r="251" spans="1:15" ht="13.8" x14ac:dyDescent="0.25">
      <c r="A251" s="1" t="s">
        <v>1016</v>
      </c>
      <c r="B251" s="1" t="s">
        <v>1013</v>
      </c>
      <c r="C251" s="1" t="s">
        <v>235</v>
      </c>
      <c r="D251" s="1" t="s">
        <v>235</v>
      </c>
      <c r="E251" s="1" t="s">
        <v>1014</v>
      </c>
      <c r="F251" s="1" t="s">
        <v>1015</v>
      </c>
      <c r="G251" s="1">
        <v>2008</v>
      </c>
      <c r="H251" s="1" t="s">
        <v>44</v>
      </c>
      <c r="I251" s="17">
        <f ca="1">DATE(YEAR(TODAY())-1,4,18)</f>
        <v>44304</v>
      </c>
      <c r="J251" s="17">
        <f ca="1">DATE(YEAR(TODAY())-1,4,21)</f>
        <v>44307</v>
      </c>
      <c r="K251" s="1" t="s">
        <v>61</v>
      </c>
      <c r="L251" s="1" t="s">
        <v>34</v>
      </c>
      <c r="M251" s="1">
        <v>782</v>
      </c>
      <c r="N251" s="1" cm="1">
        <f t="array" ref="N251">_xlfn.RANK.EQ(M251,total_money_spent)</f>
        <v>338</v>
      </c>
      <c r="O251" s="1">
        <f t="shared" ca="1" si="3"/>
        <v>3</v>
      </c>
    </row>
    <row r="252" spans="1:15" ht="13.8" x14ac:dyDescent="0.25">
      <c r="A252" s="1" t="s">
        <v>1457</v>
      </c>
      <c r="B252" s="1" t="s">
        <v>1454</v>
      </c>
      <c r="C252" s="1" t="s">
        <v>157</v>
      </c>
      <c r="D252" s="1" t="s">
        <v>158</v>
      </c>
      <c r="E252" s="1" t="s">
        <v>1455</v>
      </c>
      <c r="F252" s="1" t="s">
        <v>1456</v>
      </c>
      <c r="G252" s="1">
        <v>2009</v>
      </c>
      <c r="H252" s="1" t="s">
        <v>44</v>
      </c>
      <c r="I252" s="17">
        <f ca="1">DATE(YEAR(TODAY())-1,8,25)</f>
        <v>44433</v>
      </c>
      <c r="J252" s="17">
        <f ca="1">DATE(YEAR(TODAY())-1,8,27)</f>
        <v>44435</v>
      </c>
      <c r="K252" s="1" t="s">
        <v>33</v>
      </c>
      <c r="L252" s="1" t="s">
        <v>34</v>
      </c>
      <c r="M252" s="1">
        <v>740</v>
      </c>
      <c r="N252" s="1" cm="1">
        <f t="array" ref="N252">_xlfn.RANK.EQ(M252,total_money_spent)</f>
        <v>426</v>
      </c>
      <c r="O252" s="1">
        <f t="shared" ca="1" si="3"/>
        <v>2</v>
      </c>
    </row>
    <row r="253" spans="1:15" ht="13.8" x14ac:dyDescent="0.25">
      <c r="A253" s="1" t="s">
        <v>494</v>
      </c>
      <c r="B253" s="1" t="s">
        <v>495</v>
      </c>
      <c r="C253" s="1" t="s">
        <v>206</v>
      </c>
      <c r="D253" s="1" t="s">
        <v>21</v>
      </c>
      <c r="E253" s="1" t="s">
        <v>496</v>
      </c>
      <c r="F253" s="1" t="s">
        <v>497</v>
      </c>
      <c r="G253" s="1">
        <v>2006</v>
      </c>
      <c r="H253" s="1" t="s">
        <v>24</v>
      </c>
      <c r="I253" s="17">
        <f ca="1">DATE(YEAR(TODAY())-1,4,16)</f>
        <v>44302</v>
      </c>
      <c r="J253" s="17">
        <f ca="1">DATE(YEAR(TODAY())-1,4,22)</f>
        <v>44308</v>
      </c>
      <c r="K253" s="1" t="s">
        <v>82</v>
      </c>
      <c r="L253" s="1" t="s">
        <v>34</v>
      </c>
      <c r="M253" s="1">
        <v>895</v>
      </c>
      <c r="N253" s="1" cm="1">
        <f t="array" ref="N253">_xlfn.RANK.EQ(M253,total_money_spent)</f>
        <v>163</v>
      </c>
      <c r="O253" s="1">
        <f t="shared" ca="1" si="3"/>
        <v>6</v>
      </c>
    </row>
    <row r="254" spans="1:15" ht="13.8" x14ac:dyDescent="0.25">
      <c r="A254" s="1" t="s">
        <v>1073</v>
      </c>
      <c r="B254" s="1" t="s">
        <v>1074</v>
      </c>
      <c r="C254" s="1" t="s">
        <v>125</v>
      </c>
      <c r="D254" s="1" t="s">
        <v>126</v>
      </c>
      <c r="E254" s="1" t="s">
        <v>1075</v>
      </c>
      <c r="F254" s="1" t="s">
        <v>1076</v>
      </c>
      <c r="G254" s="1">
        <v>2009</v>
      </c>
      <c r="H254" s="1" t="s">
        <v>44</v>
      </c>
      <c r="I254" s="17">
        <f ca="1">DATE(YEAR(TODAY())-1,3,12)</f>
        <v>44267</v>
      </c>
      <c r="J254" s="17">
        <f ca="1">DATE(YEAR(TODAY())-1,3,14)</f>
        <v>44269</v>
      </c>
      <c r="K254" s="1" t="s">
        <v>143</v>
      </c>
      <c r="L254" s="1" t="s">
        <v>25</v>
      </c>
      <c r="M254" s="1">
        <v>737</v>
      </c>
      <c r="N254" s="1" cm="1">
        <f t="array" ref="N254">_xlfn.RANK.EQ(M254,total_money_spent)</f>
        <v>437</v>
      </c>
      <c r="O254" s="1">
        <f t="shared" ca="1" si="3"/>
        <v>2</v>
      </c>
    </row>
    <row r="255" spans="1:15" ht="13.8" x14ac:dyDescent="0.25">
      <c r="A255" s="1" t="s">
        <v>562</v>
      </c>
      <c r="B255" s="1" t="s">
        <v>560</v>
      </c>
      <c r="C255" s="1" t="s">
        <v>57</v>
      </c>
      <c r="D255" s="1" t="s">
        <v>57</v>
      </c>
      <c r="E255" s="1" t="s">
        <v>563</v>
      </c>
      <c r="F255" s="1" t="s">
        <v>561</v>
      </c>
      <c r="G255" s="1" t="s">
        <v>54</v>
      </c>
      <c r="H255" s="1" t="s">
        <v>32</v>
      </c>
      <c r="I255" s="17">
        <f ca="1">DATE(YEAR(TODAY())-1,4,28)</f>
        <v>44314</v>
      </c>
      <c r="J255" s="17">
        <f ca="1">DATE(YEAR(TODAY())-1,4,29)</f>
        <v>44315</v>
      </c>
      <c r="K255" s="1" t="s">
        <v>33</v>
      </c>
      <c r="L255" s="1" t="s">
        <v>34</v>
      </c>
      <c r="M255" s="1">
        <v>673</v>
      </c>
      <c r="N255" s="1" cm="1">
        <f t="array" ref="N255">_xlfn.RANK.EQ(M255,total_money_spent)</f>
        <v>513</v>
      </c>
      <c r="O255" s="1">
        <f t="shared" ca="1" si="3"/>
        <v>1</v>
      </c>
    </row>
    <row r="256" spans="1:15" ht="13.8" x14ac:dyDescent="0.25">
      <c r="A256" s="1" t="s">
        <v>984</v>
      </c>
      <c r="B256" s="1" t="s">
        <v>985</v>
      </c>
      <c r="C256" s="1" t="s">
        <v>91</v>
      </c>
      <c r="D256" s="1" t="s">
        <v>91</v>
      </c>
      <c r="E256" s="1" t="s">
        <v>986</v>
      </c>
      <c r="F256" s="1" t="s">
        <v>987</v>
      </c>
      <c r="G256" s="1">
        <v>3001</v>
      </c>
      <c r="H256" s="1" t="s">
        <v>81</v>
      </c>
      <c r="I256" s="17">
        <f ca="1">DATE(YEAR(TODAY())-1,2,29)</f>
        <v>44256</v>
      </c>
      <c r="J256" s="17">
        <f ca="1">DATE(YEAR(TODAY())-1,3,4)</f>
        <v>44259</v>
      </c>
      <c r="K256" s="1" t="s">
        <v>143</v>
      </c>
      <c r="L256" s="1" t="s">
        <v>25</v>
      </c>
      <c r="M256" s="1">
        <v>780</v>
      </c>
      <c r="N256" s="1" cm="1">
        <f t="array" ref="N256">_xlfn.RANK.EQ(M256,total_money_spent)</f>
        <v>344</v>
      </c>
      <c r="O256" s="1">
        <f t="shared" ca="1" si="3"/>
        <v>3</v>
      </c>
    </row>
    <row r="257" spans="1:15" ht="13.8" x14ac:dyDescent="0.25">
      <c r="A257" s="1" t="s">
        <v>683</v>
      </c>
      <c r="B257" s="1" t="s">
        <v>679</v>
      </c>
      <c r="C257" s="1" t="s">
        <v>170</v>
      </c>
      <c r="D257" s="1" t="s">
        <v>171</v>
      </c>
      <c r="E257" s="1" t="s">
        <v>680</v>
      </c>
      <c r="F257" s="1" t="s">
        <v>681</v>
      </c>
      <c r="G257" s="1">
        <v>3004</v>
      </c>
      <c r="H257" s="1" t="s">
        <v>203</v>
      </c>
      <c r="I257" s="17">
        <f ca="1">DATE(YEAR(TODAY())-1,5,27)</f>
        <v>44343</v>
      </c>
      <c r="J257" s="17">
        <f ca="1">DATE(YEAR(TODAY())-1,6,2)</f>
        <v>44349</v>
      </c>
      <c r="K257" s="1" t="s">
        <v>72</v>
      </c>
      <c r="L257" s="1" t="s">
        <v>73</v>
      </c>
      <c r="M257" s="1">
        <v>1072</v>
      </c>
      <c r="N257" s="1" cm="1">
        <f t="array" ref="N257">_xlfn.RANK.EQ(M257,total_money_spent)</f>
        <v>29</v>
      </c>
      <c r="O257" s="1">
        <f t="shared" ca="1" si="3"/>
        <v>6</v>
      </c>
    </row>
    <row r="258" spans="1:15" ht="13.8" x14ac:dyDescent="0.25">
      <c r="A258" s="1" t="s">
        <v>993</v>
      </c>
      <c r="B258" s="1" t="s">
        <v>989</v>
      </c>
      <c r="C258" s="1" t="s">
        <v>70</v>
      </c>
      <c r="D258" s="1" t="s">
        <v>70</v>
      </c>
      <c r="F258" s="1" t="s">
        <v>991</v>
      </c>
      <c r="G258" s="1" t="s">
        <v>60</v>
      </c>
      <c r="H258" s="1" t="s">
        <v>32</v>
      </c>
      <c r="I258" s="17">
        <f ca="1">DATE(YEAR(TODAY())-2,12,8)</f>
        <v>44173</v>
      </c>
      <c r="J258" s="17">
        <f ca="1">DATE(YEAR(TODAY())-2,12,13)</f>
        <v>44178</v>
      </c>
      <c r="K258" s="1" t="s">
        <v>72</v>
      </c>
      <c r="L258" s="1" t="s">
        <v>73</v>
      </c>
      <c r="M258" s="1">
        <v>813</v>
      </c>
      <c r="N258" s="1" cm="1">
        <f t="array" ref="N258">_xlfn.RANK.EQ(M258,total_money_spent)</f>
        <v>260</v>
      </c>
      <c r="O258" s="1">
        <f t="shared" ca="1" si="3"/>
        <v>5</v>
      </c>
    </row>
    <row r="259" spans="1:15" ht="13.8" x14ac:dyDescent="0.25">
      <c r="A259" s="1" t="s">
        <v>446</v>
      </c>
      <c r="B259" s="1" t="s">
        <v>447</v>
      </c>
      <c r="C259" s="1" t="s">
        <v>91</v>
      </c>
      <c r="D259" s="1" t="s">
        <v>91</v>
      </c>
      <c r="F259" s="1" t="s">
        <v>448</v>
      </c>
      <c r="G259" s="1">
        <v>2002</v>
      </c>
      <c r="H259" s="1" t="s">
        <v>24</v>
      </c>
      <c r="I259" s="17">
        <f ca="1">DATE(YEAR(TODAY())-1,6,10)</f>
        <v>44357</v>
      </c>
      <c r="J259" s="17">
        <f ca="1">DATE(YEAR(TODAY())-1,6,11)</f>
        <v>44358</v>
      </c>
      <c r="K259" s="1" t="s">
        <v>33</v>
      </c>
      <c r="L259" s="1" t="s">
        <v>34</v>
      </c>
      <c r="M259" s="1">
        <v>664</v>
      </c>
      <c r="N259" s="1" cm="1">
        <f t="array" ref="N259">_xlfn.RANK.EQ(M259,total_money_spent)</f>
        <v>541</v>
      </c>
      <c r="O259" s="1">
        <f t="shared" ref="O259:O322" ca="1" si="4">J259-I259</f>
        <v>1</v>
      </c>
    </row>
    <row r="260" spans="1:15" ht="13.8" x14ac:dyDescent="0.25">
      <c r="A260" s="1" t="s">
        <v>657</v>
      </c>
      <c r="B260" s="1" t="s">
        <v>658</v>
      </c>
      <c r="C260" s="1" t="s">
        <v>504</v>
      </c>
      <c r="D260" s="1" t="s">
        <v>187</v>
      </c>
      <c r="E260" s="1" t="s">
        <v>659</v>
      </c>
      <c r="F260" s="1" t="s">
        <v>660</v>
      </c>
      <c r="G260" s="1">
        <v>2010</v>
      </c>
      <c r="H260" s="1" t="s">
        <v>44</v>
      </c>
      <c r="I260" s="17">
        <f ca="1">DATE(YEAR(TODAY())-2,11,13)</f>
        <v>44148</v>
      </c>
      <c r="J260" s="17">
        <f ca="1">DATE(YEAR(TODAY())-2,11,14)</f>
        <v>44149</v>
      </c>
      <c r="K260" s="1" t="s">
        <v>72</v>
      </c>
      <c r="L260" s="1" t="s">
        <v>73</v>
      </c>
      <c r="M260" s="1">
        <v>668</v>
      </c>
      <c r="N260" s="1" cm="1">
        <f t="array" ref="N260">_xlfn.RANK.EQ(M260,total_money_spent)</f>
        <v>525</v>
      </c>
      <c r="O260" s="1">
        <f t="shared" ca="1" si="4"/>
        <v>1</v>
      </c>
    </row>
    <row r="261" spans="1:15" ht="13.8" x14ac:dyDescent="0.25">
      <c r="A261" s="1" t="s">
        <v>1007</v>
      </c>
      <c r="B261" s="1" t="s">
        <v>1008</v>
      </c>
      <c r="C261" s="1" t="s">
        <v>64</v>
      </c>
      <c r="D261" s="1" t="s">
        <v>65</v>
      </c>
      <c r="E261" s="1" t="s">
        <v>1009</v>
      </c>
      <c r="F261" s="1" t="s">
        <v>1010</v>
      </c>
      <c r="G261" s="1">
        <v>2004</v>
      </c>
      <c r="H261" s="1" t="s">
        <v>24</v>
      </c>
      <c r="I261" s="17">
        <f ca="1">DATE(YEAR(TODAY())-1,7,21)</f>
        <v>44398</v>
      </c>
      <c r="J261" s="17">
        <f ca="1">DATE(YEAR(TODAY())-1,7,22)</f>
        <v>44399</v>
      </c>
      <c r="K261" s="1" t="s">
        <v>34</v>
      </c>
      <c r="L261" s="1" t="s">
        <v>34</v>
      </c>
      <c r="M261" s="1">
        <v>675</v>
      </c>
      <c r="N261" s="1" cm="1">
        <f t="array" ref="N261">_xlfn.RANK.EQ(M261,total_money_spent)</f>
        <v>509</v>
      </c>
      <c r="O261" s="1">
        <f t="shared" ca="1" si="4"/>
        <v>1</v>
      </c>
    </row>
    <row r="262" spans="1:15" ht="13.8" x14ac:dyDescent="0.25">
      <c r="A262" s="1" t="s">
        <v>1360</v>
      </c>
      <c r="B262" s="1" t="s">
        <v>1361</v>
      </c>
      <c r="C262" s="1" t="s">
        <v>326</v>
      </c>
      <c r="D262" s="1" t="s">
        <v>140</v>
      </c>
      <c r="E262" s="1" t="s">
        <v>1362</v>
      </c>
      <c r="F262" s="1" t="s">
        <v>1363</v>
      </c>
      <c r="G262" s="1">
        <v>2008</v>
      </c>
      <c r="H262" s="1" t="s">
        <v>44</v>
      </c>
      <c r="I262" s="17">
        <f ca="1">DATE(YEAR(TODAY())-1,4,30)</f>
        <v>44316</v>
      </c>
      <c r="J262" s="17">
        <f ca="1">DATE(YEAR(TODAY())-1,5,3)</f>
        <v>44319</v>
      </c>
      <c r="K262" s="1" t="s">
        <v>33</v>
      </c>
      <c r="L262" s="1" t="s">
        <v>34</v>
      </c>
      <c r="M262" s="1">
        <v>758</v>
      </c>
      <c r="N262" s="1" cm="1">
        <f t="array" ref="N262">_xlfn.RANK.EQ(M262,total_money_spent)</f>
        <v>400</v>
      </c>
      <c r="O262" s="1">
        <f t="shared" ca="1" si="4"/>
        <v>3</v>
      </c>
    </row>
    <row r="263" spans="1:15" ht="13.8" x14ac:dyDescent="0.25">
      <c r="A263" s="1" t="s">
        <v>399</v>
      </c>
      <c r="B263" s="1" t="s">
        <v>395</v>
      </c>
      <c r="C263" s="1" t="s">
        <v>235</v>
      </c>
      <c r="D263" s="1" t="s">
        <v>235</v>
      </c>
      <c r="E263" s="1" t="s">
        <v>396</v>
      </c>
      <c r="F263" s="1" t="s">
        <v>397</v>
      </c>
      <c r="G263" s="1">
        <v>3001</v>
      </c>
      <c r="H263" s="1" t="s">
        <v>81</v>
      </c>
      <c r="I263" s="17">
        <f ca="1">DATE(YEAR(TODAY())-2,10,10)</f>
        <v>44114</v>
      </c>
      <c r="J263" s="17">
        <f ca="1">DATE(YEAR(TODAY())-2,10,17)</f>
        <v>44121</v>
      </c>
      <c r="K263" s="1" t="s">
        <v>136</v>
      </c>
      <c r="L263" s="1" t="s">
        <v>137</v>
      </c>
      <c r="M263" s="1">
        <v>1125</v>
      </c>
      <c r="N263" s="1" cm="1">
        <f t="array" ref="N263">_xlfn.RANK.EQ(M263,total_money_spent)</f>
        <v>18</v>
      </c>
      <c r="O263" s="1">
        <f t="shared" ca="1" si="4"/>
        <v>7</v>
      </c>
    </row>
    <row r="264" spans="1:15" ht="13.8" x14ac:dyDescent="0.25">
      <c r="A264" s="1" t="s">
        <v>294</v>
      </c>
      <c r="B264" s="1" t="s">
        <v>295</v>
      </c>
      <c r="C264" s="1" t="s">
        <v>37</v>
      </c>
      <c r="D264" s="1" t="s">
        <v>38</v>
      </c>
      <c r="E264" s="1" t="s">
        <v>296</v>
      </c>
      <c r="F264" s="1" t="s">
        <v>297</v>
      </c>
      <c r="G264" s="1">
        <v>2001</v>
      </c>
      <c r="H264" s="1" t="s">
        <v>24</v>
      </c>
      <c r="I264" s="17">
        <f ca="1">DATE(YEAR(TODAY())-1,2,29)</f>
        <v>44256</v>
      </c>
      <c r="J264" s="17">
        <f ca="1">DATE(YEAR(TODAY())-1,3,5)</f>
        <v>44260</v>
      </c>
      <c r="K264" s="1" t="s">
        <v>143</v>
      </c>
      <c r="L264" s="1" t="s">
        <v>25</v>
      </c>
      <c r="M264" s="1">
        <v>800</v>
      </c>
      <c r="N264" s="1" cm="1">
        <f t="array" ref="N264">_xlfn.RANK.EQ(M264,total_money_spent)</f>
        <v>292</v>
      </c>
      <c r="O264" s="1">
        <f t="shared" ca="1" si="4"/>
        <v>4</v>
      </c>
    </row>
    <row r="265" spans="1:15" ht="13.8" x14ac:dyDescent="0.25">
      <c r="A265" s="1" t="s">
        <v>693</v>
      </c>
      <c r="B265" s="1" t="s">
        <v>694</v>
      </c>
      <c r="C265" s="1" t="s">
        <v>52</v>
      </c>
      <c r="D265" s="1" t="s">
        <v>53</v>
      </c>
      <c r="E265" s="1" t="s">
        <v>695</v>
      </c>
      <c r="F265" s="1" t="s">
        <v>696</v>
      </c>
      <c r="G265" s="1">
        <v>2004</v>
      </c>
      <c r="H265" s="1" t="s">
        <v>24</v>
      </c>
      <c r="I265" s="17">
        <f ca="1">DATE(YEAR(TODAY())-1,2,14)</f>
        <v>44241</v>
      </c>
      <c r="J265" s="17">
        <f ca="1">DATE(YEAR(TODAY())-1,2,18)</f>
        <v>44245</v>
      </c>
      <c r="K265" s="1" t="s">
        <v>33</v>
      </c>
      <c r="L265" s="1" t="s">
        <v>34</v>
      </c>
      <c r="M265" s="1">
        <v>810</v>
      </c>
      <c r="N265" s="1" cm="1">
        <f t="array" ref="N265">_xlfn.RANK.EQ(M265,total_money_spent)</f>
        <v>266</v>
      </c>
      <c r="O265" s="1">
        <f t="shared" ca="1" si="4"/>
        <v>4</v>
      </c>
    </row>
    <row r="266" spans="1:15" ht="13.8" x14ac:dyDescent="0.25">
      <c r="A266" s="1" t="s">
        <v>895</v>
      </c>
      <c r="B266" s="1" t="s">
        <v>896</v>
      </c>
      <c r="C266" s="1" t="s">
        <v>165</v>
      </c>
      <c r="D266" s="1" t="s">
        <v>166</v>
      </c>
      <c r="E266" s="1" t="s">
        <v>897</v>
      </c>
      <c r="F266" s="1" t="s">
        <v>898</v>
      </c>
      <c r="G266" s="1">
        <v>2002</v>
      </c>
      <c r="H266" s="1" t="s">
        <v>24</v>
      </c>
      <c r="I266" s="17">
        <f ca="1">DATE(YEAR(TODAY())-2,11,13)</f>
        <v>44148</v>
      </c>
      <c r="J266" s="17">
        <f ca="1">DATE(YEAR(TODAY())-2,11,17)</f>
        <v>44152</v>
      </c>
      <c r="K266" s="1" t="s">
        <v>33</v>
      </c>
      <c r="L266" s="1" t="s">
        <v>34</v>
      </c>
      <c r="M266" s="1">
        <v>790</v>
      </c>
      <c r="N266" s="1" cm="1">
        <f t="array" ref="N266">_xlfn.RANK.EQ(M266,total_money_spent)</f>
        <v>322</v>
      </c>
      <c r="O266" s="1">
        <f t="shared" ca="1" si="4"/>
        <v>4</v>
      </c>
    </row>
    <row r="267" spans="1:15" ht="13.8" x14ac:dyDescent="0.25">
      <c r="A267" s="1" t="s">
        <v>1223</v>
      </c>
      <c r="B267" s="1" t="s">
        <v>1220</v>
      </c>
      <c r="C267" s="1" t="s">
        <v>37</v>
      </c>
      <c r="D267" s="1" t="s">
        <v>38</v>
      </c>
      <c r="E267" s="1" t="s">
        <v>1221</v>
      </c>
      <c r="F267" s="1" t="s">
        <v>1222</v>
      </c>
      <c r="G267" s="1" t="s">
        <v>31</v>
      </c>
      <c r="H267" s="1" t="s">
        <v>32</v>
      </c>
      <c r="I267" s="17">
        <f ca="1">DATE(YEAR(TODAY())-1,3,18)</f>
        <v>44273</v>
      </c>
      <c r="J267" s="17">
        <f ca="1">DATE(YEAR(TODAY())-1,3,24)</f>
        <v>44279</v>
      </c>
      <c r="K267" s="1" t="s">
        <v>143</v>
      </c>
      <c r="L267" s="1" t="s">
        <v>25</v>
      </c>
      <c r="M267" s="1">
        <v>841</v>
      </c>
      <c r="N267" s="1" cm="1">
        <f t="array" ref="N267">_xlfn.RANK.EQ(M267,total_money_spent)</f>
        <v>231</v>
      </c>
      <c r="O267" s="1">
        <f t="shared" ca="1" si="4"/>
        <v>6</v>
      </c>
    </row>
    <row r="268" spans="1:15" ht="13.8" x14ac:dyDescent="0.25">
      <c r="A268" s="1" t="s">
        <v>419</v>
      </c>
      <c r="B268" s="1" t="s">
        <v>416</v>
      </c>
      <c r="C268" s="1" t="s">
        <v>326</v>
      </c>
      <c r="D268" s="1" t="s">
        <v>140</v>
      </c>
      <c r="E268" s="1" t="s">
        <v>417</v>
      </c>
      <c r="F268" s="1" t="s">
        <v>418</v>
      </c>
      <c r="G268" s="1">
        <v>2001</v>
      </c>
      <c r="H268" s="1" t="s">
        <v>24</v>
      </c>
      <c r="I268" s="17">
        <f ca="1">DATE(YEAR(TODAY())-1,8,8)</f>
        <v>44416</v>
      </c>
      <c r="J268" s="17">
        <f ca="1">DATE(YEAR(TODAY())-1,8,9)</f>
        <v>44417</v>
      </c>
      <c r="K268" s="1" t="s">
        <v>34</v>
      </c>
      <c r="L268" s="1" t="s">
        <v>34</v>
      </c>
      <c r="M268" s="1">
        <v>672</v>
      </c>
      <c r="N268" s="1" cm="1">
        <f t="array" ref="N268">_xlfn.RANK.EQ(M268,total_money_spent)</f>
        <v>515</v>
      </c>
      <c r="O268" s="1">
        <f t="shared" ca="1" si="4"/>
        <v>1</v>
      </c>
    </row>
    <row r="269" spans="1:15" ht="13.8" x14ac:dyDescent="0.25">
      <c r="A269" s="1" t="s">
        <v>920</v>
      </c>
      <c r="B269" s="1" t="s">
        <v>913</v>
      </c>
      <c r="C269" s="1" t="s">
        <v>147</v>
      </c>
      <c r="D269" s="1" t="s">
        <v>147</v>
      </c>
      <c r="E269" s="1" t="s">
        <v>914</v>
      </c>
      <c r="F269" s="1" t="s">
        <v>915</v>
      </c>
      <c r="G269" s="1" t="s">
        <v>115</v>
      </c>
      <c r="H269" s="1" t="s">
        <v>32</v>
      </c>
      <c r="I269" s="17">
        <f ca="1">DATE(YEAR(TODAY())-1,2,22)</f>
        <v>44249</v>
      </c>
      <c r="J269" s="17">
        <f ca="1">DATE(YEAR(TODAY())-1,2,26)</f>
        <v>44253</v>
      </c>
      <c r="K269" s="1" t="s">
        <v>72</v>
      </c>
      <c r="L269" s="1" t="s">
        <v>73</v>
      </c>
      <c r="M269" s="1">
        <v>782</v>
      </c>
      <c r="N269" s="1" cm="1">
        <f t="array" ref="N269">_xlfn.RANK.EQ(M269,total_money_spent)</f>
        <v>338</v>
      </c>
      <c r="O269" s="1">
        <f t="shared" ca="1" si="4"/>
        <v>4</v>
      </c>
    </row>
    <row r="270" spans="1:15" ht="13.8" x14ac:dyDescent="0.25">
      <c r="A270" s="1" t="s">
        <v>894</v>
      </c>
      <c r="B270" s="1" t="s">
        <v>891</v>
      </c>
      <c r="C270" s="1" t="s">
        <v>664</v>
      </c>
      <c r="D270" s="1" t="s">
        <v>147</v>
      </c>
      <c r="E270" s="1" t="s">
        <v>892</v>
      </c>
      <c r="F270" s="1" t="s">
        <v>893</v>
      </c>
      <c r="G270" s="1" t="s">
        <v>115</v>
      </c>
      <c r="H270" s="1" t="s">
        <v>32</v>
      </c>
      <c r="I270" s="17">
        <f ca="1">DATE(YEAR(TODAY())-1,2,11)</f>
        <v>44238</v>
      </c>
      <c r="J270" s="17">
        <f ca="1">DATE(YEAR(TODAY())-1,2,17)</f>
        <v>44244</v>
      </c>
      <c r="K270" s="1" t="s">
        <v>25</v>
      </c>
      <c r="L270" s="1" t="s">
        <v>25</v>
      </c>
      <c r="M270" s="1">
        <v>835</v>
      </c>
      <c r="N270" s="1" cm="1">
        <f t="array" ref="N270">_xlfn.RANK.EQ(M270,total_money_spent)</f>
        <v>243</v>
      </c>
      <c r="O270" s="1">
        <f t="shared" ca="1" si="4"/>
        <v>6</v>
      </c>
    </row>
    <row r="271" spans="1:15" ht="13.8" x14ac:dyDescent="0.25">
      <c r="A271" s="1" t="s">
        <v>1478</v>
      </c>
      <c r="B271" s="1" t="s">
        <v>1474</v>
      </c>
      <c r="C271" s="1" t="s">
        <v>37</v>
      </c>
      <c r="D271" s="1" t="s">
        <v>38</v>
      </c>
      <c r="E271" s="1" t="s">
        <v>1475</v>
      </c>
      <c r="F271" s="1" t="s">
        <v>1476</v>
      </c>
      <c r="G271" s="1" t="s">
        <v>122</v>
      </c>
      <c r="H271" s="1" t="s">
        <v>32</v>
      </c>
      <c r="I271" s="17">
        <f ca="1">DATE(YEAR(TODAY())-1,9,8)</f>
        <v>44447</v>
      </c>
      <c r="J271" s="17">
        <f ca="1">DATE(YEAR(TODAY())-1,9,15)</f>
        <v>44454</v>
      </c>
      <c r="K271" s="1" t="s">
        <v>34</v>
      </c>
      <c r="L271" s="1" t="s">
        <v>34</v>
      </c>
      <c r="M271" s="1">
        <v>919</v>
      </c>
      <c r="N271" s="1" cm="1">
        <f t="array" ref="N271">_xlfn.RANK.EQ(M271,total_money_spent)</f>
        <v>108</v>
      </c>
      <c r="O271" s="1">
        <f t="shared" ca="1" si="4"/>
        <v>7</v>
      </c>
    </row>
    <row r="272" spans="1:15" ht="13.8" x14ac:dyDescent="0.25">
      <c r="A272" s="1" t="s">
        <v>390</v>
      </c>
      <c r="B272" s="1" t="s">
        <v>391</v>
      </c>
      <c r="C272" s="1" t="s">
        <v>101</v>
      </c>
      <c r="D272" s="1" t="s">
        <v>102</v>
      </c>
      <c r="E272" s="1" t="s">
        <v>392</v>
      </c>
      <c r="F272" s="1" t="s">
        <v>393</v>
      </c>
      <c r="G272" s="1">
        <v>2009</v>
      </c>
      <c r="H272" s="1" t="s">
        <v>44</v>
      </c>
      <c r="I272" s="17">
        <f ca="1">DATE(YEAR(TODAY())-1,6,5)</f>
        <v>44352</v>
      </c>
      <c r="J272" s="17">
        <f ca="1">DATE(YEAR(TODAY())-1,6,12)</f>
        <v>44359</v>
      </c>
      <c r="K272" s="1" t="s">
        <v>34</v>
      </c>
      <c r="L272" s="1" t="s">
        <v>34</v>
      </c>
      <c r="M272" s="1">
        <v>1062</v>
      </c>
      <c r="N272" s="1" cm="1">
        <f t="array" ref="N272">_xlfn.RANK.EQ(M272,total_money_spent)</f>
        <v>43</v>
      </c>
      <c r="O272" s="1">
        <f t="shared" ca="1" si="4"/>
        <v>7</v>
      </c>
    </row>
    <row r="273" spans="1:15" ht="13.8" x14ac:dyDescent="0.25">
      <c r="A273" s="1" t="s">
        <v>470</v>
      </c>
      <c r="B273" s="1" t="s">
        <v>471</v>
      </c>
      <c r="C273" s="1" t="s">
        <v>70</v>
      </c>
      <c r="D273" s="1" t="s">
        <v>70</v>
      </c>
      <c r="E273" s="1" t="s">
        <v>472</v>
      </c>
      <c r="F273" s="1" t="s">
        <v>473</v>
      </c>
      <c r="G273" s="1">
        <v>2003</v>
      </c>
      <c r="H273" s="1" t="s">
        <v>24</v>
      </c>
      <c r="I273" s="17">
        <f ca="1">DATE(YEAR(TODAY())-1,9,27)</f>
        <v>44466</v>
      </c>
      <c r="J273" s="17">
        <f ca="1">DATE(YEAR(TODAY())-1,9,28)</f>
        <v>44467</v>
      </c>
      <c r="K273" s="1" t="s">
        <v>25</v>
      </c>
      <c r="L273" s="1" t="s">
        <v>25</v>
      </c>
      <c r="M273" s="1">
        <v>662</v>
      </c>
      <c r="N273" s="1" cm="1">
        <f t="array" ref="N273">_xlfn.RANK.EQ(M273,total_money_spent)</f>
        <v>549</v>
      </c>
      <c r="O273" s="1">
        <f t="shared" ca="1" si="4"/>
        <v>1</v>
      </c>
    </row>
    <row r="274" spans="1:15" ht="13.8" x14ac:dyDescent="0.25">
      <c r="A274" s="1" t="s">
        <v>1210</v>
      </c>
      <c r="B274" s="1" t="s">
        <v>1207</v>
      </c>
      <c r="C274" s="1" t="s">
        <v>229</v>
      </c>
      <c r="D274" s="1" t="s">
        <v>230</v>
      </c>
      <c r="E274" s="1" t="s">
        <v>1208</v>
      </c>
      <c r="F274" s="1" t="s">
        <v>1209</v>
      </c>
      <c r="G274" s="1">
        <v>3003</v>
      </c>
      <c r="H274" s="1" t="s">
        <v>81</v>
      </c>
      <c r="I274" s="17">
        <f ca="1">DATE(YEAR(TODAY())-1,3,21)</f>
        <v>44276</v>
      </c>
      <c r="J274" s="17">
        <f ca="1">DATE(YEAR(TODAY())-1,3,22)</f>
        <v>44277</v>
      </c>
      <c r="K274" s="1" t="s">
        <v>82</v>
      </c>
      <c r="L274" s="1" t="s">
        <v>34</v>
      </c>
      <c r="M274" s="1">
        <v>657</v>
      </c>
      <c r="N274" s="1" cm="1">
        <f t="array" ref="N274">_xlfn.RANK.EQ(M274,total_money_spent)</f>
        <v>569</v>
      </c>
      <c r="O274" s="1">
        <f t="shared" ca="1" si="4"/>
        <v>1</v>
      </c>
    </row>
    <row r="275" spans="1:15" ht="13.8" x14ac:dyDescent="0.25">
      <c r="A275" s="1" t="s">
        <v>845</v>
      </c>
      <c r="B275" s="1" t="s">
        <v>846</v>
      </c>
      <c r="C275" s="1" t="s">
        <v>197</v>
      </c>
      <c r="D275" s="1" t="s">
        <v>198</v>
      </c>
      <c r="E275" s="1" t="s">
        <v>847</v>
      </c>
      <c r="F275" s="1" t="s">
        <v>848</v>
      </c>
      <c r="G275" s="1">
        <v>2001</v>
      </c>
      <c r="H275" s="1" t="s">
        <v>24</v>
      </c>
      <c r="I275" s="17">
        <f ca="1">DATE(YEAR(TODAY())-2,11,17)</f>
        <v>44152</v>
      </c>
      <c r="J275" s="17">
        <f ca="1">DATE(YEAR(TODAY())-2,11,23)</f>
        <v>44158</v>
      </c>
      <c r="K275" s="1" t="s">
        <v>16</v>
      </c>
      <c r="L275" s="1" t="s">
        <v>34</v>
      </c>
      <c r="M275" s="1">
        <v>902</v>
      </c>
      <c r="N275" s="1" cm="1">
        <f t="array" ref="N275">_xlfn.RANK.EQ(M275,total_money_spent)</f>
        <v>149</v>
      </c>
      <c r="O275" s="1">
        <f t="shared" ca="1" si="4"/>
        <v>6</v>
      </c>
    </row>
    <row r="276" spans="1:15" ht="13.8" x14ac:dyDescent="0.25">
      <c r="A276" s="1" t="s">
        <v>249</v>
      </c>
      <c r="B276" s="1" t="s">
        <v>245</v>
      </c>
      <c r="C276" s="1" t="s">
        <v>250</v>
      </c>
      <c r="D276" s="1" t="s">
        <v>53</v>
      </c>
      <c r="E276" s="1" t="s">
        <v>251</v>
      </c>
      <c r="F276" s="1" t="s">
        <v>248</v>
      </c>
      <c r="G276" s="1">
        <v>3003</v>
      </c>
      <c r="H276" s="1" t="s">
        <v>81</v>
      </c>
      <c r="I276" s="17">
        <f ca="1">DATE(YEAR(TODAY())-2,10,28)</f>
        <v>44132</v>
      </c>
      <c r="J276" s="17">
        <f ca="1">DATE(YEAR(TODAY())-2,11,2)</f>
        <v>44137</v>
      </c>
      <c r="K276" s="1" t="s">
        <v>87</v>
      </c>
      <c r="L276" s="1" t="s">
        <v>73</v>
      </c>
      <c r="M276" s="1">
        <v>895</v>
      </c>
      <c r="N276" s="1" cm="1">
        <f t="array" ref="N276">_xlfn.RANK.EQ(M276,total_money_spent)</f>
        <v>163</v>
      </c>
      <c r="O276" s="1">
        <f t="shared" ca="1" si="4"/>
        <v>5</v>
      </c>
    </row>
    <row r="277" spans="1:15" ht="13.8" x14ac:dyDescent="0.25">
      <c r="A277" s="1" t="s">
        <v>820</v>
      </c>
      <c r="B277" s="1" t="s">
        <v>821</v>
      </c>
      <c r="C277" s="1" t="s">
        <v>106</v>
      </c>
      <c r="D277" s="1" t="s">
        <v>107</v>
      </c>
      <c r="E277" s="1" t="s">
        <v>822</v>
      </c>
      <c r="F277" s="1" t="s">
        <v>823</v>
      </c>
      <c r="G277" s="1">
        <v>2008</v>
      </c>
      <c r="H277" s="1" t="s">
        <v>44</v>
      </c>
      <c r="I277" s="17">
        <f ca="1">DATE(YEAR(TODAY())-1,6,3)</f>
        <v>44350</v>
      </c>
      <c r="J277" s="17">
        <f ca="1">DATE(YEAR(TODAY())-1,6,6)</f>
        <v>44353</v>
      </c>
      <c r="K277" s="1" t="s">
        <v>87</v>
      </c>
      <c r="L277" s="1" t="s">
        <v>73</v>
      </c>
      <c r="M277" s="1">
        <v>778</v>
      </c>
      <c r="N277" s="1" cm="1">
        <f t="array" ref="N277">_xlfn.RANK.EQ(M277,total_money_spent)</f>
        <v>350</v>
      </c>
      <c r="O277" s="1">
        <f t="shared" ca="1" si="4"/>
        <v>3</v>
      </c>
    </row>
    <row r="278" spans="1:15" ht="13.8" x14ac:dyDescent="0.25">
      <c r="A278" s="1" t="s">
        <v>853</v>
      </c>
      <c r="B278" s="1" t="s">
        <v>854</v>
      </c>
      <c r="C278" s="1" t="s">
        <v>305</v>
      </c>
      <c r="D278" s="1" t="s">
        <v>211</v>
      </c>
      <c r="E278" s="1" t="s">
        <v>855</v>
      </c>
      <c r="F278" s="1" t="s">
        <v>856</v>
      </c>
      <c r="G278" s="1">
        <v>2002</v>
      </c>
      <c r="H278" s="1" t="s">
        <v>24</v>
      </c>
      <c r="I278" s="17">
        <f ca="1">DATE(YEAR(TODAY())-1,4,3)</f>
        <v>44289</v>
      </c>
      <c r="J278" s="17">
        <f ca="1">DATE(YEAR(TODAY())-1,4,10)</f>
        <v>44296</v>
      </c>
      <c r="K278" s="1" t="s">
        <v>72</v>
      </c>
      <c r="L278" s="1" t="s">
        <v>73</v>
      </c>
      <c r="M278" s="1">
        <v>970</v>
      </c>
      <c r="N278" s="1" cm="1">
        <f t="array" ref="N278">_xlfn.RANK.EQ(M278,total_money_spent)</f>
        <v>80</v>
      </c>
      <c r="O278" s="1">
        <f t="shared" ca="1" si="4"/>
        <v>7</v>
      </c>
    </row>
    <row r="279" spans="1:15" ht="13.8" x14ac:dyDescent="0.25">
      <c r="A279" s="1" t="s">
        <v>362</v>
      </c>
      <c r="B279" s="1" t="s">
        <v>363</v>
      </c>
      <c r="C279" s="1" t="s">
        <v>337</v>
      </c>
      <c r="D279" s="1" t="s">
        <v>338</v>
      </c>
      <c r="E279" s="1" t="s">
        <v>364</v>
      </c>
      <c r="F279" s="1" t="s">
        <v>365</v>
      </c>
      <c r="G279" s="1">
        <v>2001</v>
      </c>
      <c r="H279" s="1" t="s">
        <v>24</v>
      </c>
      <c r="I279" s="17">
        <f ca="1">DATE(YEAR(TODAY())-1,3,17)</f>
        <v>44272</v>
      </c>
      <c r="J279" s="17">
        <f ca="1">DATE(YEAR(TODAY())-1,3,18)</f>
        <v>44273</v>
      </c>
      <c r="K279" s="1" t="s">
        <v>82</v>
      </c>
      <c r="L279" s="1" t="s">
        <v>34</v>
      </c>
      <c r="M279" s="1">
        <v>671</v>
      </c>
      <c r="N279" s="1" cm="1">
        <f t="array" ref="N279">_xlfn.RANK.EQ(M279,total_money_spent)</f>
        <v>517</v>
      </c>
      <c r="O279" s="1">
        <f t="shared" ca="1" si="4"/>
        <v>1</v>
      </c>
    </row>
    <row r="280" spans="1:15" ht="13.8" x14ac:dyDescent="0.25">
      <c r="A280" s="1" t="s">
        <v>971</v>
      </c>
      <c r="B280" s="1" t="s">
        <v>966</v>
      </c>
      <c r="C280" s="1" t="s">
        <v>106</v>
      </c>
      <c r="D280" s="1" t="s">
        <v>107</v>
      </c>
      <c r="E280" s="1" t="s">
        <v>967</v>
      </c>
      <c r="F280" s="1" t="s">
        <v>968</v>
      </c>
      <c r="G280" s="1" t="s">
        <v>115</v>
      </c>
      <c r="H280" s="1" t="s">
        <v>32</v>
      </c>
      <c r="I280" s="17">
        <f ca="1">DATE(YEAR(TODAY())-2,11,25)</f>
        <v>44160</v>
      </c>
      <c r="J280" s="17">
        <f ca="1">DATE(YEAR(TODAY())-2,12,4)</f>
        <v>44169</v>
      </c>
      <c r="K280" s="1" t="s">
        <v>87</v>
      </c>
      <c r="L280" s="1" t="s">
        <v>73</v>
      </c>
      <c r="M280" s="1">
        <v>1023</v>
      </c>
      <c r="N280" s="1" cm="1">
        <f t="array" ref="N280">_xlfn.RANK.EQ(M280,total_money_spent)</f>
        <v>49</v>
      </c>
      <c r="O280" s="1">
        <f t="shared" ca="1" si="4"/>
        <v>9</v>
      </c>
    </row>
    <row r="281" spans="1:15" ht="13.8" x14ac:dyDescent="0.25">
      <c r="A281" s="1" t="s">
        <v>1355</v>
      </c>
      <c r="B281" s="1" t="s">
        <v>1351</v>
      </c>
      <c r="C281" s="1" t="s">
        <v>235</v>
      </c>
      <c r="D281" s="1" t="s">
        <v>235</v>
      </c>
      <c r="E281" s="1" t="s">
        <v>1352</v>
      </c>
      <c r="F281" s="1" t="s">
        <v>1353</v>
      </c>
      <c r="G281" s="1" t="s">
        <v>115</v>
      </c>
      <c r="H281" s="1" t="s">
        <v>32</v>
      </c>
      <c r="I281" s="17">
        <f ca="1">DATE(YEAR(TODAY())-1,4,1)</f>
        <v>44287</v>
      </c>
      <c r="J281" s="17">
        <f ca="1">DATE(YEAR(TODAY())-1,4,3)</f>
        <v>44289</v>
      </c>
      <c r="K281" s="1" t="s">
        <v>25</v>
      </c>
      <c r="L281" s="1" t="s">
        <v>25</v>
      </c>
      <c r="M281" s="1">
        <v>686</v>
      </c>
      <c r="N281" s="1" cm="1">
        <f t="array" ref="N281">_xlfn.RANK.EQ(M281,total_money_spent)</f>
        <v>500</v>
      </c>
      <c r="O281" s="1">
        <f t="shared" ca="1" si="4"/>
        <v>2</v>
      </c>
    </row>
    <row r="282" spans="1:15" ht="13.8" x14ac:dyDescent="0.25">
      <c r="A282" s="1" t="s">
        <v>574</v>
      </c>
      <c r="B282" s="1" t="s">
        <v>571</v>
      </c>
      <c r="C282" s="1" t="s">
        <v>523</v>
      </c>
      <c r="D282" s="1" t="s">
        <v>158</v>
      </c>
      <c r="E282" s="1" t="s">
        <v>572</v>
      </c>
      <c r="F282" s="1" t="s">
        <v>573</v>
      </c>
      <c r="G282" s="1">
        <v>2005</v>
      </c>
      <c r="H282" s="1" t="s">
        <v>24</v>
      </c>
      <c r="I282" s="17">
        <f ca="1">DATE(YEAR(TODAY())-1,4,9)</f>
        <v>44295</v>
      </c>
      <c r="J282" s="17">
        <f ca="1">DATE(YEAR(TODAY())-1,4,14)</f>
        <v>44300</v>
      </c>
      <c r="K282" s="1" t="s">
        <v>33</v>
      </c>
      <c r="L282" s="1" t="s">
        <v>34</v>
      </c>
      <c r="M282" s="1">
        <v>855</v>
      </c>
      <c r="N282" s="1" cm="1">
        <f t="array" ref="N282">_xlfn.RANK.EQ(M282,total_money_spent)</f>
        <v>203</v>
      </c>
      <c r="O282" s="1">
        <f t="shared" ca="1" si="4"/>
        <v>5</v>
      </c>
    </row>
    <row r="283" spans="1:15" ht="13.8" x14ac:dyDescent="0.25">
      <c r="A283" s="1" t="s">
        <v>409</v>
      </c>
      <c r="B283" s="1" t="s">
        <v>405</v>
      </c>
      <c r="C283" s="1" t="s">
        <v>125</v>
      </c>
      <c r="D283" s="1" t="s">
        <v>126</v>
      </c>
      <c r="E283" s="1" t="s">
        <v>406</v>
      </c>
      <c r="F283" s="1" t="s">
        <v>407</v>
      </c>
      <c r="G283" s="1" t="s">
        <v>226</v>
      </c>
      <c r="H283" s="1" t="s">
        <v>32</v>
      </c>
      <c r="I283" s="17">
        <f ca="1">DATE(YEAR(TODAY())-1,7,3)</f>
        <v>44380</v>
      </c>
      <c r="J283" s="17">
        <f ca="1">DATE(YEAR(TODAY())-1,7,10)</f>
        <v>44387</v>
      </c>
      <c r="K283" s="1" t="s">
        <v>72</v>
      </c>
      <c r="L283" s="1" t="s">
        <v>73</v>
      </c>
      <c r="M283" s="1">
        <v>908</v>
      </c>
      <c r="N283" s="1" cm="1">
        <f t="array" ref="N283">_xlfn.RANK.EQ(M283,total_money_spent)</f>
        <v>131</v>
      </c>
      <c r="O283" s="1">
        <f t="shared" ca="1" si="4"/>
        <v>7</v>
      </c>
    </row>
    <row r="284" spans="1:15" ht="13.8" x14ac:dyDescent="0.25">
      <c r="A284" s="1" t="s">
        <v>715</v>
      </c>
      <c r="B284" s="1" t="s">
        <v>712</v>
      </c>
      <c r="C284" s="1" t="s">
        <v>166</v>
      </c>
      <c r="D284" s="1" t="s">
        <v>166</v>
      </c>
      <c r="E284" s="1" t="s">
        <v>713</v>
      </c>
      <c r="F284" s="1" t="s">
        <v>714</v>
      </c>
      <c r="G284" s="1">
        <v>2005</v>
      </c>
      <c r="H284" s="1" t="s">
        <v>24</v>
      </c>
      <c r="I284" s="17">
        <f ca="1">DATE(YEAR(TODAY())-1,1,20)</f>
        <v>44216</v>
      </c>
      <c r="J284" s="17">
        <f ca="1">DATE(YEAR(TODAY())-1,1,26)</f>
        <v>44222</v>
      </c>
      <c r="K284" s="1" t="s">
        <v>136</v>
      </c>
      <c r="L284" s="1" t="s">
        <v>137</v>
      </c>
      <c r="M284" s="1">
        <v>890</v>
      </c>
      <c r="N284" s="1" cm="1">
        <f t="array" ref="N284">_xlfn.RANK.EQ(M284,total_money_spent)</f>
        <v>173</v>
      </c>
      <c r="O284" s="1">
        <f t="shared" ca="1" si="4"/>
        <v>6</v>
      </c>
    </row>
    <row r="285" spans="1:15" ht="13.8" x14ac:dyDescent="0.25">
      <c r="A285" s="1" t="s">
        <v>1142</v>
      </c>
      <c r="B285" s="1" t="s">
        <v>1139</v>
      </c>
      <c r="C285" s="1" t="s">
        <v>165</v>
      </c>
      <c r="D285" s="1" t="s">
        <v>166</v>
      </c>
      <c r="E285" s="1" t="s">
        <v>1140</v>
      </c>
      <c r="F285" s="1" t="s">
        <v>1141</v>
      </c>
      <c r="G285" s="1" t="s">
        <v>54</v>
      </c>
      <c r="H285" s="1" t="s">
        <v>32</v>
      </c>
      <c r="I285" s="17">
        <f ca="1">DATE(YEAR(TODAY())-1,3,13)</f>
        <v>44268</v>
      </c>
      <c r="J285" s="17">
        <f ca="1">DATE(YEAR(TODAY())-1,3,15)</f>
        <v>44270</v>
      </c>
      <c r="K285" s="1" t="s">
        <v>34</v>
      </c>
      <c r="L285" s="1" t="s">
        <v>34</v>
      </c>
      <c r="M285" s="1">
        <v>695</v>
      </c>
      <c r="N285" s="1" cm="1">
        <f t="array" ref="N285">_xlfn.RANK.EQ(M285,total_money_spent)</f>
        <v>491</v>
      </c>
      <c r="O285" s="1">
        <f t="shared" ca="1" si="4"/>
        <v>2</v>
      </c>
    </row>
    <row r="286" spans="1:15" ht="13.8" x14ac:dyDescent="0.25">
      <c r="A286" s="1" t="s">
        <v>633</v>
      </c>
      <c r="B286" s="1" t="s">
        <v>631</v>
      </c>
      <c r="C286" s="1" t="s">
        <v>246</v>
      </c>
      <c r="D286" s="1" t="s">
        <v>247</v>
      </c>
      <c r="E286" s="1" t="s">
        <v>634</v>
      </c>
      <c r="F286" s="1" t="s">
        <v>632</v>
      </c>
      <c r="G286" s="1">
        <v>2007</v>
      </c>
      <c r="H286" s="1" t="s">
        <v>44</v>
      </c>
      <c r="I286" s="17">
        <f ca="1">DATE(YEAR(TODAY())-1,7,20)</f>
        <v>44397</v>
      </c>
      <c r="J286" s="17">
        <f ca="1">DATE(YEAR(TODAY())-1,7,21)</f>
        <v>44398</v>
      </c>
      <c r="K286" s="1" t="s">
        <v>33</v>
      </c>
      <c r="L286" s="1" t="s">
        <v>34</v>
      </c>
      <c r="M286" s="1">
        <v>654</v>
      </c>
      <c r="N286" s="1" cm="1">
        <f t="array" ref="N286">_xlfn.RANK.EQ(M286,total_money_spent)</f>
        <v>579</v>
      </c>
      <c r="O286" s="1">
        <f t="shared" ca="1" si="4"/>
        <v>1</v>
      </c>
    </row>
    <row r="287" spans="1:15" ht="13.8" x14ac:dyDescent="0.25">
      <c r="A287" s="1" t="s">
        <v>400</v>
      </c>
      <c r="B287" s="1" t="s">
        <v>395</v>
      </c>
      <c r="C287" s="1" t="s">
        <v>170</v>
      </c>
      <c r="D287" s="1" t="s">
        <v>171</v>
      </c>
      <c r="E287" s="1" t="s">
        <v>396</v>
      </c>
      <c r="F287" s="1" t="s">
        <v>397</v>
      </c>
      <c r="G287" s="1">
        <v>3005</v>
      </c>
      <c r="H287" s="1" t="s">
        <v>203</v>
      </c>
      <c r="I287" s="17">
        <f ca="1">DATE(YEAR(TODAY())-1,9,5)</f>
        <v>44444</v>
      </c>
      <c r="J287" s="17">
        <f ca="1">DATE(YEAR(TODAY())-1,9,12)</f>
        <v>44451</v>
      </c>
      <c r="K287" s="1" t="s">
        <v>25</v>
      </c>
      <c r="L287" s="1" t="s">
        <v>25</v>
      </c>
      <c r="M287" s="1">
        <v>1225</v>
      </c>
      <c r="N287" s="1" cm="1">
        <f t="array" ref="N287">_xlfn.RANK.EQ(M287,total_money_spent)</f>
        <v>12</v>
      </c>
      <c r="O287" s="1">
        <f t="shared" ca="1" si="4"/>
        <v>7</v>
      </c>
    </row>
    <row r="288" spans="1:15" ht="13.8" x14ac:dyDescent="0.25">
      <c r="A288" s="1" t="s">
        <v>621</v>
      </c>
      <c r="B288" s="1" t="s">
        <v>616</v>
      </c>
      <c r="C288" s="1" t="s">
        <v>47</v>
      </c>
      <c r="D288" s="1" t="s">
        <v>48</v>
      </c>
      <c r="E288" s="1" t="s">
        <v>619</v>
      </c>
      <c r="F288" s="1" t="s">
        <v>620</v>
      </c>
      <c r="G288" s="1">
        <v>3002</v>
      </c>
      <c r="H288" s="1" t="s">
        <v>81</v>
      </c>
      <c r="I288" s="17">
        <f ca="1">DATE(YEAR(TODAY())-1,8,8)</f>
        <v>44416</v>
      </c>
      <c r="J288" s="17">
        <f ca="1">DATE(YEAR(TODAY())-1,8,9)</f>
        <v>44417</v>
      </c>
      <c r="K288" s="1" t="s">
        <v>82</v>
      </c>
      <c r="L288" s="1" t="s">
        <v>34</v>
      </c>
      <c r="M288" s="1">
        <v>656</v>
      </c>
      <c r="N288" s="1" cm="1">
        <f t="array" ref="N288">_xlfn.RANK.EQ(M288,total_money_spent)</f>
        <v>573</v>
      </c>
      <c r="O288" s="1">
        <f t="shared" ca="1" si="4"/>
        <v>1</v>
      </c>
    </row>
    <row r="289" spans="1:15" ht="13.8" x14ac:dyDescent="0.25">
      <c r="A289" s="1" t="s">
        <v>108</v>
      </c>
      <c r="B289" s="1" t="s">
        <v>109</v>
      </c>
      <c r="C289" s="1" t="s">
        <v>110</v>
      </c>
      <c r="D289" s="1" t="s">
        <v>111</v>
      </c>
      <c r="E289" s="1" t="s">
        <v>112</v>
      </c>
      <c r="F289" s="1" t="s">
        <v>113</v>
      </c>
      <c r="G289" s="1">
        <v>2004</v>
      </c>
      <c r="H289" s="1" t="s">
        <v>24</v>
      </c>
      <c r="I289" s="17">
        <f ca="1">DATE(YEAR(TODAY())-2,11,21)</f>
        <v>44156</v>
      </c>
      <c r="J289" s="17">
        <f ca="1">DATE(YEAR(TODAY())-2,11,23)</f>
        <v>44158</v>
      </c>
      <c r="K289" s="1" t="s">
        <v>61</v>
      </c>
      <c r="L289" s="1" t="s">
        <v>34</v>
      </c>
      <c r="M289" s="1">
        <v>719</v>
      </c>
      <c r="N289" s="1" cm="1">
        <f t="array" ref="N289">_xlfn.RANK.EQ(M289,total_money_spent)</f>
        <v>462</v>
      </c>
      <c r="O289" s="1">
        <f t="shared" ca="1" si="4"/>
        <v>2</v>
      </c>
    </row>
    <row r="290" spans="1:15" ht="13.8" x14ac:dyDescent="0.25">
      <c r="A290" s="1" t="s">
        <v>976</v>
      </c>
      <c r="B290" s="1" t="s">
        <v>973</v>
      </c>
      <c r="C290" s="1" t="s">
        <v>57</v>
      </c>
      <c r="D290" s="1" t="s">
        <v>57</v>
      </c>
      <c r="E290" s="1" t="s">
        <v>974</v>
      </c>
      <c r="F290" s="1" t="s">
        <v>975</v>
      </c>
      <c r="G290" s="1">
        <v>3005</v>
      </c>
      <c r="H290" s="1" t="s">
        <v>203</v>
      </c>
      <c r="I290" s="17">
        <f ca="1">DATE(YEAR(TODAY())-1,9,1)</f>
        <v>44440</v>
      </c>
      <c r="J290" s="17">
        <f ca="1">DATE(YEAR(TODAY())-1,9,5)</f>
        <v>44444</v>
      </c>
      <c r="K290" s="1" t="s">
        <v>33</v>
      </c>
      <c r="L290" s="1" t="s">
        <v>34</v>
      </c>
      <c r="M290" s="1">
        <v>866</v>
      </c>
      <c r="N290" s="1" cm="1">
        <f t="array" ref="N290">_xlfn.RANK.EQ(M290,total_money_spent)</f>
        <v>185</v>
      </c>
      <c r="O290" s="1">
        <f t="shared" ca="1" si="4"/>
        <v>4</v>
      </c>
    </row>
    <row r="291" spans="1:15" ht="13.8" x14ac:dyDescent="0.25">
      <c r="A291" s="1" t="s">
        <v>1156</v>
      </c>
      <c r="B291" s="1" t="s">
        <v>1152</v>
      </c>
      <c r="C291" s="1" t="s">
        <v>37</v>
      </c>
      <c r="D291" s="1" t="s">
        <v>38</v>
      </c>
      <c r="E291" s="1" t="s">
        <v>1153</v>
      </c>
      <c r="F291" s="1" t="s">
        <v>1154</v>
      </c>
      <c r="G291" s="1">
        <v>2008</v>
      </c>
      <c r="H291" s="1" t="s">
        <v>44</v>
      </c>
      <c r="I291" s="17">
        <f ca="1">DATE(YEAR(TODAY())-1,1,26)</f>
        <v>44222</v>
      </c>
      <c r="J291" s="17">
        <f ca="1">DATE(YEAR(TODAY())-1,2,2)</f>
        <v>44229</v>
      </c>
      <c r="K291" s="1" t="s">
        <v>25</v>
      </c>
      <c r="L291" s="1" t="s">
        <v>25</v>
      </c>
      <c r="M291" s="1">
        <v>1071</v>
      </c>
      <c r="N291" s="1" cm="1">
        <f t="array" ref="N291">_xlfn.RANK.EQ(M291,total_money_spent)</f>
        <v>31</v>
      </c>
      <c r="O291" s="1">
        <f t="shared" ca="1" si="4"/>
        <v>7</v>
      </c>
    </row>
    <row r="292" spans="1:15" ht="13.8" x14ac:dyDescent="0.25">
      <c r="A292" s="1" t="s">
        <v>1484</v>
      </c>
      <c r="B292" s="1" t="s">
        <v>1481</v>
      </c>
      <c r="C292" s="1" t="s">
        <v>106</v>
      </c>
      <c r="D292" s="1" t="s">
        <v>107</v>
      </c>
      <c r="E292" s="1" t="s">
        <v>1482</v>
      </c>
      <c r="F292" s="1" t="s">
        <v>1483</v>
      </c>
      <c r="G292" s="1">
        <v>2005</v>
      </c>
      <c r="H292" s="1" t="s">
        <v>24</v>
      </c>
      <c r="I292" s="17">
        <f ca="1">DATE(YEAR(TODAY())-1,5,24)</f>
        <v>44340</v>
      </c>
      <c r="J292" s="17">
        <f ca="1">DATE(YEAR(TODAY())-1,5,26)</f>
        <v>44342</v>
      </c>
      <c r="K292" s="1" t="s">
        <v>25</v>
      </c>
      <c r="L292" s="1" t="s">
        <v>25</v>
      </c>
      <c r="M292" s="1">
        <v>722</v>
      </c>
      <c r="N292" s="1" cm="1">
        <f t="array" ref="N292">_xlfn.RANK.EQ(M292,total_money_spent)</f>
        <v>459</v>
      </c>
      <c r="O292" s="1">
        <f t="shared" ca="1" si="4"/>
        <v>2</v>
      </c>
    </row>
    <row r="293" spans="1:15" ht="13.8" x14ac:dyDescent="0.25">
      <c r="A293" s="1" t="s">
        <v>1138</v>
      </c>
      <c r="B293" s="1" t="s">
        <v>1139</v>
      </c>
      <c r="C293" s="1" t="s">
        <v>523</v>
      </c>
      <c r="D293" s="1" t="s">
        <v>158</v>
      </c>
      <c r="E293" s="1" t="s">
        <v>1140</v>
      </c>
      <c r="F293" s="1" t="s">
        <v>1141</v>
      </c>
      <c r="G293" s="1">
        <v>3004</v>
      </c>
      <c r="H293" s="1" t="s">
        <v>203</v>
      </c>
      <c r="I293" s="17">
        <f ca="1">DATE(YEAR(TODAY())-2,11,25)</f>
        <v>44160</v>
      </c>
      <c r="J293" s="17">
        <f ca="1">DATE(YEAR(TODAY())-2,12,1)</f>
        <v>44166</v>
      </c>
      <c r="K293" s="1" t="s">
        <v>61</v>
      </c>
      <c r="L293" s="1" t="s">
        <v>34</v>
      </c>
      <c r="M293" s="1">
        <v>1063</v>
      </c>
      <c r="N293" s="1" cm="1">
        <f t="array" ref="N293">_xlfn.RANK.EQ(M293,total_money_spent)</f>
        <v>42</v>
      </c>
      <c r="O293" s="1">
        <f t="shared" ca="1" si="4"/>
        <v>6</v>
      </c>
    </row>
    <row r="294" spans="1:15" ht="13.8" x14ac:dyDescent="0.25">
      <c r="A294" s="1" t="s">
        <v>969</v>
      </c>
      <c r="B294" s="1" t="s">
        <v>966</v>
      </c>
      <c r="C294" s="1" t="s">
        <v>170</v>
      </c>
      <c r="D294" s="1" t="s">
        <v>171</v>
      </c>
      <c r="E294" s="1" t="s">
        <v>967</v>
      </c>
      <c r="F294" s="1" t="s">
        <v>968</v>
      </c>
      <c r="G294" s="1">
        <v>3004</v>
      </c>
      <c r="H294" s="1" t="s">
        <v>203</v>
      </c>
      <c r="I294" s="17">
        <f ca="1">DATE(YEAR(TODAY())-1,2,4)</f>
        <v>44231</v>
      </c>
      <c r="J294" s="17">
        <f ca="1">DATE(YEAR(TODAY())-1,2,9)</f>
        <v>44236</v>
      </c>
      <c r="K294" s="1" t="s">
        <v>143</v>
      </c>
      <c r="L294" s="1" t="s">
        <v>25</v>
      </c>
      <c r="M294" s="1">
        <v>961</v>
      </c>
      <c r="N294" s="1" cm="1">
        <f t="array" ref="N294">_xlfn.RANK.EQ(M294,total_money_spent)</f>
        <v>92</v>
      </c>
      <c r="O294" s="1">
        <f t="shared" ca="1" si="4"/>
        <v>5</v>
      </c>
    </row>
    <row r="295" spans="1:15" ht="13.8" x14ac:dyDescent="0.25">
      <c r="A295" s="1" t="s">
        <v>1437</v>
      </c>
      <c r="B295" s="1" t="s">
        <v>1438</v>
      </c>
      <c r="C295" s="1" t="s">
        <v>177</v>
      </c>
      <c r="D295" s="1" t="s">
        <v>178</v>
      </c>
      <c r="E295" s="1" t="s">
        <v>1439</v>
      </c>
      <c r="F295" s="1" t="s">
        <v>1440</v>
      </c>
      <c r="G295" s="1" t="s">
        <v>226</v>
      </c>
      <c r="H295" s="1" t="s">
        <v>32</v>
      </c>
      <c r="I295" s="17">
        <f ca="1">DATE(YEAR(TODAY())-1,6,7)</f>
        <v>44354</v>
      </c>
      <c r="J295" s="17">
        <f ca="1">DATE(YEAR(TODAY())-1,6,11)</f>
        <v>44358</v>
      </c>
      <c r="K295" s="1" t="s">
        <v>16</v>
      </c>
      <c r="L295" s="1" t="s">
        <v>34</v>
      </c>
      <c r="M295" s="1">
        <v>805</v>
      </c>
      <c r="N295" s="1" cm="1">
        <f t="array" ref="N295">_xlfn.RANK.EQ(M295,total_money_spent)</f>
        <v>277</v>
      </c>
      <c r="O295" s="1">
        <f t="shared" ca="1" si="4"/>
        <v>4</v>
      </c>
    </row>
    <row r="296" spans="1:15" ht="13.8" x14ac:dyDescent="0.25">
      <c r="A296" s="1" t="s">
        <v>1151</v>
      </c>
      <c r="B296" s="1" t="s">
        <v>1152</v>
      </c>
      <c r="C296" s="1" t="s">
        <v>52</v>
      </c>
      <c r="D296" s="1" t="s">
        <v>53</v>
      </c>
      <c r="E296" s="1" t="s">
        <v>1153</v>
      </c>
      <c r="F296" s="1" t="s">
        <v>1154</v>
      </c>
      <c r="G296" s="1">
        <v>2001</v>
      </c>
      <c r="H296" s="1" t="s">
        <v>24</v>
      </c>
      <c r="I296" s="17">
        <f ca="1">DATE(YEAR(TODAY())-1,5,18)</f>
        <v>44334</v>
      </c>
      <c r="J296" s="17">
        <f ca="1">DATE(YEAR(TODAY())-1,5,20)</f>
        <v>44336</v>
      </c>
      <c r="K296" s="1" t="s">
        <v>136</v>
      </c>
      <c r="L296" s="1" t="s">
        <v>137</v>
      </c>
      <c r="M296" s="1">
        <v>720</v>
      </c>
      <c r="N296" s="1" cm="1">
        <f t="array" ref="N296">_xlfn.RANK.EQ(M296,total_money_spent)</f>
        <v>461</v>
      </c>
      <c r="O296" s="1">
        <f t="shared" ca="1" si="4"/>
        <v>2</v>
      </c>
    </row>
    <row r="297" spans="1:15" ht="13.8" x14ac:dyDescent="0.25">
      <c r="A297" s="1" t="s">
        <v>466</v>
      </c>
      <c r="B297" s="1" t="s">
        <v>467</v>
      </c>
      <c r="C297" s="1" t="s">
        <v>210</v>
      </c>
      <c r="D297" s="1" t="s">
        <v>211</v>
      </c>
      <c r="E297" s="1" t="s">
        <v>468</v>
      </c>
      <c r="F297" s="1" t="s">
        <v>469</v>
      </c>
      <c r="G297" s="1">
        <v>3002</v>
      </c>
      <c r="H297" s="1" t="s">
        <v>81</v>
      </c>
      <c r="I297" s="17">
        <f ca="1">DATE(YEAR(TODAY())-2,11,15)</f>
        <v>44150</v>
      </c>
      <c r="J297" s="17">
        <f ca="1">DATE(YEAR(TODAY())-2,11,19)</f>
        <v>44154</v>
      </c>
      <c r="K297" s="1" t="s">
        <v>72</v>
      </c>
      <c r="L297" s="1" t="s">
        <v>73</v>
      </c>
      <c r="M297" s="1">
        <v>860</v>
      </c>
      <c r="N297" s="1" cm="1">
        <f t="array" ref="N297">_xlfn.RANK.EQ(M297,total_money_spent)</f>
        <v>193</v>
      </c>
      <c r="O297" s="1">
        <f t="shared" ca="1" si="4"/>
        <v>4</v>
      </c>
    </row>
    <row r="298" spans="1:15" ht="13.8" x14ac:dyDescent="0.25">
      <c r="A298" s="1" t="s">
        <v>191</v>
      </c>
      <c r="B298" s="1" t="s">
        <v>192</v>
      </c>
      <c r="C298" s="1" t="s">
        <v>177</v>
      </c>
      <c r="D298" s="1" t="s">
        <v>178</v>
      </c>
      <c r="E298" s="1" t="s">
        <v>193</v>
      </c>
      <c r="F298" s="1" t="s">
        <v>194</v>
      </c>
      <c r="G298" s="1">
        <v>3001</v>
      </c>
      <c r="H298" s="1" t="s">
        <v>81</v>
      </c>
      <c r="I298" s="17">
        <f ca="1">DATE(YEAR(TODAY())-1,2,5)</f>
        <v>44232</v>
      </c>
      <c r="J298" s="17">
        <f ca="1">DATE(YEAR(TODAY())-1,2,7)</f>
        <v>44234</v>
      </c>
      <c r="K298" s="1" t="s">
        <v>25</v>
      </c>
      <c r="L298" s="1" t="s">
        <v>25</v>
      </c>
      <c r="M298" s="1">
        <v>749</v>
      </c>
      <c r="N298" s="1" cm="1">
        <f t="array" ref="N298">_xlfn.RANK.EQ(M298,total_money_spent)</f>
        <v>407</v>
      </c>
      <c r="O298" s="1">
        <f t="shared" ca="1" si="4"/>
        <v>2</v>
      </c>
    </row>
    <row r="299" spans="1:15" ht="13.8" x14ac:dyDescent="0.25">
      <c r="A299" s="1" t="s">
        <v>1496</v>
      </c>
      <c r="B299" s="1" t="s">
        <v>1497</v>
      </c>
      <c r="C299" s="1" t="s">
        <v>504</v>
      </c>
      <c r="D299" s="1" t="s">
        <v>187</v>
      </c>
      <c r="E299" s="1" t="s">
        <v>1498</v>
      </c>
      <c r="F299" s="1" t="s">
        <v>1499</v>
      </c>
      <c r="G299" s="1">
        <v>2006</v>
      </c>
      <c r="H299" s="1" t="s">
        <v>24</v>
      </c>
      <c r="I299" s="17">
        <f ca="1">DATE(YEAR(TODAY())-1,5,23)</f>
        <v>44339</v>
      </c>
      <c r="J299" s="17">
        <f ca="1">DATE(YEAR(TODAY())-1,5,26)</f>
        <v>44342</v>
      </c>
      <c r="K299" s="1" t="s">
        <v>16</v>
      </c>
      <c r="L299" s="1" t="s">
        <v>34</v>
      </c>
      <c r="M299" s="1">
        <v>778</v>
      </c>
      <c r="N299" s="1" cm="1">
        <f t="array" ref="N299">_xlfn.RANK.EQ(M299,total_money_spent)</f>
        <v>350</v>
      </c>
      <c r="O299" s="1">
        <f t="shared" ca="1" si="4"/>
        <v>3</v>
      </c>
    </row>
    <row r="300" spans="1:15" ht="13.8" x14ac:dyDescent="0.25">
      <c r="A300" s="1" t="s">
        <v>1329</v>
      </c>
      <c r="B300" s="1" t="s">
        <v>1330</v>
      </c>
      <c r="C300" s="1" t="s">
        <v>387</v>
      </c>
      <c r="D300" s="1" t="s">
        <v>153</v>
      </c>
      <c r="E300" s="1" t="s">
        <v>1331</v>
      </c>
      <c r="F300" s="1" t="s">
        <v>1332</v>
      </c>
      <c r="G300" s="1">
        <v>2003</v>
      </c>
      <c r="H300" s="1" t="s">
        <v>24</v>
      </c>
      <c r="I300" s="17">
        <f ca="1">DATE(YEAR(TODAY())-1,6,24)</f>
        <v>44371</v>
      </c>
      <c r="J300" s="17">
        <f ca="1">DATE(YEAR(TODAY())-1,6,30)</f>
        <v>44377</v>
      </c>
      <c r="K300" s="1" t="s">
        <v>25</v>
      </c>
      <c r="L300" s="1" t="s">
        <v>25</v>
      </c>
      <c r="M300" s="1">
        <v>884</v>
      </c>
      <c r="N300" s="1" cm="1">
        <f t="array" ref="N300">_xlfn.RANK.EQ(M300,total_money_spent)</f>
        <v>180</v>
      </c>
      <c r="O300" s="1">
        <f t="shared" ca="1" si="4"/>
        <v>6</v>
      </c>
    </row>
    <row r="301" spans="1:15" ht="13.8" x14ac:dyDescent="0.25">
      <c r="A301" s="1" t="s">
        <v>442</v>
      </c>
      <c r="B301" s="1" t="s">
        <v>443</v>
      </c>
      <c r="C301" s="1" t="s">
        <v>210</v>
      </c>
      <c r="D301" s="1" t="s">
        <v>211</v>
      </c>
      <c r="E301" s="1" t="s">
        <v>444</v>
      </c>
      <c r="F301" s="1" t="s">
        <v>445</v>
      </c>
      <c r="G301" s="1" t="s">
        <v>226</v>
      </c>
      <c r="H301" s="1" t="s">
        <v>32</v>
      </c>
      <c r="I301" s="17">
        <f ca="1">DATE(YEAR(TODAY())-1,9,6)</f>
        <v>44445</v>
      </c>
      <c r="J301" s="17">
        <f ca="1">DATE(YEAR(TODAY())-1,9,11)</f>
        <v>44450</v>
      </c>
      <c r="K301" s="1" t="s">
        <v>33</v>
      </c>
      <c r="L301" s="1" t="s">
        <v>34</v>
      </c>
      <c r="M301" s="1">
        <v>802</v>
      </c>
      <c r="N301" s="1" cm="1">
        <f t="array" ref="N301">_xlfn.RANK.EQ(M301,total_money_spent)</f>
        <v>286</v>
      </c>
      <c r="O301" s="1">
        <f t="shared" ca="1" si="4"/>
        <v>5</v>
      </c>
    </row>
    <row r="302" spans="1:15" ht="13.8" x14ac:dyDescent="0.25">
      <c r="A302" s="1" t="s">
        <v>576</v>
      </c>
      <c r="B302" s="1" t="s">
        <v>577</v>
      </c>
      <c r="C302" s="1" t="s">
        <v>147</v>
      </c>
      <c r="D302" s="1" t="s">
        <v>147</v>
      </c>
      <c r="E302" s="1" t="s">
        <v>578</v>
      </c>
      <c r="F302" s="1" t="s">
        <v>579</v>
      </c>
      <c r="G302" s="1">
        <v>2002</v>
      </c>
      <c r="H302" s="1" t="s">
        <v>24</v>
      </c>
      <c r="I302" s="17">
        <f ca="1">DATE(YEAR(TODAY())-2,10,28)</f>
        <v>44132</v>
      </c>
      <c r="J302" s="17">
        <f ca="1">DATE(YEAR(TODAY())-2,10,31)</f>
        <v>44135</v>
      </c>
      <c r="K302" s="1" t="s">
        <v>25</v>
      </c>
      <c r="L302" s="1" t="s">
        <v>25</v>
      </c>
      <c r="M302" s="1">
        <v>768</v>
      </c>
      <c r="N302" s="1" cm="1">
        <f t="array" ref="N302">_xlfn.RANK.EQ(M302,total_money_spent)</f>
        <v>380</v>
      </c>
      <c r="O302" s="1">
        <f t="shared" ca="1" si="4"/>
        <v>3</v>
      </c>
    </row>
    <row r="303" spans="1:15" ht="13.8" x14ac:dyDescent="0.25">
      <c r="A303" s="1" t="s">
        <v>611</v>
      </c>
      <c r="B303" s="1" t="s">
        <v>612</v>
      </c>
      <c r="C303" s="1" t="s">
        <v>76</v>
      </c>
      <c r="D303" s="1" t="s">
        <v>77</v>
      </c>
      <c r="E303" s="1" t="s">
        <v>613</v>
      </c>
      <c r="F303" s="1" t="s">
        <v>614</v>
      </c>
      <c r="G303" s="1" t="s">
        <v>226</v>
      </c>
      <c r="H303" s="1" t="s">
        <v>32</v>
      </c>
      <c r="I303" s="17">
        <f ca="1">DATE(YEAR(TODAY())-1,2,29)</f>
        <v>44256</v>
      </c>
      <c r="J303" s="17">
        <f ca="1">DATE(YEAR(TODAY())-1,3,2)</f>
        <v>44257</v>
      </c>
      <c r="K303" s="1" t="s">
        <v>143</v>
      </c>
      <c r="L303" s="1" t="s">
        <v>25</v>
      </c>
      <c r="M303" s="1">
        <v>664</v>
      </c>
      <c r="N303" s="1" cm="1">
        <f t="array" ref="N303">_xlfn.RANK.EQ(M303,total_money_spent)</f>
        <v>541</v>
      </c>
      <c r="O303" s="1">
        <f t="shared" ca="1" si="4"/>
        <v>1</v>
      </c>
    </row>
    <row r="304" spans="1:15" ht="13.8" x14ac:dyDescent="0.25">
      <c r="A304" s="1" t="s">
        <v>410</v>
      </c>
      <c r="B304" s="1" t="s">
        <v>405</v>
      </c>
      <c r="C304" s="1" t="s">
        <v>152</v>
      </c>
      <c r="D304" s="1" t="s">
        <v>153</v>
      </c>
      <c r="E304" s="1" t="s">
        <v>406</v>
      </c>
      <c r="F304" s="1" t="s">
        <v>407</v>
      </c>
      <c r="G304" s="1" t="s">
        <v>226</v>
      </c>
      <c r="H304" s="1" t="s">
        <v>32</v>
      </c>
      <c r="I304" s="17">
        <f ca="1">DATE(YEAR(TODAY())-1,8,5)</f>
        <v>44413</v>
      </c>
      <c r="J304" s="17">
        <f ca="1">DATE(YEAR(TODAY())-1,8,7)</f>
        <v>44415</v>
      </c>
      <c r="K304" s="1" t="s">
        <v>72</v>
      </c>
      <c r="L304" s="1" t="s">
        <v>73</v>
      </c>
      <c r="M304" s="1">
        <v>689</v>
      </c>
      <c r="N304" s="1" cm="1">
        <f t="array" ref="N304">_xlfn.RANK.EQ(M304,total_money_spent)</f>
        <v>497</v>
      </c>
      <c r="O304" s="1">
        <f t="shared" ca="1" si="4"/>
        <v>2</v>
      </c>
    </row>
    <row r="305" spans="1:15" ht="13.8" x14ac:dyDescent="0.25">
      <c r="A305" s="1" t="s">
        <v>1462</v>
      </c>
      <c r="B305" s="1" t="s">
        <v>1459</v>
      </c>
      <c r="C305" s="1" t="s">
        <v>110</v>
      </c>
      <c r="D305" s="1" t="s">
        <v>111</v>
      </c>
      <c r="E305" s="1" t="s">
        <v>1460</v>
      </c>
      <c r="F305" s="1" t="s">
        <v>1461</v>
      </c>
      <c r="G305" s="1" t="s">
        <v>226</v>
      </c>
      <c r="H305" s="1" t="s">
        <v>32</v>
      </c>
      <c r="I305" s="17">
        <f ca="1">DATE(YEAR(TODAY())-1,1,6)</f>
        <v>44202</v>
      </c>
      <c r="J305" s="17">
        <f ca="1">DATE(YEAR(TODAY())-1,1,12)</f>
        <v>44208</v>
      </c>
      <c r="K305" s="1" t="s">
        <v>87</v>
      </c>
      <c r="L305" s="1" t="s">
        <v>73</v>
      </c>
      <c r="M305" s="1">
        <v>850</v>
      </c>
      <c r="N305" s="1" cm="1">
        <f t="array" ref="N305">_xlfn.RANK.EQ(M305,total_money_spent)</f>
        <v>214</v>
      </c>
      <c r="O305" s="1">
        <f t="shared" ca="1" si="4"/>
        <v>6</v>
      </c>
    </row>
    <row r="306" spans="1:15" ht="13.8" x14ac:dyDescent="0.25">
      <c r="A306" s="1" t="s">
        <v>727</v>
      </c>
      <c r="B306" s="1" t="s">
        <v>724</v>
      </c>
      <c r="C306" s="1" t="s">
        <v>177</v>
      </c>
      <c r="D306" s="1" t="s">
        <v>178</v>
      </c>
      <c r="E306" s="1" t="s">
        <v>725</v>
      </c>
      <c r="F306" s="1" t="s">
        <v>726</v>
      </c>
      <c r="G306" s="1" t="s">
        <v>122</v>
      </c>
      <c r="H306" s="1" t="s">
        <v>32</v>
      </c>
      <c r="I306" s="17">
        <f ca="1">DATE(YEAR(TODAY())-2,11,26)</f>
        <v>44161</v>
      </c>
      <c r="J306" s="17">
        <f ca="1">DATE(YEAR(TODAY())-2,12,5)</f>
        <v>44170</v>
      </c>
      <c r="K306" s="1" t="s">
        <v>87</v>
      </c>
      <c r="L306" s="1" t="s">
        <v>73</v>
      </c>
      <c r="M306" s="1">
        <v>1024</v>
      </c>
      <c r="N306" s="1" cm="1">
        <f t="array" ref="N306">_xlfn.RANK.EQ(M306,total_money_spent)</f>
        <v>48</v>
      </c>
      <c r="O306" s="1">
        <f t="shared" ca="1" si="4"/>
        <v>9</v>
      </c>
    </row>
    <row r="307" spans="1:15" ht="13.8" x14ac:dyDescent="0.25">
      <c r="A307" s="1" t="s">
        <v>1371</v>
      </c>
      <c r="B307" s="1" t="s">
        <v>1372</v>
      </c>
      <c r="C307" s="1" t="s">
        <v>106</v>
      </c>
      <c r="D307" s="1" t="s">
        <v>107</v>
      </c>
      <c r="E307" s="1" t="s">
        <v>1373</v>
      </c>
      <c r="F307" s="1" t="s">
        <v>1374</v>
      </c>
      <c r="G307" s="1">
        <v>2001</v>
      </c>
      <c r="H307" s="1" t="s">
        <v>24</v>
      </c>
      <c r="I307" s="17">
        <f ca="1">DATE(YEAR(TODAY())-1,8,13)</f>
        <v>44421</v>
      </c>
      <c r="J307" s="17">
        <f ca="1">DATE(YEAR(TODAY())-1,8,19)</f>
        <v>44427</v>
      </c>
      <c r="K307" s="1" t="s">
        <v>87</v>
      </c>
      <c r="L307" s="1" t="s">
        <v>73</v>
      </c>
      <c r="M307" s="1">
        <v>909</v>
      </c>
      <c r="N307" s="1" cm="1">
        <f t="array" ref="N307">_xlfn.RANK.EQ(M307,total_money_spent)</f>
        <v>128</v>
      </c>
      <c r="O307" s="1">
        <f t="shared" ca="1" si="4"/>
        <v>6</v>
      </c>
    </row>
    <row r="308" spans="1:15" ht="13.8" x14ac:dyDescent="0.25">
      <c r="A308" s="1" t="s">
        <v>1451</v>
      </c>
      <c r="B308" s="1" t="s">
        <v>1446</v>
      </c>
      <c r="C308" s="1" t="s">
        <v>131</v>
      </c>
      <c r="D308" s="1" t="s">
        <v>132</v>
      </c>
      <c r="E308" s="1" t="s">
        <v>1447</v>
      </c>
      <c r="F308" s="1" t="s">
        <v>1448</v>
      </c>
      <c r="G308" s="1">
        <v>3005</v>
      </c>
      <c r="H308" s="1" t="s">
        <v>203</v>
      </c>
      <c r="I308" s="17">
        <f ca="1">DATE(YEAR(TODAY())-1,8,1)</f>
        <v>44409</v>
      </c>
      <c r="J308" s="17">
        <f ca="1">DATE(YEAR(TODAY())-1,8,6)</f>
        <v>44414</v>
      </c>
      <c r="K308" s="1" t="s">
        <v>25</v>
      </c>
      <c r="L308" s="1" t="s">
        <v>25</v>
      </c>
      <c r="M308" s="1">
        <v>963</v>
      </c>
      <c r="N308" s="1" cm="1">
        <f t="array" ref="N308">_xlfn.RANK.EQ(M308,total_money_spent)</f>
        <v>88</v>
      </c>
      <c r="O308" s="1">
        <f t="shared" ca="1" si="4"/>
        <v>5</v>
      </c>
    </row>
    <row r="309" spans="1:15" ht="13.8" x14ac:dyDescent="0.25">
      <c r="A309" s="1" t="s">
        <v>1310</v>
      </c>
      <c r="B309" s="1" t="s">
        <v>1311</v>
      </c>
      <c r="C309" s="1" t="s">
        <v>270</v>
      </c>
      <c r="D309" s="1" t="s">
        <v>271</v>
      </c>
      <c r="E309" s="1" t="s">
        <v>1312</v>
      </c>
      <c r="F309" s="1" t="s">
        <v>1313</v>
      </c>
      <c r="G309" s="1" t="s">
        <v>115</v>
      </c>
      <c r="H309" s="1" t="s">
        <v>32</v>
      </c>
      <c r="I309" s="17">
        <f ca="1">DATE(YEAR(TODAY())-1,8,3)</f>
        <v>44411</v>
      </c>
      <c r="J309" s="17">
        <f ca="1">DATE(YEAR(TODAY())-1,8,7)</f>
        <v>44415</v>
      </c>
      <c r="K309" s="1" t="s">
        <v>33</v>
      </c>
      <c r="L309" s="1" t="s">
        <v>34</v>
      </c>
      <c r="M309" s="1">
        <v>803</v>
      </c>
      <c r="N309" s="1" cm="1">
        <f t="array" ref="N309">_xlfn.RANK.EQ(M309,total_money_spent)</f>
        <v>283</v>
      </c>
      <c r="O309" s="1">
        <f t="shared" ca="1" si="4"/>
        <v>4</v>
      </c>
    </row>
    <row r="310" spans="1:15" ht="13.8" x14ac:dyDescent="0.25">
      <c r="A310" s="1" t="s">
        <v>1002</v>
      </c>
      <c r="B310" s="1" t="s">
        <v>999</v>
      </c>
      <c r="C310" s="1" t="s">
        <v>165</v>
      </c>
      <c r="D310" s="1" t="s">
        <v>166</v>
      </c>
      <c r="E310" s="1" t="s">
        <v>1000</v>
      </c>
      <c r="F310" s="1" t="s">
        <v>1001</v>
      </c>
      <c r="G310" s="1">
        <v>3003</v>
      </c>
      <c r="H310" s="1" t="s">
        <v>81</v>
      </c>
      <c r="I310" s="17">
        <f ca="1">DATE(YEAR(TODAY())-1,8,2)</f>
        <v>44410</v>
      </c>
      <c r="J310" s="17">
        <f ca="1">DATE(YEAR(TODAY())-1,8,5)</f>
        <v>44413</v>
      </c>
      <c r="K310" s="1" t="s">
        <v>34</v>
      </c>
      <c r="L310" s="1" t="s">
        <v>34</v>
      </c>
      <c r="M310" s="1">
        <v>785</v>
      </c>
      <c r="N310" s="1" cm="1">
        <f t="array" ref="N310">_xlfn.RANK.EQ(M310,total_money_spent)</f>
        <v>332</v>
      </c>
      <c r="O310" s="1">
        <f t="shared" ca="1" si="4"/>
        <v>3</v>
      </c>
    </row>
    <row r="311" spans="1:15" ht="13.8" x14ac:dyDescent="0.25">
      <c r="A311" s="1" t="s">
        <v>1118</v>
      </c>
      <c r="B311" s="1" t="s">
        <v>1115</v>
      </c>
      <c r="C311" s="1" t="s">
        <v>504</v>
      </c>
      <c r="D311" s="1" t="s">
        <v>187</v>
      </c>
      <c r="E311" s="1" t="s">
        <v>1116</v>
      </c>
      <c r="F311" s="1" t="s">
        <v>1117</v>
      </c>
      <c r="G311" s="1">
        <v>2008</v>
      </c>
      <c r="H311" s="1" t="s">
        <v>44</v>
      </c>
      <c r="I311" s="17">
        <f ca="1">DATE(YEAR(TODAY())-2,12,26)</f>
        <v>44191</v>
      </c>
      <c r="J311" s="17">
        <f ca="1">DATE(YEAR(TODAY())-2,12,29)</f>
        <v>44194</v>
      </c>
      <c r="K311" s="1" t="s">
        <v>72</v>
      </c>
      <c r="L311" s="1" t="s">
        <v>73</v>
      </c>
      <c r="M311" s="1">
        <v>770</v>
      </c>
      <c r="N311" s="1" cm="1">
        <f t="array" ref="N311">_xlfn.RANK.EQ(M311,total_money_spent)</f>
        <v>376</v>
      </c>
      <c r="O311" s="1">
        <f t="shared" ca="1" si="4"/>
        <v>3</v>
      </c>
    </row>
    <row r="312" spans="1:15" ht="13.8" x14ac:dyDescent="0.25">
      <c r="A312" s="1" t="s">
        <v>1501</v>
      </c>
      <c r="B312" s="1" t="s">
        <v>1502</v>
      </c>
      <c r="C312" s="1" t="s">
        <v>91</v>
      </c>
      <c r="D312" s="1" t="s">
        <v>91</v>
      </c>
      <c r="F312" s="1" t="s">
        <v>1503</v>
      </c>
      <c r="G312" s="1">
        <v>3003</v>
      </c>
      <c r="H312" s="1" t="s">
        <v>81</v>
      </c>
      <c r="I312" s="17">
        <f ca="1">DATE(YEAR(TODAY())-1,4,1)</f>
        <v>44287</v>
      </c>
      <c r="J312" s="17">
        <f ca="1">DATE(YEAR(TODAY())-1,4,7)</f>
        <v>44293</v>
      </c>
      <c r="K312" s="1" t="s">
        <v>82</v>
      </c>
      <c r="L312" s="1" t="s">
        <v>34</v>
      </c>
      <c r="M312" s="1">
        <v>1001</v>
      </c>
      <c r="N312" s="1" cm="1">
        <f t="array" ref="N312">_xlfn.RANK.EQ(M312,total_money_spent)</f>
        <v>54</v>
      </c>
      <c r="O312" s="1">
        <f t="shared" ca="1" si="4"/>
        <v>6</v>
      </c>
    </row>
    <row r="313" spans="1:15" ht="13.8" x14ac:dyDescent="0.25">
      <c r="A313" s="1" t="s">
        <v>1155</v>
      </c>
      <c r="B313" s="1" t="s">
        <v>1152</v>
      </c>
      <c r="C313" s="1" t="s">
        <v>664</v>
      </c>
      <c r="D313" s="1" t="s">
        <v>147</v>
      </c>
      <c r="E313" s="1" t="s">
        <v>1153</v>
      </c>
      <c r="F313" s="1" t="s">
        <v>1154</v>
      </c>
      <c r="G313" s="1">
        <v>2004</v>
      </c>
      <c r="H313" s="1" t="s">
        <v>24</v>
      </c>
      <c r="I313" s="17">
        <f ca="1">DATE(YEAR(TODAY())-1,7,12)</f>
        <v>44389</v>
      </c>
      <c r="J313" s="17">
        <f ca="1">DATE(YEAR(TODAY())-1,7,17)</f>
        <v>44394</v>
      </c>
      <c r="K313" s="1" t="s">
        <v>87</v>
      </c>
      <c r="L313" s="1" t="s">
        <v>73</v>
      </c>
      <c r="M313" s="1">
        <v>857</v>
      </c>
      <c r="N313" s="1" cm="1">
        <f t="array" ref="N313">_xlfn.RANK.EQ(M313,total_money_spent)</f>
        <v>199</v>
      </c>
      <c r="O313" s="1">
        <f t="shared" ca="1" si="4"/>
        <v>5</v>
      </c>
    </row>
    <row r="314" spans="1:15" ht="13.8" x14ac:dyDescent="0.25">
      <c r="A314" s="1" t="s">
        <v>169</v>
      </c>
      <c r="B314" s="1" t="s">
        <v>164</v>
      </c>
      <c r="C314" s="1" t="s">
        <v>170</v>
      </c>
      <c r="D314" s="1" t="s">
        <v>171</v>
      </c>
      <c r="F314" s="1" t="s">
        <v>168</v>
      </c>
      <c r="G314" s="1" t="s">
        <v>115</v>
      </c>
      <c r="H314" s="1" t="s">
        <v>32</v>
      </c>
      <c r="I314" s="17">
        <f ca="1">DATE(YEAR(TODAY())-1,4,30)</f>
        <v>44316</v>
      </c>
      <c r="J314" s="17">
        <f ca="1">DATE(YEAR(TODAY())-1,5,2)</f>
        <v>44318</v>
      </c>
      <c r="K314" s="1" t="s">
        <v>34</v>
      </c>
      <c r="L314" s="1" t="s">
        <v>34</v>
      </c>
      <c r="M314" s="1">
        <v>703</v>
      </c>
      <c r="N314" s="1" cm="1">
        <f t="array" ref="N314">_xlfn.RANK.EQ(M314,total_money_spent)</f>
        <v>481</v>
      </c>
      <c r="O314" s="1">
        <f t="shared" ca="1" si="4"/>
        <v>2</v>
      </c>
    </row>
    <row r="315" spans="1:15" ht="13.8" x14ac:dyDescent="0.25">
      <c r="A315" s="1" t="s">
        <v>455</v>
      </c>
      <c r="B315" s="1" t="s">
        <v>452</v>
      </c>
      <c r="C315" s="1" t="s">
        <v>270</v>
      </c>
      <c r="D315" s="1" t="s">
        <v>271</v>
      </c>
      <c r="E315" s="1" t="s">
        <v>453</v>
      </c>
      <c r="F315" s="1" t="s">
        <v>454</v>
      </c>
      <c r="G315" s="1">
        <v>3001</v>
      </c>
      <c r="H315" s="1" t="s">
        <v>81</v>
      </c>
      <c r="I315" s="17">
        <f ca="1">DATE(YEAR(TODAY())-1,8,17)</f>
        <v>44425</v>
      </c>
      <c r="J315" s="17">
        <f ca="1">DATE(YEAR(TODAY())-1,8,19)</f>
        <v>44427</v>
      </c>
      <c r="K315" s="1" t="s">
        <v>16</v>
      </c>
      <c r="L315" s="1" t="s">
        <v>34</v>
      </c>
      <c r="M315" s="1">
        <v>747</v>
      </c>
      <c r="N315" s="1" cm="1">
        <f t="array" ref="N315">_xlfn.RANK.EQ(M315,total_money_spent)</f>
        <v>409</v>
      </c>
      <c r="O315" s="1">
        <f t="shared" ca="1" si="4"/>
        <v>2</v>
      </c>
    </row>
    <row r="316" spans="1:15" ht="13.8" x14ac:dyDescent="0.25">
      <c r="A316" s="1" t="s">
        <v>810</v>
      </c>
      <c r="B316" s="1" t="s">
        <v>811</v>
      </c>
      <c r="C316" s="1" t="s">
        <v>387</v>
      </c>
      <c r="D316" s="1" t="s">
        <v>153</v>
      </c>
      <c r="E316" s="1" t="s">
        <v>812</v>
      </c>
      <c r="F316" s="1" t="s">
        <v>813</v>
      </c>
      <c r="G316" s="1">
        <v>2007</v>
      </c>
      <c r="H316" s="1" t="s">
        <v>44</v>
      </c>
      <c r="I316" s="17">
        <f ca="1">DATE(YEAR(TODAY())-2,12,25)</f>
        <v>44190</v>
      </c>
      <c r="J316" s="17">
        <f ca="1">DATE(YEAR(TODAY())-2,12,31)</f>
        <v>44196</v>
      </c>
      <c r="K316" s="1" t="s">
        <v>143</v>
      </c>
      <c r="L316" s="1" t="s">
        <v>25</v>
      </c>
      <c r="M316" s="1">
        <v>972</v>
      </c>
      <c r="N316" s="1" cm="1">
        <f t="array" ref="N316">_xlfn.RANK.EQ(M316,total_money_spent)</f>
        <v>76</v>
      </c>
      <c r="O316" s="1">
        <f t="shared" ca="1" si="4"/>
        <v>6</v>
      </c>
    </row>
    <row r="317" spans="1:15" ht="13.8" x14ac:dyDescent="0.25">
      <c r="A317" s="1" t="s">
        <v>738</v>
      </c>
      <c r="B317" s="1" t="s">
        <v>739</v>
      </c>
      <c r="C317" s="1" t="s">
        <v>76</v>
      </c>
      <c r="D317" s="1" t="s">
        <v>77</v>
      </c>
      <c r="E317" s="1" t="s">
        <v>740</v>
      </c>
      <c r="F317" s="1" t="s">
        <v>741</v>
      </c>
      <c r="G317" s="1">
        <v>2001</v>
      </c>
      <c r="H317" s="1" t="s">
        <v>24</v>
      </c>
      <c r="I317" s="17">
        <f ca="1">DATE(YEAR(TODAY())-1,1,7)</f>
        <v>44203</v>
      </c>
      <c r="J317" s="17">
        <f ca="1">DATE(YEAR(TODAY())-1,1,14)</f>
        <v>44210</v>
      </c>
      <c r="K317" s="1" t="s">
        <v>82</v>
      </c>
      <c r="L317" s="1" t="s">
        <v>34</v>
      </c>
      <c r="M317" s="1">
        <v>971</v>
      </c>
      <c r="N317" s="1" cm="1">
        <f t="array" ref="N317">_xlfn.RANK.EQ(M317,total_money_spent)</f>
        <v>78</v>
      </c>
      <c r="O317" s="1">
        <f t="shared" ca="1" si="4"/>
        <v>7</v>
      </c>
    </row>
    <row r="318" spans="1:15" ht="13.8" x14ac:dyDescent="0.25">
      <c r="A318" s="1" t="s">
        <v>1350</v>
      </c>
      <c r="B318" s="1" t="s">
        <v>1351</v>
      </c>
      <c r="C318" s="1" t="s">
        <v>523</v>
      </c>
      <c r="D318" s="1" t="s">
        <v>158</v>
      </c>
      <c r="E318" s="1" t="s">
        <v>1352</v>
      </c>
      <c r="F318" s="1" t="s">
        <v>1353</v>
      </c>
      <c r="G318" s="1">
        <v>2006</v>
      </c>
      <c r="H318" s="1" t="s">
        <v>24</v>
      </c>
      <c r="I318" s="17">
        <f ca="1">DATE(YEAR(TODAY())-1,1,9)</f>
        <v>44205</v>
      </c>
      <c r="J318" s="17">
        <f ca="1">DATE(YEAR(TODAY())-1,1,15)</f>
        <v>44211</v>
      </c>
      <c r="K318" s="1" t="s">
        <v>136</v>
      </c>
      <c r="L318" s="1" t="s">
        <v>137</v>
      </c>
      <c r="M318" s="1">
        <v>889</v>
      </c>
      <c r="N318" s="1" cm="1">
        <f t="array" ref="N318">_xlfn.RANK.EQ(M318,total_money_spent)</f>
        <v>175</v>
      </c>
      <c r="O318" s="1">
        <f t="shared" ca="1" si="4"/>
        <v>6</v>
      </c>
    </row>
    <row r="319" spans="1:15" ht="13.8" x14ac:dyDescent="0.25">
      <c r="A319" s="1" t="s">
        <v>1120</v>
      </c>
      <c r="B319" s="1" t="s">
        <v>1121</v>
      </c>
      <c r="C319" s="1" t="s">
        <v>177</v>
      </c>
      <c r="D319" s="1" t="s">
        <v>178</v>
      </c>
      <c r="E319" s="1" t="s">
        <v>1122</v>
      </c>
      <c r="F319" s="1" t="s">
        <v>1123</v>
      </c>
      <c r="G319" s="1">
        <v>2008</v>
      </c>
      <c r="H319" s="1" t="s">
        <v>44</v>
      </c>
      <c r="I319" s="17">
        <f ca="1">DATE(YEAR(TODAY())-2,12,17)</f>
        <v>44182</v>
      </c>
      <c r="J319" s="17">
        <f ca="1">DATE(YEAR(TODAY())-2,12,22)</f>
        <v>44187</v>
      </c>
      <c r="K319" s="1" t="s">
        <v>16</v>
      </c>
      <c r="L319" s="1" t="s">
        <v>34</v>
      </c>
      <c r="M319" s="1">
        <v>912</v>
      </c>
      <c r="N319" s="1" cm="1">
        <f t="array" ref="N319">_xlfn.RANK.EQ(M319,total_money_spent)</f>
        <v>119</v>
      </c>
      <c r="O319" s="1">
        <f t="shared" ca="1" si="4"/>
        <v>5</v>
      </c>
    </row>
    <row r="320" spans="1:15" ht="13.8" x14ac:dyDescent="0.25">
      <c r="A320" s="1" t="s">
        <v>1201</v>
      </c>
      <c r="B320" s="1" t="s">
        <v>1202</v>
      </c>
      <c r="C320" s="1" t="s">
        <v>372</v>
      </c>
      <c r="D320" s="1" t="s">
        <v>28</v>
      </c>
      <c r="E320" s="1" t="s">
        <v>1203</v>
      </c>
      <c r="F320" s="1" t="s">
        <v>1204</v>
      </c>
      <c r="G320" s="1">
        <v>2005</v>
      </c>
      <c r="H320" s="1" t="s">
        <v>24</v>
      </c>
      <c r="I320" s="17">
        <f ca="1">DATE(YEAR(TODAY())-2,11,16)</f>
        <v>44151</v>
      </c>
      <c r="J320" s="17">
        <f ca="1">DATE(YEAR(TODAY())-2,11,20)</f>
        <v>44155</v>
      </c>
      <c r="K320" s="1" t="s">
        <v>34</v>
      </c>
      <c r="L320" s="1" t="s">
        <v>34</v>
      </c>
      <c r="M320" s="1">
        <v>802</v>
      </c>
      <c r="N320" s="1" cm="1">
        <f t="array" ref="N320">_xlfn.RANK.EQ(M320,total_money_spent)</f>
        <v>286</v>
      </c>
      <c r="O320" s="1">
        <f t="shared" ca="1" si="4"/>
        <v>4</v>
      </c>
    </row>
    <row r="321" spans="1:15" ht="13.8" x14ac:dyDescent="0.25">
      <c r="A321" s="1" t="s">
        <v>529</v>
      </c>
      <c r="B321" s="1" t="s">
        <v>530</v>
      </c>
      <c r="C321" s="1" t="s">
        <v>246</v>
      </c>
      <c r="D321" s="1" t="s">
        <v>247</v>
      </c>
      <c r="E321" s="1" t="s">
        <v>531</v>
      </c>
      <c r="F321" s="1" t="s">
        <v>532</v>
      </c>
      <c r="G321" s="1">
        <v>2007</v>
      </c>
      <c r="H321" s="1" t="s">
        <v>44</v>
      </c>
      <c r="I321" s="17">
        <f ca="1">DATE(YEAR(TODAY())-1,2,9)</f>
        <v>44236</v>
      </c>
      <c r="J321" s="17">
        <f ca="1">DATE(YEAR(TODAY())-1,2,16)</f>
        <v>44243</v>
      </c>
      <c r="K321" s="1" t="s">
        <v>16</v>
      </c>
      <c r="L321" s="1" t="s">
        <v>34</v>
      </c>
      <c r="M321" s="1">
        <v>1061</v>
      </c>
      <c r="N321" s="1" cm="1">
        <f t="array" ref="N321">_xlfn.RANK.EQ(M321,total_money_spent)</f>
        <v>44</v>
      </c>
      <c r="O321" s="1">
        <f t="shared" ca="1" si="4"/>
        <v>7</v>
      </c>
    </row>
    <row r="322" spans="1:15" ht="13.8" x14ac:dyDescent="0.25">
      <c r="A322" s="1" t="s">
        <v>716</v>
      </c>
      <c r="B322" s="1" t="s">
        <v>712</v>
      </c>
      <c r="C322" s="1" t="s">
        <v>337</v>
      </c>
      <c r="D322" s="1" t="s">
        <v>338</v>
      </c>
      <c r="E322" s="1" t="s">
        <v>713</v>
      </c>
      <c r="F322" s="1" t="s">
        <v>714</v>
      </c>
      <c r="G322" s="1" t="s">
        <v>60</v>
      </c>
      <c r="H322" s="1" t="s">
        <v>32</v>
      </c>
      <c r="I322" s="17">
        <f ca="1">DATE(YEAR(TODAY())-1,3,29)</f>
        <v>44284</v>
      </c>
      <c r="J322" s="17">
        <f ca="1">DATE(YEAR(TODAY())-1,4,6)</f>
        <v>44292</v>
      </c>
      <c r="K322" s="1" t="s">
        <v>16</v>
      </c>
      <c r="L322" s="1" t="s">
        <v>34</v>
      </c>
      <c r="M322" s="1">
        <v>960</v>
      </c>
      <c r="N322" s="1" cm="1">
        <f t="array" ref="N322">_xlfn.RANK.EQ(M322,total_money_spent)</f>
        <v>95</v>
      </c>
      <c r="O322" s="1">
        <f t="shared" ca="1" si="4"/>
        <v>8</v>
      </c>
    </row>
    <row r="323" spans="1:15" ht="13.8" x14ac:dyDescent="0.25">
      <c r="A323" s="1" t="s">
        <v>1114</v>
      </c>
      <c r="B323" s="1" t="s">
        <v>1115</v>
      </c>
      <c r="C323" s="1" t="s">
        <v>504</v>
      </c>
      <c r="D323" s="1" t="s">
        <v>187</v>
      </c>
      <c r="E323" s="1" t="s">
        <v>1116</v>
      </c>
      <c r="F323" s="1" t="s">
        <v>1117</v>
      </c>
      <c r="G323" s="1">
        <v>2001</v>
      </c>
      <c r="H323" s="1" t="s">
        <v>24</v>
      </c>
      <c r="I323" s="17">
        <f ca="1">DATE(YEAR(TODAY())-2,10,31)</f>
        <v>44135</v>
      </c>
      <c r="J323" s="17">
        <f ca="1">DATE(YEAR(TODAY())-2,11,4)</f>
        <v>44139</v>
      </c>
      <c r="K323" s="1" t="s">
        <v>33</v>
      </c>
      <c r="L323" s="1" t="s">
        <v>34</v>
      </c>
      <c r="M323" s="1">
        <v>804</v>
      </c>
      <c r="N323" s="1" cm="1">
        <f t="array" ref="N323">_xlfn.RANK.EQ(M323,total_money_spent)</f>
        <v>280</v>
      </c>
      <c r="O323" s="1">
        <f t="shared" ref="O323:O386" ca="1" si="5">J323-I323</f>
        <v>4</v>
      </c>
    </row>
    <row r="324" spans="1:15" ht="13.8" x14ac:dyDescent="0.25">
      <c r="A324" s="1" t="s">
        <v>575</v>
      </c>
      <c r="B324" s="1" t="s">
        <v>571</v>
      </c>
      <c r="C324" s="1" t="s">
        <v>47</v>
      </c>
      <c r="D324" s="1" t="s">
        <v>48</v>
      </c>
      <c r="E324" s="1" t="s">
        <v>572</v>
      </c>
      <c r="F324" s="1" t="s">
        <v>573</v>
      </c>
      <c r="G324" s="1" t="s">
        <v>226</v>
      </c>
      <c r="H324" s="1" t="s">
        <v>32</v>
      </c>
      <c r="I324" s="17">
        <f ca="1">DATE(YEAR(TODAY())-1,5,7)</f>
        <v>44323</v>
      </c>
      <c r="J324" s="17">
        <f ca="1">DATE(YEAR(TODAY())-1,5,12)</f>
        <v>44328</v>
      </c>
      <c r="K324" s="1" t="s">
        <v>87</v>
      </c>
      <c r="L324" s="1" t="s">
        <v>73</v>
      </c>
      <c r="M324" s="1">
        <v>809</v>
      </c>
      <c r="N324" s="1" cm="1">
        <f t="array" ref="N324">_xlfn.RANK.EQ(M324,total_money_spent)</f>
        <v>268</v>
      </c>
      <c r="O324" s="1">
        <f t="shared" ca="1" si="5"/>
        <v>5</v>
      </c>
    </row>
    <row r="325" spans="1:15" ht="13.8" x14ac:dyDescent="0.25">
      <c r="A325" s="1" t="s">
        <v>907</v>
      </c>
      <c r="B325" s="1" t="s">
        <v>908</v>
      </c>
      <c r="C325" s="1" t="s">
        <v>166</v>
      </c>
      <c r="D325" s="1" t="s">
        <v>166</v>
      </c>
      <c r="E325" s="1" t="s">
        <v>909</v>
      </c>
      <c r="F325" s="1" t="s">
        <v>910</v>
      </c>
      <c r="G325" s="1">
        <v>2005</v>
      </c>
      <c r="H325" s="1" t="s">
        <v>24</v>
      </c>
      <c r="I325" s="17">
        <f ca="1">DATE(YEAR(TODAY())-1,5,6)</f>
        <v>44322</v>
      </c>
      <c r="J325" s="17">
        <f ca="1">DATE(YEAR(TODAY())-1,5,13)</f>
        <v>44329</v>
      </c>
      <c r="K325" s="1" t="s">
        <v>25</v>
      </c>
      <c r="L325" s="1" t="s">
        <v>25</v>
      </c>
      <c r="M325" s="1">
        <v>956</v>
      </c>
      <c r="N325" s="1" cm="1">
        <f t="array" ref="N325">_xlfn.RANK.EQ(M325,total_money_spent)</f>
        <v>104</v>
      </c>
      <c r="O325" s="1">
        <f t="shared" ca="1" si="5"/>
        <v>7</v>
      </c>
    </row>
    <row r="326" spans="1:15" ht="13.8" x14ac:dyDescent="0.25">
      <c r="A326" s="1" t="s">
        <v>1157</v>
      </c>
      <c r="B326" s="1" t="s">
        <v>1158</v>
      </c>
      <c r="C326" s="1" t="s">
        <v>47</v>
      </c>
      <c r="D326" s="1" t="s">
        <v>48</v>
      </c>
      <c r="E326" s="1" t="s">
        <v>1159</v>
      </c>
      <c r="F326" s="1" t="s">
        <v>1160</v>
      </c>
      <c r="G326" s="1" t="s">
        <v>54</v>
      </c>
      <c r="H326" s="1" t="s">
        <v>32</v>
      </c>
      <c r="I326" s="17">
        <f ca="1">DATE(YEAR(TODAY())-2,11,25)</f>
        <v>44160</v>
      </c>
      <c r="J326" s="17">
        <f ca="1">DATE(YEAR(TODAY())-2,11,26)</f>
        <v>44161</v>
      </c>
      <c r="K326" s="1" t="s">
        <v>16</v>
      </c>
      <c r="L326" s="1" t="s">
        <v>34</v>
      </c>
      <c r="M326" s="1">
        <v>670</v>
      </c>
      <c r="N326" s="1" cm="1">
        <f t="array" ref="N326">_xlfn.RANK.EQ(M326,total_money_spent)</f>
        <v>519</v>
      </c>
      <c r="O326" s="1">
        <f t="shared" ca="1" si="5"/>
        <v>1</v>
      </c>
    </row>
    <row r="327" spans="1:15" ht="13.8" x14ac:dyDescent="0.25">
      <c r="A327" s="1" t="s">
        <v>1458</v>
      </c>
      <c r="B327" s="1" t="s">
        <v>1459</v>
      </c>
      <c r="C327" s="1" t="s">
        <v>186</v>
      </c>
      <c r="D327" s="1" t="s">
        <v>187</v>
      </c>
      <c r="E327" s="1" t="s">
        <v>1460</v>
      </c>
      <c r="F327" s="1" t="s">
        <v>1461</v>
      </c>
      <c r="G327" s="1">
        <v>3004</v>
      </c>
      <c r="H327" s="1" t="s">
        <v>203</v>
      </c>
      <c r="I327" s="17">
        <f ca="1">DATE(YEAR(TODAY())-1,1,18)</f>
        <v>44214</v>
      </c>
      <c r="J327" s="17">
        <f ca="1">DATE(YEAR(TODAY())-1,1,23)</f>
        <v>44219</v>
      </c>
      <c r="K327" s="1" t="s">
        <v>72</v>
      </c>
      <c r="L327" s="1" t="s">
        <v>73</v>
      </c>
      <c r="M327" s="1">
        <v>964</v>
      </c>
      <c r="N327" s="1" cm="1">
        <f t="array" ref="N327">_xlfn.RANK.EQ(M327,total_money_spent)</f>
        <v>86</v>
      </c>
      <c r="O327" s="1">
        <f t="shared" ca="1" si="5"/>
        <v>5</v>
      </c>
    </row>
    <row r="328" spans="1:15" ht="13.8" x14ac:dyDescent="0.25">
      <c r="A328" s="1" t="s">
        <v>626</v>
      </c>
      <c r="B328" s="1" t="s">
        <v>627</v>
      </c>
      <c r="C328" s="1" t="s">
        <v>125</v>
      </c>
      <c r="D328" s="1" t="s">
        <v>126</v>
      </c>
      <c r="E328" s="1" t="s">
        <v>628</v>
      </c>
      <c r="F328" s="1" t="s">
        <v>629</v>
      </c>
      <c r="G328" s="1">
        <v>2001</v>
      </c>
      <c r="H328" s="1" t="s">
        <v>24</v>
      </c>
      <c r="I328" s="17">
        <f ca="1">DATE(YEAR(TODAY())-1,1,28)</f>
        <v>44224</v>
      </c>
      <c r="J328" s="17">
        <f ca="1">DATE(YEAR(TODAY())-1,2,3)</f>
        <v>44230</v>
      </c>
      <c r="K328" s="1" t="s">
        <v>87</v>
      </c>
      <c r="L328" s="1" t="s">
        <v>73</v>
      </c>
      <c r="M328" s="1">
        <v>886</v>
      </c>
      <c r="N328" s="1" cm="1">
        <f t="array" ref="N328">_xlfn.RANK.EQ(M328,total_money_spent)</f>
        <v>178</v>
      </c>
      <c r="O328" s="1">
        <f t="shared" ca="1" si="5"/>
        <v>6</v>
      </c>
    </row>
    <row r="329" spans="1:15" ht="13.8" x14ac:dyDescent="0.25">
      <c r="A329" s="1" t="s">
        <v>1218</v>
      </c>
      <c r="B329" s="1" t="s">
        <v>1213</v>
      </c>
      <c r="C329" s="1" t="s">
        <v>197</v>
      </c>
      <c r="D329" s="1" t="s">
        <v>198</v>
      </c>
      <c r="E329" s="1" t="s">
        <v>1214</v>
      </c>
      <c r="F329" s="1" t="s">
        <v>1215</v>
      </c>
      <c r="G329" s="1" t="s">
        <v>115</v>
      </c>
      <c r="H329" s="1" t="s">
        <v>32</v>
      </c>
      <c r="I329" s="17">
        <f ca="1">DATE(YEAR(TODAY())-1,7,8)</f>
        <v>44385</v>
      </c>
      <c r="J329" s="17">
        <f ca="1">DATE(YEAR(TODAY())-1,7,13)</f>
        <v>44390</v>
      </c>
      <c r="K329" s="1" t="s">
        <v>82</v>
      </c>
      <c r="L329" s="1" t="s">
        <v>34</v>
      </c>
      <c r="M329" s="1">
        <v>800</v>
      </c>
      <c r="N329" s="1" cm="1">
        <f t="array" ref="N329">_xlfn.RANK.EQ(M329,total_money_spent)</f>
        <v>292</v>
      </c>
      <c r="O329" s="1">
        <f t="shared" ca="1" si="5"/>
        <v>5</v>
      </c>
    </row>
    <row r="330" spans="1:15" ht="13.8" x14ac:dyDescent="0.25">
      <c r="A330" s="1" t="s">
        <v>1255</v>
      </c>
      <c r="B330" s="1" t="s">
        <v>1251</v>
      </c>
      <c r="C330" s="1" t="s">
        <v>246</v>
      </c>
      <c r="D330" s="1" t="s">
        <v>247</v>
      </c>
      <c r="E330" s="1" t="s">
        <v>1253</v>
      </c>
      <c r="F330" s="1" t="s">
        <v>1254</v>
      </c>
      <c r="G330" s="1">
        <v>2008</v>
      </c>
      <c r="H330" s="1" t="s">
        <v>44</v>
      </c>
      <c r="I330" s="17">
        <f ca="1">DATE(YEAR(TODAY())-1,6,10)</f>
        <v>44357</v>
      </c>
      <c r="J330" s="17">
        <f ca="1">DATE(YEAR(TODAY())-1,6,16)</f>
        <v>44363</v>
      </c>
      <c r="K330" s="1" t="s">
        <v>87</v>
      </c>
      <c r="L330" s="1" t="s">
        <v>73</v>
      </c>
      <c r="M330" s="1">
        <v>975</v>
      </c>
      <c r="N330" s="1" cm="1">
        <f t="array" ref="N330">_xlfn.RANK.EQ(M330,total_money_spent)</f>
        <v>70</v>
      </c>
      <c r="O330" s="1">
        <f t="shared" ca="1" si="5"/>
        <v>6</v>
      </c>
    </row>
    <row r="331" spans="1:15" ht="13.8" x14ac:dyDescent="0.25">
      <c r="A331" s="1" t="s">
        <v>1509</v>
      </c>
      <c r="B331" s="1" t="s">
        <v>1510</v>
      </c>
      <c r="C331" s="1" t="s">
        <v>197</v>
      </c>
      <c r="D331" s="1" t="s">
        <v>198</v>
      </c>
      <c r="E331" s="1" t="s">
        <v>1511</v>
      </c>
      <c r="F331" s="1" t="s">
        <v>1512</v>
      </c>
      <c r="G331" s="1">
        <v>2006</v>
      </c>
      <c r="H331" s="1" t="s">
        <v>24</v>
      </c>
      <c r="I331" s="17">
        <f ca="1">DATE(YEAR(TODAY())-1,8,10)</f>
        <v>44418</v>
      </c>
      <c r="J331" s="17">
        <f ca="1">DATE(YEAR(TODAY())-1,8,17)</f>
        <v>44425</v>
      </c>
      <c r="K331" s="1" t="s">
        <v>87</v>
      </c>
      <c r="L331" s="1" t="s">
        <v>73</v>
      </c>
      <c r="M331" s="1">
        <v>968</v>
      </c>
      <c r="N331" s="1" cm="1">
        <f t="array" ref="N331">_xlfn.RANK.EQ(M331,total_money_spent)</f>
        <v>82</v>
      </c>
      <c r="O331" s="1">
        <f t="shared" ca="1" si="5"/>
        <v>7</v>
      </c>
    </row>
    <row r="332" spans="1:15" ht="13.8" x14ac:dyDescent="0.25">
      <c r="A332" s="1" t="s">
        <v>74</v>
      </c>
      <c r="B332" s="1" t="s">
        <v>75</v>
      </c>
      <c r="C332" s="1" t="s">
        <v>76</v>
      </c>
      <c r="D332" s="1" t="s">
        <v>77</v>
      </c>
      <c r="E332" s="1" t="s">
        <v>78</v>
      </c>
      <c r="F332" s="1" t="s">
        <v>79</v>
      </c>
      <c r="G332" s="1">
        <v>2009</v>
      </c>
      <c r="H332" s="1" t="s">
        <v>44</v>
      </c>
      <c r="I332" s="17">
        <f ca="1">DATE(YEAR(TODAY())-1,3,27)</f>
        <v>44282</v>
      </c>
      <c r="J332" s="17">
        <f ca="1">DATE(YEAR(TODAY())-1,4,4)</f>
        <v>44290</v>
      </c>
      <c r="K332" s="1" t="s">
        <v>16</v>
      </c>
      <c r="L332" s="1" t="s">
        <v>34</v>
      </c>
      <c r="M332" s="1">
        <v>1200</v>
      </c>
      <c r="N332" s="1" cm="1">
        <f t="array" ref="N332">_xlfn.RANK.EQ(M332,total_money_spent)</f>
        <v>15</v>
      </c>
      <c r="O332" s="1">
        <f t="shared" ca="1" si="5"/>
        <v>8</v>
      </c>
    </row>
    <row r="333" spans="1:15" ht="13.8" x14ac:dyDescent="0.25">
      <c r="A333" s="1" t="s">
        <v>585</v>
      </c>
      <c r="B333" s="1" t="s">
        <v>586</v>
      </c>
      <c r="C333" s="1" t="s">
        <v>76</v>
      </c>
      <c r="D333" s="1" t="s">
        <v>77</v>
      </c>
      <c r="E333" s="1" t="s">
        <v>587</v>
      </c>
      <c r="F333" s="1" t="s">
        <v>588</v>
      </c>
      <c r="G333" s="1">
        <v>2001</v>
      </c>
      <c r="H333" s="1" t="s">
        <v>24</v>
      </c>
      <c r="I333" s="17">
        <f ca="1">DATE(YEAR(TODAY())-1,5,3)</f>
        <v>44319</v>
      </c>
      <c r="J333" s="17">
        <f ca="1">DATE(YEAR(TODAY())-1,5,5)</f>
        <v>44321</v>
      </c>
      <c r="K333" s="1" t="s">
        <v>87</v>
      </c>
      <c r="L333" s="1" t="s">
        <v>73</v>
      </c>
      <c r="M333" s="1">
        <v>718</v>
      </c>
      <c r="N333" s="1" cm="1">
        <f t="array" ref="N333">_xlfn.RANK.EQ(M333,total_money_spent)</f>
        <v>463</v>
      </c>
      <c r="O333" s="1">
        <f t="shared" ca="1" si="5"/>
        <v>2</v>
      </c>
    </row>
    <row r="334" spans="1:15" ht="13.8" x14ac:dyDescent="0.25">
      <c r="A334" s="1" t="s">
        <v>1356</v>
      </c>
      <c r="B334" s="1" t="s">
        <v>1357</v>
      </c>
      <c r="C334" s="1" t="s">
        <v>110</v>
      </c>
      <c r="D334" s="1" t="s">
        <v>111</v>
      </c>
      <c r="E334" s="1" t="s">
        <v>1358</v>
      </c>
      <c r="F334" s="1" t="s">
        <v>1359</v>
      </c>
      <c r="G334" s="1">
        <v>2003</v>
      </c>
      <c r="H334" s="1" t="s">
        <v>24</v>
      </c>
      <c r="I334" s="17">
        <f ca="1">DATE(YEAR(TODAY())-2,12,18)</f>
        <v>44183</v>
      </c>
      <c r="J334" s="17">
        <f ca="1">DATE(YEAR(TODAY())-2,12,19)</f>
        <v>44184</v>
      </c>
      <c r="K334" s="1" t="s">
        <v>25</v>
      </c>
      <c r="L334" s="1" t="s">
        <v>25</v>
      </c>
      <c r="M334" s="1">
        <v>653</v>
      </c>
      <c r="N334" s="1" cm="1">
        <f t="array" ref="N334">_xlfn.RANK.EQ(M334,total_money_spent)</f>
        <v>582</v>
      </c>
      <c r="O334" s="1">
        <f t="shared" ca="1" si="5"/>
        <v>1</v>
      </c>
    </row>
    <row r="335" spans="1:15" ht="13.8" x14ac:dyDescent="0.25">
      <c r="A335" s="1" t="s">
        <v>1211</v>
      </c>
      <c r="B335" s="1" t="s">
        <v>1207</v>
      </c>
      <c r="C335" s="1" t="s">
        <v>387</v>
      </c>
      <c r="D335" s="1" t="s">
        <v>153</v>
      </c>
      <c r="E335" s="1" t="s">
        <v>1208</v>
      </c>
      <c r="F335" s="1" t="s">
        <v>1209</v>
      </c>
      <c r="G335" s="1">
        <v>3004</v>
      </c>
      <c r="H335" s="1" t="s">
        <v>203</v>
      </c>
      <c r="I335" s="17">
        <f ca="1">DATE(YEAR(TODAY())-1,2,11)</f>
        <v>44238</v>
      </c>
      <c r="J335" s="17">
        <f ca="1">DATE(YEAR(TODAY())-1,2,15)</f>
        <v>44242</v>
      </c>
      <c r="K335" s="1" t="s">
        <v>33</v>
      </c>
      <c r="L335" s="1" t="s">
        <v>34</v>
      </c>
      <c r="M335" s="1">
        <v>868</v>
      </c>
      <c r="N335" s="1" cm="1">
        <f t="array" ref="N335">_xlfn.RANK.EQ(M335,total_money_spent)</f>
        <v>183</v>
      </c>
      <c r="O335" s="1">
        <f t="shared" ca="1" si="5"/>
        <v>4</v>
      </c>
    </row>
    <row r="336" spans="1:15" ht="13.8" x14ac:dyDescent="0.25">
      <c r="A336" s="1" t="s">
        <v>852</v>
      </c>
      <c r="B336" s="1" t="s">
        <v>846</v>
      </c>
      <c r="C336" s="1" t="s">
        <v>131</v>
      </c>
      <c r="D336" s="1" t="s">
        <v>132</v>
      </c>
      <c r="F336" s="1" t="s">
        <v>848</v>
      </c>
      <c r="G336" s="1" t="s">
        <v>122</v>
      </c>
      <c r="H336" s="1" t="s">
        <v>32</v>
      </c>
      <c r="I336" s="17">
        <f ca="1">DATE(YEAR(TODAY())-1,4,10)</f>
        <v>44296</v>
      </c>
      <c r="J336" s="17">
        <f ca="1">DATE(YEAR(TODAY())-1,4,14)</f>
        <v>44300</v>
      </c>
      <c r="K336" s="1" t="s">
        <v>33</v>
      </c>
      <c r="L336" s="1" t="s">
        <v>34</v>
      </c>
      <c r="M336" s="1">
        <v>795</v>
      </c>
      <c r="N336" s="1" cm="1">
        <f t="array" ref="N336">_xlfn.RANK.EQ(M336,total_money_spent)</f>
        <v>307</v>
      </c>
      <c r="O336" s="1">
        <f t="shared" ca="1" si="5"/>
        <v>4</v>
      </c>
    </row>
    <row r="337" spans="1:15" ht="13.8" x14ac:dyDescent="0.25">
      <c r="A337" s="1" t="s">
        <v>569</v>
      </c>
      <c r="B337" s="1" t="s">
        <v>566</v>
      </c>
      <c r="C337" s="1" t="s">
        <v>70</v>
      </c>
      <c r="D337" s="1" t="s">
        <v>70</v>
      </c>
      <c r="E337" s="1" t="s">
        <v>567</v>
      </c>
      <c r="F337" s="1" t="s">
        <v>568</v>
      </c>
      <c r="G337" s="1" t="s">
        <v>54</v>
      </c>
      <c r="H337" s="1" t="s">
        <v>32</v>
      </c>
      <c r="I337" s="17">
        <f ca="1">DATE(YEAR(TODAY())-1,9,18)</f>
        <v>44457</v>
      </c>
      <c r="J337" s="17">
        <f ca="1">DATE(YEAR(TODAY())-1,9,19)</f>
        <v>44458</v>
      </c>
      <c r="K337" s="1" t="s">
        <v>16</v>
      </c>
      <c r="L337" s="1" t="s">
        <v>34</v>
      </c>
      <c r="M337" s="1">
        <v>674</v>
      </c>
      <c r="N337" s="1" cm="1">
        <f t="array" ref="N337">_xlfn.RANK.EQ(M337,total_money_spent)</f>
        <v>511</v>
      </c>
      <c r="O337" s="1">
        <f t="shared" ca="1" si="5"/>
        <v>1</v>
      </c>
    </row>
    <row r="338" spans="1:15" ht="13.8" x14ac:dyDescent="0.25">
      <c r="A338" s="1" t="s">
        <v>534</v>
      </c>
      <c r="B338" s="1" t="s">
        <v>530</v>
      </c>
      <c r="C338" s="1" t="s">
        <v>70</v>
      </c>
      <c r="D338" s="1" t="s">
        <v>70</v>
      </c>
      <c r="E338" s="1" t="s">
        <v>531</v>
      </c>
      <c r="F338" s="1" t="s">
        <v>532</v>
      </c>
      <c r="G338" s="1">
        <v>3004</v>
      </c>
      <c r="H338" s="1" t="s">
        <v>203</v>
      </c>
      <c r="I338" s="17">
        <f ca="1">DATE(YEAR(TODAY())-1,7,23)</f>
        <v>44400</v>
      </c>
      <c r="J338" s="17">
        <f ca="1">DATE(YEAR(TODAY())-1,7,27)</f>
        <v>44404</v>
      </c>
      <c r="K338" s="1" t="s">
        <v>16</v>
      </c>
      <c r="L338" s="1" t="s">
        <v>34</v>
      </c>
      <c r="M338" s="1">
        <v>867</v>
      </c>
      <c r="N338" s="1" cm="1">
        <f t="array" ref="N338">_xlfn.RANK.EQ(M338,total_money_spent)</f>
        <v>184</v>
      </c>
      <c r="O338" s="1">
        <f t="shared" ca="1" si="5"/>
        <v>4</v>
      </c>
    </row>
    <row r="339" spans="1:15" ht="13.8" x14ac:dyDescent="0.25">
      <c r="A339" s="1" t="s">
        <v>272</v>
      </c>
      <c r="B339" s="1" t="s">
        <v>265</v>
      </c>
      <c r="C339" s="1" t="s">
        <v>101</v>
      </c>
      <c r="D339" s="1" t="s">
        <v>102</v>
      </c>
      <c r="F339" s="1" t="s">
        <v>267</v>
      </c>
      <c r="G339" s="1" t="s">
        <v>226</v>
      </c>
      <c r="H339" s="1" t="s">
        <v>32</v>
      </c>
      <c r="I339" s="17">
        <f ca="1">DATE(YEAR(TODAY())-1,9,4)</f>
        <v>44443</v>
      </c>
      <c r="J339" s="17">
        <f ca="1">DATE(YEAR(TODAY())-1,9,6)</f>
        <v>44445</v>
      </c>
      <c r="K339" s="1" t="s">
        <v>136</v>
      </c>
      <c r="L339" s="1" t="s">
        <v>137</v>
      </c>
      <c r="M339" s="1">
        <v>693</v>
      </c>
      <c r="N339" s="1" cm="1">
        <f t="array" ref="N339">_xlfn.RANK.EQ(M339,total_money_spent)</f>
        <v>493</v>
      </c>
      <c r="O339" s="1">
        <f t="shared" ca="1" si="5"/>
        <v>2</v>
      </c>
    </row>
    <row r="340" spans="1:15" ht="13.8" x14ac:dyDescent="0.25">
      <c r="A340" s="1" t="s">
        <v>970</v>
      </c>
      <c r="B340" s="1" t="s">
        <v>966</v>
      </c>
      <c r="C340" s="1" t="s">
        <v>197</v>
      </c>
      <c r="D340" s="1" t="s">
        <v>198</v>
      </c>
      <c r="E340" s="1" t="s">
        <v>967</v>
      </c>
      <c r="F340" s="1" t="s">
        <v>968</v>
      </c>
      <c r="G340" s="1">
        <v>3005</v>
      </c>
      <c r="H340" s="1" t="s">
        <v>203</v>
      </c>
      <c r="I340" s="17">
        <f ca="1">DATE(YEAR(TODAY())-1,8,8)</f>
        <v>44416</v>
      </c>
      <c r="J340" s="17">
        <f ca="1">DATE(YEAR(TODAY())-1,8,9)</f>
        <v>44417</v>
      </c>
      <c r="K340" s="1" t="s">
        <v>34</v>
      </c>
      <c r="L340" s="1" t="s">
        <v>34</v>
      </c>
      <c r="M340" s="1">
        <v>662</v>
      </c>
      <c r="N340" s="1" cm="1">
        <f t="array" ref="N340">_xlfn.RANK.EQ(M340,total_money_spent)</f>
        <v>549</v>
      </c>
      <c r="O340" s="1">
        <f t="shared" ca="1" si="5"/>
        <v>1</v>
      </c>
    </row>
    <row r="341" spans="1:15" ht="13.8" x14ac:dyDescent="0.25">
      <c r="A341" s="1" t="s">
        <v>451</v>
      </c>
      <c r="B341" s="1" t="s">
        <v>452</v>
      </c>
      <c r="C341" s="1" t="s">
        <v>76</v>
      </c>
      <c r="D341" s="1" t="s">
        <v>77</v>
      </c>
      <c r="E341" s="1" t="s">
        <v>453</v>
      </c>
      <c r="F341" s="1" t="s">
        <v>454</v>
      </c>
      <c r="G341" s="1">
        <v>2004</v>
      </c>
      <c r="H341" s="1" t="s">
        <v>24</v>
      </c>
      <c r="I341" s="17">
        <f ca="1">DATE(YEAR(TODAY())-1,3,10)</f>
        <v>44265</v>
      </c>
      <c r="J341" s="17">
        <f ca="1">DATE(YEAR(TODAY())-1,3,14)</f>
        <v>44269</v>
      </c>
      <c r="K341" s="1" t="s">
        <v>61</v>
      </c>
      <c r="L341" s="1" t="s">
        <v>34</v>
      </c>
      <c r="M341" s="1">
        <v>808</v>
      </c>
      <c r="N341" s="1" cm="1">
        <f t="array" ref="N341">_xlfn.RANK.EQ(M341,total_money_spent)</f>
        <v>270</v>
      </c>
      <c r="O341" s="1">
        <f t="shared" ca="1" si="5"/>
        <v>4</v>
      </c>
    </row>
    <row r="342" spans="1:15" ht="13.8" x14ac:dyDescent="0.25">
      <c r="A342" s="1" t="s">
        <v>942</v>
      </c>
      <c r="B342" s="1" t="s">
        <v>943</v>
      </c>
      <c r="C342" s="1" t="s">
        <v>177</v>
      </c>
      <c r="D342" s="1" t="s">
        <v>178</v>
      </c>
      <c r="E342" s="1" t="s">
        <v>944</v>
      </c>
      <c r="F342" s="1" t="s">
        <v>945</v>
      </c>
      <c r="G342" s="1">
        <v>2006</v>
      </c>
      <c r="H342" s="1" t="s">
        <v>24</v>
      </c>
      <c r="I342" s="17">
        <f ca="1">DATE(YEAR(TODAY())-1,7,17)</f>
        <v>44394</v>
      </c>
      <c r="J342" s="17">
        <f ca="1">DATE(YEAR(TODAY())-1,7,24)</f>
        <v>44401</v>
      </c>
      <c r="K342" s="1" t="s">
        <v>16</v>
      </c>
      <c r="L342" s="1" t="s">
        <v>34</v>
      </c>
      <c r="M342" s="1">
        <v>976</v>
      </c>
      <c r="N342" s="1" cm="1">
        <f t="array" ref="N342">_xlfn.RANK.EQ(M342,total_money_spent)</f>
        <v>68</v>
      </c>
      <c r="O342" s="1">
        <f t="shared" ca="1" si="5"/>
        <v>7</v>
      </c>
    </row>
    <row r="343" spans="1:15" ht="13.8" x14ac:dyDescent="0.25">
      <c r="A343" s="1" t="s">
        <v>977</v>
      </c>
      <c r="B343" s="1" t="s">
        <v>978</v>
      </c>
      <c r="C343" s="1" t="s">
        <v>387</v>
      </c>
      <c r="D343" s="1" t="s">
        <v>153</v>
      </c>
      <c r="E343" s="1" t="s">
        <v>979</v>
      </c>
      <c r="F343" s="1" t="s">
        <v>980</v>
      </c>
      <c r="G343" s="1">
        <v>2003</v>
      </c>
      <c r="H343" s="1" t="s">
        <v>24</v>
      </c>
      <c r="I343" s="17">
        <f ca="1">DATE(YEAR(TODAY())-1,6,12)</f>
        <v>44359</v>
      </c>
      <c r="J343" s="17">
        <f ca="1">DATE(YEAR(TODAY())-1,6,17)</f>
        <v>44364</v>
      </c>
      <c r="K343" s="1" t="s">
        <v>16</v>
      </c>
      <c r="L343" s="1" t="s">
        <v>34</v>
      </c>
      <c r="M343" s="1">
        <v>850</v>
      </c>
      <c r="N343" s="1" cm="1">
        <f t="array" ref="N343">_xlfn.RANK.EQ(M343,total_money_spent)</f>
        <v>214</v>
      </c>
      <c r="O343" s="1">
        <f t="shared" ca="1" si="5"/>
        <v>5</v>
      </c>
    </row>
    <row r="344" spans="1:15" ht="13.8" x14ac:dyDescent="0.25">
      <c r="A344" s="1" t="s">
        <v>858</v>
      </c>
      <c r="B344" s="1" t="s">
        <v>859</v>
      </c>
      <c r="C344" s="1" t="s">
        <v>152</v>
      </c>
      <c r="D344" s="1" t="s">
        <v>153</v>
      </c>
      <c r="E344" s="1" t="s">
        <v>860</v>
      </c>
      <c r="F344" s="1" t="s">
        <v>861</v>
      </c>
      <c r="G344" s="1">
        <v>2008</v>
      </c>
      <c r="H344" s="1" t="s">
        <v>44</v>
      </c>
      <c r="I344" s="17">
        <f ca="1">DATE(YEAR(TODAY())-2,12,30)</f>
        <v>44195</v>
      </c>
      <c r="J344" s="17">
        <f ca="1">DATE(YEAR(TODAY())-1,1,3)</f>
        <v>44199</v>
      </c>
      <c r="K344" s="1" t="s">
        <v>61</v>
      </c>
      <c r="L344" s="1" t="s">
        <v>34</v>
      </c>
      <c r="M344" s="1">
        <v>832</v>
      </c>
      <c r="N344" s="1" cm="1">
        <f t="array" ref="N344">_xlfn.RANK.EQ(M344,total_money_spent)</f>
        <v>249</v>
      </c>
      <c r="O344" s="1">
        <f t="shared" ca="1" si="5"/>
        <v>4</v>
      </c>
    </row>
    <row r="345" spans="1:15" ht="13.8" x14ac:dyDescent="0.25">
      <c r="A345" s="1" t="s">
        <v>1279</v>
      </c>
      <c r="B345" s="1" t="s">
        <v>1276</v>
      </c>
      <c r="C345" s="1" t="s">
        <v>70</v>
      </c>
      <c r="D345" s="1" t="s">
        <v>70</v>
      </c>
      <c r="E345" s="1" t="s">
        <v>1277</v>
      </c>
      <c r="F345" s="1" t="s">
        <v>1278</v>
      </c>
      <c r="G345" s="1" t="s">
        <v>226</v>
      </c>
      <c r="H345" s="1" t="s">
        <v>32</v>
      </c>
      <c r="I345" s="17">
        <f ca="1">DATE(YEAR(TODAY())-1,1,16)</f>
        <v>44212</v>
      </c>
      <c r="J345" s="17">
        <f ca="1">DATE(YEAR(TODAY())-1,1,20)</f>
        <v>44216</v>
      </c>
      <c r="K345" s="1" t="s">
        <v>143</v>
      </c>
      <c r="L345" s="1" t="s">
        <v>25</v>
      </c>
      <c r="M345" s="1">
        <v>774</v>
      </c>
      <c r="N345" s="1" cm="1">
        <f t="array" ref="N345">_xlfn.RANK.EQ(M345,total_money_spent)</f>
        <v>366</v>
      </c>
      <c r="O345" s="1">
        <f t="shared" ca="1" si="5"/>
        <v>4</v>
      </c>
    </row>
    <row r="346" spans="1:15" ht="13.8" x14ac:dyDescent="0.25">
      <c r="A346" s="1" t="s">
        <v>1377</v>
      </c>
      <c r="B346" s="1" t="s">
        <v>1372</v>
      </c>
      <c r="C346" s="1" t="s">
        <v>110</v>
      </c>
      <c r="D346" s="1" t="s">
        <v>111</v>
      </c>
      <c r="E346" s="1" t="s">
        <v>1373</v>
      </c>
      <c r="F346" s="1" t="s">
        <v>1374</v>
      </c>
      <c r="G346" s="1" t="s">
        <v>60</v>
      </c>
      <c r="H346" s="1" t="s">
        <v>32</v>
      </c>
      <c r="I346" s="17">
        <f ca="1">DATE(YEAR(TODAY())-1,7,25)</f>
        <v>44402</v>
      </c>
      <c r="J346" s="17">
        <f ca="1">DATE(YEAR(TODAY())-1,7,29)</f>
        <v>44406</v>
      </c>
      <c r="K346" s="1" t="s">
        <v>16</v>
      </c>
      <c r="L346" s="1" t="s">
        <v>34</v>
      </c>
      <c r="M346" s="1">
        <v>801</v>
      </c>
      <c r="N346" s="1" cm="1">
        <f t="array" ref="N346">_xlfn.RANK.EQ(M346,total_money_spent)</f>
        <v>289</v>
      </c>
      <c r="O346" s="1">
        <f t="shared" ca="1" si="5"/>
        <v>4</v>
      </c>
    </row>
    <row r="347" spans="1:15" ht="13.8" x14ac:dyDescent="0.25">
      <c r="A347" s="1" t="s">
        <v>982</v>
      </c>
      <c r="B347" s="1" t="s">
        <v>978</v>
      </c>
      <c r="C347" s="1" t="s">
        <v>326</v>
      </c>
      <c r="D347" s="1" t="s">
        <v>140</v>
      </c>
      <c r="E347" s="1" t="s">
        <v>979</v>
      </c>
      <c r="F347" s="1" t="s">
        <v>980</v>
      </c>
      <c r="G347" s="1">
        <v>2009</v>
      </c>
      <c r="H347" s="1" t="s">
        <v>44</v>
      </c>
      <c r="I347" s="17">
        <f ca="1">DATE(YEAR(TODAY())-2,10,27)</f>
        <v>44131</v>
      </c>
      <c r="J347" s="17">
        <f ca="1">DATE(YEAR(TODAY())-2,10,28)</f>
        <v>44132</v>
      </c>
      <c r="K347" s="1" t="s">
        <v>16</v>
      </c>
      <c r="L347" s="1" t="s">
        <v>34</v>
      </c>
      <c r="M347" s="1">
        <v>660</v>
      </c>
      <c r="N347" s="1" cm="1">
        <f t="array" ref="N347">_xlfn.RANK.EQ(M347,total_money_spent)</f>
        <v>557</v>
      </c>
      <c r="O347" s="1">
        <f t="shared" ca="1" si="5"/>
        <v>1</v>
      </c>
    </row>
    <row r="348" spans="1:15" ht="13.8" x14ac:dyDescent="0.25">
      <c r="A348" s="1" t="s">
        <v>1441</v>
      </c>
      <c r="B348" s="1" t="s">
        <v>1442</v>
      </c>
      <c r="C348" s="1" t="s">
        <v>229</v>
      </c>
      <c r="D348" s="1" t="s">
        <v>230</v>
      </c>
      <c r="E348" s="1" t="s">
        <v>1443</v>
      </c>
      <c r="F348" s="1" t="s">
        <v>1444</v>
      </c>
      <c r="G348" s="1">
        <v>2007</v>
      </c>
      <c r="H348" s="1" t="s">
        <v>44</v>
      </c>
      <c r="I348" s="17">
        <f ca="1">DATE(YEAR(TODAY())-1,4,9)</f>
        <v>44295</v>
      </c>
      <c r="J348" s="17">
        <f ca="1">DATE(YEAR(TODAY())-1,4,12)</f>
        <v>44298</v>
      </c>
      <c r="K348" s="1" t="s">
        <v>82</v>
      </c>
      <c r="L348" s="1" t="s">
        <v>34</v>
      </c>
      <c r="M348" s="1">
        <v>781</v>
      </c>
      <c r="N348" s="1" cm="1">
        <f t="array" ref="N348">_xlfn.RANK.EQ(M348,total_money_spent)</f>
        <v>341</v>
      </c>
      <c r="O348" s="1">
        <f t="shared" ca="1" si="5"/>
        <v>3</v>
      </c>
    </row>
    <row r="349" spans="1:15" ht="13.8" x14ac:dyDescent="0.25">
      <c r="A349" s="1" t="s">
        <v>947</v>
      </c>
      <c r="B349" s="1" t="s">
        <v>948</v>
      </c>
      <c r="C349" s="1" t="s">
        <v>28</v>
      </c>
      <c r="D349" s="1" t="s">
        <v>28</v>
      </c>
      <c r="E349" s="1" t="s">
        <v>949</v>
      </c>
      <c r="F349" s="1" t="s">
        <v>950</v>
      </c>
      <c r="G349" s="1">
        <v>2002</v>
      </c>
      <c r="H349" s="1" t="s">
        <v>24</v>
      </c>
      <c r="I349" s="17">
        <f ca="1">DATE(YEAR(TODAY())-1,5,22)</f>
        <v>44338</v>
      </c>
      <c r="J349" s="17">
        <f ca="1">DATE(YEAR(TODAY())-1,5,29)</f>
        <v>44345</v>
      </c>
      <c r="K349" s="1" t="s">
        <v>143</v>
      </c>
      <c r="L349" s="1" t="s">
        <v>25</v>
      </c>
      <c r="M349" s="1">
        <v>965</v>
      </c>
      <c r="N349" s="1" cm="1">
        <f t="array" ref="N349">_xlfn.RANK.EQ(M349,total_money_spent)</f>
        <v>85</v>
      </c>
      <c r="O349" s="1">
        <f t="shared" ca="1" si="5"/>
        <v>7</v>
      </c>
    </row>
    <row r="350" spans="1:15" ht="13.8" x14ac:dyDescent="0.25">
      <c r="A350" s="1" t="s">
        <v>526</v>
      </c>
      <c r="B350" s="1" t="s">
        <v>527</v>
      </c>
      <c r="C350" s="1" t="s">
        <v>305</v>
      </c>
      <c r="D350" s="1" t="s">
        <v>211</v>
      </c>
      <c r="F350" s="1" t="s">
        <v>528</v>
      </c>
      <c r="G350" s="1">
        <v>2010</v>
      </c>
      <c r="H350" s="1" t="s">
        <v>44</v>
      </c>
      <c r="I350" s="17">
        <f ca="1">DATE(YEAR(TODAY())-1,2,8)</f>
        <v>44235</v>
      </c>
      <c r="J350" s="17">
        <f ca="1">DATE(YEAR(TODAY())-1,2,13)</f>
        <v>44240</v>
      </c>
      <c r="K350" s="1" t="s">
        <v>136</v>
      </c>
      <c r="L350" s="1" t="s">
        <v>137</v>
      </c>
      <c r="M350" s="1">
        <v>906</v>
      </c>
      <c r="N350" s="1" cm="1">
        <f t="array" ref="N350">_xlfn.RANK.EQ(M350,total_money_spent)</f>
        <v>137</v>
      </c>
      <c r="O350" s="1">
        <f t="shared" ca="1" si="5"/>
        <v>5</v>
      </c>
    </row>
    <row r="351" spans="1:15" ht="13.8" x14ac:dyDescent="0.25">
      <c r="A351" s="1" t="s">
        <v>264</v>
      </c>
      <c r="B351" s="1" t="s">
        <v>265</v>
      </c>
      <c r="C351" s="1" t="s">
        <v>170</v>
      </c>
      <c r="D351" s="1" t="s">
        <v>171</v>
      </c>
      <c r="E351" s="1" t="s">
        <v>266</v>
      </c>
      <c r="F351" s="1" t="s">
        <v>267</v>
      </c>
      <c r="G351" s="1">
        <v>2001</v>
      </c>
      <c r="H351" s="1" t="s">
        <v>24</v>
      </c>
      <c r="I351" s="17">
        <f ca="1">DATE(YEAR(TODAY())-1,6,14)</f>
        <v>44361</v>
      </c>
      <c r="J351" s="17">
        <f ca="1">DATE(YEAR(TODAY())-1,6,21)</f>
        <v>44368</v>
      </c>
      <c r="K351" s="1" t="s">
        <v>34</v>
      </c>
      <c r="L351" s="1" t="s">
        <v>34</v>
      </c>
      <c r="M351" s="1">
        <v>964</v>
      </c>
      <c r="N351" s="1" cm="1">
        <f t="array" ref="N351">_xlfn.RANK.EQ(M351,total_money_spent)</f>
        <v>86</v>
      </c>
      <c r="O351" s="1">
        <f t="shared" ca="1" si="5"/>
        <v>7</v>
      </c>
    </row>
    <row r="352" spans="1:15" ht="13.8" x14ac:dyDescent="0.25">
      <c r="A352" s="1" t="s">
        <v>26</v>
      </c>
      <c r="B352" s="1" t="s">
        <v>27</v>
      </c>
      <c r="C352" s="1" t="s">
        <v>28</v>
      </c>
      <c r="D352" s="1" t="s">
        <v>28</v>
      </c>
      <c r="E352" s="1" t="s">
        <v>29</v>
      </c>
      <c r="F352" s="1" t="s">
        <v>30</v>
      </c>
      <c r="G352" s="1" t="s">
        <v>31</v>
      </c>
      <c r="H352" s="1" t="s">
        <v>32</v>
      </c>
      <c r="I352" s="17">
        <f ca="1">DATE(YEAR(TODAY())-1,8,12)</f>
        <v>44420</v>
      </c>
      <c r="J352" s="17">
        <f ca="1">DATE(YEAR(TODAY())-1,8,19)</f>
        <v>44427</v>
      </c>
      <c r="K352" s="1" t="s">
        <v>33</v>
      </c>
      <c r="L352" s="1" t="s">
        <v>34</v>
      </c>
      <c r="M352" s="1">
        <v>921</v>
      </c>
      <c r="N352" s="1" cm="1">
        <f t="array" ref="N352">_xlfn.RANK.EQ(M352,total_money_spent)</f>
        <v>106</v>
      </c>
      <c r="O352" s="1">
        <f t="shared" ca="1" si="5"/>
        <v>7</v>
      </c>
    </row>
    <row r="353" spans="1:15" ht="13.8" x14ac:dyDescent="0.25">
      <c r="A353" s="1" t="s">
        <v>684</v>
      </c>
      <c r="B353" s="1" t="s">
        <v>685</v>
      </c>
      <c r="C353" s="1" t="s">
        <v>91</v>
      </c>
      <c r="D353" s="1" t="s">
        <v>91</v>
      </c>
      <c r="F353" s="1" t="s">
        <v>686</v>
      </c>
      <c r="G353" s="1">
        <v>3005</v>
      </c>
      <c r="H353" s="1" t="s">
        <v>203</v>
      </c>
      <c r="I353" s="17">
        <f ca="1">DATE(YEAR(TODAY())-1,2,5)</f>
        <v>44232</v>
      </c>
      <c r="J353" s="17">
        <f ca="1">DATE(YEAR(TODAY())-1,2,9)</f>
        <v>44236</v>
      </c>
      <c r="K353" s="1" t="s">
        <v>34</v>
      </c>
      <c r="L353" s="1" t="s">
        <v>34</v>
      </c>
      <c r="M353" s="1">
        <v>869</v>
      </c>
      <c r="N353" s="1" cm="1">
        <f t="array" ref="N353">_xlfn.RANK.EQ(M353,total_money_spent)</f>
        <v>182</v>
      </c>
      <c r="O353" s="1">
        <f t="shared" ca="1" si="5"/>
        <v>4</v>
      </c>
    </row>
    <row r="354" spans="1:15" ht="13.8" x14ac:dyDescent="0.25">
      <c r="A354" s="1" t="s">
        <v>1370</v>
      </c>
      <c r="B354" s="1" t="s">
        <v>1366</v>
      </c>
      <c r="C354" s="1" t="s">
        <v>131</v>
      </c>
      <c r="D354" s="1" t="s">
        <v>132</v>
      </c>
      <c r="F354" s="1" t="s">
        <v>1368</v>
      </c>
      <c r="G354" s="1" t="s">
        <v>115</v>
      </c>
      <c r="H354" s="1" t="s">
        <v>32</v>
      </c>
      <c r="I354" s="17">
        <f ca="1">DATE(YEAR(TODAY())-1,8,22)</f>
        <v>44430</v>
      </c>
      <c r="J354" s="17">
        <f ca="1">DATE(YEAR(TODAY())-1,8,24)</f>
        <v>44432</v>
      </c>
      <c r="K354" s="1" t="s">
        <v>82</v>
      </c>
      <c r="L354" s="1" t="s">
        <v>34</v>
      </c>
      <c r="M354" s="1">
        <v>705</v>
      </c>
      <c r="N354" s="1" cm="1">
        <f t="array" ref="N354">_xlfn.RANK.EQ(M354,total_money_spent)</f>
        <v>477</v>
      </c>
      <c r="O354" s="1">
        <f t="shared" ca="1" si="5"/>
        <v>2</v>
      </c>
    </row>
    <row r="355" spans="1:15" ht="13.8" x14ac:dyDescent="0.25">
      <c r="A355" s="1" t="s">
        <v>204</v>
      </c>
      <c r="B355" s="1" t="s">
        <v>205</v>
      </c>
      <c r="C355" s="1" t="s">
        <v>206</v>
      </c>
      <c r="D355" s="1" t="s">
        <v>21</v>
      </c>
      <c r="E355" s="1" t="s">
        <v>207</v>
      </c>
      <c r="F355" s="1" t="s">
        <v>208</v>
      </c>
      <c r="G355" s="1">
        <v>2007</v>
      </c>
      <c r="H355" s="1" t="s">
        <v>44</v>
      </c>
      <c r="I355" s="17">
        <f ca="1">DATE(YEAR(TODAY())-2,11,5)</f>
        <v>44140</v>
      </c>
      <c r="J355" s="17">
        <f ca="1">DATE(YEAR(TODAY())-2,11,12)</f>
        <v>44147</v>
      </c>
      <c r="K355" s="1" t="s">
        <v>25</v>
      </c>
      <c r="L355" s="1" t="s">
        <v>25</v>
      </c>
      <c r="M355" s="1">
        <v>1069</v>
      </c>
      <c r="N355" s="1" cm="1">
        <f t="array" ref="N355">_xlfn.RANK.EQ(M355,total_money_spent)</f>
        <v>35</v>
      </c>
      <c r="O355" s="1">
        <f t="shared" ca="1" si="5"/>
        <v>7</v>
      </c>
    </row>
    <row r="356" spans="1:15" ht="13.8" x14ac:dyDescent="0.25">
      <c r="A356" s="1" t="s">
        <v>742</v>
      </c>
      <c r="B356" s="1" t="s">
        <v>743</v>
      </c>
      <c r="C356" s="1" t="s">
        <v>337</v>
      </c>
      <c r="D356" s="1" t="s">
        <v>338</v>
      </c>
      <c r="E356" s="1" t="s">
        <v>744</v>
      </c>
      <c r="F356" s="1" t="s">
        <v>745</v>
      </c>
      <c r="G356" s="1">
        <v>2003</v>
      </c>
      <c r="H356" s="1" t="s">
        <v>24</v>
      </c>
      <c r="I356" s="17">
        <f ca="1">DATE(YEAR(TODAY())-1,1,27)</f>
        <v>44223</v>
      </c>
      <c r="J356" s="17">
        <f ca="1">DATE(YEAR(TODAY())-1,2,1)</f>
        <v>44228</v>
      </c>
      <c r="K356" s="1" t="s">
        <v>82</v>
      </c>
      <c r="L356" s="1" t="s">
        <v>34</v>
      </c>
      <c r="M356" s="1">
        <v>858</v>
      </c>
      <c r="N356" s="1" cm="1">
        <f t="array" ref="N356">_xlfn.RANK.EQ(M356,total_money_spent)</f>
        <v>197</v>
      </c>
      <c r="O356" s="1">
        <f t="shared" ca="1" si="5"/>
        <v>5</v>
      </c>
    </row>
    <row r="357" spans="1:15" ht="13.8" x14ac:dyDescent="0.25">
      <c r="A357" s="1" t="s">
        <v>18</v>
      </c>
      <c r="B357" s="1" t="s">
        <v>19</v>
      </c>
      <c r="C357" s="1" t="s">
        <v>20</v>
      </c>
      <c r="D357" s="1" t="s">
        <v>21</v>
      </c>
      <c r="E357" s="1" t="s">
        <v>22</v>
      </c>
      <c r="F357" s="1" t="s">
        <v>23</v>
      </c>
      <c r="G357" s="1">
        <v>2005</v>
      </c>
      <c r="H357" s="1" t="s">
        <v>24</v>
      </c>
      <c r="I357" s="17">
        <f ca="1">DATE(YEAR(TODAY())-1,6,15)</f>
        <v>44362</v>
      </c>
      <c r="J357" s="17">
        <f ca="1">DATE(YEAR(TODAY())-1,6,20)</f>
        <v>44367</v>
      </c>
      <c r="K357" s="1" t="s">
        <v>25</v>
      </c>
      <c r="L357" s="1" t="s">
        <v>25</v>
      </c>
      <c r="M357" s="1">
        <v>861</v>
      </c>
      <c r="N357" s="1" cm="1">
        <f t="array" ref="N357">_xlfn.RANK.EQ(M357,total_money_spent)</f>
        <v>191</v>
      </c>
      <c r="O357" s="1">
        <f t="shared" ca="1" si="5"/>
        <v>5</v>
      </c>
    </row>
    <row r="358" spans="1:15" ht="13.8" x14ac:dyDescent="0.25">
      <c r="A358" s="1" t="s">
        <v>981</v>
      </c>
      <c r="B358" s="1" t="s">
        <v>978</v>
      </c>
      <c r="C358" s="1" t="s">
        <v>20</v>
      </c>
      <c r="D358" s="1" t="s">
        <v>21</v>
      </c>
      <c r="E358" s="1" t="s">
        <v>979</v>
      </c>
      <c r="F358" s="1" t="s">
        <v>980</v>
      </c>
      <c r="G358" s="1">
        <v>2006</v>
      </c>
      <c r="H358" s="1" t="s">
        <v>24</v>
      </c>
      <c r="I358" s="17">
        <f ca="1">DATE(YEAR(TODAY())-1,5,7)</f>
        <v>44323</v>
      </c>
      <c r="J358" s="17">
        <f ca="1">DATE(YEAR(TODAY())-1,5,11)</f>
        <v>44327</v>
      </c>
      <c r="K358" s="1" t="s">
        <v>34</v>
      </c>
      <c r="L358" s="1" t="s">
        <v>34</v>
      </c>
      <c r="M358" s="1">
        <v>798</v>
      </c>
      <c r="N358" s="1" cm="1">
        <f t="array" ref="N358">_xlfn.RANK.EQ(M358,total_money_spent)</f>
        <v>298</v>
      </c>
      <c r="O358" s="1">
        <f t="shared" ca="1" si="5"/>
        <v>4</v>
      </c>
    </row>
    <row r="359" spans="1:15" ht="13.8" x14ac:dyDescent="0.25">
      <c r="A359" s="1" t="s">
        <v>1057</v>
      </c>
      <c r="B359" s="1" t="s">
        <v>1054</v>
      </c>
      <c r="C359" s="1" t="s">
        <v>664</v>
      </c>
      <c r="D359" s="1" t="s">
        <v>147</v>
      </c>
      <c r="E359" s="1" t="s">
        <v>1058</v>
      </c>
      <c r="F359" s="1" t="s">
        <v>1056</v>
      </c>
      <c r="G359" s="1">
        <v>2006</v>
      </c>
      <c r="H359" s="1" t="s">
        <v>24</v>
      </c>
      <c r="I359" s="17">
        <f ca="1">DATE(YEAR(TODAY())-1,1,23)</f>
        <v>44219</v>
      </c>
      <c r="J359" s="17">
        <f ca="1">DATE(YEAR(TODAY())-1,1,30)</f>
        <v>44226</v>
      </c>
      <c r="K359" s="1" t="s">
        <v>33</v>
      </c>
      <c r="L359" s="1" t="s">
        <v>34</v>
      </c>
      <c r="M359" s="1">
        <v>957</v>
      </c>
      <c r="N359" s="1" cm="1">
        <f t="array" ref="N359">_xlfn.RANK.EQ(M359,total_money_spent)</f>
        <v>102</v>
      </c>
      <c r="O359" s="1">
        <f t="shared" ca="1" si="5"/>
        <v>7</v>
      </c>
    </row>
    <row r="360" spans="1:15" ht="13.8" x14ac:dyDescent="0.25">
      <c r="A360" s="1" t="s">
        <v>1494</v>
      </c>
      <c r="B360" s="1" t="s">
        <v>1491</v>
      </c>
      <c r="C360" s="1" t="s">
        <v>177</v>
      </c>
      <c r="D360" s="1" t="s">
        <v>178</v>
      </c>
      <c r="E360" s="1" t="s">
        <v>1492</v>
      </c>
      <c r="F360" s="1" t="s">
        <v>1493</v>
      </c>
      <c r="G360" s="1">
        <v>2002</v>
      </c>
      <c r="H360" s="1" t="s">
        <v>24</v>
      </c>
      <c r="I360" s="17">
        <f ca="1">DATE(YEAR(TODAY())-2,12,14)</f>
        <v>44179</v>
      </c>
      <c r="J360" s="17">
        <f ca="1">DATE(YEAR(TODAY())-2,12,20)</f>
        <v>44185</v>
      </c>
      <c r="K360" s="1" t="s">
        <v>25</v>
      </c>
      <c r="L360" s="1" t="s">
        <v>25</v>
      </c>
      <c r="M360" s="1">
        <v>910</v>
      </c>
      <c r="N360" s="1" cm="1">
        <f t="array" ref="N360">_xlfn.RANK.EQ(M360,total_money_spent)</f>
        <v>125</v>
      </c>
      <c r="O360" s="1">
        <f t="shared" ca="1" si="5"/>
        <v>6</v>
      </c>
    </row>
    <row r="361" spans="1:15" ht="13.8" x14ac:dyDescent="0.25">
      <c r="A361" s="1" t="s">
        <v>1325</v>
      </c>
      <c r="B361" s="1" t="s">
        <v>1326</v>
      </c>
      <c r="C361" s="1" t="s">
        <v>197</v>
      </c>
      <c r="D361" s="1" t="s">
        <v>198</v>
      </c>
      <c r="E361" s="1" t="s">
        <v>1327</v>
      </c>
      <c r="F361" s="1" t="s">
        <v>1328</v>
      </c>
      <c r="G361" s="1">
        <v>3003</v>
      </c>
      <c r="H361" s="1" t="s">
        <v>81</v>
      </c>
      <c r="I361" s="17">
        <f ca="1">DATE(YEAR(TODAY())-1,8,5)</f>
        <v>44413</v>
      </c>
      <c r="J361" s="17">
        <f ca="1">DATE(YEAR(TODAY())-1,8,9)</f>
        <v>44417</v>
      </c>
      <c r="K361" s="1" t="s">
        <v>143</v>
      </c>
      <c r="L361" s="1" t="s">
        <v>25</v>
      </c>
      <c r="M361" s="1">
        <v>858</v>
      </c>
      <c r="N361" s="1" cm="1">
        <f t="array" ref="N361">_xlfn.RANK.EQ(M361,total_money_spent)</f>
        <v>197</v>
      </c>
      <c r="O361" s="1">
        <f t="shared" ca="1" si="5"/>
        <v>4</v>
      </c>
    </row>
    <row r="362" spans="1:15" ht="13.8" x14ac:dyDescent="0.25">
      <c r="A362" s="1" t="s">
        <v>1473</v>
      </c>
      <c r="B362" s="1" t="s">
        <v>1474</v>
      </c>
      <c r="C362" s="1" t="s">
        <v>235</v>
      </c>
      <c r="D362" s="1" t="s">
        <v>235</v>
      </c>
      <c r="E362" s="1" t="s">
        <v>1475</v>
      </c>
      <c r="F362" s="1" t="s">
        <v>1476</v>
      </c>
      <c r="G362" s="1">
        <v>2003</v>
      </c>
      <c r="H362" s="1" t="s">
        <v>24</v>
      </c>
      <c r="I362" s="17">
        <f ca="1">DATE(YEAR(TODAY())-1,3,22)</f>
        <v>44277</v>
      </c>
      <c r="J362" s="17">
        <f ca="1">DATE(YEAR(TODAY())-1,3,28)</f>
        <v>44283</v>
      </c>
      <c r="K362" s="1" t="s">
        <v>87</v>
      </c>
      <c r="L362" s="1" t="s">
        <v>73</v>
      </c>
      <c r="M362" s="1">
        <v>913</v>
      </c>
      <c r="N362" s="1" cm="1">
        <f t="array" ref="N362">_xlfn.RANK.EQ(M362,total_money_spent)</f>
        <v>116</v>
      </c>
      <c r="O362" s="1">
        <f t="shared" ca="1" si="5"/>
        <v>6</v>
      </c>
    </row>
    <row r="363" spans="1:15" ht="13.8" x14ac:dyDescent="0.25">
      <c r="A363" s="1" t="s">
        <v>474</v>
      </c>
      <c r="B363" s="1" t="s">
        <v>471</v>
      </c>
      <c r="C363" s="1" t="s">
        <v>118</v>
      </c>
      <c r="D363" s="1" t="s">
        <v>119</v>
      </c>
      <c r="E363" s="1" t="s">
        <v>472</v>
      </c>
      <c r="F363" s="1" t="s">
        <v>473</v>
      </c>
      <c r="G363" s="1">
        <v>2006</v>
      </c>
      <c r="H363" s="1" t="s">
        <v>203</v>
      </c>
      <c r="I363" s="17">
        <f ca="1">DATE(YEAR(TODAY())-2,10,1)</f>
        <v>44105</v>
      </c>
      <c r="J363" s="17">
        <f ca="1">DATE(YEAR(TODAY())-2,10,3)</f>
        <v>44107</v>
      </c>
      <c r="K363" s="1" t="s">
        <v>33</v>
      </c>
      <c r="L363" s="1" t="s">
        <v>34</v>
      </c>
      <c r="M363" s="1">
        <v>740</v>
      </c>
      <c r="N363" s="1" cm="1">
        <f t="array" ref="N363">_xlfn.RANK.EQ(M363,total_money_spent)</f>
        <v>426</v>
      </c>
      <c r="O363" s="1">
        <f t="shared" ca="1" si="5"/>
        <v>2</v>
      </c>
    </row>
    <row r="364" spans="1:15" ht="13.8" x14ac:dyDescent="0.25">
      <c r="A364" s="1" t="s">
        <v>320</v>
      </c>
      <c r="B364" s="1" t="s">
        <v>321</v>
      </c>
      <c r="C364" s="1" t="s">
        <v>91</v>
      </c>
      <c r="D364" s="1" t="s">
        <v>91</v>
      </c>
      <c r="E364" s="1" t="s">
        <v>322</v>
      </c>
      <c r="F364" s="1" t="s">
        <v>323</v>
      </c>
      <c r="G364" s="1">
        <v>3005</v>
      </c>
      <c r="H364" s="1" t="s">
        <v>203</v>
      </c>
      <c r="I364" s="17">
        <f ca="1">DATE(YEAR(TODAY())-2,12,25)</f>
        <v>44190</v>
      </c>
      <c r="J364" s="17">
        <f ca="1">DATE(YEAR(TODAY())-2,12,28)</f>
        <v>44193</v>
      </c>
      <c r="K364" s="1" t="s">
        <v>61</v>
      </c>
      <c r="L364" s="1" t="s">
        <v>34</v>
      </c>
      <c r="M364" s="1">
        <v>790</v>
      </c>
      <c r="N364" s="1" cm="1">
        <f t="array" ref="N364">_xlfn.RANK.EQ(M364,total_money_spent)</f>
        <v>322</v>
      </c>
      <c r="O364" s="1">
        <f t="shared" ca="1" si="5"/>
        <v>3</v>
      </c>
    </row>
    <row r="365" spans="1:15" ht="13.8" x14ac:dyDescent="0.25">
      <c r="A365" s="1" t="s">
        <v>1241</v>
      </c>
      <c r="B365" s="1" t="s">
        <v>1239</v>
      </c>
      <c r="C365" s="1" t="s">
        <v>235</v>
      </c>
      <c r="D365" s="1" t="s">
        <v>235</v>
      </c>
      <c r="E365" s="1" t="s">
        <v>1242</v>
      </c>
      <c r="F365" s="1" t="s">
        <v>1240</v>
      </c>
      <c r="G365" s="1">
        <v>3002</v>
      </c>
      <c r="H365" s="1" t="s">
        <v>81</v>
      </c>
      <c r="I365" s="17">
        <f ca="1">DATE(YEAR(TODAY())-1,6,13)</f>
        <v>44360</v>
      </c>
      <c r="J365" s="17">
        <f ca="1">DATE(YEAR(TODAY())-1,6,15)</f>
        <v>44362</v>
      </c>
      <c r="K365" s="1" t="s">
        <v>82</v>
      </c>
      <c r="L365" s="1" t="s">
        <v>34</v>
      </c>
      <c r="M365" s="1">
        <v>752</v>
      </c>
      <c r="N365" s="1" cm="1">
        <f t="array" ref="N365">_xlfn.RANK.EQ(M365,total_money_spent)</f>
        <v>404</v>
      </c>
      <c r="O365" s="1">
        <f t="shared" ca="1" si="5"/>
        <v>2</v>
      </c>
    </row>
    <row r="366" spans="1:15" ht="13.8" x14ac:dyDescent="0.25">
      <c r="A366" s="1" t="s">
        <v>1489</v>
      </c>
      <c r="B366" s="1" t="s">
        <v>1486</v>
      </c>
      <c r="C366" s="1" t="s">
        <v>119</v>
      </c>
      <c r="D366" s="1" t="s">
        <v>119</v>
      </c>
      <c r="E366" s="1" t="s">
        <v>1487</v>
      </c>
      <c r="F366" s="1" t="s">
        <v>1488</v>
      </c>
      <c r="G366" s="1">
        <v>3005</v>
      </c>
      <c r="H366" s="1" t="s">
        <v>203</v>
      </c>
      <c r="I366" s="17">
        <f ca="1">DATE(YEAR(TODAY())-1,2,23)</f>
        <v>44250</v>
      </c>
      <c r="J366" s="17">
        <f ca="1">DATE(YEAR(TODAY())-1,2,29)</f>
        <v>44256</v>
      </c>
      <c r="K366" s="1" t="s">
        <v>87</v>
      </c>
      <c r="L366" s="1" t="s">
        <v>73</v>
      </c>
      <c r="M366" s="1">
        <v>1077</v>
      </c>
      <c r="N366" s="1" cm="1">
        <f t="array" ref="N366">_xlfn.RANK.EQ(M366,total_money_spent)</f>
        <v>24</v>
      </c>
      <c r="O366" s="1">
        <f t="shared" ca="1" si="5"/>
        <v>6</v>
      </c>
    </row>
    <row r="367" spans="1:15" ht="13.8" x14ac:dyDescent="0.25">
      <c r="A367" s="1" t="s">
        <v>1337</v>
      </c>
      <c r="B367" s="1" t="s">
        <v>1334</v>
      </c>
      <c r="C367" s="1" t="s">
        <v>206</v>
      </c>
      <c r="D367" s="1" t="s">
        <v>21</v>
      </c>
      <c r="E367" s="1" t="s">
        <v>1335</v>
      </c>
      <c r="F367" s="1" t="s">
        <v>1336</v>
      </c>
      <c r="G367" s="1" t="s">
        <v>31</v>
      </c>
      <c r="H367" s="1" t="s">
        <v>32</v>
      </c>
      <c r="I367" s="17">
        <f ca="1">DATE(YEAR(TODAY())-1,5,25)</f>
        <v>44341</v>
      </c>
      <c r="J367" s="17">
        <f ca="1">DATE(YEAR(TODAY())-1,6,1)</f>
        <v>44348</v>
      </c>
      <c r="K367" s="1" t="s">
        <v>82</v>
      </c>
      <c r="L367" s="1" t="s">
        <v>34</v>
      </c>
      <c r="M367" s="1">
        <v>917</v>
      </c>
      <c r="N367" s="1" cm="1">
        <f t="array" ref="N367">_xlfn.RANK.EQ(M367,total_money_spent)</f>
        <v>110</v>
      </c>
      <c r="O367" s="1">
        <f t="shared" ca="1" si="5"/>
        <v>7</v>
      </c>
    </row>
    <row r="368" spans="1:15" ht="13.8" x14ac:dyDescent="0.25">
      <c r="A368" s="1" t="s">
        <v>1099</v>
      </c>
      <c r="B368" s="1" t="s">
        <v>1100</v>
      </c>
      <c r="C368" s="1" t="s">
        <v>76</v>
      </c>
      <c r="D368" s="1" t="s">
        <v>77</v>
      </c>
      <c r="E368" s="1" t="s">
        <v>1101</v>
      </c>
      <c r="F368" s="1" t="s">
        <v>1102</v>
      </c>
      <c r="G368" s="1">
        <v>2004</v>
      </c>
      <c r="H368" s="1" t="s">
        <v>24</v>
      </c>
      <c r="I368" s="17">
        <f ca="1">DATE(YEAR(TODAY())-1,3,29)</f>
        <v>44284</v>
      </c>
      <c r="J368" s="17">
        <f ca="1">DATE(YEAR(TODAY())-1,4,6)</f>
        <v>44292</v>
      </c>
      <c r="K368" s="1" t="s">
        <v>34</v>
      </c>
      <c r="L368" s="1" t="s">
        <v>34</v>
      </c>
      <c r="M368" s="1">
        <v>1069</v>
      </c>
      <c r="N368" s="1" cm="1">
        <f t="array" ref="N368">_xlfn.RANK.EQ(M368,total_money_spent)</f>
        <v>35</v>
      </c>
      <c r="O368" s="1">
        <f t="shared" ca="1" si="5"/>
        <v>8</v>
      </c>
    </row>
    <row r="369" spans="1:15" ht="13.8" x14ac:dyDescent="0.25">
      <c r="A369" s="1" t="s">
        <v>201</v>
      </c>
      <c r="B369" s="1" t="s">
        <v>196</v>
      </c>
      <c r="C369" s="1" t="s">
        <v>110</v>
      </c>
      <c r="D369" s="1" t="s">
        <v>111</v>
      </c>
      <c r="E369" s="1" t="s">
        <v>199</v>
      </c>
      <c r="F369" s="1" t="s">
        <v>200</v>
      </c>
      <c r="G369" s="1">
        <v>3001</v>
      </c>
      <c r="H369" s="1" t="s">
        <v>81</v>
      </c>
      <c r="I369" s="17">
        <f ca="1">DATE(YEAR(TODAY())-1,1,3)</f>
        <v>44199</v>
      </c>
      <c r="J369" s="17">
        <f ca="1">DATE(YEAR(TODAY())-1,1,7)</f>
        <v>44203</v>
      </c>
      <c r="K369" s="1" t="s">
        <v>143</v>
      </c>
      <c r="L369" s="1" t="s">
        <v>25</v>
      </c>
      <c r="M369" s="1">
        <v>862</v>
      </c>
      <c r="N369" s="1" cm="1">
        <f t="array" ref="N369">_xlfn.RANK.EQ(M369,total_money_spent)</f>
        <v>189</v>
      </c>
      <c r="O369" s="1">
        <f t="shared" ca="1" si="5"/>
        <v>4</v>
      </c>
    </row>
    <row r="370" spans="1:15" ht="13.8" x14ac:dyDescent="0.25">
      <c r="A370" s="1" t="s">
        <v>1165</v>
      </c>
      <c r="B370" s="1" t="s">
        <v>1162</v>
      </c>
      <c r="C370" s="1" t="s">
        <v>118</v>
      </c>
      <c r="D370" s="1" t="s">
        <v>119</v>
      </c>
      <c r="E370" s="1" t="s">
        <v>1163</v>
      </c>
      <c r="F370" s="1" t="s">
        <v>1164</v>
      </c>
      <c r="G370" s="1">
        <v>3003</v>
      </c>
      <c r="H370" s="1" t="s">
        <v>81</v>
      </c>
      <c r="I370" s="17">
        <f ca="1">DATE(YEAR(TODAY())-1,7,20)</f>
        <v>44397</v>
      </c>
      <c r="J370" s="17">
        <f ca="1">DATE(YEAR(TODAY())-1,7,22)</f>
        <v>44399</v>
      </c>
      <c r="K370" s="1" t="s">
        <v>33</v>
      </c>
      <c r="L370" s="1" t="s">
        <v>34</v>
      </c>
      <c r="M370" s="1">
        <v>742</v>
      </c>
      <c r="N370" s="1" cm="1">
        <f t="array" ref="N370">_xlfn.RANK.EQ(M370,total_money_spent)</f>
        <v>419</v>
      </c>
      <c r="O370" s="1">
        <f t="shared" ca="1" si="5"/>
        <v>2</v>
      </c>
    </row>
    <row r="371" spans="1:15" ht="13.8" x14ac:dyDescent="0.25">
      <c r="A371" s="1" t="s">
        <v>721</v>
      </c>
      <c r="B371" s="1" t="s">
        <v>719</v>
      </c>
      <c r="C371" s="1" t="s">
        <v>106</v>
      </c>
      <c r="D371" s="1" t="s">
        <v>107</v>
      </c>
      <c r="E371" s="1" t="s">
        <v>722</v>
      </c>
      <c r="F371" s="1" t="s">
        <v>720</v>
      </c>
      <c r="G371" s="1">
        <v>3003</v>
      </c>
      <c r="H371" s="1" t="s">
        <v>81</v>
      </c>
      <c r="I371" s="17">
        <f ca="1">DATE(YEAR(TODAY())-1,1,1)</f>
        <v>44197</v>
      </c>
      <c r="J371" s="17">
        <f ca="1">DATE(YEAR(TODAY())-1,1,8)</f>
        <v>44204</v>
      </c>
      <c r="K371" s="1" t="s">
        <v>136</v>
      </c>
      <c r="L371" s="1" t="s">
        <v>137</v>
      </c>
      <c r="M371" s="1">
        <v>1121</v>
      </c>
      <c r="N371" s="1" cm="1">
        <f t="array" ref="N371">_xlfn.RANK.EQ(M371,total_money_spent)</f>
        <v>21</v>
      </c>
      <c r="O371" s="1">
        <f t="shared" ca="1" si="5"/>
        <v>7</v>
      </c>
    </row>
    <row r="372" spans="1:15" ht="13.8" x14ac:dyDescent="0.25">
      <c r="A372" s="1" t="s">
        <v>332</v>
      </c>
      <c r="B372" s="1" t="s">
        <v>333</v>
      </c>
      <c r="C372" s="1" t="s">
        <v>326</v>
      </c>
      <c r="D372" s="1" t="s">
        <v>140</v>
      </c>
      <c r="E372" s="1" t="s">
        <v>334</v>
      </c>
      <c r="F372" s="1" t="s">
        <v>335</v>
      </c>
      <c r="G372" s="1">
        <v>2001</v>
      </c>
      <c r="H372" s="1" t="s">
        <v>24</v>
      </c>
      <c r="I372" s="17">
        <f ca="1">DATE(YEAR(TODAY())-1,3,8)</f>
        <v>44263</v>
      </c>
      <c r="J372" s="17">
        <f ca="1">DATE(YEAR(TODAY())-1,3,10)</f>
        <v>44265</v>
      </c>
      <c r="K372" s="1" t="s">
        <v>72</v>
      </c>
      <c r="L372" s="1" t="s">
        <v>73</v>
      </c>
      <c r="M372" s="1">
        <v>704</v>
      </c>
      <c r="N372" s="1" cm="1">
        <f t="array" ref="N372">_xlfn.RANK.EQ(M372,total_money_spent)</f>
        <v>479</v>
      </c>
      <c r="O372" s="1">
        <f t="shared" ca="1" si="5"/>
        <v>2</v>
      </c>
    </row>
    <row r="373" spans="1:15" ht="13.8" x14ac:dyDescent="0.25">
      <c r="A373" s="1" t="s">
        <v>394</v>
      </c>
      <c r="B373" s="1" t="s">
        <v>395</v>
      </c>
      <c r="C373" s="1" t="s">
        <v>37</v>
      </c>
      <c r="D373" s="1" t="s">
        <v>38</v>
      </c>
      <c r="E373" s="1" t="s">
        <v>396</v>
      </c>
      <c r="F373" s="1" t="s">
        <v>397</v>
      </c>
      <c r="G373" s="1">
        <v>2006</v>
      </c>
      <c r="H373" s="1" t="s">
        <v>24</v>
      </c>
      <c r="I373" s="17">
        <f ca="1">DATE(YEAR(TODAY())-1,4,22)</f>
        <v>44308</v>
      </c>
      <c r="J373" s="17">
        <f ca="1">DATE(YEAR(TODAY())-1,4,28)</f>
        <v>44314</v>
      </c>
      <c r="K373" s="1" t="s">
        <v>136</v>
      </c>
      <c r="L373" s="1" t="s">
        <v>137</v>
      </c>
      <c r="M373" s="1">
        <v>897</v>
      </c>
      <c r="N373" s="1" cm="1">
        <f t="array" ref="N373">_xlfn.RANK.EQ(M373,total_money_spent)</f>
        <v>159</v>
      </c>
      <c r="O373" s="1">
        <f t="shared" ca="1" si="5"/>
        <v>6</v>
      </c>
    </row>
    <row r="374" spans="1:15" ht="13.8" x14ac:dyDescent="0.25">
      <c r="A374" s="1" t="s">
        <v>697</v>
      </c>
      <c r="B374" s="1" t="s">
        <v>694</v>
      </c>
      <c r="C374" s="1" t="s">
        <v>70</v>
      </c>
      <c r="D374" s="1" t="s">
        <v>70</v>
      </c>
      <c r="E374" s="1" t="s">
        <v>695</v>
      </c>
      <c r="F374" s="1" t="s">
        <v>696</v>
      </c>
      <c r="G374" s="1">
        <v>2008</v>
      </c>
      <c r="H374" s="1" t="s">
        <v>44</v>
      </c>
      <c r="I374" s="17">
        <f ca="1">DATE(YEAR(TODAY())-1,4,21)</f>
        <v>44307</v>
      </c>
      <c r="J374" s="17">
        <f ca="1">DATE(YEAR(TODAY())-1,4,25)</f>
        <v>44311</v>
      </c>
      <c r="K374" s="1" t="s">
        <v>33</v>
      </c>
      <c r="L374" s="1" t="s">
        <v>34</v>
      </c>
      <c r="M374" s="1">
        <v>831</v>
      </c>
      <c r="N374" s="1" cm="1">
        <f t="array" ref="N374">_xlfn.RANK.EQ(M374,total_money_spent)</f>
        <v>251</v>
      </c>
      <c r="O374" s="1">
        <f t="shared" ca="1" si="5"/>
        <v>4</v>
      </c>
    </row>
    <row r="375" spans="1:15" ht="13.8" x14ac:dyDescent="0.25">
      <c r="A375" s="1" t="s">
        <v>584</v>
      </c>
      <c r="B375" s="1" t="s">
        <v>581</v>
      </c>
      <c r="C375" s="1" t="s">
        <v>229</v>
      </c>
      <c r="D375" s="1" t="s">
        <v>230</v>
      </c>
      <c r="E375" s="1" t="s">
        <v>582</v>
      </c>
      <c r="F375" s="1" t="s">
        <v>583</v>
      </c>
      <c r="G375" s="1">
        <v>3001</v>
      </c>
      <c r="H375" s="1" t="s">
        <v>81</v>
      </c>
      <c r="I375" s="17">
        <f ca="1">DATE(YEAR(TODAY())-1,3,30)</f>
        <v>44285</v>
      </c>
      <c r="J375" s="17">
        <f ca="1">DATE(YEAR(TODAY())-1,4,4)</f>
        <v>44290</v>
      </c>
      <c r="K375" s="1" t="s">
        <v>61</v>
      </c>
      <c r="L375" s="1" t="s">
        <v>34</v>
      </c>
      <c r="M375" s="1">
        <v>900</v>
      </c>
      <c r="N375" s="1" cm="1">
        <f t="array" ref="N375">_xlfn.RANK.EQ(M375,total_money_spent)</f>
        <v>153</v>
      </c>
      <c r="O375" s="1">
        <f t="shared" ca="1" si="5"/>
        <v>5</v>
      </c>
    </row>
    <row r="376" spans="1:15" ht="13.8" x14ac:dyDescent="0.25">
      <c r="A376" s="1" t="s">
        <v>698</v>
      </c>
      <c r="B376" s="1" t="s">
        <v>694</v>
      </c>
      <c r="C376" s="1" t="s">
        <v>91</v>
      </c>
      <c r="D376" s="1" t="s">
        <v>91</v>
      </c>
      <c r="E376" s="1" t="s">
        <v>695</v>
      </c>
      <c r="F376" s="1" t="s">
        <v>696</v>
      </c>
      <c r="G376" s="1">
        <v>2008</v>
      </c>
      <c r="H376" s="1" t="s">
        <v>44</v>
      </c>
      <c r="I376" s="17">
        <f ca="1">DATE(YEAR(TODAY())-1,2,21)</f>
        <v>44248</v>
      </c>
      <c r="J376" s="17">
        <f ca="1">DATE(YEAR(TODAY())-1,2,25)</f>
        <v>44252</v>
      </c>
      <c r="K376" s="1" t="s">
        <v>72</v>
      </c>
      <c r="L376" s="1" t="s">
        <v>73</v>
      </c>
      <c r="M376" s="1">
        <v>833</v>
      </c>
      <c r="N376" s="1" cm="1">
        <f t="array" ref="N376">_xlfn.RANK.EQ(M376,total_money_spent)</f>
        <v>247</v>
      </c>
      <c r="O376" s="1">
        <f t="shared" ca="1" si="5"/>
        <v>4</v>
      </c>
    </row>
    <row r="377" spans="1:15" ht="13.8" x14ac:dyDescent="0.25">
      <c r="A377" s="1" t="s">
        <v>755</v>
      </c>
      <c r="B377" s="1" t="s">
        <v>752</v>
      </c>
      <c r="C377" s="1" t="s">
        <v>177</v>
      </c>
      <c r="D377" s="1" t="s">
        <v>178</v>
      </c>
      <c r="F377" s="1" t="s">
        <v>754</v>
      </c>
      <c r="G377" s="1" t="s">
        <v>54</v>
      </c>
      <c r="H377" s="1" t="s">
        <v>32</v>
      </c>
      <c r="I377" s="17">
        <f ca="1">DATE(YEAR(TODAY())-1,2,8)</f>
        <v>44235</v>
      </c>
      <c r="J377" s="17">
        <f ca="1">DATE(YEAR(TODAY())-1,2,11)</f>
        <v>44238</v>
      </c>
      <c r="K377" s="1" t="s">
        <v>33</v>
      </c>
      <c r="L377" s="1" t="s">
        <v>34</v>
      </c>
      <c r="M377" s="1">
        <v>727</v>
      </c>
      <c r="N377" s="1" cm="1">
        <f t="array" ref="N377">_xlfn.RANK.EQ(M377,total_money_spent)</f>
        <v>453</v>
      </c>
      <c r="O377" s="1">
        <f t="shared" ca="1" si="5"/>
        <v>3</v>
      </c>
    </row>
    <row r="378" spans="1:15" ht="13.8" x14ac:dyDescent="0.25">
      <c r="A378" s="1" t="s">
        <v>851</v>
      </c>
      <c r="B378" s="1" t="s">
        <v>846</v>
      </c>
      <c r="C378" s="1" t="s">
        <v>52</v>
      </c>
      <c r="D378" s="1" t="s">
        <v>53</v>
      </c>
      <c r="E378" s="1" t="s">
        <v>847</v>
      </c>
      <c r="F378" s="1" t="s">
        <v>848</v>
      </c>
      <c r="G378" s="1" t="s">
        <v>122</v>
      </c>
      <c r="H378" s="1" t="s">
        <v>32</v>
      </c>
      <c r="I378" s="17">
        <f ca="1">DATE(YEAR(TODAY())-1,5,30)</f>
        <v>44346</v>
      </c>
      <c r="J378" s="17">
        <f ca="1">DATE(YEAR(TODAY())-1,6,4)</f>
        <v>44351</v>
      </c>
      <c r="K378" s="1" t="s">
        <v>143</v>
      </c>
      <c r="L378" s="1" t="s">
        <v>25</v>
      </c>
      <c r="M378" s="1">
        <v>805</v>
      </c>
      <c r="N378" s="1" cm="1">
        <f t="array" ref="N378">_xlfn.RANK.EQ(M378,total_money_spent)</f>
        <v>277</v>
      </c>
      <c r="O378" s="1">
        <f t="shared" ca="1" si="5"/>
        <v>5</v>
      </c>
    </row>
    <row r="379" spans="1:15" ht="13.8" x14ac:dyDescent="0.25">
      <c r="A379" s="1" t="s">
        <v>814</v>
      </c>
      <c r="B379" s="1" t="s">
        <v>815</v>
      </c>
      <c r="C379" s="1" t="s">
        <v>229</v>
      </c>
      <c r="D379" s="1" t="s">
        <v>230</v>
      </c>
      <c r="E379" s="1" t="s">
        <v>816</v>
      </c>
      <c r="F379" s="1" t="s">
        <v>817</v>
      </c>
      <c r="G379" s="1">
        <v>3002</v>
      </c>
      <c r="H379" s="1" t="s">
        <v>81</v>
      </c>
      <c r="I379" s="17">
        <f ca="1">DATE(YEAR(TODAY())-1,4,10)</f>
        <v>44296</v>
      </c>
      <c r="J379" s="17">
        <f ca="1">DATE(YEAR(TODAY())-1,4,13)</f>
        <v>44299</v>
      </c>
      <c r="K379" s="1" t="s">
        <v>34</v>
      </c>
      <c r="L379" s="1" t="s">
        <v>34</v>
      </c>
      <c r="M379" s="1">
        <v>775</v>
      </c>
      <c r="N379" s="1" cm="1">
        <f t="array" ref="N379">_xlfn.RANK.EQ(M379,total_money_spent)</f>
        <v>362</v>
      </c>
      <c r="O379" s="1">
        <f t="shared" ca="1" si="5"/>
        <v>3</v>
      </c>
    </row>
    <row r="380" spans="1:15" ht="13.8" x14ac:dyDescent="0.25">
      <c r="A380" s="1" t="s">
        <v>1477</v>
      </c>
      <c r="B380" s="1" t="s">
        <v>1474</v>
      </c>
      <c r="C380" s="1" t="s">
        <v>235</v>
      </c>
      <c r="D380" s="1" t="s">
        <v>235</v>
      </c>
      <c r="E380" s="1" t="s">
        <v>1475</v>
      </c>
      <c r="F380" s="1" t="s">
        <v>1476</v>
      </c>
      <c r="G380" s="1">
        <v>3003</v>
      </c>
      <c r="H380" s="1" t="s">
        <v>81</v>
      </c>
      <c r="I380" s="17">
        <f ca="1">DATE(YEAR(TODAY())-1,8,25)</f>
        <v>44433</v>
      </c>
      <c r="J380" s="17">
        <f ca="1">DATE(YEAR(TODAY())-1,8,30)</f>
        <v>44438</v>
      </c>
      <c r="K380" s="1" t="s">
        <v>34</v>
      </c>
      <c r="L380" s="1" t="s">
        <v>34</v>
      </c>
      <c r="M380" s="1">
        <v>901</v>
      </c>
      <c r="N380" s="1" cm="1">
        <f t="array" ref="N380">_xlfn.RANK.EQ(M380,total_money_spent)</f>
        <v>151</v>
      </c>
      <c r="O380" s="1">
        <f t="shared" ca="1" si="5"/>
        <v>5</v>
      </c>
    </row>
    <row r="381" spans="1:15" ht="13.8" x14ac:dyDescent="0.25">
      <c r="A381" s="1" t="s">
        <v>88</v>
      </c>
      <c r="B381" s="1" t="s">
        <v>84</v>
      </c>
      <c r="C381" s="1" t="s">
        <v>64</v>
      </c>
      <c r="D381" s="1" t="s">
        <v>65</v>
      </c>
      <c r="E381" s="1" t="s">
        <v>85</v>
      </c>
      <c r="F381" s="1" t="s">
        <v>86</v>
      </c>
      <c r="G381" s="1">
        <v>2003</v>
      </c>
      <c r="H381" s="1" t="s">
        <v>24</v>
      </c>
      <c r="I381" s="17">
        <f ca="1">DATE(YEAR(TODAY())-1,8,4)</f>
        <v>44412</v>
      </c>
      <c r="J381" s="17">
        <f ca="1">DATE(YEAR(TODAY())-1,8,8)</f>
        <v>44416</v>
      </c>
      <c r="K381" s="1" t="s">
        <v>87</v>
      </c>
      <c r="L381" s="1" t="s">
        <v>73</v>
      </c>
      <c r="M381" s="1">
        <v>799</v>
      </c>
      <c r="N381" s="1" cm="1">
        <f t="array" ref="N381">_xlfn.RANK.EQ(M381,total_money_spent)</f>
        <v>295</v>
      </c>
      <c r="O381" s="1">
        <f t="shared" ca="1" si="5"/>
        <v>4</v>
      </c>
    </row>
    <row r="382" spans="1:15" ht="13.8" x14ac:dyDescent="0.25">
      <c r="A382" s="1" t="s">
        <v>652</v>
      </c>
      <c r="B382" s="1" t="s">
        <v>647</v>
      </c>
      <c r="C382" s="1" t="s">
        <v>64</v>
      </c>
      <c r="D382" s="1" t="s">
        <v>65</v>
      </c>
      <c r="E382" s="1" t="s">
        <v>648</v>
      </c>
      <c r="F382" s="1" t="s">
        <v>649</v>
      </c>
      <c r="G382" s="1" t="s">
        <v>54</v>
      </c>
      <c r="H382" s="1" t="s">
        <v>32</v>
      </c>
      <c r="I382" s="17">
        <f ca="1">DATE(YEAR(TODAY())-2,10,17)</f>
        <v>44121</v>
      </c>
      <c r="J382" s="17">
        <f ca="1">DATE(YEAR(TODAY())-2,10,22)</f>
        <v>44126</v>
      </c>
      <c r="K382" s="1" t="s">
        <v>61</v>
      </c>
      <c r="L382" s="1" t="s">
        <v>34</v>
      </c>
      <c r="M382" s="1">
        <v>794</v>
      </c>
      <c r="N382" s="1" cm="1">
        <f t="array" ref="N382">_xlfn.RANK.EQ(M382,total_money_spent)</f>
        <v>310</v>
      </c>
      <c r="O382" s="1">
        <f t="shared" ca="1" si="5"/>
        <v>5</v>
      </c>
    </row>
    <row r="383" spans="1:15" ht="13.8" x14ac:dyDescent="0.25">
      <c r="A383" s="1" t="s">
        <v>819</v>
      </c>
      <c r="B383" s="1" t="s">
        <v>815</v>
      </c>
      <c r="C383" s="1" t="s">
        <v>101</v>
      </c>
      <c r="D383" s="1" t="s">
        <v>102</v>
      </c>
      <c r="E383" s="1" t="s">
        <v>816</v>
      </c>
      <c r="F383" s="1" t="s">
        <v>817</v>
      </c>
      <c r="G383" s="1" t="s">
        <v>226</v>
      </c>
      <c r="H383" s="1" t="s">
        <v>32</v>
      </c>
      <c r="I383" s="17">
        <f ca="1">DATE(YEAR(TODAY())-1,2,17)</f>
        <v>44244</v>
      </c>
      <c r="J383" s="17">
        <f ca="1">DATE(YEAR(TODAY())-1,2,23)</f>
        <v>44250</v>
      </c>
      <c r="K383" s="1" t="s">
        <v>25</v>
      </c>
      <c r="L383" s="1" t="s">
        <v>25</v>
      </c>
      <c r="M383" s="1">
        <v>832</v>
      </c>
      <c r="N383" s="1" cm="1">
        <f t="array" ref="N383">_xlfn.RANK.EQ(M383,total_money_spent)</f>
        <v>249</v>
      </c>
      <c r="O383" s="1">
        <f t="shared" ca="1" si="5"/>
        <v>6</v>
      </c>
    </row>
    <row r="384" spans="1:15" ht="13.8" x14ac:dyDescent="0.25">
      <c r="A384" s="1" t="s">
        <v>1053</v>
      </c>
      <c r="B384" s="1" t="s">
        <v>1054</v>
      </c>
      <c r="C384" s="1" t="s">
        <v>1055</v>
      </c>
      <c r="D384" s="1" t="s">
        <v>618</v>
      </c>
      <c r="F384" s="1" t="s">
        <v>1056</v>
      </c>
      <c r="G384" s="1">
        <v>2003</v>
      </c>
      <c r="H384" s="1" t="s">
        <v>24</v>
      </c>
      <c r="I384" s="17">
        <f ca="1">DATE(YEAR(TODAY())-1,6,6)</f>
        <v>44353</v>
      </c>
      <c r="J384" s="17">
        <f ca="1">DATE(YEAR(TODAY())-1,6,10)</f>
        <v>44357</v>
      </c>
      <c r="K384" s="1" t="s">
        <v>61</v>
      </c>
      <c r="L384" s="1" t="s">
        <v>34</v>
      </c>
      <c r="M384" s="1">
        <v>794</v>
      </c>
      <c r="N384" s="1" cm="1">
        <f t="array" ref="N384">_xlfn.RANK.EQ(M384,total_money_spent)</f>
        <v>310</v>
      </c>
      <c r="O384" s="1">
        <f t="shared" ca="1" si="5"/>
        <v>4</v>
      </c>
    </row>
    <row r="385" spans="1:15" ht="13.8" x14ac:dyDescent="0.25">
      <c r="A385" s="1" t="s">
        <v>433</v>
      </c>
      <c r="B385" s="1" t="s">
        <v>430</v>
      </c>
      <c r="C385" s="1" t="s">
        <v>96</v>
      </c>
      <c r="D385" s="1" t="s">
        <v>96</v>
      </c>
      <c r="E385" s="1" t="s">
        <v>431</v>
      </c>
      <c r="F385" s="1" t="s">
        <v>432</v>
      </c>
      <c r="G385" s="1" t="s">
        <v>122</v>
      </c>
      <c r="H385" s="1" t="s">
        <v>32</v>
      </c>
      <c r="I385" s="17">
        <f ca="1">DATE(YEAR(TODAY())-1,7,7)</f>
        <v>44384</v>
      </c>
      <c r="J385" s="17">
        <f ca="1">DATE(YEAR(TODAY())-1,7,10)</f>
        <v>44387</v>
      </c>
      <c r="K385" s="1" t="s">
        <v>61</v>
      </c>
      <c r="L385" s="1" t="s">
        <v>34</v>
      </c>
      <c r="M385" s="1">
        <v>743</v>
      </c>
      <c r="N385" s="1" cm="1">
        <f t="array" ref="N385">_xlfn.RANK.EQ(M385,total_money_spent)</f>
        <v>416</v>
      </c>
      <c r="O385" s="1">
        <f t="shared" ca="1" si="5"/>
        <v>3</v>
      </c>
    </row>
    <row r="386" spans="1:15" ht="13.8" x14ac:dyDescent="0.25">
      <c r="A386" s="1" t="s">
        <v>340</v>
      </c>
      <c r="B386" s="1" t="s">
        <v>333</v>
      </c>
      <c r="C386" s="1" t="s">
        <v>119</v>
      </c>
      <c r="D386" s="1" t="s">
        <v>119</v>
      </c>
      <c r="E386" s="1" t="s">
        <v>334</v>
      </c>
      <c r="F386" s="1" t="s">
        <v>335</v>
      </c>
      <c r="G386" s="1">
        <v>3003</v>
      </c>
      <c r="H386" s="1" t="s">
        <v>81</v>
      </c>
      <c r="I386" s="17">
        <f ca="1">DATE(YEAR(TODAY())-1,2,13)</f>
        <v>44240</v>
      </c>
      <c r="J386" s="17">
        <f ca="1">DATE(YEAR(TODAY())-1,2,18)</f>
        <v>44245</v>
      </c>
      <c r="K386" s="1" t="s">
        <v>25</v>
      </c>
      <c r="L386" s="1" t="s">
        <v>25</v>
      </c>
      <c r="M386" s="1">
        <v>891</v>
      </c>
      <c r="N386" s="1" cm="1">
        <f t="array" ref="N386">_xlfn.RANK.EQ(M386,total_money_spent)</f>
        <v>171</v>
      </c>
      <c r="O386" s="1">
        <f t="shared" ca="1" si="5"/>
        <v>5</v>
      </c>
    </row>
    <row r="387" spans="1:15" ht="13.8" x14ac:dyDescent="0.25">
      <c r="A387" s="1" t="s">
        <v>1450</v>
      </c>
      <c r="B387" s="1" t="s">
        <v>1446</v>
      </c>
      <c r="C387" s="1" t="s">
        <v>119</v>
      </c>
      <c r="D387" s="1" t="s">
        <v>119</v>
      </c>
      <c r="E387" s="1" t="s">
        <v>1447</v>
      </c>
      <c r="F387" s="1" t="s">
        <v>1448</v>
      </c>
      <c r="G387" s="1">
        <v>3004</v>
      </c>
      <c r="H387" s="1" t="s">
        <v>203</v>
      </c>
      <c r="I387" s="17">
        <f ca="1">DATE(YEAR(TODAY())-1,6,12)</f>
        <v>44359</v>
      </c>
      <c r="J387" s="17">
        <f ca="1">DATE(YEAR(TODAY())-1,6,19)</f>
        <v>44366</v>
      </c>
      <c r="K387" s="1" t="s">
        <v>87</v>
      </c>
      <c r="L387" s="1" t="s">
        <v>73</v>
      </c>
      <c r="M387" s="1">
        <v>1425</v>
      </c>
      <c r="N387" s="1" cm="1">
        <f t="array" ref="N387">_xlfn.RANK.EQ(M387,total_money_spent)</f>
        <v>3</v>
      </c>
      <c r="O387" s="1">
        <f t="shared" ref="O387:O450" ca="1" si="6">J387-I387</f>
        <v>7</v>
      </c>
    </row>
    <row r="388" spans="1:15" ht="13.8" x14ac:dyDescent="0.25">
      <c r="A388" s="1" t="s">
        <v>385</v>
      </c>
      <c r="B388" s="1" t="s">
        <v>386</v>
      </c>
      <c r="C388" s="1" t="s">
        <v>387</v>
      </c>
      <c r="D388" s="1" t="s">
        <v>153</v>
      </c>
      <c r="E388" s="1" t="s">
        <v>388</v>
      </c>
      <c r="F388" s="1" t="s">
        <v>389</v>
      </c>
      <c r="G388" s="1">
        <v>3003</v>
      </c>
      <c r="H388" s="1" t="s">
        <v>81</v>
      </c>
      <c r="I388" s="17">
        <f ca="1">DATE(YEAR(TODAY())-1,9,7)</f>
        <v>44446</v>
      </c>
      <c r="J388" s="17">
        <f ca="1">DATE(YEAR(TODAY())-1,9,13)</f>
        <v>44452</v>
      </c>
      <c r="K388" s="1" t="s">
        <v>61</v>
      </c>
      <c r="L388" s="1" t="s">
        <v>34</v>
      </c>
      <c r="M388" s="1">
        <v>1000</v>
      </c>
      <c r="N388" s="1" cm="1">
        <f t="array" ref="N388">_xlfn.RANK.EQ(M388,total_money_spent)</f>
        <v>55</v>
      </c>
      <c r="O388" s="1">
        <f t="shared" ca="1" si="6"/>
        <v>6</v>
      </c>
    </row>
    <row r="389" spans="1:15" ht="13.8" x14ac:dyDescent="0.25">
      <c r="A389" s="1" t="s">
        <v>559</v>
      </c>
      <c r="B389" s="1" t="s">
        <v>560</v>
      </c>
      <c r="C389" s="1" t="s">
        <v>246</v>
      </c>
      <c r="D389" s="1" t="s">
        <v>247</v>
      </c>
      <c r="F389" s="1" t="s">
        <v>561</v>
      </c>
      <c r="G389" s="1">
        <v>2007</v>
      </c>
      <c r="H389" s="1" t="s">
        <v>44</v>
      </c>
      <c r="I389" s="17">
        <f ca="1">DATE(YEAR(TODAY())-1,3,9)</f>
        <v>44264</v>
      </c>
      <c r="J389" s="17">
        <f ca="1">DATE(YEAR(TODAY())-1,3,11)</f>
        <v>44266</v>
      </c>
      <c r="K389" s="1" t="s">
        <v>33</v>
      </c>
      <c r="L389" s="1" t="s">
        <v>34</v>
      </c>
      <c r="M389" s="1">
        <v>738</v>
      </c>
      <c r="N389" s="1" cm="1">
        <f t="array" ref="N389">_xlfn.RANK.EQ(M389,total_money_spent)</f>
        <v>434</v>
      </c>
      <c r="O389" s="1">
        <f t="shared" ca="1" si="6"/>
        <v>2</v>
      </c>
    </row>
    <row r="390" spans="1:15" ht="13.8" x14ac:dyDescent="0.25">
      <c r="A390" s="1" t="s">
        <v>1228</v>
      </c>
      <c r="B390" s="1" t="s">
        <v>1225</v>
      </c>
      <c r="C390" s="1" t="s">
        <v>64</v>
      </c>
      <c r="D390" s="1" t="s">
        <v>65</v>
      </c>
      <c r="E390" s="1" t="s">
        <v>1226</v>
      </c>
      <c r="F390" s="1" t="s">
        <v>1227</v>
      </c>
      <c r="G390" s="1" t="s">
        <v>60</v>
      </c>
      <c r="H390" s="1" t="s">
        <v>32</v>
      </c>
      <c r="I390" s="17">
        <f ca="1">DATE(YEAR(TODAY())-1,1,21)</f>
        <v>44217</v>
      </c>
      <c r="J390" s="17">
        <f ca="1">DATE(YEAR(TODAY())-1,1,27)</f>
        <v>44223</v>
      </c>
      <c r="K390" s="1" t="s">
        <v>34</v>
      </c>
      <c r="L390" s="1" t="s">
        <v>34</v>
      </c>
      <c r="M390" s="1">
        <v>840</v>
      </c>
      <c r="N390" s="1" cm="1">
        <f t="array" ref="N390">_xlfn.RANK.EQ(M390,total_money_spent)</f>
        <v>233</v>
      </c>
      <c r="O390" s="1">
        <f t="shared" ca="1" si="6"/>
        <v>6</v>
      </c>
    </row>
    <row r="391" spans="1:15" ht="13.8" x14ac:dyDescent="0.25">
      <c r="A391" s="1" t="s">
        <v>1385</v>
      </c>
      <c r="B391" s="1" t="s">
        <v>1386</v>
      </c>
      <c r="C391" s="1" t="s">
        <v>125</v>
      </c>
      <c r="D391" s="1" t="s">
        <v>126</v>
      </c>
      <c r="E391" s="1" t="s">
        <v>1387</v>
      </c>
      <c r="F391" s="1" t="s">
        <v>1388</v>
      </c>
      <c r="G391" s="1">
        <v>2010</v>
      </c>
      <c r="H391" s="1" t="s">
        <v>44</v>
      </c>
      <c r="I391" s="17">
        <f ca="1">DATE(YEAR(TODAY())-1,8,21)</f>
        <v>44429</v>
      </c>
      <c r="J391" s="17">
        <f ca="1">DATE(YEAR(TODAY())-1,8,28)</f>
        <v>44436</v>
      </c>
      <c r="K391" s="1" t="s">
        <v>33</v>
      </c>
      <c r="L391" s="1" t="s">
        <v>34</v>
      </c>
      <c r="M391" s="1">
        <v>1060</v>
      </c>
      <c r="N391" s="1" cm="1">
        <f t="array" ref="N391">_xlfn.RANK.EQ(M391,total_money_spent)</f>
        <v>45</v>
      </c>
      <c r="O391" s="1">
        <f t="shared" ca="1" si="6"/>
        <v>7</v>
      </c>
    </row>
    <row r="392" spans="1:15" ht="13.8" x14ac:dyDescent="0.25">
      <c r="A392" s="1" t="s">
        <v>1261</v>
      </c>
      <c r="B392" s="1" t="s">
        <v>1258</v>
      </c>
      <c r="C392" s="1" t="s">
        <v>206</v>
      </c>
      <c r="D392" s="1" t="s">
        <v>21</v>
      </c>
      <c r="E392" s="1" t="s">
        <v>1259</v>
      </c>
      <c r="F392" s="1" t="s">
        <v>1260</v>
      </c>
      <c r="G392" s="1">
        <v>2005</v>
      </c>
      <c r="H392" s="1" t="s">
        <v>24</v>
      </c>
      <c r="I392" s="17">
        <f ca="1">DATE(YEAR(TODAY())-1,3,28)</f>
        <v>44283</v>
      </c>
      <c r="J392" s="17">
        <f ca="1">DATE(YEAR(TODAY())-1,4,4)</f>
        <v>44290</v>
      </c>
      <c r="K392" s="1" t="s">
        <v>136</v>
      </c>
      <c r="L392" s="1" t="s">
        <v>137</v>
      </c>
      <c r="M392" s="1">
        <v>961</v>
      </c>
      <c r="N392" s="1" cm="1">
        <f t="array" ref="N392">_xlfn.RANK.EQ(M392,total_money_spent)</f>
        <v>92</v>
      </c>
      <c r="O392" s="1">
        <f t="shared" ca="1" si="6"/>
        <v>7</v>
      </c>
    </row>
    <row r="393" spans="1:15" ht="13.8" x14ac:dyDescent="0.25">
      <c r="A393" s="1" t="s">
        <v>1040</v>
      </c>
      <c r="B393" s="1" t="s">
        <v>1036</v>
      </c>
      <c r="C393" s="1" t="s">
        <v>91</v>
      </c>
      <c r="D393" s="1" t="s">
        <v>91</v>
      </c>
      <c r="E393" s="1" t="s">
        <v>1037</v>
      </c>
      <c r="F393" s="1" t="s">
        <v>1038</v>
      </c>
      <c r="G393" s="1" t="s">
        <v>54</v>
      </c>
      <c r="H393" s="1" t="s">
        <v>32</v>
      </c>
      <c r="I393" s="17">
        <f ca="1">DATE(YEAR(TODAY())-1,2,20)</f>
        <v>44247</v>
      </c>
      <c r="J393" s="17">
        <f ca="1">DATE(YEAR(TODAY())-1,2,27)</f>
        <v>44254</v>
      </c>
      <c r="K393" s="1" t="s">
        <v>16</v>
      </c>
      <c r="L393" s="1" t="s">
        <v>34</v>
      </c>
      <c r="M393" s="1">
        <v>907</v>
      </c>
      <c r="N393" s="1" cm="1">
        <f t="array" ref="N393">_xlfn.RANK.EQ(M393,total_money_spent)</f>
        <v>134</v>
      </c>
      <c r="O393" s="1">
        <f t="shared" ca="1" si="6"/>
        <v>7</v>
      </c>
    </row>
    <row r="394" spans="1:15" ht="13.8" x14ac:dyDescent="0.25">
      <c r="A394" s="1" t="s">
        <v>421</v>
      </c>
      <c r="B394" s="1" t="s">
        <v>416</v>
      </c>
      <c r="C394" s="1" t="s">
        <v>270</v>
      </c>
      <c r="D394" s="1" t="s">
        <v>271</v>
      </c>
      <c r="E394" s="1" t="s">
        <v>417</v>
      </c>
      <c r="F394" s="1" t="s">
        <v>418</v>
      </c>
      <c r="G394" s="1">
        <v>2004</v>
      </c>
      <c r="H394" s="1" t="s">
        <v>24</v>
      </c>
      <c r="I394" s="17">
        <f ca="1">DATE(YEAR(TODAY())-1,2,5)</f>
        <v>44232</v>
      </c>
      <c r="J394" s="17">
        <f ca="1">DATE(YEAR(TODAY())-1,2,12)</f>
        <v>44239</v>
      </c>
      <c r="K394" s="1" t="s">
        <v>34</v>
      </c>
      <c r="L394" s="1" t="s">
        <v>34</v>
      </c>
      <c r="M394" s="1">
        <v>974</v>
      </c>
      <c r="N394" s="1" cm="1">
        <f t="array" ref="N394">_xlfn.RANK.EQ(M394,total_money_spent)</f>
        <v>72</v>
      </c>
      <c r="O394" s="1">
        <f t="shared" ca="1" si="6"/>
        <v>7</v>
      </c>
    </row>
    <row r="395" spans="1:15" ht="13.8" x14ac:dyDescent="0.25">
      <c r="A395" s="1" t="s">
        <v>916</v>
      </c>
      <c r="B395" s="1" t="s">
        <v>913</v>
      </c>
      <c r="C395" s="1" t="s">
        <v>165</v>
      </c>
      <c r="D395" s="1" t="s">
        <v>166</v>
      </c>
      <c r="E395" s="1" t="s">
        <v>914</v>
      </c>
      <c r="F395" s="1" t="s">
        <v>915</v>
      </c>
      <c r="G395" s="1">
        <v>2008</v>
      </c>
      <c r="H395" s="1" t="s">
        <v>44</v>
      </c>
      <c r="I395" s="17">
        <f ca="1">DATE(YEAR(TODAY())-1,6,23)</f>
        <v>44370</v>
      </c>
      <c r="J395" s="17">
        <f ca="1">DATE(YEAR(TODAY())-1,6,24)</f>
        <v>44371</v>
      </c>
      <c r="K395" s="1" t="s">
        <v>82</v>
      </c>
      <c r="L395" s="1" t="s">
        <v>34</v>
      </c>
      <c r="M395" s="1">
        <v>657</v>
      </c>
      <c r="N395" s="1" cm="1">
        <f t="array" ref="N395">_xlfn.RANK.EQ(M395,total_money_spent)</f>
        <v>569</v>
      </c>
      <c r="O395" s="1">
        <f t="shared" ca="1" si="6"/>
        <v>1</v>
      </c>
    </row>
    <row r="396" spans="1:15" ht="13.8" x14ac:dyDescent="0.25">
      <c r="A396" s="1" t="s">
        <v>771</v>
      </c>
      <c r="B396" s="1" t="s">
        <v>772</v>
      </c>
      <c r="C396" s="1" t="s">
        <v>165</v>
      </c>
      <c r="D396" s="1" t="s">
        <v>166</v>
      </c>
      <c r="E396" s="1" t="s">
        <v>773</v>
      </c>
      <c r="F396" s="1" t="s">
        <v>774</v>
      </c>
      <c r="G396" s="1">
        <v>2005</v>
      </c>
      <c r="H396" s="1" t="s">
        <v>24</v>
      </c>
      <c r="I396" s="17">
        <f ca="1">DATE(YEAR(TODAY())-1,7,8)</f>
        <v>44385</v>
      </c>
      <c r="J396" s="17">
        <f ca="1">DATE(YEAR(TODAY())-1,7,9)</f>
        <v>44386</v>
      </c>
      <c r="K396" s="1" t="s">
        <v>72</v>
      </c>
      <c r="L396" s="1" t="s">
        <v>73</v>
      </c>
      <c r="M396" s="1">
        <v>669</v>
      </c>
      <c r="N396" s="1" cm="1">
        <f t="array" ref="N396">_xlfn.RANK.EQ(M396,total_money_spent)</f>
        <v>522</v>
      </c>
      <c r="O396" s="1">
        <f t="shared" ca="1" si="6"/>
        <v>1</v>
      </c>
    </row>
    <row r="397" spans="1:15" ht="13.8" x14ac:dyDescent="0.25">
      <c r="A397" s="1" t="s">
        <v>1089</v>
      </c>
      <c r="B397" s="1" t="s">
        <v>1084</v>
      </c>
      <c r="C397" s="1" t="s">
        <v>523</v>
      </c>
      <c r="D397" s="1" t="s">
        <v>158</v>
      </c>
      <c r="E397" s="1" t="s">
        <v>1085</v>
      </c>
      <c r="F397" s="1" t="s">
        <v>1086</v>
      </c>
      <c r="G397" s="1" t="s">
        <v>31</v>
      </c>
      <c r="H397" s="1" t="s">
        <v>32</v>
      </c>
      <c r="I397" s="17">
        <f ca="1">DATE(YEAR(TODAY())-1,6,5)</f>
        <v>44352</v>
      </c>
      <c r="J397" s="17">
        <f ca="1">DATE(YEAR(TODAY())-1,6,12)</f>
        <v>44359</v>
      </c>
      <c r="K397" s="1" t="s">
        <v>87</v>
      </c>
      <c r="L397" s="1" t="s">
        <v>73</v>
      </c>
      <c r="M397" s="1">
        <v>911</v>
      </c>
      <c r="N397" s="1" cm="1">
        <f t="array" ref="N397">_xlfn.RANK.EQ(M397,total_money_spent)</f>
        <v>122</v>
      </c>
      <c r="O397" s="1">
        <f t="shared" ca="1" si="6"/>
        <v>7</v>
      </c>
    </row>
    <row r="398" spans="1:15" ht="13.8" x14ac:dyDescent="0.25">
      <c r="A398" s="1" t="s">
        <v>769</v>
      </c>
      <c r="B398" s="1" t="s">
        <v>764</v>
      </c>
      <c r="C398" s="1" t="s">
        <v>235</v>
      </c>
      <c r="D398" s="1" t="s">
        <v>235</v>
      </c>
      <c r="E398" s="1" t="s">
        <v>765</v>
      </c>
      <c r="F398" s="1" t="s">
        <v>766</v>
      </c>
      <c r="G398" s="1">
        <v>3002</v>
      </c>
      <c r="H398" s="1" t="s">
        <v>81</v>
      </c>
      <c r="I398" s="17">
        <f ca="1">DATE(YEAR(TODAY())-1,1,13)</f>
        <v>44209</v>
      </c>
      <c r="J398" s="17">
        <f ca="1">DATE(YEAR(TODAY())-1,1,14)</f>
        <v>44210</v>
      </c>
      <c r="K398" s="1" t="s">
        <v>72</v>
      </c>
      <c r="L398" s="1" t="s">
        <v>73</v>
      </c>
      <c r="M398" s="1">
        <v>658</v>
      </c>
      <c r="N398" s="1" cm="1">
        <f t="array" ref="N398">_xlfn.RANK.EQ(M398,total_money_spent)</f>
        <v>565</v>
      </c>
      <c r="O398" s="1">
        <f t="shared" ca="1" si="6"/>
        <v>1</v>
      </c>
    </row>
    <row r="399" spans="1:15" ht="13.8" x14ac:dyDescent="0.25">
      <c r="A399" s="1" t="s">
        <v>1108</v>
      </c>
      <c r="B399" s="1" t="s">
        <v>1105</v>
      </c>
      <c r="C399" s="1" t="s">
        <v>664</v>
      </c>
      <c r="D399" s="1" t="s">
        <v>147</v>
      </c>
      <c r="E399" s="1" t="s">
        <v>1106</v>
      </c>
      <c r="F399" s="1" t="s">
        <v>1107</v>
      </c>
      <c r="G399" s="1">
        <v>2008</v>
      </c>
      <c r="H399" s="1" t="s">
        <v>44</v>
      </c>
      <c r="I399" s="17">
        <f ca="1">DATE(YEAR(TODAY())-1,8,17)</f>
        <v>44425</v>
      </c>
      <c r="J399" s="17">
        <f ca="1">DATE(YEAR(TODAY())-1,8,23)</f>
        <v>44431</v>
      </c>
      <c r="K399" s="1" t="s">
        <v>61</v>
      </c>
      <c r="L399" s="1" t="s">
        <v>34</v>
      </c>
      <c r="M399" s="1">
        <v>979</v>
      </c>
      <c r="N399" s="1" cm="1">
        <f t="array" ref="N399">_xlfn.RANK.EQ(M399,total_money_spent)</f>
        <v>62</v>
      </c>
      <c r="O399" s="1">
        <f t="shared" ca="1" si="6"/>
        <v>6</v>
      </c>
    </row>
    <row r="400" spans="1:15" ht="13.8" x14ac:dyDescent="0.25">
      <c r="A400" s="1" t="s">
        <v>499</v>
      </c>
      <c r="B400" s="1" t="s">
        <v>500</v>
      </c>
      <c r="C400" s="1" t="s">
        <v>37</v>
      </c>
      <c r="D400" s="1" t="s">
        <v>38</v>
      </c>
      <c r="E400" s="1" t="s">
        <v>501</v>
      </c>
      <c r="F400" s="1" t="s">
        <v>502</v>
      </c>
      <c r="G400" s="1">
        <v>2003</v>
      </c>
      <c r="H400" s="1" t="s">
        <v>24</v>
      </c>
      <c r="I400" s="17">
        <f ca="1">DATE(YEAR(TODAY())-1,4,16)</f>
        <v>44302</v>
      </c>
      <c r="J400" s="17">
        <f ca="1">DATE(YEAR(TODAY())-1,4,18)</f>
        <v>44304</v>
      </c>
      <c r="K400" s="1" t="s">
        <v>136</v>
      </c>
      <c r="L400" s="1" t="s">
        <v>137</v>
      </c>
      <c r="M400" s="1">
        <v>710</v>
      </c>
      <c r="N400" s="1" cm="1">
        <f t="array" ref="N400">_xlfn.RANK.EQ(M400,total_money_spent)</f>
        <v>471</v>
      </c>
      <c r="O400" s="1">
        <f t="shared" ca="1" si="6"/>
        <v>2</v>
      </c>
    </row>
    <row r="401" spans="1:15" ht="13.8" x14ac:dyDescent="0.25">
      <c r="A401" s="1" t="s">
        <v>1229</v>
      </c>
      <c r="B401" s="1" t="s">
        <v>1230</v>
      </c>
      <c r="C401" s="1" t="s">
        <v>229</v>
      </c>
      <c r="D401" s="1" t="s">
        <v>230</v>
      </c>
      <c r="E401" s="1" t="s">
        <v>1231</v>
      </c>
      <c r="F401" s="1" t="s">
        <v>1232</v>
      </c>
      <c r="G401" s="1">
        <v>2001</v>
      </c>
      <c r="H401" s="1" t="s">
        <v>24</v>
      </c>
      <c r="I401" s="17">
        <f ca="1">DATE(YEAR(TODAY())-2,12,17)</f>
        <v>44182</v>
      </c>
      <c r="J401" s="17">
        <f ca="1">DATE(YEAR(TODAY())-2,12,24)</f>
        <v>44189</v>
      </c>
      <c r="K401" s="1" t="s">
        <v>87</v>
      </c>
      <c r="L401" s="1" t="s">
        <v>73</v>
      </c>
      <c r="M401" s="1">
        <v>978</v>
      </c>
      <c r="N401" s="1" cm="1">
        <f t="array" ref="N401">_xlfn.RANK.EQ(M401,total_money_spent)</f>
        <v>64</v>
      </c>
      <c r="O401" s="1">
        <f t="shared" ca="1" si="6"/>
        <v>7</v>
      </c>
    </row>
    <row r="402" spans="1:15" ht="13.8" x14ac:dyDescent="0.25">
      <c r="A402" s="1" t="s">
        <v>1413</v>
      </c>
      <c r="B402" s="1" t="s">
        <v>1409</v>
      </c>
      <c r="C402" s="1" t="s">
        <v>210</v>
      </c>
      <c r="D402" s="1" t="s">
        <v>211</v>
      </c>
      <c r="E402" s="1" t="s">
        <v>1410</v>
      </c>
      <c r="F402" s="1" t="s">
        <v>1411</v>
      </c>
      <c r="G402" s="1" t="s">
        <v>60</v>
      </c>
      <c r="H402" s="1" t="s">
        <v>32</v>
      </c>
      <c r="I402" s="17">
        <f ca="1">DATE(YEAR(TODAY())-1,6,1)</f>
        <v>44348</v>
      </c>
      <c r="J402" s="17">
        <f ca="1">DATE(YEAR(TODAY())-1,6,5)</f>
        <v>44352</v>
      </c>
      <c r="K402" s="1" t="s">
        <v>72</v>
      </c>
      <c r="L402" s="1" t="s">
        <v>73</v>
      </c>
      <c r="M402" s="1">
        <v>799</v>
      </c>
      <c r="N402" s="1" cm="1">
        <f t="array" ref="N402">_xlfn.RANK.EQ(M402,total_money_spent)</f>
        <v>295</v>
      </c>
      <c r="O402" s="1">
        <f t="shared" ca="1" si="6"/>
        <v>4</v>
      </c>
    </row>
    <row r="403" spans="1:15" ht="13.8" x14ac:dyDescent="0.25">
      <c r="A403" s="1" t="s">
        <v>789</v>
      </c>
      <c r="B403" s="1" t="s">
        <v>790</v>
      </c>
      <c r="C403" s="1" t="s">
        <v>76</v>
      </c>
      <c r="D403" s="1" t="s">
        <v>77</v>
      </c>
      <c r="E403" s="1" t="s">
        <v>791</v>
      </c>
      <c r="F403" s="1" t="s">
        <v>792</v>
      </c>
      <c r="G403" s="1">
        <v>2004</v>
      </c>
      <c r="H403" s="1" t="s">
        <v>24</v>
      </c>
      <c r="I403" s="17">
        <f ca="1">DATE(YEAR(TODAY())-2,10,27)</f>
        <v>44131</v>
      </c>
      <c r="J403" s="17">
        <f ca="1">DATE(YEAR(TODAY())-2,10,28)</f>
        <v>44132</v>
      </c>
      <c r="K403" s="1" t="s">
        <v>72</v>
      </c>
      <c r="L403" s="1" t="s">
        <v>73</v>
      </c>
      <c r="M403" s="1">
        <v>652</v>
      </c>
      <c r="N403" s="1" cm="1">
        <f t="array" ref="N403">_xlfn.RANK.EQ(M403,total_money_spent)</f>
        <v>584</v>
      </c>
      <c r="O403" s="1">
        <f t="shared" ca="1" si="6"/>
        <v>1</v>
      </c>
    </row>
    <row r="404" spans="1:15" ht="13.8" x14ac:dyDescent="0.25">
      <c r="A404" s="1" t="s">
        <v>905</v>
      </c>
      <c r="B404" s="1" t="s">
        <v>901</v>
      </c>
      <c r="C404" s="1" t="s">
        <v>337</v>
      </c>
      <c r="D404" s="1" t="s">
        <v>338</v>
      </c>
      <c r="E404" s="1" t="s">
        <v>902</v>
      </c>
      <c r="F404" s="1" t="s">
        <v>903</v>
      </c>
      <c r="G404" s="1" t="s">
        <v>226</v>
      </c>
      <c r="H404" s="1" t="s">
        <v>32</v>
      </c>
      <c r="I404" s="17">
        <f ca="1">DATE(YEAR(TODAY())-2,12,26)</f>
        <v>44191</v>
      </c>
      <c r="J404" s="17">
        <f ca="1">DATE(YEAR(TODAY())-1,1,1)</f>
        <v>44197</v>
      </c>
      <c r="K404" s="1" t="s">
        <v>33</v>
      </c>
      <c r="L404" s="1" t="s">
        <v>34</v>
      </c>
      <c r="M404" s="1">
        <v>836</v>
      </c>
      <c r="N404" s="1" cm="1">
        <f t="array" ref="N404">_xlfn.RANK.EQ(M404,total_money_spent)</f>
        <v>241</v>
      </c>
      <c r="O404" s="1">
        <f t="shared" ca="1" si="6"/>
        <v>6</v>
      </c>
    </row>
    <row r="405" spans="1:15" ht="13.8" x14ac:dyDescent="0.25">
      <c r="A405" s="1" t="s">
        <v>1129</v>
      </c>
      <c r="B405" s="1" t="s">
        <v>1130</v>
      </c>
      <c r="C405" s="1" t="s">
        <v>504</v>
      </c>
      <c r="D405" s="1" t="s">
        <v>187</v>
      </c>
      <c r="E405" s="1" t="s">
        <v>1131</v>
      </c>
      <c r="F405" s="1" t="s">
        <v>1132</v>
      </c>
      <c r="G405" s="1">
        <v>3003</v>
      </c>
      <c r="H405" s="1" t="s">
        <v>81</v>
      </c>
      <c r="I405" s="17">
        <f ca="1">DATE(YEAR(TODAY())-2,12,6)</f>
        <v>44171</v>
      </c>
      <c r="J405" s="17">
        <f ca="1">DATE(YEAR(TODAY())-2,12,10)</f>
        <v>44175</v>
      </c>
      <c r="K405" s="1" t="s">
        <v>72</v>
      </c>
      <c r="L405" s="1" t="s">
        <v>73</v>
      </c>
      <c r="M405" s="1">
        <v>857</v>
      </c>
      <c r="N405" s="1" cm="1">
        <f t="array" ref="N405">_xlfn.RANK.EQ(M405,total_money_spent)</f>
        <v>199</v>
      </c>
      <c r="O405" s="1">
        <f t="shared" ca="1" si="6"/>
        <v>4</v>
      </c>
    </row>
    <row r="406" spans="1:15" ht="13.8" x14ac:dyDescent="0.25">
      <c r="A406" s="1" t="s">
        <v>172</v>
      </c>
      <c r="B406" s="1" t="s">
        <v>173</v>
      </c>
      <c r="C406" s="1" t="s">
        <v>76</v>
      </c>
      <c r="D406" s="1" t="s">
        <v>77</v>
      </c>
      <c r="E406" s="1" t="s">
        <v>174</v>
      </c>
      <c r="F406" s="1" t="s">
        <v>175</v>
      </c>
      <c r="G406" s="1">
        <v>2004</v>
      </c>
      <c r="H406" s="1" t="s">
        <v>24</v>
      </c>
      <c r="I406" s="17">
        <f ca="1">DATE(YEAR(TODAY())-2,12,15)</f>
        <v>44180</v>
      </c>
      <c r="J406" s="17">
        <f ca="1">DATE(YEAR(TODAY())-2,12,21)</f>
        <v>44186</v>
      </c>
      <c r="K406" s="1" t="s">
        <v>25</v>
      </c>
      <c r="L406" s="1" t="s">
        <v>25</v>
      </c>
      <c r="M406" s="1">
        <v>905</v>
      </c>
      <c r="N406" s="1" cm="1">
        <f t="array" ref="N406">_xlfn.RANK.EQ(M406,total_money_spent)</f>
        <v>140</v>
      </c>
      <c r="O406" s="1">
        <f t="shared" ca="1" si="6"/>
        <v>6</v>
      </c>
    </row>
    <row r="407" spans="1:15" ht="13.8" x14ac:dyDescent="0.25">
      <c r="A407" s="1" t="s">
        <v>1463</v>
      </c>
      <c r="B407" s="1" t="s">
        <v>1464</v>
      </c>
      <c r="C407" s="1" t="s">
        <v>37</v>
      </c>
      <c r="D407" s="1" t="s">
        <v>38</v>
      </c>
      <c r="E407" s="1" t="s">
        <v>1465</v>
      </c>
      <c r="F407" s="1" t="s">
        <v>1466</v>
      </c>
      <c r="G407" s="1">
        <v>2004</v>
      </c>
      <c r="H407" s="1" t="s">
        <v>24</v>
      </c>
      <c r="I407" s="17">
        <f ca="1">DATE(YEAR(TODAY())-1,3,14)</f>
        <v>44269</v>
      </c>
      <c r="J407" s="17">
        <f ca="1">DATE(YEAR(TODAY())-1,3,15)</f>
        <v>44270</v>
      </c>
      <c r="K407" s="1" t="s">
        <v>82</v>
      </c>
      <c r="L407" s="1" t="s">
        <v>34</v>
      </c>
      <c r="M407" s="1">
        <v>676</v>
      </c>
      <c r="N407" s="1" cm="1">
        <f t="array" ref="N407">_xlfn.RANK.EQ(M407,total_money_spent)</f>
        <v>507</v>
      </c>
      <c r="O407" s="1">
        <f t="shared" ca="1" si="6"/>
        <v>1</v>
      </c>
    </row>
    <row r="408" spans="1:15" ht="13.8" x14ac:dyDescent="0.25">
      <c r="A408" s="1" t="s">
        <v>1177</v>
      </c>
      <c r="B408" s="1" t="s">
        <v>1174</v>
      </c>
      <c r="C408" s="1" t="s">
        <v>20</v>
      </c>
      <c r="D408" s="1" t="s">
        <v>21</v>
      </c>
      <c r="E408" s="1" t="s">
        <v>1175</v>
      </c>
      <c r="F408" s="1" t="s">
        <v>1176</v>
      </c>
      <c r="G408" s="1" t="s">
        <v>115</v>
      </c>
      <c r="H408" s="1" t="s">
        <v>32</v>
      </c>
      <c r="I408" s="17">
        <f ca="1">DATE(YEAR(TODAY())-1,6,22)</f>
        <v>44369</v>
      </c>
      <c r="J408" s="17">
        <f ca="1">DATE(YEAR(TODAY())-1,6,26)</f>
        <v>44373</v>
      </c>
      <c r="K408" s="1" t="s">
        <v>87</v>
      </c>
      <c r="L408" s="1" t="s">
        <v>73</v>
      </c>
      <c r="M408" s="1">
        <v>790</v>
      </c>
      <c r="N408" s="1" cm="1">
        <f t="array" ref="N408">_xlfn.RANK.EQ(M408,total_money_spent)</f>
        <v>322</v>
      </c>
      <c r="O408" s="1">
        <f t="shared" ca="1" si="6"/>
        <v>4</v>
      </c>
    </row>
    <row r="409" spans="1:15" ht="13.8" x14ac:dyDescent="0.25">
      <c r="A409" s="1" t="s">
        <v>533</v>
      </c>
      <c r="B409" s="1" t="s">
        <v>530</v>
      </c>
      <c r="C409" s="1" t="s">
        <v>110</v>
      </c>
      <c r="D409" s="1" t="s">
        <v>111</v>
      </c>
      <c r="E409" s="1" t="s">
        <v>531</v>
      </c>
      <c r="F409" s="1" t="s">
        <v>532</v>
      </c>
      <c r="G409" s="1">
        <v>2009</v>
      </c>
      <c r="H409" s="1" t="s">
        <v>44</v>
      </c>
      <c r="I409" s="17">
        <f ca="1">DATE(YEAR(TODAY())-1,9,11)</f>
        <v>44450</v>
      </c>
      <c r="J409" s="17">
        <f ca="1">DATE(YEAR(TODAY())-1,9,16)</f>
        <v>44455</v>
      </c>
      <c r="K409" s="1" t="s">
        <v>143</v>
      </c>
      <c r="L409" s="1" t="s">
        <v>25</v>
      </c>
      <c r="M409" s="1">
        <v>908</v>
      </c>
      <c r="N409" s="1" cm="1">
        <f t="array" ref="N409">_xlfn.RANK.EQ(M409,total_money_spent)</f>
        <v>131</v>
      </c>
      <c r="O409" s="1">
        <f t="shared" ca="1" si="6"/>
        <v>5</v>
      </c>
    </row>
    <row r="410" spans="1:15" ht="13.8" x14ac:dyDescent="0.25">
      <c r="A410" s="1" t="s">
        <v>756</v>
      </c>
      <c r="B410" s="1" t="s">
        <v>752</v>
      </c>
      <c r="C410" s="1" t="s">
        <v>229</v>
      </c>
      <c r="D410" s="1" t="s">
        <v>230</v>
      </c>
      <c r="E410" s="1" t="s">
        <v>753</v>
      </c>
      <c r="F410" s="1" t="s">
        <v>754</v>
      </c>
      <c r="G410" s="1" t="s">
        <v>54</v>
      </c>
      <c r="H410" s="1" t="s">
        <v>32</v>
      </c>
      <c r="I410" s="17">
        <f ca="1">DATE(YEAR(TODAY())-1,1,26)</f>
        <v>44222</v>
      </c>
      <c r="J410" s="17">
        <f ca="1">DATE(YEAR(TODAY())-1,1,29)</f>
        <v>44225</v>
      </c>
      <c r="K410" s="1" t="s">
        <v>136</v>
      </c>
      <c r="L410" s="1" t="s">
        <v>137</v>
      </c>
      <c r="M410" s="1">
        <v>729</v>
      </c>
      <c r="N410" s="1" cm="1">
        <f t="array" ref="N410">_xlfn.RANK.EQ(M410,total_money_spent)</f>
        <v>451</v>
      </c>
      <c r="O410" s="1">
        <f t="shared" ca="1" si="6"/>
        <v>3</v>
      </c>
    </row>
    <row r="411" spans="1:15" ht="13.8" x14ac:dyDescent="0.25">
      <c r="A411" s="1" t="s">
        <v>35</v>
      </c>
      <c r="B411" s="1" t="s">
        <v>36</v>
      </c>
      <c r="C411" s="1" t="s">
        <v>37</v>
      </c>
      <c r="D411" s="1" t="s">
        <v>38</v>
      </c>
      <c r="F411" s="1" t="s">
        <v>39</v>
      </c>
      <c r="G411" s="1">
        <v>2003</v>
      </c>
      <c r="H411" s="1" t="s">
        <v>24</v>
      </c>
      <c r="I411" s="17">
        <f ca="1">DATE(YEAR(TODAY())-1,8,8)</f>
        <v>44416</v>
      </c>
      <c r="J411" s="17">
        <f ca="1">DATE(YEAR(TODAY())-1,8,13)</f>
        <v>44421</v>
      </c>
      <c r="K411" s="1" t="s">
        <v>34</v>
      </c>
      <c r="L411" s="1" t="s">
        <v>34</v>
      </c>
      <c r="M411" s="1">
        <v>863</v>
      </c>
      <c r="N411" s="1" cm="1">
        <f t="array" ref="N411">_xlfn.RANK.EQ(M411,total_money_spent)</f>
        <v>187</v>
      </c>
      <c r="O411" s="1">
        <f t="shared" ca="1" si="6"/>
        <v>5</v>
      </c>
    </row>
    <row r="412" spans="1:15" ht="13.8" x14ac:dyDescent="0.25">
      <c r="A412" s="1" t="s">
        <v>1389</v>
      </c>
      <c r="B412" s="1" t="s">
        <v>1390</v>
      </c>
      <c r="C412" s="1" t="s">
        <v>337</v>
      </c>
      <c r="D412" s="1" t="s">
        <v>338</v>
      </c>
      <c r="E412" s="1" t="s">
        <v>1391</v>
      </c>
      <c r="F412" s="1" t="s">
        <v>1392</v>
      </c>
      <c r="G412" s="1">
        <v>2001</v>
      </c>
      <c r="H412" s="1" t="s">
        <v>24</v>
      </c>
      <c r="I412" s="17">
        <f ca="1">DATE(YEAR(TODAY())-1,2,13)</f>
        <v>44240</v>
      </c>
      <c r="J412" s="17">
        <f ca="1">DATE(YEAR(TODAY())-1,2,15)</f>
        <v>44242</v>
      </c>
      <c r="K412" s="1" t="s">
        <v>72</v>
      </c>
      <c r="L412" s="1" t="s">
        <v>73</v>
      </c>
      <c r="M412" s="1">
        <v>703</v>
      </c>
      <c r="N412" s="1" cm="1">
        <f t="array" ref="N412">_xlfn.RANK.EQ(M412,total_money_spent)</f>
        <v>481</v>
      </c>
      <c r="O412" s="1">
        <f t="shared" ca="1" si="6"/>
        <v>2</v>
      </c>
    </row>
    <row r="413" spans="1:15" ht="13.8" x14ac:dyDescent="0.25">
      <c r="A413" s="1" t="s">
        <v>1024</v>
      </c>
      <c r="B413" s="1" t="s">
        <v>1022</v>
      </c>
      <c r="C413" s="1" t="s">
        <v>229</v>
      </c>
      <c r="D413" s="1" t="s">
        <v>230</v>
      </c>
      <c r="E413" s="1" t="s">
        <v>1025</v>
      </c>
      <c r="F413" s="1" t="s">
        <v>1023</v>
      </c>
      <c r="G413" s="1">
        <v>2004</v>
      </c>
      <c r="H413" s="1" t="s">
        <v>24</v>
      </c>
      <c r="I413" s="17">
        <f ca="1">DATE(YEAR(TODAY())-1,6,30)</f>
        <v>44377</v>
      </c>
      <c r="J413" s="17">
        <f ca="1">DATE(YEAR(TODAY())-1,7,6)</f>
        <v>44383</v>
      </c>
      <c r="K413" s="1" t="s">
        <v>34</v>
      </c>
      <c r="L413" s="1" t="s">
        <v>34</v>
      </c>
      <c r="M413" s="1">
        <v>912</v>
      </c>
      <c r="N413" s="1" cm="1">
        <f t="array" ref="N413">_xlfn.RANK.EQ(M413,total_money_spent)</f>
        <v>119</v>
      </c>
      <c r="O413" s="1">
        <f t="shared" ca="1" si="6"/>
        <v>6</v>
      </c>
    </row>
    <row r="414" spans="1:15" ht="13.8" x14ac:dyDescent="0.25">
      <c r="A414" s="1" t="s">
        <v>273</v>
      </c>
      <c r="B414" s="1" t="s">
        <v>265</v>
      </c>
      <c r="C414" s="1" t="s">
        <v>274</v>
      </c>
      <c r="D414" s="1" t="s">
        <v>258</v>
      </c>
      <c r="E414" s="1" t="s">
        <v>266</v>
      </c>
      <c r="F414" s="1" t="s">
        <v>267</v>
      </c>
      <c r="G414" s="1" t="s">
        <v>31</v>
      </c>
      <c r="H414" s="1" t="s">
        <v>32</v>
      </c>
      <c r="I414" s="17">
        <f ca="1">DATE(YEAR(TODAY())-2,11,28)</f>
        <v>44163</v>
      </c>
      <c r="J414" s="17">
        <f ca="1">DATE(YEAR(TODAY())-2,12,2)</f>
        <v>44167</v>
      </c>
      <c r="K414" s="1" t="s">
        <v>87</v>
      </c>
      <c r="L414" s="1" t="s">
        <v>73</v>
      </c>
      <c r="M414" s="1">
        <v>786</v>
      </c>
      <c r="N414" s="1" cm="1">
        <f t="array" ref="N414">_xlfn.RANK.EQ(M414,total_money_spent)</f>
        <v>330</v>
      </c>
      <c r="O414" s="1">
        <f t="shared" ca="1" si="6"/>
        <v>4</v>
      </c>
    </row>
    <row r="415" spans="1:15" ht="13.8" x14ac:dyDescent="0.25">
      <c r="A415" s="1" t="s">
        <v>1468</v>
      </c>
      <c r="B415" s="1" t="s">
        <v>1464</v>
      </c>
      <c r="C415" s="1" t="s">
        <v>57</v>
      </c>
      <c r="D415" s="1" t="s">
        <v>57</v>
      </c>
      <c r="E415" s="1" t="s">
        <v>1465</v>
      </c>
      <c r="F415" s="1" t="s">
        <v>1466</v>
      </c>
      <c r="G415" s="1">
        <v>3003</v>
      </c>
      <c r="H415" s="1" t="s">
        <v>81</v>
      </c>
      <c r="I415" s="17">
        <f ca="1">DATE(YEAR(TODAY())-2,11,19)</f>
        <v>44154</v>
      </c>
      <c r="J415" s="17">
        <f ca="1">DATE(YEAR(TODAY())-2,11,24)</f>
        <v>44159</v>
      </c>
      <c r="K415" s="1" t="s">
        <v>33</v>
      </c>
      <c r="L415" s="1" t="s">
        <v>34</v>
      </c>
      <c r="M415" s="1">
        <v>902</v>
      </c>
      <c r="N415" s="1" cm="1">
        <f t="array" ref="N415">_xlfn.RANK.EQ(M415,total_money_spent)</f>
        <v>149</v>
      </c>
      <c r="O415" s="1">
        <f t="shared" ca="1" si="6"/>
        <v>5</v>
      </c>
    </row>
    <row r="416" spans="1:15" ht="13.8" x14ac:dyDescent="0.25">
      <c r="A416" s="1" t="s">
        <v>751</v>
      </c>
      <c r="B416" s="1" t="s">
        <v>752</v>
      </c>
      <c r="C416" s="1" t="s">
        <v>177</v>
      </c>
      <c r="D416" s="1" t="s">
        <v>178</v>
      </c>
      <c r="E416" s="1" t="s">
        <v>753</v>
      </c>
      <c r="F416" s="1" t="s">
        <v>754</v>
      </c>
      <c r="G416" s="1">
        <v>2009</v>
      </c>
      <c r="H416" s="1" t="s">
        <v>44</v>
      </c>
      <c r="I416" s="17">
        <f ca="1">DATE(YEAR(TODAY())-1,2,28)</f>
        <v>44255</v>
      </c>
      <c r="J416" s="17">
        <f ca="1">DATE(YEAR(TODAY())-1,3,4)</f>
        <v>44259</v>
      </c>
      <c r="K416" s="1" t="s">
        <v>72</v>
      </c>
      <c r="L416" s="1" t="s">
        <v>73</v>
      </c>
      <c r="M416" s="1">
        <v>826</v>
      </c>
      <c r="N416" s="1" cm="1">
        <f t="array" ref="N416">_xlfn.RANK.EQ(M416,total_money_spent)</f>
        <v>257</v>
      </c>
      <c r="O416" s="1">
        <f t="shared" ca="1" si="6"/>
        <v>4</v>
      </c>
    </row>
    <row r="417" spans="1:15" ht="13.8" x14ac:dyDescent="0.25">
      <c r="A417" s="1" t="s">
        <v>1095</v>
      </c>
      <c r="B417" s="1" t="s">
        <v>1096</v>
      </c>
      <c r="C417" s="1" t="s">
        <v>177</v>
      </c>
      <c r="D417" s="1" t="s">
        <v>178</v>
      </c>
      <c r="E417" s="1" t="s">
        <v>1097</v>
      </c>
      <c r="F417" s="1" t="s">
        <v>1098</v>
      </c>
      <c r="G417" s="1" t="s">
        <v>226</v>
      </c>
      <c r="H417" s="1" t="s">
        <v>32</v>
      </c>
      <c r="I417" s="17">
        <f ca="1">DATE(YEAR(TODAY())-1,9,24)</f>
        <v>44463</v>
      </c>
      <c r="J417" s="17">
        <f ca="1">DATE(YEAR(TODAY())-1,9,25)</f>
        <v>44464</v>
      </c>
      <c r="K417" s="1" t="s">
        <v>16</v>
      </c>
      <c r="L417" s="1" t="s">
        <v>34</v>
      </c>
      <c r="M417" s="1">
        <v>669</v>
      </c>
      <c r="N417" s="1" cm="1">
        <f t="array" ref="N417">_xlfn.RANK.EQ(M417,total_money_spent)</f>
        <v>522</v>
      </c>
      <c r="O417" s="1">
        <f t="shared" ca="1" si="6"/>
        <v>1</v>
      </c>
    </row>
    <row r="418" spans="1:15" ht="13.8" x14ac:dyDescent="0.25">
      <c r="A418" s="1" t="s">
        <v>747</v>
      </c>
      <c r="B418" s="1" t="s">
        <v>748</v>
      </c>
      <c r="C418" s="1" t="s">
        <v>147</v>
      </c>
      <c r="D418" s="1" t="s">
        <v>147</v>
      </c>
      <c r="E418" s="1" t="s">
        <v>749</v>
      </c>
      <c r="F418" s="1" t="s">
        <v>750</v>
      </c>
      <c r="G418" s="1">
        <v>2005</v>
      </c>
      <c r="H418" s="1" t="s">
        <v>24</v>
      </c>
      <c r="I418" s="17">
        <f ca="1">DATE(YEAR(TODAY())-2,12,19)</f>
        <v>44184</v>
      </c>
      <c r="J418" s="17">
        <f ca="1">DATE(YEAR(TODAY())-2,12,23)</f>
        <v>44188</v>
      </c>
      <c r="K418" s="1" t="s">
        <v>33</v>
      </c>
      <c r="L418" s="1" t="s">
        <v>34</v>
      </c>
      <c r="M418" s="1">
        <v>791</v>
      </c>
      <c r="N418" s="1" cm="1">
        <f t="array" ref="N418">_xlfn.RANK.EQ(M418,total_money_spent)</f>
        <v>319</v>
      </c>
      <c r="O418" s="1">
        <f t="shared" ca="1" si="6"/>
        <v>4</v>
      </c>
    </row>
    <row r="419" spans="1:15" ht="13.8" x14ac:dyDescent="0.25">
      <c r="A419" s="1" t="s">
        <v>1469</v>
      </c>
      <c r="B419" s="1" t="s">
        <v>1464</v>
      </c>
      <c r="C419" s="1" t="s">
        <v>504</v>
      </c>
      <c r="D419" s="1" t="s">
        <v>187</v>
      </c>
      <c r="E419" s="1" t="s">
        <v>1465</v>
      </c>
      <c r="F419" s="1" t="s">
        <v>1466</v>
      </c>
      <c r="G419" s="1" t="s">
        <v>54</v>
      </c>
      <c r="H419" s="1" t="s">
        <v>32</v>
      </c>
      <c r="I419" s="17">
        <f ca="1">DATE(YEAR(TODAY())-1,5,20)</f>
        <v>44336</v>
      </c>
      <c r="J419" s="17">
        <f ca="1">DATE(YEAR(TODAY())-1,5,22)</f>
        <v>44338</v>
      </c>
      <c r="K419" s="1" t="s">
        <v>34</v>
      </c>
      <c r="L419" s="1" t="s">
        <v>34</v>
      </c>
      <c r="M419" s="1">
        <v>706</v>
      </c>
      <c r="N419" s="1" cm="1">
        <f t="array" ref="N419">_xlfn.RANK.EQ(M419,total_money_spent)</f>
        <v>475</v>
      </c>
      <c r="O419" s="1">
        <f t="shared" ca="1" si="6"/>
        <v>2</v>
      </c>
    </row>
    <row r="420" spans="1:15" ht="13.8" x14ac:dyDescent="0.25">
      <c r="A420" s="1" t="s">
        <v>1216</v>
      </c>
      <c r="B420" s="1" t="s">
        <v>1213</v>
      </c>
      <c r="C420" s="1" t="s">
        <v>28</v>
      </c>
      <c r="D420" s="1" t="s">
        <v>28</v>
      </c>
      <c r="F420" s="1" t="s">
        <v>1215</v>
      </c>
      <c r="G420" s="1">
        <v>2004</v>
      </c>
      <c r="H420" s="1" t="s">
        <v>24</v>
      </c>
      <c r="I420" s="17">
        <f ca="1">DATE(YEAR(TODAY())-1,6,6)</f>
        <v>44353</v>
      </c>
      <c r="J420" s="17">
        <f ca="1">DATE(YEAR(TODAY())-1,6,12)</f>
        <v>44359</v>
      </c>
      <c r="K420" s="1" t="s">
        <v>16</v>
      </c>
      <c r="L420" s="1" t="s">
        <v>34</v>
      </c>
      <c r="M420" s="1">
        <v>899</v>
      </c>
      <c r="N420" s="1" cm="1">
        <f t="array" ref="N420">_xlfn.RANK.EQ(M420,total_money_spent)</f>
        <v>155</v>
      </c>
      <c r="O420" s="1">
        <f t="shared" ca="1" si="6"/>
        <v>6</v>
      </c>
    </row>
    <row r="421" spans="1:15" ht="13.8" x14ac:dyDescent="0.25">
      <c r="A421" s="1" t="s">
        <v>932</v>
      </c>
      <c r="B421" s="1" t="s">
        <v>933</v>
      </c>
      <c r="C421" s="1" t="s">
        <v>70</v>
      </c>
      <c r="D421" s="1" t="s">
        <v>70</v>
      </c>
      <c r="E421" s="1" t="s">
        <v>934</v>
      </c>
      <c r="F421" s="1" t="s">
        <v>935</v>
      </c>
      <c r="G421" s="1" t="s">
        <v>60</v>
      </c>
      <c r="H421" s="1" t="s">
        <v>32</v>
      </c>
      <c r="I421" s="17">
        <f ca="1">DATE(YEAR(TODAY())-2,12,19)</f>
        <v>44184</v>
      </c>
      <c r="J421" s="17">
        <f ca="1">DATE(YEAR(TODAY())-2,12,21)</f>
        <v>44186</v>
      </c>
      <c r="K421" s="1" t="s">
        <v>61</v>
      </c>
      <c r="L421" s="1" t="s">
        <v>34</v>
      </c>
      <c r="M421" s="1">
        <v>688</v>
      </c>
      <c r="N421" s="1" cm="1">
        <f t="array" ref="N421">_xlfn.RANK.EQ(M421,total_money_spent)</f>
        <v>498</v>
      </c>
      <c r="O421" s="1">
        <f t="shared" ca="1" si="6"/>
        <v>2</v>
      </c>
    </row>
    <row r="422" spans="1:15" ht="13.8" x14ac:dyDescent="0.25">
      <c r="A422" s="1" t="s">
        <v>1041</v>
      </c>
      <c r="B422" s="1" t="s">
        <v>1036</v>
      </c>
      <c r="C422" s="1" t="s">
        <v>387</v>
      </c>
      <c r="D422" s="1" t="s">
        <v>153</v>
      </c>
      <c r="E422" s="1" t="s">
        <v>1037</v>
      </c>
      <c r="F422" s="1" t="s">
        <v>1038</v>
      </c>
      <c r="G422" s="1" t="s">
        <v>31</v>
      </c>
      <c r="H422" s="1" t="s">
        <v>32</v>
      </c>
      <c r="I422" s="17">
        <f ca="1">DATE(YEAR(TODAY())-1,3,11)</f>
        <v>44266</v>
      </c>
      <c r="J422" s="17">
        <f ca="1">DATE(YEAR(TODAY())-1,3,18)</f>
        <v>44273</v>
      </c>
      <c r="K422" s="1" t="s">
        <v>33</v>
      </c>
      <c r="L422" s="1" t="s">
        <v>34</v>
      </c>
      <c r="M422" s="1">
        <v>906</v>
      </c>
      <c r="N422" s="1" cm="1">
        <f t="array" ref="N422">_xlfn.RANK.EQ(M422,total_money_spent)</f>
        <v>137</v>
      </c>
      <c r="O422" s="1">
        <f t="shared" ca="1" si="6"/>
        <v>7</v>
      </c>
    </row>
    <row r="423" spans="1:15" ht="13.8" x14ac:dyDescent="0.25">
      <c r="A423" s="1" t="s">
        <v>1349</v>
      </c>
      <c r="B423" s="1" t="s">
        <v>1345</v>
      </c>
      <c r="C423" s="1" t="s">
        <v>337</v>
      </c>
      <c r="D423" s="1" t="s">
        <v>338</v>
      </c>
      <c r="E423" s="1" t="s">
        <v>1346</v>
      </c>
      <c r="F423" s="1" t="s">
        <v>1347</v>
      </c>
      <c r="G423" s="1" t="s">
        <v>122</v>
      </c>
      <c r="H423" s="1" t="s">
        <v>32</v>
      </c>
      <c r="I423" s="17">
        <f ca="1">DATE(YEAR(TODAY())-2,11,23)</f>
        <v>44158</v>
      </c>
      <c r="J423" s="17">
        <f ca="1">DATE(YEAR(TODAY())-2,11,25)</f>
        <v>44160</v>
      </c>
      <c r="K423" s="1" t="s">
        <v>25</v>
      </c>
      <c r="L423" s="1" t="s">
        <v>25</v>
      </c>
      <c r="M423" s="1">
        <v>697</v>
      </c>
      <c r="N423" s="1" cm="1">
        <f t="array" ref="N423">_xlfn.RANK.EQ(M423,total_money_spent)</f>
        <v>489</v>
      </c>
      <c r="O423" s="1">
        <f t="shared" ca="1" si="6"/>
        <v>2</v>
      </c>
    </row>
    <row r="424" spans="1:15" ht="13.8" x14ac:dyDescent="0.25">
      <c r="A424" s="1" t="s">
        <v>1248</v>
      </c>
      <c r="B424" s="1" t="s">
        <v>1245</v>
      </c>
      <c r="C424" s="1" t="s">
        <v>235</v>
      </c>
      <c r="D424" s="1" t="s">
        <v>235</v>
      </c>
      <c r="E424" s="1" t="s">
        <v>1246</v>
      </c>
      <c r="F424" s="1" t="s">
        <v>1247</v>
      </c>
      <c r="G424" s="1" t="s">
        <v>226</v>
      </c>
      <c r="H424" s="1" t="s">
        <v>32</v>
      </c>
      <c r="I424" s="17">
        <f ca="1">DATE(YEAR(TODAY())-1,8,21)</f>
        <v>44429</v>
      </c>
      <c r="J424" s="17">
        <f ca="1">DATE(YEAR(TODAY())-1,8,26)</f>
        <v>44434</v>
      </c>
      <c r="K424" s="1" t="s">
        <v>87</v>
      </c>
      <c r="L424" s="1" t="s">
        <v>73</v>
      </c>
      <c r="M424" s="1">
        <v>811</v>
      </c>
      <c r="N424" s="1" cm="1">
        <f t="array" ref="N424">_xlfn.RANK.EQ(M424,total_money_spent)</f>
        <v>264</v>
      </c>
      <c r="O424" s="1">
        <f t="shared" ca="1" si="6"/>
        <v>5</v>
      </c>
    </row>
    <row r="425" spans="1:15" ht="13.8" x14ac:dyDescent="0.25">
      <c r="A425" s="1" t="s">
        <v>422</v>
      </c>
      <c r="B425" s="1" t="s">
        <v>423</v>
      </c>
      <c r="C425" s="1" t="s">
        <v>96</v>
      </c>
      <c r="D425" s="1" t="s">
        <v>96</v>
      </c>
      <c r="E425" s="1" t="s">
        <v>424</v>
      </c>
      <c r="F425" s="1" t="s">
        <v>425</v>
      </c>
      <c r="G425" s="1">
        <v>2004</v>
      </c>
      <c r="H425" s="1" t="s">
        <v>24</v>
      </c>
      <c r="I425" s="17">
        <f ca="1">DATE(YEAR(TODAY())-1,4,25)</f>
        <v>44311</v>
      </c>
      <c r="J425" s="17">
        <f ca="1">DATE(YEAR(TODAY())-1,4,30)</f>
        <v>44316</v>
      </c>
      <c r="K425" s="1" t="s">
        <v>33</v>
      </c>
      <c r="L425" s="1" t="s">
        <v>34</v>
      </c>
      <c r="M425" s="1">
        <v>860</v>
      </c>
      <c r="N425" s="1" cm="1">
        <f t="array" ref="N425">_xlfn.RANK.EQ(M425,total_money_spent)</f>
        <v>193</v>
      </c>
      <c r="O425" s="1">
        <f t="shared" ca="1" si="6"/>
        <v>5</v>
      </c>
    </row>
    <row r="426" spans="1:15" ht="13.8" x14ac:dyDescent="0.25">
      <c r="A426" s="1" t="s">
        <v>426</v>
      </c>
      <c r="B426" s="1" t="s">
        <v>423</v>
      </c>
      <c r="C426" s="1" t="s">
        <v>20</v>
      </c>
      <c r="D426" s="1" t="s">
        <v>21</v>
      </c>
      <c r="E426" s="1" t="s">
        <v>424</v>
      </c>
      <c r="F426" s="1" t="s">
        <v>425</v>
      </c>
      <c r="G426" s="1">
        <v>2005</v>
      </c>
      <c r="H426" s="1" t="s">
        <v>24</v>
      </c>
      <c r="I426" s="17">
        <f ca="1">DATE(YEAR(TODAY())-1,8,23)</f>
        <v>44431</v>
      </c>
      <c r="J426" s="17">
        <f ca="1">DATE(YEAR(TODAY())-1,8,24)</f>
        <v>44432</v>
      </c>
      <c r="K426" s="1" t="s">
        <v>61</v>
      </c>
      <c r="L426" s="1" t="s">
        <v>34</v>
      </c>
      <c r="M426" s="1">
        <v>674</v>
      </c>
      <c r="N426" s="1" cm="1">
        <f t="array" ref="N426">_xlfn.RANK.EQ(M426,total_money_spent)</f>
        <v>511</v>
      </c>
      <c r="O426" s="1">
        <f t="shared" ca="1" si="6"/>
        <v>1</v>
      </c>
    </row>
    <row r="427" spans="1:15" ht="13.8" x14ac:dyDescent="0.25">
      <c r="A427" s="1" t="s">
        <v>62</v>
      </c>
      <c r="B427" s="1" t="s">
        <v>63</v>
      </c>
      <c r="C427" s="1" t="s">
        <v>64</v>
      </c>
      <c r="D427" s="1" t="s">
        <v>65</v>
      </c>
      <c r="E427" s="1" t="s">
        <v>66</v>
      </c>
      <c r="F427" s="1" t="s">
        <v>67</v>
      </c>
      <c r="G427" s="1">
        <v>2003</v>
      </c>
      <c r="H427" s="1" t="s">
        <v>24</v>
      </c>
      <c r="I427" s="17">
        <f ca="1">DATE(YEAR(TODAY())-1,9,10)</f>
        <v>44449</v>
      </c>
      <c r="J427" s="17">
        <f ca="1">DATE(YEAR(TODAY())-1,9,15)</f>
        <v>44454</v>
      </c>
      <c r="K427" s="1" t="s">
        <v>25</v>
      </c>
      <c r="L427" s="1" t="s">
        <v>25</v>
      </c>
      <c r="M427" s="1">
        <v>862</v>
      </c>
      <c r="N427" s="1" cm="1">
        <f t="array" ref="N427">_xlfn.RANK.EQ(M427,total_money_spent)</f>
        <v>189</v>
      </c>
      <c r="O427" s="1">
        <f t="shared" ca="1" si="6"/>
        <v>5</v>
      </c>
    </row>
    <row r="428" spans="1:15" ht="13.8" x14ac:dyDescent="0.25">
      <c r="A428" s="1" t="s">
        <v>1078</v>
      </c>
      <c r="B428" s="1" t="s">
        <v>1079</v>
      </c>
      <c r="C428" s="1" t="s">
        <v>246</v>
      </c>
      <c r="D428" s="1" t="s">
        <v>247</v>
      </c>
      <c r="F428" s="1" t="s">
        <v>1080</v>
      </c>
      <c r="G428" s="1">
        <v>2005</v>
      </c>
      <c r="H428" s="1" t="s">
        <v>24</v>
      </c>
      <c r="I428" s="17">
        <f ca="1">DATE(YEAR(TODAY())-1,5,30)</f>
        <v>44346</v>
      </c>
      <c r="J428" s="17">
        <f ca="1">DATE(YEAR(TODAY())-1,6,2)</f>
        <v>44349</v>
      </c>
      <c r="K428" s="1" t="s">
        <v>87</v>
      </c>
      <c r="L428" s="1" t="s">
        <v>73</v>
      </c>
      <c r="M428" s="1">
        <v>764</v>
      </c>
      <c r="N428" s="1" cm="1">
        <f t="array" ref="N428">_xlfn.RANK.EQ(M428,total_money_spent)</f>
        <v>388</v>
      </c>
      <c r="O428" s="1">
        <f t="shared" ca="1" si="6"/>
        <v>3</v>
      </c>
    </row>
    <row r="429" spans="1:15" ht="13.8" x14ac:dyDescent="0.25">
      <c r="A429" s="1" t="s">
        <v>462</v>
      </c>
      <c r="B429" s="1" t="s">
        <v>463</v>
      </c>
      <c r="C429" s="1" t="s">
        <v>101</v>
      </c>
      <c r="D429" s="1" t="s">
        <v>102</v>
      </c>
      <c r="E429" s="1" t="s">
        <v>464</v>
      </c>
      <c r="F429" s="1" t="s">
        <v>465</v>
      </c>
      <c r="G429" s="1" t="s">
        <v>31</v>
      </c>
      <c r="H429" s="1" t="s">
        <v>32</v>
      </c>
      <c r="I429" s="17">
        <f ca="1">DATE(YEAR(TODAY())-1,5,12)</f>
        <v>44328</v>
      </c>
      <c r="J429" s="17">
        <f ca="1">DATE(YEAR(TODAY())-1,5,19)</f>
        <v>44335</v>
      </c>
      <c r="K429" s="1" t="s">
        <v>34</v>
      </c>
      <c r="L429" s="1" t="s">
        <v>34</v>
      </c>
      <c r="M429" s="1">
        <v>910</v>
      </c>
      <c r="N429" s="1" cm="1">
        <f t="array" ref="N429">_xlfn.RANK.EQ(M429,total_money_spent)</f>
        <v>125</v>
      </c>
      <c r="O429" s="1">
        <f t="shared" ca="1" si="6"/>
        <v>7</v>
      </c>
    </row>
    <row r="430" spans="1:15" ht="13.8" x14ac:dyDescent="0.25">
      <c r="A430" s="1" t="s">
        <v>699</v>
      </c>
      <c r="B430" s="1" t="s">
        <v>700</v>
      </c>
      <c r="C430" s="1" t="s">
        <v>47</v>
      </c>
      <c r="D430" s="1" t="s">
        <v>48</v>
      </c>
      <c r="E430" s="1" t="s">
        <v>701</v>
      </c>
      <c r="F430" s="1" t="s">
        <v>702</v>
      </c>
      <c r="G430" s="1">
        <v>2010</v>
      </c>
      <c r="H430" s="1" t="s">
        <v>44</v>
      </c>
      <c r="I430" s="17">
        <f ca="1">DATE(YEAR(TODAY())-1,6,6)</f>
        <v>44353</v>
      </c>
      <c r="J430" s="17">
        <f ca="1">DATE(YEAR(TODAY())-1,6,11)</f>
        <v>44358</v>
      </c>
      <c r="K430" s="1" t="s">
        <v>72</v>
      </c>
      <c r="L430" s="1" t="s">
        <v>73</v>
      </c>
      <c r="M430" s="1">
        <v>913</v>
      </c>
      <c r="N430" s="1" cm="1">
        <f t="array" ref="N430">_xlfn.RANK.EQ(M430,total_money_spent)</f>
        <v>116</v>
      </c>
      <c r="O430" s="1">
        <f t="shared" ca="1" si="6"/>
        <v>5</v>
      </c>
    </row>
    <row r="431" spans="1:15" ht="13.8" x14ac:dyDescent="0.25">
      <c r="A431" s="1" t="s">
        <v>1467</v>
      </c>
      <c r="B431" s="1" t="s">
        <v>1464</v>
      </c>
      <c r="C431" s="1" t="s">
        <v>270</v>
      </c>
      <c r="D431" s="1" t="s">
        <v>271</v>
      </c>
      <c r="E431" s="1" t="s">
        <v>1465</v>
      </c>
      <c r="F431" s="1" t="s">
        <v>1466</v>
      </c>
      <c r="G431" s="1">
        <v>3002</v>
      </c>
      <c r="H431" s="1" t="s">
        <v>81</v>
      </c>
      <c r="I431" s="17">
        <f ca="1">DATE(YEAR(TODAY())-1,9,24)</f>
        <v>44463</v>
      </c>
      <c r="J431" s="17">
        <f ca="1">DATE(YEAR(TODAY())-1,9,28)</f>
        <v>44467</v>
      </c>
      <c r="K431" s="1" t="s">
        <v>61</v>
      </c>
      <c r="L431" s="1" t="s">
        <v>34</v>
      </c>
      <c r="M431" s="1">
        <v>864</v>
      </c>
      <c r="N431" s="1" cm="1">
        <f t="array" ref="N431">_xlfn.RANK.EQ(M431,total_money_spent)</f>
        <v>186</v>
      </c>
      <c r="O431" s="1">
        <f t="shared" ca="1" si="6"/>
        <v>4</v>
      </c>
    </row>
    <row r="432" spans="1:15" ht="13.8" x14ac:dyDescent="0.25">
      <c r="A432" s="1" t="s">
        <v>179</v>
      </c>
      <c r="B432" s="1" t="s">
        <v>173</v>
      </c>
      <c r="C432" s="1" t="s">
        <v>57</v>
      </c>
      <c r="D432" s="1" t="s">
        <v>57</v>
      </c>
      <c r="E432" s="1" t="s">
        <v>174</v>
      </c>
      <c r="F432" s="1" t="s">
        <v>175</v>
      </c>
      <c r="G432" s="1">
        <v>3003</v>
      </c>
      <c r="H432" s="1" t="s">
        <v>81</v>
      </c>
      <c r="I432" s="17">
        <f ca="1">DATE(YEAR(TODAY())-2,11,24)</f>
        <v>44159</v>
      </c>
      <c r="J432" s="17">
        <f ca="1">DATE(YEAR(TODAY())-2,11,25)</f>
        <v>44160</v>
      </c>
      <c r="K432" s="1" t="s">
        <v>82</v>
      </c>
      <c r="L432" s="1" t="s">
        <v>34</v>
      </c>
      <c r="M432" s="1">
        <v>659</v>
      </c>
      <c r="N432" s="1" cm="1">
        <f t="array" ref="N432">_xlfn.RANK.EQ(M432,total_money_spent)</f>
        <v>561</v>
      </c>
      <c r="O432" s="1">
        <f t="shared" ca="1" si="6"/>
        <v>1</v>
      </c>
    </row>
    <row r="433" spans="1:15" ht="13.8" x14ac:dyDescent="0.25">
      <c r="A433" s="1" t="s">
        <v>610</v>
      </c>
      <c r="B433" s="1" t="s">
        <v>607</v>
      </c>
      <c r="C433" s="1" t="s">
        <v>326</v>
      </c>
      <c r="D433" s="1" t="s">
        <v>140</v>
      </c>
      <c r="E433" s="1" t="s">
        <v>608</v>
      </c>
      <c r="F433" s="1" t="s">
        <v>609</v>
      </c>
      <c r="G433" s="1" t="s">
        <v>115</v>
      </c>
      <c r="H433" s="1" t="s">
        <v>32</v>
      </c>
      <c r="I433" s="17">
        <f ca="1">DATE(YEAR(TODAY())-2,12,7)</f>
        <v>44172</v>
      </c>
      <c r="J433" s="17">
        <f ca="1">DATE(YEAR(TODAY())-2,12,11)</f>
        <v>44176</v>
      </c>
      <c r="K433" s="1" t="s">
        <v>143</v>
      </c>
      <c r="L433" s="1" t="s">
        <v>25</v>
      </c>
      <c r="M433" s="1">
        <v>784</v>
      </c>
      <c r="N433" s="1" cm="1">
        <f t="array" ref="N433">_xlfn.RANK.EQ(M433,total_money_spent)</f>
        <v>334</v>
      </c>
      <c r="O433" s="1">
        <f t="shared" ca="1" si="6"/>
        <v>4</v>
      </c>
    </row>
    <row r="434" spans="1:15" ht="13.8" x14ac:dyDescent="0.25">
      <c r="A434" s="1" t="s">
        <v>1144</v>
      </c>
      <c r="B434" s="1" t="s">
        <v>1145</v>
      </c>
      <c r="C434" s="1" t="s">
        <v>170</v>
      </c>
      <c r="D434" s="1" t="s">
        <v>171</v>
      </c>
      <c r="E434" s="1" t="s">
        <v>1146</v>
      </c>
      <c r="F434" s="1" t="s">
        <v>1147</v>
      </c>
      <c r="G434" s="1">
        <v>2005</v>
      </c>
      <c r="H434" s="1" t="s">
        <v>24</v>
      </c>
      <c r="I434" s="17">
        <f ca="1">DATE(YEAR(TODAY())-2,12,9)</f>
        <v>44174</v>
      </c>
      <c r="J434" s="17">
        <f ca="1">DATE(YEAR(TODAY())-2,12,11)</f>
        <v>44176</v>
      </c>
      <c r="K434" s="1" t="s">
        <v>33</v>
      </c>
      <c r="L434" s="1" t="s">
        <v>34</v>
      </c>
      <c r="M434" s="1">
        <v>711</v>
      </c>
      <c r="N434" s="1" cm="1">
        <f t="array" ref="N434">_xlfn.RANK.EQ(M434,total_money_spent)</f>
        <v>470</v>
      </c>
      <c r="O434" s="1">
        <f t="shared" ca="1" si="6"/>
        <v>2</v>
      </c>
    </row>
    <row r="435" spans="1:15" ht="13.8" x14ac:dyDescent="0.25">
      <c r="A435" s="1" t="s">
        <v>1012</v>
      </c>
      <c r="B435" s="1" t="s">
        <v>1013</v>
      </c>
      <c r="C435" s="1" t="s">
        <v>47</v>
      </c>
      <c r="D435" s="1" t="s">
        <v>48</v>
      </c>
      <c r="E435" s="1" t="s">
        <v>1014</v>
      </c>
      <c r="F435" s="1" t="s">
        <v>1015</v>
      </c>
      <c r="G435" s="1">
        <v>2005</v>
      </c>
      <c r="H435" s="1" t="s">
        <v>24</v>
      </c>
      <c r="I435" s="17">
        <f ca="1">DATE(YEAR(TODAY())-2,10,11)</f>
        <v>44115</v>
      </c>
      <c r="J435" s="17">
        <f ca="1">DATE(YEAR(TODAY())-2,10,13)</f>
        <v>44117</v>
      </c>
      <c r="K435" s="1" t="s">
        <v>82</v>
      </c>
      <c r="L435" s="1" t="s">
        <v>34</v>
      </c>
      <c r="M435" s="1">
        <v>724</v>
      </c>
      <c r="N435" s="1" cm="1">
        <f t="array" ref="N435">_xlfn.RANK.EQ(M435,total_money_spent)</f>
        <v>456</v>
      </c>
      <c r="O435" s="1">
        <f t="shared" ca="1" si="6"/>
        <v>2</v>
      </c>
    </row>
    <row r="436" spans="1:15" ht="13.8" x14ac:dyDescent="0.25">
      <c r="A436" s="1" t="s">
        <v>1289</v>
      </c>
      <c r="B436" s="1" t="s">
        <v>1286</v>
      </c>
      <c r="C436" s="1" t="s">
        <v>57</v>
      </c>
      <c r="D436" s="1" t="s">
        <v>57</v>
      </c>
      <c r="E436" s="1" t="s">
        <v>1287</v>
      </c>
      <c r="F436" s="1" t="s">
        <v>1288</v>
      </c>
      <c r="G436" s="1">
        <v>2009</v>
      </c>
      <c r="H436" s="1" t="s">
        <v>44</v>
      </c>
      <c r="I436" s="17">
        <f ca="1">DATE(YEAR(TODAY())-2,11,14)</f>
        <v>44149</v>
      </c>
      <c r="J436" s="17">
        <f ca="1">DATE(YEAR(TODAY())-2,11,16)</f>
        <v>44151</v>
      </c>
      <c r="K436" s="1" t="s">
        <v>61</v>
      </c>
      <c r="L436" s="1" t="s">
        <v>34</v>
      </c>
      <c r="M436" s="1">
        <v>733</v>
      </c>
      <c r="N436" s="1" cm="1">
        <f t="array" ref="N436">_xlfn.RANK.EQ(M436,total_money_spent)</f>
        <v>446</v>
      </c>
      <c r="O436" s="1">
        <f t="shared" ca="1" si="6"/>
        <v>2</v>
      </c>
    </row>
    <row r="437" spans="1:15" ht="13.8" x14ac:dyDescent="0.25">
      <c r="A437" s="1" t="s">
        <v>427</v>
      </c>
      <c r="B437" s="1" t="s">
        <v>423</v>
      </c>
      <c r="C437" s="1" t="s">
        <v>157</v>
      </c>
      <c r="D437" s="1" t="s">
        <v>158</v>
      </c>
      <c r="E437" s="1" t="s">
        <v>424</v>
      </c>
      <c r="F437" s="1" t="s">
        <v>425</v>
      </c>
      <c r="G437" s="1">
        <v>3001</v>
      </c>
      <c r="H437" s="1" t="s">
        <v>81</v>
      </c>
      <c r="I437" s="17">
        <f ca="1">DATE(YEAR(TODAY())-2,11,14)</f>
        <v>44149</v>
      </c>
      <c r="J437" s="17">
        <f ca="1">DATE(YEAR(TODAY())-2,11,17)</f>
        <v>44152</v>
      </c>
      <c r="K437" s="1" t="s">
        <v>61</v>
      </c>
      <c r="L437" s="1" t="s">
        <v>34</v>
      </c>
      <c r="M437" s="1">
        <v>784</v>
      </c>
      <c r="N437" s="1" cm="1">
        <f t="array" ref="N437">_xlfn.RANK.EQ(M437,total_money_spent)</f>
        <v>334</v>
      </c>
      <c r="O437" s="1">
        <f t="shared" ca="1" si="6"/>
        <v>3</v>
      </c>
    </row>
    <row r="438" spans="1:15" ht="13.8" x14ac:dyDescent="0.25">
      <c r="A438" s="1" t="s">
        <v>1047</v>
      </c>
      <c r="B438" s="1" t="s">
        <v>1048</v>
      </c>
      <c r="C438" s="1" t="s">
        <v>96</v>
      </c>
      <c r="D438" s="1" t="s">
        <v>96</v>
      </c>
      <c r="E438" s="1" t="s">
        <v>1049</v>
      </c>
      <c r="F438" s="1" t="s">
        <v>1050</v>
      </c>
      <c r="G438" s="1">
        <v>2005</v>
      </c>
      <c r="H438" s="1" t="s">
        <v>24</v>
      </c>
      <c r="I438" s="17">
        <f ca="1">DATE(YEAR(TODAY())-2,10,24)</f>
        <v>44128</v>
      </c>
      <c r="J438" s="17">
        <f ca="1">DATE(YEAR(TODAY())-2,10,31)</f>
        <v>44135</v>
      </c>
      <c r="K438" s="1" t="s">
        <v>136</v>
      </c>
      <c r="L438" s="1" t="s">
        <v>137</v>
      </c>
      <c r="M438" s="1">
        <v>960</v>
      </c>
      <c r="N438" s="1" cm="1">
        <f t="array" ref="N438">_xlfn.RANK.EQ(M438,total_money_spent)</f>
        <v>95</v>
      </c>
      <c r="O438" s="1">
        <f t="shared" ca="1" si="6"/>
        <v>7</v>
      </c>
    </row>
    <row r="439" spans="1:15" ht="13.8" x14ac:dyDescent="0.25">
      <c r="A439" s="1" t="s">
        <v>1046</v>
      </c>
      <c r="B439" s="1" t="s">
        <v>1043</v>
      </c>
      <c r="C439" s="1" t="s">
        <v>372</v>
      </c>
      <c r="D439" s="1" t="s">
        <v>28</v>
      </c>
      <c r="E439" s="1" t="s">
        <v>1044</v>
      </c>
      <c r="F439" s="1" t="s">
        <v>1045</v>
      </c>
      <c r="G439" s="1" t="s">
        <v>54</v>
      </c>
      <c r="H439" s="1" t="s">
        <v>32</v>
      </c>
      <c r="I439" s="17">
        <f ca="1">DATE(YEAR(TODAY())-1,9,26)</f>
        <v>44465</v>
      </c>
      <c r="J439" s="17">
        <f ca="1">DATE(YEAR(TODAY())-1,9,27)</f>
        <v>44466</v>
      </c>
      <c r="K439" s="1" t="s">
        <v>34</v>
      </c>
      <c r="L439" s="1" t="s">
        <v>34</v>
      </c>
      <c r="M439" s="1">
        <v>658</v>
      </c>
      <c r="N439" s="1" cm="1">
        <f t="array" ref="N439">_xlfn.RANK.EQ(M439,total_money_spent)</f>
        <v>565</v>
      </c>
      <c r="O439" s="1">
        <f t="shared" ca="1" si="6"/>
        <v>1</v>
      </c>
    </row>
    <row r="440" spans="1:15" ht="13.8" x14ac:dyDescent="0.25">
      <c r="A440" s="1" t="s">
        <v>862</v>
      </c>
      <c r="B440" s="1" t="s">
        <v>859</v>
      </c>
      <c r="C440" s="1" t="s">
        <v>270</v>
      </c>
      <c r="D440" s="1" t="s">
        <v>271</v>
      </c>
      <c r="E440" s="1" t="s">
        <v>860</v>
      </c>
      <c r="F440" s="1" t="s">
        <v>861</v>
      </c>
      <c r="G440" s="1" t="s">
        <v>60</v>
      </c>
      <c r="H440" s="1" t="s">
        <v>32</v>
      </c>
      <c r="I440" s="17">
        <f ca="1">DATE(YEAR(TODAY())-1,9,12)</f>
        <v>44451</v>
      </c>
      <c r="J440" s="17">
        <f ca="1">DATE(YEAR(TODAY())-1,9,17)</f>
        <v>44456</v>
      </c>
      <c r="K440" s="1" t="s">
        <v>143</v>
      </c>
      <c r="L440" s="1" t="s">
        <v>25</v>
      </c>
      <c r="M440" s="1">
        <v>806</v>
      </c>
      <c r="N440" s="1" cm="1">
        <f t="array" ref="N440">_xlfn.RANK.EQ(M440,total_money_spent)</f>
        <v>274</v>
      </c>
      <c r="O440" s="1">
        <f t="shared" ca="1" si="6"/>
        <v>5</v>
      </c>
    </row>
    <row r="441" spans="1:15" ht="13.8" x14ac:dyDescent="0.25">
      <c r="A441" s="1" t="s">
        <v>1394</v>
      </c>
      <c r="B441" s="1" t="s">
        <v>1390</v>
      </c>
      <c r="C441" s="1" t="s">
        <v>157</v>
      </c>
      <c r="D441" s="1" t="s">
        <v>158</v>
      </c>
      <c r="E441" s="1" t="s">
        <v>1391</v>
      </c>
      <c r="F441" s="1" t="s">
        <v>1392</v>
      </c>
      <c r="G441" s="1">
        <v>2008</v>
      </c>
      <c r="H441" s="1" t="s">
        <v>44</v>
      </c>
      <c r="I441" s="17">
        <f ca="1">DATE(YEAR(TODAY())-2,12,23)</f>
        <v>44188</v>
      </c>
      <c r="J441" s="17">
        <f ca="1">DATE(YEAR(TODAY())-2,12,24)</f>
        <v>44189</v>
      </c>
      <c r="K441" s="1" t="s">
        <v>61</v>
      </c>
      <c r="L441" s="1" t="s">
        <v>34</v>
      </c>
      <c r="M441" s="1">
        <v>656</v>
      </c>
      <c r="N441" s="1" cm="1">
        <f t="array" ref="N441">_xlfn.RANK.EQ(M441,total_money_spent)</f>
        <v>573</v>
      </c>
      <c r="O441" s="1">
        <f t="shared" ca="1" si="6"/>
        <v>1</v>
      </c>
    </row>
    <row r="442" spans="1:15" ht="13.8" x14ac:dyDescent="0.25">
      <c r="A442" s="1" t="s">
        <v>225</v>
      </c>
      <c r="B442" s="1" t="s">
        <v>221</v>
      </c>
      <c r="C442" s="1" t="s">
        <v>110</v>
      </c>
      <c r="D442" s="1" t="s">
        <v>111</v>
      </c>
      <c r="F442" s="1" t="s">
        <v>223</v>
      </c>
      <c r="G442" s="1" t="s">
        <v>226</v>
      </c>
      <c r="H442" s="1" t="s">
        <v>32</v>
      </c>
      <c r="I442" s="17">
        <f ca="1">DATE(YEAR(TODAY())-1,9,22)</f>
        <v>44461</v>
      </c>
      <c r="J442" s="17">
        <f ca="1">DATE(YEAR(TODAY())-1,9,23)</f>
        <v>44462</v>
      </c>
      <c r="K442" s="1" t="s">
        <v>136</v>
      </c>
      <c r="L442" s="1" t="s">
        <v>137</v>
      </c>
      <c r="M442" s="1">
        <v>665</v>
      </c>
      <c r="N442" s="1" cm="1">
        <f t="array" ref="N442">_xlfn.RANK.EQ(M442,total_money_spent)</f>
        <v>537</v>
      </c>
      <c r="O442" s="1">
        <f t="shared" ca="1" si="6"/>
        <v>1</v>
      </c>
    </row>
    <row r="443" spans="1:15" ht="13.8" x14ac:dyDescent="0.25">
      <c r="A443" s="1" t="s">
        <v>256</v>
      </c>
      <c r="B443" s="1" t="s">
        <v>253</v>
      </c>
      <c r="C443" s="1" t="s">
        <v>257</v>
      </c>
      <c r="D443" s="1" t="s">
        <v>258</v>
      </c>
      <c r="E443" s="1" t="s">
        <v>254</v>
      </c>
      <c r="F443" s="1" t="s">
        <v>255</v>
      </c>
      <c r="G443" s="1" t="s">
        <v>226</v>
      </c>
      <c r="H443" s="1" t="s">
        <v>32</v>
      </c>
      <c r="I443" s="17">
        <f ca="1">DATE(YEAR(TODAY())-1,4,5)</f>
        <v>44291</v>
      </c>
      <c r="J443" s="17">
        <f ca="1">DATE(YEAR(TODAY())-1,4,9)</f>
        <v>44295</v>
      </c>
      <c r="K443" s="1" t="s">
        <v>143</v>
      </c>
      <c r="L443" s="1" t="s">
        <v>25</v>
      </c>
      <c r="M443" s="1">
        <v>788</v>
      </c>
      <c r="N443" s="1" cm="1">
        <f t="array" ref="N443">_xlfn.RANK.EQ(M443,total_money_spent)</f>
        <v>328</v>
      </c>
      <c r="O443" s="1">
        <f t="shared" ca="1" si="6"/>
        <v>4</v>
      </c>
    </row>
    <row r="444" spans="1:15" ht="13.8" x14ac:dyDescent="0.25">
      <c r="A444" s="1" t="s">
        <v>336</v>
      </c>
      <c r="B444" s="1" t="s">
        <v>333</v>
      </c>
      <c r="C444" s="1" t="s">
        <v>337</v>
      </c>
      <c r="D444" s="1" t="s">
        <v>338</v>
      </c>
      <c r="E444" s="1" t="s">
        <v>334</v>
      </c>
      <c r="F444" s="1" t="s">
        <v>335</v>
      </c>
      <c r="G444" s="1">
        <v>2009</v>
      </c>
      <c r="H444" s="1" t="s">
        <v>44</v>
      </c>
      <c r="I444" s="17">
        <f ca="1">DATE(YEAR(TODAY())-1,2,15)</f>
        <v>44242</v>
      </c>
      <c r="J444" s="17">
        <f ca="1">DATE(YEAR(TODAY())-1,2,18)</f>
        <v>44245</v>
      </c>
      <c r="K444" s="1" t="s">
        <v>34</v>
      </c>
      <c r="L444" s="1" t="s">
        <v>34</v>
      </c>
      <c r="M444" s="1">
        <v>757</v>
      </c>
      <c r="N444" s="1" cm="1">
        <f t="array" ref="N444">_xlfn.RANK.EQ(M444,total_money_spent)</f>
        <v>402</v>
      </c>
      <c r="O444" s="1">
        <f t="shared" ca="1" si="6"/>
        <v>3</v>
      </c>
    </row>
    <row r="445" spans="1:15" ht="13.8" x14ac:dyDescent="0.25">
      <c r="A445" s="1" t="s">
        <v>479</v>
      </c>
      <c r="B445" s="1" t="s">
        <v>480</v>
      </c>
      <c r="C445" s="1" t="s">
        <v>170</v>
      </c>
      <c r="D445" s="1" t="s">
        <v>171</v>
      </c>
      <c r="E445" s="1" t="s">
        <v>481</v>
      </c>
      <c r="F445" s="1" t="s">
        <v>482</v>
      </c>
      <c r="G445" s="1">
        <v>2006</v>
      </c>
      <c r="H445" s="1" t="s">
        <v>24</v>
      </c>
      <c r="I445" s="17">
        <f ca="1">DATE(YEAR(TODAY())-1,8,24)</f>
        <v>44432</v>
      </c>
      <c r="J445" s="17">
        <f ca="1">DATE(YEAR(TODAY())-1,8,28)</f>
        <v>44436</v>
      </c>
      <c r="K445" s="1" t="s">
        <v>25</v>
      </c>
      <c r="L445" s="1" t="s">
        <v>25</v>
      </c>
      <c r="M445" s="1">
        <v>801</v>
      </c>
      <c r="N445" s="1" cm="1">
        <f t="array" ref="N445">_xlfn.RANK.EQ(M445,total_money_spent)</f>
        <v>289</v>
      </c>
      <c r="O445" s="1">
        <f t="shared" ca="1" si="6"/>
        <v>4</v>
      </c>
    </row>
    <row r="446" spans="1:15" ht="13.8" x14ac:dyDescent="0.25">
      <c r="A446" s="1" t="s">
        <v>787</v>
      </c>
      <c r="B446" s="1" t="s">
        <v>785</v>
      </c>
      <c r="C446" s="1" t="s">
        <v>246</v>
      </c>
      <c r="D446" s="1" t="s">
        <v>247</v>
      </c>
      <c r="E446" s="1" t="s">
        <v>788</v>
      </c>
      <c r="F446" s="1" t="s">
        <v>786</v>
      </c>
      <c r="G446" s="1" t="s">
        <v>54</v>
      </c>
      <c r="H446" s="1" t="s">
        <v>32</v>
      </c>
      <c r="I446" s="17">
        <f ca="1">DATE(YEAR(TODAY())-1,7,18)</f>
        <v>44395</v>
      </c>
      <c r="J446" s="17">
        <f ca="1">DATE(YEAR(TODAY())-1,7,19)</f>
        <v>44396</v>
      </c>
      <c r="K446" s="1" t="s">
        <v>72</v>
      </c>
      <c r="L446" s="1" t="s">
        <v>73</v>
      </c>
      <c r="M446" s="1">
        <v>678</v>
      </c>
      <c r="N446" s="1" cm="1">
        <f t="array" ref="N446">_xlfn.RANK.EQ(M446,total_money_spent)</f>
        <v>505</v>
      </c>
      <c r="O446" s="1">
        <f t="shared" ca="1" si="6"/>
        <v>1</v>
      </c>
    </row>
    <row r="447" spans="1:15" ht="13.8" x14ac:dyDescent="0.25">
      <c r="A447" s="1" t="s">
        <v>885</v>
      </c>
      <c r="B447" s="1" t="s">
        <v>881</v>
      </c>
      <c r="C447" s="1" t="s">
        <v>197</v>
      </c>
      <c r="D447" s="1" t="s">
        <v>198</v>
      </c>
      <c r="E447" s="1" t="s">
        <v>882</v>
      </c>
      <c r="F447" s="1" t="s">
        <v>883</v>
      </c>
      <c r="G447" s="1" t="s">
        <v>226</v>
      </c>
      <c r="H447" s="1" t="s">
        <v>32</v>
      </c>
      <c r="I447" s="17">
        <f ca="1">DATE(YEAR(TODAY())-1,8,13)</f>
        <v>44421</v>
      </c>
      <c r="J447" s="17">
        <f ca="1">DATE(YEAR(TODAY())-1,8,14)</f>
        <v>44422</v>
      </c>
      <c r="K447" s="1" t="s">
        <v>61</v>
      </c>
      <c r="L447" s="1" t="s">
        <v>34</v>
      </c>
      <c r="M447" s="1">
        <v>661</v>
      </c>
      <c r="N447" s="1" cm="1">
        <f t="array" ref="N447">_xlfn.RANK.EQ(M447,total_money_spent)</f>
        <v>553</v>
      </c>
      <c r="O447" s="1">
        <f t="shared" ca="1" si="6"/>
        <v>1</v>
      </c>
    </row>
    <row r="448" spans="1:15" ht="13.8" x14ac:dyDescent="0.25">
      <c r="A448" s="1" t="s">
        <v>737</v>
      </c>
      <c r="B448" s="1" t="s">
        <v>734</v>
      </c>
      <c r="C448" s="1" t="s">
        <v>28</v>
      </c>
      <c r="D448" s="1" t="s">
        <v>28</v>
      </c>
      <c r="E448" s="1" t="s">
        <v>735</v>
      </c>
      <c r="F448" s="1" t="s">
        <v>736</v>
      </c>
      <c r="G448" s="1">
        <v>3004</v>
      </c>
      <c r="H448" s="1" t="s">
        <v>203</v>
      </c>
      <c r="I448" s="17">
        <f ca="1">DATE(YEAR(TODAY())-2,12,10)</f>
        <v>44175</v>
      </c>
      <c r="J448" s="17">
        <f ca="1">DATE(YEAR(TODAY())-2,12,15)</f>
        <v>44180</v>
      </c>
      <c r="K448" s="1" t="s">
        <v>61</v>
      </c>
      <c r="L448" s="1" t="s">
        <v>34</v>
      </c>
      <c r="M448" s="1">
        <v>962</v>
      </c>
      <c r="N448" s="1" cm="1">
        <f t="array" ref="N448">_xlfn.RANK.EQ(M448,total_money_spent)</f>
        <v>90</v>
      </c>
      <c r="O448" s="1">
        <f t="shared" ca="1" si="6"/>
        <v>5</v>
      </c>
    </row>
    <row r="449" spans="1:15" ht="13.8" x14ac:dyDescent="0.25">
      <c r="A449" s="1" t="s">
        <v>1285</v>
      </c>
      <c r="B449" s="1" t="s">
        <v>1286</v>
      </c>
      <c r="C449" s="1" t="s">
        <v>91</v>
      </c>
      <c r="D449" s="1" t="s">
        <v>91</v>
      </c>
      <c r="E449" s="1" t="s">
        <v>1287</v>
      </c>
      <c r="F449" s="1" t="s">
        <v>1288</v>
      </c>
      <c r="G449" s="1">
        <v>2007</v>
      </c>
      <c r="H449" s="1" t="s">
        <v>44</v>
      </c>
      <c r="I449" s="17">
        <f ca="1">DATE(YEAR(TODAY())-1,7,8)</f>
        <v>44385</v>
      </c>
      <c r="J449" s="17">
        <f ca="1">DATE(YEAR(TODAY())-1,7,9)</f>
        <v>44386</v>
      </c>
      <c r="K449" s="1" t="s">
        <v>143</v>
      </c>
      <c r="L449" s="1" t="s">
        <v>25</v>
      </c>
      <c r="M449" s="1">
        <v>652</v>
      </c>
      <c r="N449" s="1" cm="1">
        <f t="array" ref="N449">_xlfn.RANK.EQ(M449,total_money_spent)</f>
        <v>584</v>
      </c>
      <c r="O449" s="1">
        <f t="shared" ca="1" si="6"/>
        <v>1</v>
      </c>
    </row>
    <row r="450" spans="1:15" ht="13.8" x14ac:dyDescent="0.25">
      <c r="A450" s="1" t="s">
        <v>234</v>
      </c>
      <c r="B450" s="1" t="s">
        <v>228</v>
      </c>
      <c r="C450" s="1" t="s">
        <v>235</v>
      </c>
      <c r="D450" s="1" t="s">
        <v>235</v>
      </c>
      <c r="E450" s="1" t="s">
        <v>231</v>
      </c>
      <c r="F450" s="1" t="s">
        <v>232</v>
      </c>
      <c r="G450" s="1" t="s">
        <v>54</v>
      </c>
      <c r="H450" s="1" t="s">
        <v>32</v>
      </c>
      <c r="I450" s="17">
        <f ca="1">DATE(YEAR(TODAY())-1,6,30)</f>
        <v>44377</v>
      </c>
      <c r="J450" s="17">
        <f ca="1">DATE(YEAR(TODAY())-1,7,3)</f>
        <v>44380</v>
      </c>
      <c r="K450" s="1" t="s">
        <v>33</v>
      </c>
      <c r="L450" s="1" t="s">
        <v>34</v>
      </c>
      <c r="M450" s="1">
        <v>730</v>
      </c>
      <c r="N450" s="1" cm="1">
        <f t="array" ref="N450">_xlfn.RANK.EQ(M450,total_money_spent)</f>
        <v>450</v>
      </c>
      <c r="O450" s="1">
        <f t="shared" ca="1" si="6"/>
        <v>3</v>
      </c>
    </row>
    <row r="451" spans="1:15" ht="13.8" x14ac:dyDescent="0.25">
      <c r="A451" s="1" t="s">
        <v>1303</v>
      </c>
      <c r="B451" s="1" t="s">
        <v>1301</v>
      </c>
      <c r="C451" s="1" t="s">
        <v>197</v>
      </c>
      <c r="D451" s="1" t="s">
        <v>198</v>
      </c>
      <c r="E451" s="1" t="s">
        <v>1304</v>
      </c>
      <c r="F451" s="1" t="s">
        <v>1302</v>
      </c>
      <c r="G451" s="1">
        <v>3005</v>
      </c>
      <c r="H451" s="1" t="s">
        <v>203</v>
      </c>
      <c r="I451" s="17">
        <f ca="1">DATE(YEAR(TODAY())-2,10,14)</f>
        <v>44118</v>
      </c>
      <c r="J451" s="17">
        <f ca="1">DATE(YEAR(TODAY())-2,10,20)</f>
        <v>44124</v>
      </c>
      <c r="K451" s="1" t="s">
        <v>87</v>
      </c>
      <c r="L451" s="1" t="s">
        <v>73</v>
      </c>
      <c r="M451" s="1">
        <v>1076</v>
      </c>
      <c r="N451" s="1" cm="1">
        <f t="array" ref="N451">_xlfn.RANK.EQ(M451,total_money_spent)</f>
        <v>25</v>
      </c>
      <c r="O451" s="1">
        <f t="shared" ref="O451:O514" ca="1" si="7">J451-I451</f>
        <v>6</v>
      </c>
    </row>
    <row r="452" spans="1:15" ht="13.8" x14ac:dyDescent="0.25">
      <c r="A452" s="1" t="s">
        <v>1414</v>
      </c>
      <c r="B452" s="1" t="s">
        <v>1415</v>
      </c>
      <c r="C452" s="1" t="s">
        <v>250</v>
      </c>
      <c r="D452" s="1" t="s">
        <v>53</v>
      </c>
      <c r="E452" s="1" t="s">
        <v>1416</v>
      </c>
      <c r="F452" s="1" t="s">
        <v>1417</v>
      </c>
      <c r="G452" s="1">
        <v>2006</v>
      </c>
      <c r="H452" s="1" t="s">
        <v>24</v>
      </c>
      <c r="I452" s="17">
        <f ca="1">DATE(YEAR(TODAY())-1,7,31)</f>
        <v>44408</v>
      </c>
      <c r="J452" s="17">
        <f ca="1">DATE(YEAR(TODAY())-1,8,6)</f>
        <v>44414</v>
      </c>
      <c r="K452" s="1" t="s">
        <v>143</v>
      </c>
      <c r="L452" s="1" t="s">
        <v>25</v>
      </c>
      <c r="M452" s="1">
        <v>907</v>
      </c>
      <c r="N452" s="1" cm="1">
        <f t="array" ref="N452">_xlfn.RANK.EQ(M452,total_money_spent)</f>
        <v>134</v>
      </c>
      <c r="O452" s="1">
        <f t="shared" ca="1" si="7"/>
        <v>6</v>
      </c>
    </row>
    <row r="453" spans="1:15" ht="13.8" x14ac:dyDescent="0.25">
      <c r="A453" s="1" t="s">
        <v>1030</v>
      </c>
      <c r="B453" s="1" t="s">
        <v>1027</v>
      </c>
      <c r="C453" s="1" t="s">
        <v>270</v>
      </c>
      <c r="D453" s="1" t="s">
        <v>271</v>
      </c>
      <c r="E453" s="1" t="s">
        <v>1028</v>
      </c>
      <c r="F453" s="1" t="s">
        <v>1029</v>
      </c>
      <c r="G453" s="1">
        <v>3005</v>
      </c>
      <c r="H453" s="1" t="s">
        <v>203</v>
      </c>
      <c r="I453" s="17">
        <f ca="1">DATE(YEAR(TODAY())-1,9,28)</f>
        <v>44467</v>
      </c>
      <c r="J453" s="17">
        <f ca="1">DATE(YEAR(TODAY())-1,9,29)</f>
        <v>44468</v>
      </c>
      <c r="K453" s="1" t="s">
        <v>136</v>
      </c>
      <c r="L453" s="1" t="s">
        <v>137</v>
      </c>
      <c r="M453" s="1">
        <v>668</v>
      </c>
      <c r="N453" s="1" cm="1">
        <f t="array" ref="N453">_xlfn.RANK.EQ(M453,total_money_spent)</f>
        <v>525</v>
      </c>
      <c r="O453" s="1">
        <f t="shared" ca="1" si="7"/>
        <v>1</v>
      </c>
    </row>
    <row r="454" spans="1:15" ht="13.8" x14ac:dyDescent="0.25">
      <c r="A454" s="1" t="s">
        <v>483</v>
      </c>
      <c r="B454" s="1" t="s">
        <v>484</v>
      </c>
      <c r="C454" s="1" t="s">
        <v>270</v>
      </c>
      <c r="D454" s="1" t="s">
        <v>271</v>
      </c>
      <c r="E454" s="1" t="s">
        <v>485</v>
      </c>
      <c r="F454" s="1" t="s">
        <v>486</v>
      </c>
      <c r="G454" s="1">
        <v>2004</v>
      </c>
      <c r="H454" s="1" t="s">
        <v>24</v>
      </c>
      <c r="I454" s="17">
        <f ca="1">DATE(YEAR(TODAY())-1,8,23)</f>
        <v>44431</v>
      </c>
      <c r="J454" s="17">
        <f ca="1">DATE(YEAR(TODAY())-1,8,29)</f>
        <v>44437</v>
      </c>
      <c r="K454" s="1" t="s">
        <v>61</v>
      </c>
      <c r="L454" s="1" t="s">
        <v>34</v>
      </c>
      <c r="M454" s="1">
        <v>908</v>
      </c>
      <c r="N454" s="1" cm="1">
        <f t="array" ref="N454">_xlfn.RANK.EQ(M454,total_money_spent)</f>
        <v>131</v>
      </c>
      <c r="O454" s="1">
        <f t="shared" ca="1" si="7"/>
        <v>6</v>
      </c>
    </row>
    <row r="455" spans="1:15" ht="13.8" x14ac:dyDescent="0.25">
      <c r="A455" s="1" t="s">
        <v>539</v>
      </c>
      <c r="B455" s="1" t="s">
        <v>536</v>
      </c>
      <c r="C455" s="1" t="s">
        <v>76</v>
      </c>
      <c r="D455" s="1" t="s">
        <v>77</v>
      </c>
      <c r="E455" s="1" t="s">
        <v>537</v>
      </c>
      <c r="F455" s="1" t="s">
        <v>538</v>
      </c>
      <c r="G455" s="1">
        <v>3001</v>
      </c>
      <c r="H455" s="1" t="s">
        <v>81</v>
      </c>
      <c r="I455" s="17">
        <f ca="1">DATE(YEAR(TODAY())-1,6,27)</f>
        <v>44374</v>
      </c>
      <c r="J455" s="17">
        <f ca="1">DATE(YEAR(TODAY())-1,7,2)</f>
        <v>44379</v>
      </c>
      <c r="K455" s="1" t="s">
        <v>87</v>
      </c>
      <c r="L455" s="1" t="s">
        <v>73</v>
      </c>
      <c r="M455" s="1">
        <v>893</v>
      </c>
      <c r="N455" s="1" cm="1">
        <f t="array" ref="N455">_xlfn.RANK.EQ(M455,total_money_spent)</f>
        <v>167</v>
      </c>
      <c r="O455" s="1">
        <f t="shared" ca="1" si="7"/>
        <v>5</v>
      </c>
    </row>
    <row r="456" spans="1:15" ht="13.8" x14ac:dyDescent="0.25">
      <c r="A456" s="1" t="s">
        <v>871</v>
      </c>
      <c r="B456" s="1" t="s">
        <v>872</v>
      </c>
      <c r="C456" s="1" t="s">
        <v>177</v>
      </c>
      <c r="D456" s="1" t="s">
        <v>178</v>
      </c>
      <c r="E456" s="1" t="s">
        <v>873</v>
      </c>
      <c r="F456" s="1" t="s">
        <v>874</v>
      </c>
      <c r="G456" s="1">
        <v>2005</v>
      </c>
      <c r="H456" s="1" t="s">
        <v>24</v>
      </c>
      <c r="I456" s="17">
        <f ca="1">DATE(YEAR(TODAY())-1,7,10)</f>
        <v>44387</v>
      </c>
      <c r="J456" s="17">
        <f ca="1">DATE(YEAR(TODAY())-1,7,11)</f>
        <v>44388</v>
      </c>
      <c r="K456" s="1" t="s">
        <v>82</v>
      </c>
      <c r="L456" s="1" t="s">
        <v>34</v>
      </c>
      <c r="M456" s="1">
        <v>657</v>
      </c>
      <c r="N456" s="1" cm="1">
        <f t="array" ref="N456">_xlfn.RANK.EQ(M456,total_money_spent)</f>
        <v>569</v>
      </c>
      <c r="O456" s="1">
        <f t="shared" ca="1" si="7"/>
        <v>1</v>
      </c>
    </row>
    <row r="457" spans="1:15" ht="13.8" x14ac:dyDescent="0.25">
      <c r="A457" s="1" t="s">
        <v>863</v>
      </c>
      <c r="B457" s="1" t="s">
        <v>859</v>
      </c>
      <c r="C457" s="1" t="s">
        <v>76</v>
      </c>
      <c r="D457" s="1" t="s">
        <v>77</v>
      </c>
      <c r="E457" s="1" t="s">
        <v>860</v>
      </c>
      <c r="F457" s="1" t="s">
        <v>861</v>
      </c>
      <c r="G457" s="1" t="s">
        <v>31</v>
      </c>
      <c r="H457" s="1" t="s">
        <v>32</v>
      </c>
      <c r="I457" s="17">
        <f ca="1">DATE(YEAR(TODAY())-1,2,24)</f>
        <v>44251</v>
      </c>
      <c r="J457" s="17">
        <f ca="1">DATE(YEAR(TODAY())-1,2,29)</f>
        <v>44256</v>
      </c>
      <c r="K457" s="1" t="s">
        <v>72</v>
      </c>
      <c r="L457" s="1" t="s">
        <v>73</v>
      </c>
      <c r="M457" s="1">
        <v>803</v>
      </c>
      <c r="N457" s="1" cm="1">
        <f t="array" ref="N457">_xlfn.RANK.EQ(M457,total_money_spent)</f>
        <v>283</v>
      </c>
      <c r="O457" s="1">
        <f t="shared" ca="1" si="7"/>
        <v>5</v>
      </c>
    </row>
    <row r="458" spans="1:15" ht="13.8" x14ac:dyDescent="0.25">
      <c r="A458" s="1" t="s">
        <v>1019</v>
      </c>
      <c r="B458" s="1" t="s">
        <v>1013</v>
      </c>
      <c r="C458" s="1" t="s">
        <v>157</v>
      </c>
      <c r="D458" s="1" t="s">
        <v>158</v>
      </c>
      <c r="E458" s="1" t="s">
        <v>1014</v>
      </c>
      <c r="F458" s="1" t="s">
        <v>1015</v>
      </c>
      <c r="G458" s="1" t="s">
        <v>122</v>
      </c>
      <c r="H458" s="1" t="s">
        <v>32</v>
      </c>
      <c r="I458" s="17">
        <f ca="1">DATE(YEAR(TODAY())-1,4,16)</f>
        <v>44302</v>
      </c>
      <c r="J458" s="17">
        <f ca="1">DATE(YEAR(TODAY())-1,4,17)</f>
        <v>44303</v>
      </c>
      <c r="K458" s="1" t="s">
        <v>25</v>
      </c>
      <c r="L458" s="1" t="s">
        <v>25</v>
      </c>
      <c r="M458" s="1">
        <v>680</v>
      </c>
      <c r="N458" s="1" cm="1">
        <f t="array" ref="N458">_xlfn.RANK.EQ(M458,total_money_spent)</f>
        <v>503</v>
      </c>
      <c r="O458" s="1">
        <f t="shared" ca="1" si="7"/>
        <v>1</v>
      </c>
    </row>
    <row r="459" spans="1:15" ht="13.8" x14ac:dyDescent="0.25">
      <c r="A459" s="1" t="s">
        <v>761</v>
      </c>
      <c r="B459" s="1" t="s">
        <v>758</v>
      </c>
      <c r="C459" s="1" t="s">
        <v>131</v>
      </c>
      <c r="D459" s="1" t="s">
        <v>132</v>
      </c>
      <c r="E459" s="1" t="s">
        <v>759</v>
      </c>
      <c r="F459" s="1" t="s">
        <v>760</v>
      </c>
      <c r="G459" s="1" t="s">
        <v>60</v>
      </c>
      <c r="H459" s="1" t="s">
        <v>32</v>
      </c>
      <c r="I459" s="17">
        <f ca="1">DATE(YEAR(TODAY())-1,1,9)</f>
        <v>44205</v>
      </c>
      <c r="J459" s="17">
        <f ca="1">DATE(YEAR(TODAY())-1,1,15)</f>
        <v>44211</v>
      </c>
      <c r="K459" s="1" t="s">
        <v>72</v>
      </c>
      <c r="L459" s="1" t="s">
        <v>73</v>
      </c>
      <c r="M459" s="1">
        <v>844</v>
      </c>
      <c r="N459" s="1" cm="1">
        <f t="array" ref="N459">_xlfn.RANK.EQ(M459,total_money_spent)</f>
        <v>226</v>
      </c>
      <c r="O459" s="1">
        <f t="shared" ca="1" si="7"/>
        <v>6</v>
      </c>
    </row>
    <row r="460" spans="1:15" ht="13.8" x14ac:dyDescent="0.25">
      <c r="A460" s="1" t="s">
        <v>550</v>
      </c>
      <c r="B460" s="1" t="s">
        <v>547</v>
      </c>
      <c r="C460" s="1" t="s">
        <v>177</v>
      </c>
      <c r="D460" s="1" t="s">
        <v>178</v>
      </c>
      <c r="E460" s="1" t="s">
        <v>548</v>
      </c>
      <c r="F460" s="1" t="s">
        <v>549</v>
      </c>
      <c r="G460" s="1" t="s">
        <v>54</v>
      </c>
      <c r="H460" s="1" t="s">
        <v>32</v>
      </c>
      <c r="I460" s="17">
        <f ca="1">DATE(YEAR(TODAY())-2,10,9)</f>
        <v>44113</v>
      </c>
      <c r="J460" s="17">
        <f ca="1">DATE(YEAR(TODAY())-2,10,14)</f>
        <v>44118</v>
      </c>
      <c r="K460" s="1" t="s">
        <v>33</v>
      </c>
      <c r="L460" s="1" t="s">
        <v>34</v>
      </c>
      <c r="M460" s="1">
        <v>808</v>
      </c>
      <c r="N460" s="1" cm="1">
        <f t="array" ref="N460">_xlfn.RANK.EQ(M460,total_money_spent)</f>
        <v>270</v>
      </c>
      <c r="O460" s="1">
        <f t="shared" ca="1" si="7"/>
        <v>5</v>
      </c>
    </row>
    <row r="461" spans="1:15" ht="13.8" x14ac:dyDescent="0.25">
      <c r="A461" s="1" t="s">
        <v>1067</v>
      </c>
      <c r="B461" s="1" t="s">
        <v>1068</v>
      </c>
      <c r="C461" s="1" t="s">
        <v>106</v>
      </c>
      <c r="D461" s="1" t="s">
        <v>107</v>
      </c>
      <c r="E461" s="1" t="s">
        <v>1069</v>
      </c>
      <c r="F461" s="1" t="s">
        <v>1070</v>
      </c>
      <c r="G461" s="1">
        <v>3003</v>
      </c>
      <c r="H461" s="1" t="s">
        <v>81</v>
      </c>
      <c r="I461" s="17">
        <f ca="1">DATE(YEAR(TODAY())-1,2,23)</f>
        <v>44250</v>
      </c>
      <c r="J461" s="17">
        <f ca="1">DATE(YEAR(TODAY())-1,2,28)</f>
        <v>44255</v>
      </c>
      <c r="K461" s="1" t="s">
        <v>25</v>
      </c>
      <c r="L461" s="1" t="s">
        <v>25</v>
      </c>
      <c r="M461" s="1">
        <v>897</v>
      </c>
      <c r="N461" s="1" cm="1">
        <f t="array" ref="N461">_xlfn.RANK.EQ(M461,total_money_spent)</f>
        <v>159</v>
      </c>
      <c r="O461" s="1">
        <f t="shared" ca="1" si="7"/>
        <v>5</v>
      </c>
    </row>
    <row r="462" spans="1:15" ht="13.8" x14ac:dyDescent="0.25">
      <c r="A462" s="1" t="s">
        <v>551</v>
      </c>
      <c r="B462" s="1" t="s">
        <v>552</v>
      </c>
      <c r="C462" s="1" t="s">
        <v>246</v>
      </c>
      <c r="D462" s="1" t="s">
        <v>247</v>
      </c>
      <c r="E462" s="1" t="s">
        <v>553</v>
      </c>
      <c r="F462" s="1" t="s">
        <v>554</v>
      </c>
      <c r="G462" s="1">
        <v>2006</v>
      </c>
      <c r="H462" s="1" t="s">
        <v>24</v>
      </c>
      <c r="I462" s="17">
        <f ca="1">DATE(YEAR(TODAY())-2,11,13)</f>
        <v>44148</v>
      </c>
      <c r="J462" s="17">
        <f ca="1">DATE(YEAR(TODAY())-2,11,14)</f>
        <v>44149</v>
      </c>
      <c r="K462" s="1" t="s">
        <v>136</v>
      </c>
      <c r="L462" s="1" t="s">
        <v>137</v>
      </c>
      <c r="M462" s="1">
        <v>666</v>
      </c>
      <c r="N462" s="1" cm="1">
        <f t="array" ref="N462">_xlfn.RANK.EQ(M462,total_money_spent)</f>
        <v>533</v>
      </c>
      <c r="O462" s="1">
        <f t="shared" ca="1" si="7"/>
        <v>1</v>
      </c>
    </row>
    <row r="463" spans="1:15" ht="13.8" x14ac:dyDescent="0.25">
      <c r="A463" s="1" t="s">
        <v>728</v>
      </c>
      <c r="B463" s="1" t="s">
        <v>729</v>
      </c>
      <c r="C463" s="1" t="s">
        <v>246</v>
      </c>
      <c r="D463" s="1" t="s">
        <v>247</v>
      </c>
      <c r="E463" s="1" t="s">
        <v>730</v>
      </c>
      <c r="F463" s="1" t="s">
        <v>731</v>
      </c>
      <c r="G463" s="1">
        <v>3005</v>
      </c>
      <c r="H463" s="1" t="s">
        <v>203</v>
      </c>
      <c r="I463" s="17">
        <f ca="1">DATE(YEAR(TODAY())-1,3,5)</f>
        <v>44260</v>
      </c>
      <c r="J463" s="17">
        <f ca="1">DATE(YEAR(TODAY())-1,3,8)</f>
        <v>44263</v>
      </c>
      <c r="K463" s="1" t="s">
        <v>136</v>
      </c>
      <c r="L463" s="1" t="s">
        <v>137</v>
      </c>
      <c r="M463" s="1">
        <v>792</v>
      </c>
      <c r="N463" s="1" cm="1">
        <f t="array" ref="N463">_xlfn.RANK.EQ(M463,total_money_spent)</f>
        <v>316</v>
      </c>
      <c r="O463" s="1">
        <f t="shared" ca="1" si="7"/>
        <v>3</v>
      </c>
    </row>
    <row r="464" spans="1:15" ht="13.8" x14ac:dyDescent="0.25">
      <c r="A464" s="1" t="s">
        <v>1275</v>
      </c>
      <c r="B464" s="1" t="s">
        <v>1276</v>
      </c>
      <c r="C464" s="1" t="s">
        <v>186</v>
      </c>
      <c r="D464" s="1" t="s">
        <v>187</v>
      </c>
      <c r="E464" s="1" t="s">
        <v>1277</v>
      </c>
      <c r="F464" s="1" t="s">
        <v>1278</v>
      </c>
      <c r="G464" s="1">
        <v>2010</v>
      </c>
      <c r="H464" s="1" t="s">
        <v>44</v>
      </c>
      <c r="I464" s="17">
        <f ca="1">DATE(YEAR(TODAY())-1,3,20)</f>
        <v>44275</v>
      </c>
      <c r="J464" s="17">
        <f ca="1">DATE(YEAR(TODAY())-1,3,25)</f>
        <v>44280</v>
      </c>
      <c r="K464" s="1" t="s">
        <v>33</v>
      </c>
      <c r="L464" s="1" t="s">
        <v>34</v>
      </c>
      <c r="M464" s="1">
        <v>903</v>
      </c>
      <c r="N464" s="1" cm="1">
        <f t="array" ref="N464">_xlfn.RANK.EQ(M464,total_money_spent)</f>
        <v>146</v>
      </c>
      <c r="O464" s="1">
        <f t="shared" ca="1" si="7"/>
        <v>5</v>
      </c>
    </row>
    <row r="465" spans="1:15" ht="13.8" x14ac:dyDescent="0.25">
      <c r="A465" s="1" t="s">
        <v>1212</v>
      </c>
      <c r="B465" s="1" t="s">
        <v>1213</v>
      </c>
      <c r="C465" s="1" t="s">
        <v>110</v>
      </c>
      <c r="D465" s="1" t="s">
        <v>111</v>
      </c>
      <c r="E465" s="1" t="s">
        <v>1214</v>
      </c>
      <c r="F465" s="1" t="s">
        <v>1215</v>
      </c>
      <c r="G465" s="1">
        <v>2001</v>
      </c>
      <c r="H465" s="1" t="s">
        <v>24</v>
      </c>
      <c r="I465" s="17">
        <f ca="1">DATE(YEAR(TODAY())-1,3,27)</f>
        <v>44282</v>
      </c>
      <c r="J465" s="17">
        <f ca="1">DATE(YEAR(TODAY())-1,4,4)</f>
        <v>44290</v>
      </c>
      <c r="K465" s="1" t="s">
        <v>33</v>
      </c>
      <c r="L465" s="1" t="s">
        <v>34</v>
      </c>
      <c r="M465" s="1">
        <v>1070</v>
      </c>
      <c r="N465" s="1" cm="1">
        <f t="array" ref="N465">_xlfn.RANK.EQ(M465,total_money_spent)</f>
        <v>33</v>
      </c>
      <c r="O465" s="1">
        <f t="shared" ca="1" si="7"/>
        <v>8</v>
      </c>
    </row>
    <row r="466" spans="1:15" ht="13.8" x14ac:dyDescent="0.25">
      <c r="A466" s="1" t="s">
        <v>642</v>
      </c>
      <c r="B466" s="1" t="s">
        <v>643</v>
      </c>
      <c r="C466" s="1" t="s">
        <v>152</v>
      </c>
      <c r="D466" s="1" t="s">
        <v>153</v>
      </c>
      <c r="E466" s="1" t="s">
        <v>644</v>
      </c>
      <c r="F466" s="1" t="s">
        <v>645</v>
      </c>
      <c r="G466" s="1" t="s">
        <v>60</v>
      </c>
      <c r="H466" s="1" t="s">
        <v>32</v>
      </c>
      <c r="I466" s="17">
        <f ca="1">DATE(YEAR(TODAY())-1,3,17)</f>
        <v>44272</v>
      </c>
      <c r="J466" s="17">
        <f ca="1">DATE(YEAR(TODAY())-1,3,21)</f>
        <v>44276</v>
      </c>
      <c r="K466" s="1" t="s">
        <v>87</v>
      </c>
      <c r="L466" s="1" t="s">
        <v>73</v>
      </c>
      <c r="M466" s="1">
        <v>775</v>
      </c>
      <c r="N466" s="1" cm="1">
        <f t="array" ref="N466">_xlfn.RANK.EQ(M466,total_money_spent)</f>
        <v>362</v>
      </c>
      <c r="O466" s="1">
        <f t="shared" ca="1" si="7"/>
        <v>4</v>
      </c>
    </row>
    <row r="467" spans="1:15" ht="13.8" x14ac:dyDescent="0.25">
      <c r="A467" s="1" t="s">
        <v>1065</v>
      </c>
      <c r="B467" s="1" t="s">
        <v>1062</v>
      </c>
      <c r="C467" s="1" t="s">
        <v>64</v>
      </c>
      <c r="D467" s="1" t="s">
        <v>65</v>
      </c>
      <c r="E467" s="1" t="s">
        <v>1063</v>
      </c>
      <c r="F467" s="1" t="s">
        <v>1064</v>
      </c>
      <c r="G467" s="1">
        <v>2009</v>
      </c>
      <c r="H467" s="1" t="s">
        <v>44</v>
      </c>
      <c r="I467" s="17">
        <f ca="1">DATE(YEAR(TODAY())-1,6,26)</f>
        <v>44373</v>
      </c>
      <c r="J467" s="17">
        <f ca="1">DATE(YEAR(TODAY())-1,6,27)</f>
        <v>44374</v>
      </c>
      <c r="K467" s="1" t="s">
        <v>82</v>
      </c>
      <c r="L467" s="1" t="s">
        <v>34</v>
      </c>
      <c r="M467" s="1">
        <v>663</v>
      </c>
      <c r="N467" s="1" cm="1">
        <f t="array" ref="N467">_xlfn.RANK.EQ(M467,total_money_spent)</f>
        <v>545</v>
      </c>
      <c r="O467" s="1">
        <f t="shared" ca="1" si="7"/>
        <v>1</v>
      </c>
    </row>
    <row r="468" spans="1:15" ht="13.8" x14ac:dyDescent="0.25">
      <c r="A468" s="1" t="s">
        <v>259</v>
      </c>
      <c r="B468" s="1" t="s">
        <v>260</v>
      </c>
      <c r="C468" s="1" t="s">
        <v>229</v>
      </c>
      <c r="D468" s="1" t="s">
        <v>230</v>
      </c>
      <c r="E468" s="1" t="s">
        <v>261</v>
      </c>
      <c r="F468" s="1" t="s">
        <v>262</v>
      </c>
      <c r="G468" s="1">
        <v>2010</v>
      </c>
      <c r="H468" s="1" t="s">
        <v>44</v>
      </c>
      <c r="I468" s="17">
        <f ca="1">DATE(YEAR(TODAY())-2,11,3)</f>
        <v>44138</v>
      </c>
      <c r="J468" s="17">
        <f ca="1">DATE(YEAR(TODAY())-2,11,7)</f>
        <v>44142</v>
      </c>
      <c r="K468" s="1" t="s">
        <v>16</v>
      </c>
      <c r="L468" s="1" t="s">
        <v>34</v>
      </c>
      <c r="M468" s="1">
        <v>828</v>
      </c>
      <c r="N468" s="1" cm="1">
        <f t="array" ref="N468">_xlfn.RANK.EQ(M468,total_money_spent)</f>
        <v>255</v>
      </c>
      <c r="O468" s="1">
        <f t="shared" ca="1" si="7"/>
        <v>4</v>
      </c>
    </row>
    <row r="469" spans="1:15" ht="13.8" x14ac:dyDescent="0.25">
      <c r="A469" s="1" t="s">
        <v>289</v>
      </c>
      <c r="B469" s="1" t="s">
        <v>290</v>
      </c>
      <c r="C469" s="1" t="s">
        <v>64</v>
      </c>
      <c r="D469" s="1" t="s">
        <v>65</v>
      </c>
      <c r="E469" s="1" t="s">
        <v>291</v>
      </c>
      <c r="F469" s="1" t="s">
        <v>292</v>
      </c>
      <c r="G469" s="1">
        <v>2003</v>
      </c>
      <c r="H469" s="1" t="s">
        <v>24</v>
      </c>
      <c r="I469" s="17">
        <f ca="1">DATE(YEAR(TODAY())-1,5,20)</f>
        <v>44336</v>
      </c>
      <c r="J469" s="17">
        <f ca="1">DATE(YEAR(TODAY())-1,5,26)</f>
        <v>44342</v>
      </c>
      <c r="K469" s="1" t="s">
        <v>61</v>
      </c>
      <c r="L469" s="1" t="s">
        <v>34</v>
      </c>
      <c r="M469" s="1">
        <v>896</v>
      </c>
      <c r="N469" s="1" cm="1">
        <f t="array" ref="N469">_xlfn.RANK.EQ(M469,total_money_spent)</f>
        <v>161</v>
      </c>
      <c r="O469" s="1">
        <f t="shared" ca="1" si="7"/>
        <v>6</v>
      </c>
    </row>
    <row r="470" spans="1:15" ht="13.8" x14ac:dyDescent="0.25">
      <c r="A470" s="1" t="s">
        <v>345</v>
      </c>
      <c r="B470" s="1" t="s">
        <v>342</v>
      </c>
      <c r="C470" s="1" t="s">
        <v>96</v>
      </c>
      <c r="D470" s="1" t="s">
        <v>96</v>
      </c>
      <c r="E470" s="1" t="s">
        <v>343</v>
      </c>
      <c r="F470" s="1" t="s">
        <v>344</v>
      </c>
      <c r="G470" s="1" t="s">
        <v>226</v>
      </c>
      <c r="H470" s="1" t="s">
        <v>32</v>
      </c>
      <c r="I470" s="17">
        <f ca="1">DATE(YEAR(TODAY())-1,3,19)</f>
        <v>44274</v>
      </c>
      <c r="J470" s="17">
        <f ca="1">DATE(YEAR(TODAY())-1,3,25)</f>
        <v>44280</v>
      </c>
      <c r="K470" s="1" t="s">
        <v>87</v>
      </c>
      <c r="L470" s="1" t="s">
        <v>73</v>
      </c>
      <c r="M470" s="1">
        <v>838</v>
      </c>
      <c r="N470" s="1" cm="1">
        <f t="array" ref="N470">_xlfn.RANK.EQ(M470,total_money_spent)</f>
        <v>237</v>
      </c>
      <c r="O470" s="1">
        <f t="shared" ca="1" si="7"/>
        <v>6</v>
      </c>
    </row>
    <row r="471" spans="1:15" ht="13.8" x14ac:dyDescent="0.25">
      <c r="A471" s="1" t="s">
        <v>768</v>
      </c>
      <c r="B471" s="1" t="s">
        <v>764</v>
      </c>
      <c r="C471" s="1" t="s">
        <v>170</v>
      </c>
      <c r="D471" s="1" t="s">
        <v>171</v>
      </c>
      <c r="E471" s="1" t="s">
        <v>765</v>
      </c>
      <c r="F471" s="1" t="s">
        <v>766</v>
      </c>
      <c r="G471" s="1">
        <v>2007</v>
      </c>
      <c r="H471" s="1" t="s">
        <v>44</v>
      </c>
      <c r="I471" s="17">
        <f ca="1">DATE(YEAR(TODAY())-1,9,9)</f>
        <v>44448</v>
      </c>
      <c r="J471" s="17">
        <f ca="1">DATE(YEAR(TODAY())-1,9,10)</f>
        <v>44449</v>
      </c>
      <c r="K471" s="1" t="s">
        <v>87</v>
      </c>
      <c r="L471" s="1" t="s">
        <v>73</v>
      </c>
      <c r="M471" s="1">
        <v>665</v>
      </c>
      <c r="N471" s="1" cm="1">
        <f t="array" ref="N471">_xlfn.RANK.EQ(M471,total_money_spent)</f>
        <v>537</v>
      </c>
      <c r="O471" s="1">
        <f t="shared" ca="1" si="7"/>
        <v>1</v>
      </c>
    </row>
    <row r="472" spans="1:15" ht="13.8" x14ac:dyDescent="0.25">
      <c r="A472" s="1" t="s">
        <v>354</v>
      </c>
      <c r="B472" s="1" t="s">
        <v>351</v>
      </c>
      <c r="C472" s="1" t="s">
        <v>96</v>
      </c>
      <c r="D472" s="1" t="s">
        <v>96</v>
      </c>
      <c r="E472" s="1" t="s">
        <v>352</v>
      </c>
      <c r="F472" s="1" t="s">
        <v>353</v>
      </c>
      <c r="G472" s="1">
        <v>2004</v>
      </c>
      <c r="H472" s="1" t="s">
        <v>24</v>
      </c>
      <c r="I472" s="17">
        <f ca="1">DATE(YEAR(TODAY())-1,1,14)</f>
        <v>44210</v>
      </c>
      <c r="J472" s="17">
        <f ca="1">DATE(YEAR(TODAY())-1,1,17)</f>
        <v>44213</v>
      </c>
      <c r="K472" s="1" t="s">
        <v>82</v>
      </c>
      <c r="L472" s="1" t="s">
        <v>34</v>
      </c>
      <c r="M472" s="1">
        <v>771</v>
      </c>
      <c r="N472" s="1" cm="1">
        <f t="array" ref="N472">_xlfn.RANK.EQ(M472,total_money_spent)</f>
        <v>374</v>
      </c>
      <c r="O472" s="1">
        <f t="shared" ca="1" si="7"/>
        <v>3</v>
      </c>
    </row>
    <row r="473" spans="1:15" ht="13.8" x14ac:dyDescent="0.25">
      <c r="A473" s="1" t="s">
        <v>692</v>
      </c>
      <c r="B473" s="1" t="s">
        <v>688</v>
      </c>
      <c r="C473" s="1" t="s">
        <v>504</v>
      </c>
      <c r="D473" s="1" t="s">
        <v>187</v>
      </c>
      <c r="E473" s="1" t="s">
        <v>689</v>
      </c>
      <c r="F473" s="1" t="s">
        <v>690</v>
      </c>
      <c r="G473" s="1" t="s">
        <v>54</v>
      </c>
      <c r="H473" s="1" t="s">
        <v>32</v>
      </c>
      <c r="I473" s="17">
        <f ca="1">DATE(YEAR(TODAY())-1,5,13)</f>
        <v>44329</v>
      </c>
      <c r="J473" s="17">
        <f ca="1">DATE(YEAR(TODAY())-1,5,17)</f>
        <v>44333</v>
      </c>
      <c r="K473" s="1" t="s">
        <v>87</v>
      </c>
      <c r="L473" s="1" t="s">
        <v>73</v>
      </c>
      <c r="M473" s="1">
        <v>796</v>
      </c>
      <c r="N473" s="1" cm="1">
        <f t="array" ref="N473">_xlfn.RANK.EQ(M473,total_money_spent)</f>
        <v>304</v>
      </c>
      <c r="O473" s="1">
        <f t="shared" ca="1" si="7"/>
        <v>4</v>
      </c>
    </row>
    <row r="474" spans="1:15" ht="13.8" x14ac:dyDescent="0.25">
      <c r="A474" s="1" t="s">
        <v>589</v>
      </c>
      <c r="B474" s="1" t="s">
        <v>590</v>
      </c>
      <c r="C474" s="1" t="s">
        <v>270</v>
      </c>
      <c r="D474" s="1" t="s">
        <v>271</v>
      </c>
      <c r="E474" s="1" t="s">
        <v>591</v>
      </c>
      <c r="F474" s="1" t="s">
        <v>592</v>
      </c>
      <c r="G474" s="1">
        <v>2001</v>
      </c>
      <c r="H474" s="1" t="s">
        <v>24</v>
      </c>
      <c r="I474" s="17">
        <f ca="1">DATE(YEAR(TODAY())-1,2,5)</f>
        <v>44232</v>
      </c>
      <c r="J474" s="17">
        <f ca="1">DATE(YEAR(TODAY())-1,2,9)</f>
        <v>44236</v>
      </c>
      <c r="K474" s="1" t="s">
        <v>61</v>
      </c>
      <c r="L474" s="1" t="s">
        <v>34</v>
      </c>
      <c r="M474" s="1">
        <v>811</v>
      </c>
      <c r="N474" s="1" cm="1">
        <f t="array" ref="N474">_xlfn.RANK.EQ(M474,total_money_spent)</f>
        <v>264</v>
      </c>
      <c r="O474" s="1">
        <f t="shared" ca="1" si="7"/>
        <v>4</v>
      </c>
    </row>
    <row r="475" spans="1:15" ht="13.8" x14ac:dyDescent="0.25">
      <c r="A475" s="1" t="s">
        <v>682</v>
      </c>
      <c r="B475" s="1" t="s">
        <v>679</v>
      </c>
      <c r="C475" s="1" t="s">
        <v>131</v>
      </c>
      <c r="D475" s="1" t="s">
        <v>132</v>
      </c>
      <c r="E475" s="1" t="s">
        <v>680</v>
      </c>
      <c r="F475" s="1" t="s">
        <v>681</v>
      </c>
      <c r="G475" s="1">
        <v>3004</v>
      </c>
      <c r="H475" s="1" t="s">
        <v>203</v>
      </c>
      <c r="I475" s="17">
        <f ca="1">DATE(YEAR(TODAY())-1,6,25)</f>
        <v>44372</v>
      </c>
      <c r="J475" s="17">
        <f ca="1">DATE(YEAR(TODAY())-1,7,2)</f>
        <v>44379</v>
      </c>
      <c r="K475" s="1" t="s">
        <v>72</v>
      </c>
      <c r="L475" s="1" t="s">
        <v>73</v>
      </c>
      <c r="M475" s="1">
        <v>1260</v>
      </c>
      <c r="N475" s="1" cm="1">
        <f t="array" ref="N475">_xlfn.RANK.EQ(M475,total_money_spent)</f>
        <v>10</v>
      </c>
      <c r="O475" s="1">
        <f t="shared" ca="1" si="7"/>
        <v>7</v>
      </c>
    </row>
    <row r="476" spans="1:15" ht="13.8" x14ac:dyDescent="0.25">
      <c r="A476" s="1" t="s">
        <v>105</v>
      </c>
      <c r="B476" s="1" t="s">
        <v>100</v>
      </c>
      <c r="C476" s="1" t="s">
        <v>106</v>
      </c>
      <c r="D476" s="1" t="s">
        <v>107</v>
      </c>
      <c r="E476" s="1" t="s">
        <v>103</v>
      </c>
      <c r="F476" s="1" t="s">
        <v>104</v>
      </c>
      <c r="G476" s="1">
        <v>3001</v>
      </c>
      <c r="H476" s="1" t="s">
        <v>81</v>
      </c>
      <c r="I476" s="17">
        <f ca="1">DATE(YEAR(TODAY())-2,12,26)</f>
        <v>44191</v>
      </c>
      <c r="J476" s="17">
        <f ca="1">DATE(YEAR(TODAY())-2,12,28)</f>
        <v>44193</v>
      </c>
      <c r="K476" s="1" t="s">
        <v>87</v>
      </c>
      <c r="L476" s="1" t="s">
        <v>73</v>
      </c>
      <c r="M476" s="1">
        <v>748</v>
      </c>
      <c r="N476" s="1" cm="1">
        <f t="array" ref="N476">_xlfn.RANK.EQ(M476,total_money_spent)</f>
        <v>408</v>
      </c>
      <c r="O476" s="1">
        <f t="shared" ca="1" si="7"/>
        <v>2</v>
      </c>
    </row>
    <row r="477" spans="1:15" ht="13.8" x14ac:dyDescent="0.25">
      <c r="A477" s="1" t="s">
        <v>1143</v>
      </c>
      <c r="B477" s="1" t="s">
        <v>1139</v>
      </c>
      <c r="C477" s="1" t="s">
        <v>91</v>
      </c>
      <c r="D477" s="1" t="s">
        <v>91</v>
      </c>
      <c r="E477" s="1" t="s">
        <v>1140</v>
      </c>
      <c r="F477" s="1" t="s">
        <v>1141</v>
      </c>
      <c r="G477" s="1" t="s">
        <v>122</v>
      </c>
      <c r="H477" s="1" t="s">
        <v>32</v>
      </c>
      <c r="I477" s="17">
        <f ca="1">DATE(YEAR(TODAY())-1,2,3)</f>
        <v>44230</v>
      </c>
      <c r="J477" s="17">
        <f ca="1">DATE(YEAR(TODAY())-1,2,6)</f>
        <v>44233</v>
      </c>
      <c r="K477" s="1" t="s">
        <v>61</v>
      </c>
      <c r="L477" s="1" t="s">
        <v>34</v>
      </c>
      <c r="M477" s="1">
        <v>734</v>
      </c>
      <c r="N477" s="1" cm="1">
        <f t="array" ref="N477">_xlfn.RANK.EQ(M477,total_money_spent)</f>
        <v>444</v>
      </c>
      <c r="O477" s="1">
        <f t="shared" ca="1" si="7"/>
        <v>3</v>
      </c>
    </row>
    <row r="478" spans="1:15" ht="13.8" x14ac:dyDescent="0.25">
      <c r="A478" s="1" t="s">
        <v>1262</v>
      </c>
      <c r="B478" s="1" t="s">
        <v>1263</v>
      </c>
      <c r="C478" s="1" t="s">
        <v>197</v>
      </c>
      <c r="D478" s="1" t="s">
        <v>198</v>
      </c>
      <c r="E478" s="1" t="s">
        <v>1264</v>
      </c>
      <c r="F478" s="1" t="s">
        <v>1265</v>
      </c>
      <c r="G478" s="1">
        <v>3003</v>
      </c>
      <c r="H478" s="1" t="s">
        <v>81</v>
      </c>
      <c r="I478" s="17">
        <f ca="1">DATE(YEAR(TODAY())-1,7,29)</f>
        <v>44406</v>
      </c>
      <c r="J478" s="17">
        <f ca="1">DATE(YEAR(TODAY())-1,7,31)</f>
        <v>44408</v>
      </c>
      <c r="K478" s="1" t="s">
        <v>25</v>
      </c>
      <c r="L478" s="1" t="s">
        <v>25</v>
      </c>
      <c r="M478" s="1">
        <v>741</v>
      </c>
      <c r="N478" s="1" cm="1">
        <f t="array" ref="N478">_xlfn.RANK.EQ(M478,total_money_spent)</f>
        <v>422</v>
      </c>
      <c r="O478" s="1">
        <f t="shared" ca="1" si="7"/>
        <v>2</v>
      </c>
    </row>
    <row r="479" spans="1:15" ht="13.8" x14ac:dyDescent="0.25">
      <c r="A479" s="1" t="s">
        <v>45</v>
      </c>
      <c r="B479" s="1" t="s">
        <v>46</v>
      </c>
      <c r="C479" s="1" t="s">
        <v>47</v>
      </c>
      <c r="D479" s="1" t="s">
        <v>48</v>
      </c>
      <c r="E479" s="1" t="s">
        <v>49</v>
      </c>
      <c r="F479" s="1" t="s">
        <v>50</v>
      </c>
      <c r="G479" s="1">
        <v>2006</v>
      </c>
      <c r="H479" s="1" t="s">
        <v>24</v>
      </c>
      <c r="I479" s="17">
        <f ca="1">DATE(YEAR(TODAY())-1,2,29)</f>
        <v>44256</v>
      </c>
      <c r="J479" s="17">
        <f ca="1">DATE(YEAR(TODAY())-1,3,7)</f>
        <v>44262</v>
      </c>
      <c r="K479" s="1" t="s">
        <v>25</v>
      </c>
      <c r="L479" s="1" t="s">
        <v>25</v>
      </c>
      <c r="M479" s="1">
        <v>911</v>
      </c>
      <c r="N479" s="1" cm="1">
        <f t="array" ref="N479">_xlfn.RANK.EQ(M479,total_money_spent)</f>
        <v>122</v>
      </c>
      <c r="O479" s="1">
        <f t="shared" ca="1" si="7"/>
        <v>6</v>
      </c>
    </row>
    <row r="480" spans="1:15" ht="13.8" x14ac:dyDescent="0.25">
      <c r="A480" s="1" t="s">
        <v>279</v>
      </c>
      <c r="B480" s="1" t="s">
        <v>276</v>
      </c>
      <c r="C480" s="1" t="s">
        <v>125</v>
      </c>
      <c r="D480" s="1" t="s">
        <v>126</v>
      </c>
      <c r="E480" s="1" t="s">
        <v>277</v>
      </c>
      <c r="F480" s="1" t="s">
        <v>278</v>
      </c>
      <c r="G480" s="1">
        <v>2005</v>
      </c>
      <c r="H480" s="1" t="s">
        <v>24</v>
      </c>
      <c r="I480" s="17">
        <f ca="1">DATE(YEAR(TODAY())-1,8,30)</f>
        <v>44438</v>
      </c>
      <c r="J480" s="17">
        <f ca="1">DATE(YEAR(TODAY())-1,9,2)</f>
        <v>44441</v>
      </c>
      <c r="K480" s="1" t="s">
        <v>136</v>
      </c>
      <c r="L480" s="1" t="s">
        <v>137</v>
      </c>
      <c r="M480" s="1">
        <v>763</v>
      </c>
      <c r="N480" s="1" cm="1">
        <f t="array" ref="N480">_xlfn.RANK.EQ(M480,total_money_spent)</f>
        <v>390</v>
      </c>
      <c r="O480" s="1">
        <f t="shared" ca="1" si="7"/>
        <v>3</v>
      </c>
    </row>
    <row r="481" spans="1:15" ht="13.8" x14ac:dyDescent="0.25">
      <c r="A481" s="1" t="s">
        <v>646</v>
      </c>
      <c r="B481" s="1" t="s">
        <v>647</v>
      </c>
      <c r="C481" s="1" t="s">
        <v>70</v>
      </c>
      <c r="D481" s="1" t="s">
        <v>70</v>
      </c>
      <c r="E481" s="1" t="s">
        <v>648</v>
      </c>
      <c r="F481" s="1" t="s">
        <v>649</v>
      </c>
      <c r="G481" s="1">
        <v>2009</v>
      </c>
      <c r="H481" s="1" t="s">
        <v>44</v>
      </c>
      <c r="I481" s="17">
        <f ca="1">DATE(YEAR(TODAY())-1,4,30)</f>
        <v>44316</v>
      </c>
      <c r="J481" s="17">
        <f ca="1">DATE(YEAR(TODAY())-1,5,6)</f>
        <v>44322</v>
      </c>
      <c r="K481" s="1" t="s">
        <v>61</v>
      </c>
      <c r="L481" s="1" t="s">
        <v>34</v>
      </c>
      <c r="M481" s="1">
        <v>971</v>
      </c>
      <c r="N481" s="1" cm="1">
        <f t="array" ref="N481">_xlfn.RANK.EQ(M481,total_money_spent)</f>
        <v>78</v>
      </c>
      <c r="O481" s="1">
        <f t="shared" ca="1" si="7"/>
        <v>6</v>
      </c>
    </row>
    <row r="482" spans="1:15" ht="13.8" x14ac:dyDescent="0.25">
      <c r="A482" s="1" t="s">
        <v>1071</v>
      </c>
      <c r="B482" s="1" t="s">
        <v>1068</v>
      </c>
      <c r="C482" s="1" t="s">
        <v>131</v>
      </c>
      <c r="D482" s="1" t="s">
        <v>132</v>
      </c>
      <c r="E482" s="1" t="s">
        <v>1069</v>
      </c>
      <c r="F482" s="1" t="s">
        <v>1070</v>
      </c>
      <c r="G482" s="1" t="s">
        <v>226</v>
      </c>
      <c r="H482" s="1" t="s">
        <v>32</v>
      </c>
      <c r="I482" s="17">
        <f ca="1">DATE(YEAR(TODAY())-1,5,15)</f>
        <v>44331</v>
      </c>
      <c r="J482" s="17">
        <f ca="1">DATE(YEAR(TODAY())-1,5,20)</f>
        <v>44336</v>
      </c>
      <c r="K482" s="1" t="s">
        <v>25</v>
      </c>
      <c r="L482" s="1" t="s">
        <v>25</v>
      </c>
      <c r="M482" s="1">
        <v>798</v>
      </c>
      <c r="N482" s="1" cm="1">
        <f t="array" ref="N482">_xlfn.RANK.EQ(M482,total_money_spent)</f>
        <v>298</v>
      </c>
      <c r="O482" s="1">
        <f t="shared" ca="1" si="7"/>
        <v>5</v>
      </c>
    </row>
    <row r="483" spans="1:15" ht="13.8" x14ac:dyDescent="0.25">
      <c r="A483" s="1" t="s">
        <v>420</v>
      </c>
      <c r="B483" s="1" t="s">
        <v>416</v>
      </c>
      <c r="C483" s="1" t="s">
        <v>170</v>
      </c>
      <c r="D483" s="1" t="s">
        <v>171</v>
      </c>
      <c r="E483" s="1" t="s">
        <v>417</v>
      </c>
      <c r="F483" s="1" t="s">
        <v>418</v>
      </c>
      <c r="G483" s="1">
        <v>2002</v>
      </c>
      <c r="H483" s="1" t="s">
        <v>24</v>
      </c>
      <c r="I483" s="17">
        <f ca="1">DATE(YEAR(TODAY())-1,9,11)</f>
        <v>44450</v>
      </c>
      <c r="J483" s="17">
        <f ca="1">DATE(YEAR(TODAY())-1,9,14)</f>
        <v>44453</v>
      </c>
      <c r="K483" s="1" t="s">
        <v>72</v>
      </c>
      <c r="L483" s="1" t="s">
        <v>73</v>
      </c>
      <c r="M483" s="1">
        <v>775</v>
      </c>
      <c r="N483" s="1" cm="1">
        <f t="array" ref="N483">_xlfn.RANK.EQ(M483,total_money_spent)</f>
        <v>362</v>
      </c>
      <c r="O483" s="1">
        <f t="shared" ca="1" si="7"/>
        <v>3</v>
      </c>
    </row>
    <row r="484" spans="1:15" ht="13.8" x14ac:dyDescent="0.25">
      <c r="A484" s="1" t="s">
        <v>775</v>
      </c>
      <c r="B484" s="1" t="s">
        <v>776</v>
      </c>
      <c r="C484" s="1" t="s">
        <v>64</v>
      </c>
      <c r="D484" s="1" t="s">
        <v>65</v>
      </c>
      <c r="E484" s="1" t="s">
        <v>777</v>
      </c>
      <c r="F484" s="1" t="s">
        <v>778</v>
      </c>
      <c r="G484" s="1">
        <v>2006</v>
      </c>
      <c r="H484" s="1" t="s">
        <v>24</v>
      </c>
      <c r="I484" s="17">
        <f ca="1">DATE(YEAR(TODAY())-1,5,3)</f>
        <v>44319</v>
      </c>
      <c r="J484" s="17">
        <f ca="1">DATE(YEAR(TODAY())-1,5,6)</f>
        <v>44322</v>
      </c>
      <c r="K484" s="1" t="s">
        <v>72</v>
      </c>
      <c r="L484" s="1" t="s">
        <v>73</v>
      </c>
      <c r="M484" s="1">
        <v>773</v>
      </c>
      <c r="N484" s="1" cm="1">
        <f t="array" ref="N484">_xlfn.RANK.EQ(M484,total_money_spent)</f>
        <v>369</v>
      </c>
      <c r="O484" s="1">
        <f t="shared" ca="1" si="7"/>
        <v>3</v>
      </c>
    </row>
    <row r="485" spans="1:15" ht="13.8" x14ac:dyDescent="0.25">
      <c r="A485" s="1" t="s">
        <v>1271</v>
      </c>
      <c r="B485" s="1" t="s">
        <v>1272</v>
      </c>
      <c r="C485" s="1" t="s">
        <v>246</v>
      </c>
      <c r="D485" s="1" t="s">
        <v>247</v>
      </c>
      <c r="E485" s="1" t="s">
        <v>1273</v>
      </c>
      <c r="F485" s="1" t="s">
        <v>1274</v>
      </c>
      <c r="G485" s="1" t="s">
        <v>226</v>
      </c>
      <c r="H485" s="1" t="s">
        <v>32</v>
      </c>
      <c r="I485" s="17">
        <f ca="1">DATE(YEAR(TODAY())-1,7,17)</f>
        <v>44394</v>
      </c>
      <c r="J485" s="17">
        <f ca="1">DATE(YEAR(TODAY())-1,7,23)</f>
        <v>44400</v>
      </c>
      <c r="K485" s="1" t="s">
        <v>34</v>
      </c>
      <c r="L485" s="1" t="s">
        <v>34</v>
      </c>
      <c r="M485" s="1">
        <v>831</v>
      </c>
      <c r="N485" s="1" cm="1">
        <f t="array" ref="N485">_xlfn.RANK.EQ(M485,total_money_spent)</f>
        <v>251</v>
      </c>
      <c r="O485" s="1">
        <f t="shared" ca="1" si="7"/>
        <v>6</v>
      </c>
    </row>
    <row r="486" spans="1:15" ht="13.8" x14ac:dyDescent="0.25">
      <c r="A486" s="1" t="s">
        <v>864</v>
      </c>
      <c r="B486" s="1" t="s">
        <v>859</v>
      </c>
      <c r="C486" s="1" t="s">
        <v>101</v>
      </c>
      <c r="D486" s="1" t="s">
        <v>102</v>
      </c>
      <c r="E486" s="1" t="s">
        <v>860</v>
      </c>
      <c r="F486" s="1" t="s">
        <v>861</v>
      </c>
      <c r="G486" s="1" t="s">
        <v>122</v>
      </c>
      <c r="H486" s="1" t="s">
        <v>32</v>
      </c>
      <c r="I486" s="17">
        <f ca="1">DATE(YEAR(TODAY())-2,11,18)</f>
        <v>44153</v>
      </c>
      <c r="J486" s="17">
        <f ca="1">DATE(YEAR(TODAY())-2,11,21)</f>
        <v>44156</v>
      </c>
      <c r="K486" s="1" t="s">
        <v>34</v>
      </c>
      <c r="L486" s="1" t="s">
        <v>34</v>
      </c>
      <c r="M486" s="1">
        <v>737</v>
      </c>
      <c r="N486" s="1" cm="1">
        <f t="array" ref="N486">_xlfn.RANK.EQ(M486,total_money_spent)</f>
        <v>437</v>
      </c>
      <c r="O486" s="1">
        <f t="shared" ca="1" si="7"/>
        <v>3</v>
      </c>
    </row>
    <row r="487" spans="1:15" ht="13.8" x14ac:dyDescent="0.25">
      <c r="A487" s="1" t="s">
        <v>457</v>
      </c>
      <c r="B487" s="1" t="s">
        <v>458</v>
      </c>
      <c r="C487" s="1" t="s">
        <v>91</v>
      </c>
      <c r="D487" s="1" t="s">
        <v>91</v>
      </c>
      <c r="E487" s="1" t="s">
        <v>459</v>
      </c>
      <c r="F487" s="1" t="s">
        <v>460</v>
      </c>
      <c r="G487" s="1">
        <v>2008</v>
      </c>
      <c r="H487" s="1" t="s">
        <v>44</v>
      </c>
      <c r="I487" s="17">
        <f ca="1">DATE(YEAR(TODAY())-1,8,13)</f>
        <v>44421</v>
      </c>
      <c r="J487" s="17">
        <f ca="1">DATE(YEAR(TODAY())-1,8,15)</f>
        <v>44423</v>
      </c>
      <c r="K487" s="1" t="s">
        <v>25</v>
      </c>
      <c r="L487" s="1" t="s">
        <v>25</v>
      </c>
      <c r="M487" s="1">
        <v>736</v>
      </c>
      <c r="N487" s="1" cm="1">
        <f t="array" ref="N487">_xlfn.RANK.EQ(M487,total_money_spent)</f>
        <v>440</v>
      </c>
      <c r="O487" s="1">
        <f t="shared" ca="1" si="7"/>
        <v>2</v>
      </c>
    </row>
    <row r="488" spans="1:15" ht="13.8" x14ac:dyDescent="0.25">
      <c r="A488" s="1" t="s">
        <v>1072</v>
      </c>
      <c r="B488" s="1" t="s">
        <v>1068</v>
      </c>
      <c r="C488" s="1" t="s">
        <v>106</v>
      </c>
      <c r="D488" s="1" t="s">
        <v>107</v>
      </c>
      <c r="E488" s="1" t="s">
        <v>1069</v>
      </c>
      <c r="F488" s="1" t="s">
        <v>1070</v>
      </c>
      <c r="G488" s="1" t="s">
        <v>54</v>
      </c>
      <c r="H488" s="1" t="s">
        <v>32</v>
      </c>
      <c r="I488" s="17">
        <f ca="1">DATE(YEAR(TODAY())-1,3,29)</f>
        <v>44284</v>
      </c>
      <c r="J488" s="17">
        <f ca="1">DATE(YEAR(TODAY())-1,3,30)</f>
        <v>44285</v>
      </c>
      <c r="K488" s="1" t="s">
        <v>143</v>
      </c>
      <c r="L488" s="1" t="s">
        <v>25</v>
      </c>
      <c r="M488" s="1">
        <v>668</v>
      </c>
      <c r="N488" s="1" cm="1">
        <f t="array" ref="N488">_xlfn.RANK.EQ(M488,total_money_spent)</f>
        <v>525</v>
      </c>
      <c r="O488" s="1">
        <f t="shared" ca="1" si="7"/>
        <v>1</v>
      </c>
    </row>
    <row r="489" spans="1:15" ht="13.8" x14ac:dyDescent="0.25">
      <c r="A489" s="1" t="s">
        <v>601</v>
      </c>
      <c r="B489" s="1" t="s">
        <v>602</v>
      </c>
      <c r="C489" s="1" t="s">
        <v>210</v>
      </c>
      <c r="D489" s="1" t="s">
        <v>211</v>
      </c>
      <c r="E489" s="1" t="s">
        <v>603</v>
      </c>
      <c r="F489" s="1" t="s">
        <v>604</v>
      </c>
      <c r="G489" s="1">
        <v>2002</v>
      </c>
      <c r="H489" s="1" t="s">
        <v>24</v>
      </c>
      <c r="I489" s="17">
        <f ca="1">DATE(YEAR(TODAY())-2,11,6)</f>
        <v>44141</v>
      </c>
      <c r="J489" s="17">
        <f ca="1">DATE(YEAR(TODAY())-2,11,8)</f>
        <v>44143</v>
      </c>
      <c r="K489" s="1" t="s">
        <v>34</v>
      </c>
      <c r="L489" s="1" t="s">
        <v>34</v>
      </c>
      <c r="M489" s="1">
        <v>717</v>
      </c>
      <c r="N489" s="1" cm="1">
        <f t="array" ref="N489">_xlfn.RANK.EQ(M489,total_money_spent)</f>
        <v>464</v>
      </c>
      <c r="O489" s="1">
        <f t="shared" ca="1" si="7"/>
        <v>2</v>
      </c>
    </row>
    <row r="490" spans="1:15" ht="13.8" x14ac:dyDescent="0.25">
      <c r="A490" s="1" t="s">
        <v>799</v>
      </c>
      <c r="B490" s="1" t="s">
        <v>800</v>
      </c>
      <c r="C490" s="1" t="s">
        <v>210</v>
      </c>
      <c r="D490" s="1" t="s">
        <v>211</v>
      </c>
      <c r="E490" s="1" t="s">
        <v>801</v>
      </c>
      <c r="F490" s="1" t="s">
        <v>802</v>
      </c>
      <c r="G490" s="1">
        <v>2006</v>
      </c>
      <c r="H490" s="1" t="s">
        <v>24</v>
      </c>
      <c r="I490" s="17">
        <f ca="1">DATE(YEAR(TODAY())-1,7,28)</f>
        <v>44405</v>
      </c>
      <c r="J490" s="17">
        <f ca="1">DATE(YEAR(TODAY())-1,7,29)</f>
        <v>44406</v>
      </c>
      <c r="K490" s="1" t="s">
        <v>87</v>
      </c>
      <c r="L490" s="1" t="s">
        <v>73</v>
      </c>
      <c r="M490" s="1">
        <v>651</v>
      </c>
      <c r="N490" s="1" cm="1">
        <f t="array" ref="N490">_xlfn.RANK.EQ(M490,total_money_spent)</f>
        <v>586</v>
      </c>
      <c r="O490" s="1">
        <f t="shared" ca="1" si="7"/>
        <v>1</v>
      </c>
    </row>
    <row r="491" spans="1:15" ht="13.8" x14ac:dyDescent="0.25">
      <c r="A491" s="1" t="s">
        <v>1172</v>
      </c>
      <c r="B491" s="1" t="s">
        <v>1167</v>
      </c>
      <c r="C491" s="1" t="s">
        <v>20</v>
      </c>
      <c r="D491" s="1" t="s">
        <v>21</v>
      </c>
      <c r="E491" s="1" t="s">
        <v>1168</v>
      </c>
      <c r="F491" s="1" t="s">
        <v>1169</v>
      </c>
      <c r="G491" s="1">
        <v>2010</v>
      </c>
      <c r="H491" s="1" t="s">
        <v>44</v>
      </c>
      <c r="I491" s="17">
        <f ca="1">DATE(YEAR(TODAY())-1,2,25)</f>
        <v>44252</v>
      </c>
      <c r="J491" s="17">
        <f ca="1">DATE(YEAR(TODAY())-1,2,26)</f>
        <v>44253</v>
      </c>
      <c r="K491" s="1" t="s">
        <v>136</v>
      </c>
      <c r="L491" s="1" t="s">
        <v>137</v>
      </c>
      <c r="M491" s="1">
        <v>662</v>
      </c>
      <c r="N491" s="1" cm="1">
        <f t="array" ref="N491">_xlfn.RANK.EQ(M491,total_money_spent)</f>
        <v>549</v>
      </c>
      <c r="O491" s="1">
        <f t="shared" ca="1" si="7"/>
        <v>1</v>
      </c>
    </row>
    <row r="492" spans="1:15" ht="13.8" x14ac:dyDescent="0.25">
      <c r="A492" s="1" t="s">
        <v>156</v>
      </c>
      <c r="B492" s="1" t="s">
        <v>151</v>
      </c>
      <c r="C492" s="1" t="s">
        <v>157</v>
      </c>
      <c r="D492" s="1" t="s">
        <v>158</v>
      </c>
      <c r="F492" s="1" t="s">
        <v>155</v>
      </c>
      <c r="G492" s="1" t="s">
        <v>54</v>
      </c>
      <c r="H492" s="1" t="s">
        <v>32</v>
      </c>
      <c r="I492" s="17">
        <f ca="1">DATE(YEAR(TODAY())-1,9,1)</f>
        <v>44440</v>
      </c>
      <c r="J492" s="17">
        <f ca="1">DATE(YEAR(TODAY())-1,9,3)</f>
        <v>44442</v>
      </c>
      <c r="K492" s="1" t="s">
        <v>143</v>
      </c>
      <c r="L492" s="1" t="s">
        <v>25</v>
      </c>
      <c r="M492" s="1">
        <v>694</v>
      </c>
      <c r="N492" s="1" cm="1">
        <f t="array" ref="N492">_xlfn.RANK.EQ(M492,total_money_spent)</f>
        <v>492</v>
      </c>
      <c r="O492" s="1">
        <f t="shared" ca="1" si="7"/>
        <v>2</v>
      </c>
    </row>
    <row r="493" spans="1:15" ht="13.8" x14ac:dyDescent="0.25">
      <c r="A493" s="1" t="s">
        <v>1449</v>
      </c>
      <c r="B493" s="1" t="s">
        <v>1446</v>
      </c>
      <c r="C493" s="1" t="s">
        <v>147</v>
      </c>
      <c r="D493" s="1" t="s">
        <v>147</v>
      </c>
      <c r="F493" s="1" t="s">
        <v>1448</v>
      </c>
      <c r="G493" s="1">
        <v>2009</v>
      </c>
      <c r="H493" s="1" t="s">
        <v>44</v>
      </c>
      <c r="I493" s="17">
        <f ca="1">DATE(YEAR(TODAY())-1,5,6)</f>
        <v>44322</v>
      </c>
      <c r="J493" s="17">
        <f ca="1">DATE(YEAR(TODAY())-1,5,10)</f>
        <v>44326</v>
      </c>
      <c r="K493" s="1" t="s">
        <v>25</v>
      </c>
      <c r="L493" s="1" t="s">
        <v>25</v>
      </c>
      <c r="M493" s="1">
        <v>839</v>
      </c>
      <c r="N493" s="1" cm="1">
        <f t="array" ref="N493">_xlfn.RANK.EQ(M493,total_money_spent)</f>
        <v>235</v>
      </c>
      <c r="O493" s="1">
        <f t="shared" ca="1" si="7"/>
        <v>4</v>
      </c>
    </row>
    <row r="494" spans="1:15" ht="13.8" x14ac:dyDescent="0.25">
      <c r="A494" s="1" t="s">
        <v>190</v>
      </c>
      <c r="B494" s="1" t="s">
        <v>185</v>
      </c>
      <c r="C494" s="1" t="s">
        <v>157</v>
      </c>
      <c r="D494" s="1" t="s">
        <v>158</v>
      </c>
      <c r="E494" s="1" t="s">
        <v>188</v>
      </c>
      <c r="F494" s="1" t="s">
        <v>189</v>
      </c>
      <c r="G494" s="1">
        <v>2003</v>
      </c>
      <c r="H494" s="1" t="s">
        <v>24</v>
      </c>
      <c r="I494" s="17">
        <f ca="1">DATE(YEAR(TODAY())-1,5,8)</f>
        <v>44324</v>
      </c>
      <c r="J494" s="17">
        <f ca="1">DATE(YEAR(TODAY())-1,5,11)</f>
        <v>44327</v>
      </c>
      <c r="K494" s="1" t="s">
        <v>143</v>
      </c>
      <c r="L494" s="1" t="s">
        <v>25</v>
      </c>
      <c r="M494" s="1">
        <v>766</v>
      </c>
      <c r="N494" s="1" cm="1">
        <f t="array" ref="N494">_xlfn.RANK.EQ(M494,total_money_spent)</f>
        <v>384</v>
      </c>
      <c r="O494" s="1">
        <f t="shared" ca="1" si="7"/>
        <v>3</v>
      </c>
    </row>
    <row r="495" spans="1:15" ht="13.8" x14ac:dyDescent="0.25">
      <c r="A495" s="1" t="s">
        <v>957</v>
      </c>
      <c r="B495" s="1" t="s">
        <v>953</v>
      </c>
      <c r="C495" s="1" t="s">
        <v>166</v>
      </c>
      <c r="D495" s="1" t="s">
        <v>166</v>
      </c>
      <c r="E495" s="1" t="s">
        <v>955</v>
      </c>
      <c r="F495" s="1" t="s">
        <v>956</v>
      </c>
      <c r="G495" s="1" t="s">
        <v>226</v>
      </c>
      <c r="H495" s="1" t="s">
        <v>32</v>
      </c>
      <c r="I495" s="17">
        <f ca="1">DATE(YEAR(TODAY())-1,1,24)</f>
        <v>44220</v>
      </c>
      <c r="J495" s="17">
        <f ca="1">DATE(YEAR(TODAY())-1,1,30)</f>
        <v>44226</v>
      </c>
      <c r="K495" s="1" t="s">
        <v>25</v>
      </c>
      <c r="L495" s="1" t="s">
        <v>25</v>
      </c>
      <c r="M495" s="1">
        <v>834</v>
      </c>
      <c r="N495" s="1" cm="1">
        <f t="array" ref="N495">_xlfn.RANK.EQ(M495,total_money_spent)</f>
        <v>245</v>
      </c>
      <c r="O495" s="1">
        <f t="shared" ca="1" si="7"/>
        <v>6</v>
      </c>
    </row>
    <row r="496" spans="1:15" ht="13.8" x14ac:dyDescent="0.25">
      <c r="A496" s="1" t="s">
        <v>1427</v>
      </c>
      <c r="B496" s="1" t="s">
        <v>1424</v>
      </c>
      <c r="C496" s="1" t="s">
        <v>197</v>
      </c>
      <c r="D496" s="1" t="s">
        <v>198</v>
      </c>
      <c r="E496" s="1" t="s">
        <v>1425</v>
      </c>
      <c r="F496" s="1" t="s">
        <v>1426</v>
      </c>
      <c r="G496" s="1">
        <v>3004</v>
      </c>
      <c r="H496" s="1" t="s">
        <v>203</v>
      </c>
      <c r="I496" s="17">
        <f ca="1">DATE(YEAR(TODAY())-1,9,11)</f>
        <v>44450</v>
      </c>
      <c r="J496" s="17">
        <f ca="1">DATE(YEAR(TODAY())-1,9,18)</f>
        <v>44457</v>
      </c>
      <c r="K496" s="1" t="s">
        <v>25</v>
      </c>
      <c r="L496" s="1" t="s">
        <v>25</v>
      </c>
      <c r="M496" s="1">
        <v>1225</v>
      </c>
      <c r="N496" s="1" cm="1">
        <f t="array" ref="N496">_xlfn.RANK.EQ(M496,total_money_spent)</f>
        <v>12</v>
      </c>
      <c r="O496" s="1">
        <f t="shared" ca="1" si="7"/>
        <v>7</v>
      </c>
    </row>
    <row r="497" spans="1:15" ht="13.8" x14ac:dyDescent="0.25">
      <c r="A497" s="1" t="s">
        <v>637</v>
      </c>
      <c r="B497" s="1" t="s">
        <v>638</v>
      </c>
      <c r="C497" s="1" t="s">
        <v>106</v>
      </c>
      <c r="D497" s="1" t="s">
        <v>107</v>
      </c>
      <c r="E497" s="1" t="s">
        <v>639</v>
      </c>
      <c r="F497" s="1" t="s">
        <v>640</v>
      </c>
      <c r="G497" s="1">
        <v>3001</v>
      </c>
      <c r="H497" s="1" t="s">
        <v>81</v>
      </c>
      <c r="I497" s="17">
        <f ca="1">DATE(YEAR(TODAY())-1,3,17)</f>
        <v>44272</v>
      </c>
      <c r="J497" s="17">
        <f ca="1">DATE(YEAR(TODAY())-1,3,18)</f>
        <v>44273</v>
      </c>
      <c r="K497" s="1" t="s">
        <v>87</v>
      </c>
      <c r="L497" s="1" t="s">
        <v>73</v>
      </c>
      <c r="M497" s="1">
        <v>654</v>
      </c>
      <c r="N497" s="1" cm="1">
        <f t="array" ref="N497">_xlfn.RANK.EQ(M497,total_money_spent)</f>
        <v>579</v>
      </c>
      <c r="O497" s="1">
        <f t="shared" ca="1" si="7"/>
        <v>1</v>
      </c>
    </row>
    <row r="498" spans="1:15" ht="13.8" x14ac:dyDescent="0.25">
      <c r="A498" s="1" t="s">
        <v>159</v>
      </c>
      <c r="B498" s="1" t="s">
        <v>160</v>
      </c>
      <c r="C498" s="1" t="s">
        <v>125</v>
      </c>
      <c r="D498" s="1" t="s">
        <v>126</v>
      </c>
      <c r="E498" s="1" t="s">
        <v>161</v>
      </c>
      <c r="F498" s="1" t="s">
        <v>162</v>
      </c>
      <c r="G498" s="1">
        <v>2009</v>
      </c>
      <c r="H498" s="1" t="s">
        <v>44</v>
      </c>
      <c r="I498" s="17">
        <f ca="1">DATE(YEAR(TODAY())-1,6,15)</f>
        <v>44362</v>
      </c>
      <c r="J498" s="17">
        <f ca="1">DATE(YEAR(TODAY())-1,6,19)</f>
        <v>44366</v>
      </c>
      <c r="K498" s="1" t="s">
        <v>61</v>
      </c>
      <c r="L498" s="1" t="s">
        <v>34</v>
      </c>
      <c r="M498" s="1">
        <v>834</v>
      </c>
      <c r="N498" s="1" cm="1">
        <f t="array" ref="N498">_xlfn.RANK.EQ(M498,total_money_spent)</f>
        <v>245</v>
      </c>
      <c r="O498" s="1">
        <f t="shared" ca="1" si="7"/>
        <v>4</v>
      </c>
    </row>
    <row r="499" spans="1:15" ht="13.8" x14ac:dyDescent="0.25">
      <c r="A499" s="1" t="s">
        <v>492</v>
      </c>
      <c r="B499" s="1" t="s">
        <v>490</v>
      </c>
      <c r="C499" s="1" t="s">
        <v>270</v>
      </c>
      <c r="D499" s="1" t="s">
        <v>271</v>
      </c>
      <c r="E499" s="1" t="s">
        <v>493</v>
      </c>
      <c r="F499" s="1" t="s">
        <v>491</v>
      </c>
      <c r="G499" s="1" t="s">
        <v>226</v>
      </c>
      <c r="H499" s="1" t="s">
        <v>32</v>
      </c>
      <c r="I499" s="17">
        <f ca="1">DATE(YEAR(TODAY())-2,12,12)</f>
        <v>44177</v>
      </c>
      <c r="J499" s="17">
        <f ca="1">DATE(YEAR(TODAY())-2,12,13)</f>
        <v>44178</v>
      </c>
      <c r="K499" s="1" t="s">
        <v>34</v>
      </c>
      <c r="L499" s="1" t="s">
        <v>34</v>
      </c>
      <c r="M499" s="1">
        <v>667</v>
      </c>
      <c r="N499" s="1" cm="1">
        <f t="array" ref="N499">_xlfn.RANK.EQ(M499,total_money_spent)</f>
        <v>529</v>
      </c>
      <c r="O499" s="1">
        <f t="shared" ca="1" si="7"/>
        <v>1</v>
      </c>
    </row>
    <row r="500" spans="1:15" ht="13.8" x14ac:dyDescent="0.25">
      <c r="A500" s="1" t="s">
        <v>383</v>
      </c>
      <c r="B500" s="1" t="s">
        <v>379</v>
      </c>
      <c r="C500" s="1" t="s">
        <v>118</v>
      </c>
      <c r="D500" s="1" t="s">
        <v>119</v>
      </c>
      <c r="E500" s="1" t="s">
        <v>380</v>
      </c>
      <c r="F500" s="1" t="s">
        <v>381</v>
      </c>
      <c r="G500" s="1" t="s">
        <v>31</v>
      </c>
      <c r="H500" s="1" t="s">
        <v>32</v>
      </c>
      <c r="I500" s="17">
        <f ca="1">DATE(YEAR(TODAY())-1,7,4)</f>
        <v>44381</v>
      </c>
      <c r="J500" s="17">
        <f ca="1">DATE(YEAR(TODAY())-1,7,9)</f>
        <v>44386</v>
      </c>
      <c r="K500" s="1" t="s">
        <v>25</v>
      </c>
      <c r="L500" s="1" t="s">
        <v>25</v>
      </c>
      <c r="M500" s="1">
        <v>801</v>
      </c>
      <c r="N500" s="1" cm="1">
        <f t="array" ref="N500">_xlfn.RANK.EQ(M500,total_money_spent)</f>
        <v>289</v>
      </c>
      <c r="O500" s="1">
        <f t="shared" ca="1" si="7"/>
        <v>5</v>
      </c>
    </row>
    <row r="501" spans="1:15" ht="13.8" x14ac:dyDescent="0.25">
      <c r="A501" s="1" t="s">
        <v>1125</v>
      </c>
      <c r="B501" s="1" t="s">
        <v>1126</v>
      </c>
      <c r="C501" s="1" t="s">
        <v>152</v>
      </c>
      <c r="D501" s="1" t="s">
        <v>153</v>
      </c>
      <c r="E501" s="1" t="s">
        <v>1127</v>
      </c>
      <c r="F501" s="1" t="s">
        <v>1128</v>
      </c>
      <c r="G501" s="1">
        <v>3003</v>
      </c>
      <c r="H501" s="1" t="s">
        <v>81</v>
      </c>
      <c r="I501" s="17">
        <f ca="1">DATE(YEAR(TODAY())-1,3,4)</f>
        <v>44259</v>
      </c>
      <c r="J501" s="17">
        <f ca="1">DATE(YEAR(TODAY())-1,3,7)</f>
        <v>44262</v>
      </c>
      <c r="K501" s="1" t="s">
        <v>72</v>
      </c>
      <c r="L501" s="1" t="s">
        <v>73</v>
      </c>
      <c r="M501" s="1">
        <v>779</v>
      </c>
      <c r="N501" s="1" cm="1">
        <f t="array" ref="N501">_xlfn.RANK.EQ(M501,total_money_spent)</f>
        <v>347</v>
      </c>
      <c r="O501" s="1">
        <f t="shared" ca="1" si="7"/>
        <v>3</v>
      </c>
    </row>
    <row r="502" spans="1:15" ht="13.8" x14ac:dyDescent="0.25">
      <c r="A502" s="1" t="s">
        <v>505</v>
      </c>
      <c r="B502" s="1" t="s">
        <v>506</v>
      </c>
      <c r="C502" s="1" t="s">
        <v>57</v>
      </c>
      <c r="D502" s="1" t="s">
        <v>57</v>
      </c>
      <c r="E502" s="1" t="s">
        <v>507</v>
      </c>
      <c r="F502" s="1" t="s">
        <v>508</v>
      </c>
      <c r="G502" s="1">
        <v>3001</v>
      </c>
      <c r="H502" s="1" t="s">
        <v>81</v>
      </c>
      <c r="I502" s="17">
        <f ca="1">DATE(YEAR(TODAY())-1,4,15)</f>
        <v>44301</v>
      </c>
      <c r="J502" s="17">
        <f ca="1">DATE(YEAR(TODAY())-1,4,21)</f>
        <v>44307</v>
      </c>
      <c r="K502" s="1" t="s">
        <v>87</v>
      </c>
      <c r="L502" s="1" t="s">
        <v>73</v>
      </c>
      <c r="M502" s="1">
        <v>998</v>
      </c>
      <c r="N502" s="1" cm="1">
        <f t="array" ref="N502">_xlfn.RANK.EQ(M502,total_money_spent)</f>
        <v>57</v>
      </c>
      <c r="O502" s="1">
        <f t="shared" ca="1" si="7"/>
        <v>6</v>
      </c>
    </row>
    <row r="503" spans="1:15" ht="13.8" x14ac:dyDescent="0.25">
      <c r="A503" s="1" t="s">
        <v>1188</v>
      </c>
      <c r="B503" s="1" t="s">
        <v>1185</v>
      </c>
      <c r="C503" s="1" t="s">
        <v>119</v>
      </c>
      <c r="D503" s="1" t="s">
        <v>119</v>
      </c>
      <c r="E503" s="1" t="s">
        <v>1186</v>
      </c>
      <c r="F503" s="1" t="s">
        <v>1187</v>
      </c>
      <c r="G503" s="1">
        <v>2009</v>
      </c>
      <c r="H503" s="1" t="s">
        <v>44</v>
      </c>
      <c r="I503" s="17">
        <f ca="1">DATE(YEAR(TODAY())-1,8,19)</f>
        <v>44427</v>
      </c>
      <c r="J503" s="17">
        <f ca="1">DATE(YEAR(TODAY())-1,8,24)</f>
        <v>44432</v>
      </c>
      <c r="K503" s="1" t="s">
        <v>61</v>
      </c>
      <c r="L503" s="1" t="s">
        <v>34</v>
      </c>
      <c r="M503" s="1">
        <v>905</v>
      </c>
      <c r="N503" s="1" cm="1">
        <f t="array" ref="N503">_xlfn.RANK.EQ(M503,total_money_spent)</f>
        <v>140</v>
      </c>
      <c r="O503" s="1">
        <f t="shared" ca="1" si="7"/>
        <v>5</v>
      </c>
    </row>
    <row r="504" spans="1:15" ht="13.8" x14ac:dyDescent="0.25">
      <c r="A504" s="1" t="s">
        <v>1453</v>
      </c>
      <c r="B504" s="1" t="s">
        <v>1454</v>
      </c>
      <c r="C504" s="1" t="s">
        <v>337</v>
      </c>
      <c r="D504" s="1" t="s">
        <v>338</v>
      </c>
      <c r="E504" s="1" t="s">
        <v>1455</v>
      </c>
      <c r="F504" s="1" t="s">
        <v>1456</v>
      </c>
      <c r="G504" s="1">
        <v>2007</v>
      </c>
      <c r="H504" s="1" t="s">
        <v>44</v>
      </c>
      <c r="I504" s="17">
        <f ca="1">DATE(YEAR(TODAY())-1,5,26)</f>
        <v>44342</v>
      </c>
      <c r="J504" s="17">
        <f ca="1">DATE(YEAR(TODAY())-1,5,30)</f>
        <v>44346</v>
      </c>
      <c r="K504" s="1" t="s">
        <v>25</v>
      </c>
      <c r="L504" s="1" t="s">
        <v>25</v>
      </c>
      <c r="M504" s="1">
        <v>840</v>
      </c>
      <c r="N504" s="1" cm="1">
        <f t="array" ref="N504">_xlfn.RANK.EQ(M504,total_money_spent)</f>
        <v>233</v>
      </c>
      <c r="O504" s="1">
        <f t="shared" ca="1" si="7"/>
        <v>4</v>
      </c>
    </row>
    <row r="505" spans="1:15" ht="13.8" x14ac:dyDescent="0.25">
      <c r="A505" s="1" t="s">
        <v>1400</v>
      </c>
      <c r="B505" s="1" t="s">
        <v>1401</v>
      </c>
      <c r="C505" s="1" t="s">
        <v>70</v>
      </c>
      <c r="D505" s="1" t="s">
        <v>70</v>
      </c>
      <c r="E505" s="1" t="s">
        <v>1402</v>
      </c>
      <c r="F505" s="1" t="s">
        <v>1403</v>
      </c>
      <c r="G505" s="1" t="s">
        <v>115</v>
      </c>
      <c r="H505" s="1" t="s">
        <v>32</v>
      </c>
      <c r="I505" s="17">
        <f ca="1">DATE(YEAR(TODAY())-1,7,23)</f>
        <v>44400</v>
      </c>
      <c r="J505" s="17">
        <f ca="1">DATE(YEAR(TODAY())-1,7,30)</f>
        <v>44407</v>
      </c>
      <c r="K505" s="1" t="s">
        <v>34</v>
      </c>
      <c r="L505" s="1" t="s">
        <v>34</v>
      </c>
      <c r="M505" s="1">
        <v>905</v>
      </c>
      <c r="N505" s="1" cm="1">
        <f t="array" ref="N505">_xlfn.RANK.EQ(M505,total_money_spent)</f>
        <v>140</v>
      </c>
      <c r="O505" s="1">
        <f t="shared" ca="1" si="7"/>
        <v>7</v>
      </c>
    </row>
    <row r="506" spans="1:15" ht="13.8" x14ac:dyDescent="0.25">
      <c r="A506" s="1" t="s">
        <v>983</v>
      </c>
      <c r="B506" s="1" t="s">
        <v>978</v>
      </c>
      <c r="C506" s="1" t="s">
        <v>177</v>
      </c>
      <c r="D506" s="1" t="s">
        <v>178</v>
      </c>
      <c r="E506" s="1" t="s">
        <v>979</v>
      </c>
      <c r="F506" s="1" t="s">
        <v>980</v>
      </c>
      <c r="G506" s="1">
        <v>3002</v>
      </c>
      <c r="H506" s="1" t="s">
        <v>81</v>
      </c>
      <c r="I506" s="17">
        <f ca="1">DATE(YEAR(TODAY())-1,5,20)</f>
        <v>44336</v>
      </c>
      <c r="J506" s="17">
        <f ca="1">DATE(YEAR(TODAY())-1,5,27)</f>
        <v>44343</v>
      </c>
      <c r="K506" s="1" t="s">
        <v>143</v>
      </c>
      <c r="L506" s="1" t="s">
        <v>25</v>
      </c>
      <c r="M506" s="1">
        <v>1122</v>
      </c>
      <c r="N506" s="1" cm="1">
        <f t="array" ref="N506">_xlfn.RANK.EQ(M506,total_money_spent)</f>
        <v>20</v>
      </c>
      <c r="O506" s="1">
        <f t="shared" ca="1" si="7"/>
        <v>7</v>
      </c>
    </row>
    <row r="507" spans="1:15" ht="13.8" x14ac:dyDescent="0.25">
      <c r="A507" s="1" t="s">
        <v>677</v>
      </c>
      <c r="B507" s="1" t="s">
        <v>670</v>
      </c>
      <c r="C507" s="1" t="s">
        <v>166</v>
      </c>
      <c r="D507" s="1" t="s">
        <v>166</v>
      </c>
      <c r="E507" s="1" t="s">
        <v>671</v>
      </c>
      <c r="F507" s="1" t="s">
        <v>672</v>
      </c>
      <c r="G507" s="1" t="s">
        <v>115</v>
      </c>
      <c r="H507" s="1" t="s">
        <v>32</v>
      </c>
      <c r="I507" s="17">
        <f ca="1">DATE(YEAR(TODAY())-1,5,13)</f>
        <v>44329</v>
      </c>
      <c r="J507" s="17">
        <f ca="1">DATE(YEAR(TODAY())-1,5,20)</f>
        <v>44336</v>
      </c>
      <c r="K507" s="1" t="s">
        <v>25</v>
      </c>
      <c r="L507" s="1" t="s">
        <v>25</v>
      </c>
      <c r="M507" s="1">
        <v>912</v>
      </c>
      <c r="N507" s="1" cm="1">
        <f t="array" ref="N507">_xlfn.RANK.EQ(M507,total_money_spent)</f>
        <v>119</v>
      </c>
      <c r="O507" s="1">
        <f t="shared" ca="1" si="7"/>
        <v>7</v>
      </c>
    </row>
    <row r="508" spans="1:15" ht="13.8" x14ac:dyDescent="0.25">
      <c r="A508" s="1" t="s">
        <v>835</v>
      </c>
      <c r="B508" s="1" t="s">
        <v>836</v>
      </c>
      <c r="C508" s="1" t="s">
        <v>250</v>
      </c>
      <c r="D508" s="1" t="s">
        <v>53</v>
      </c>
      <c r="F508" s="1" t="s">
        <v>837</v>
      </c>
      <c r="G508" s="1">
        <v>2002</v>
      </c>
      <c r="H508" s="1" t="s">
        <v>24</v>
      </c>
      <c r="I508" s="17">
        <f ca="1">DATE(YEAR(TODAY())-2,10,14)</f>
        <v>44118</v>
      </c>
      <c r="J508" s="17">
        <f ca="1">DATE(YEAR(TODAY())-2,10,21)</f>
        <v>44125</v>
      </c>
      <c r="K508" s="1" t="s">
        <v>136</v>
      </c>
      <c r="L508" s="1" t="s">
        <v>137</v>
      </c>
      <c r="M508" s="1">
        <v>973</v>
      </c>
      <c r="N508" s="1" cm="1">
        <f t="array" ref="N508">_xlfn.RANK.EQ(M508,total_money_spent)</f>
        <v>74</v>
      </c>
      <c r="O508" s="1">
        <f t="shared" ca="1" si="7"/>
        <v>7</v>
      </c>
    </row>
    <row r="509" spans="1:15" ht="13.8" x14ac:dyDescent="0.25">
      <c r="A509" s="1" t="s">
        <v>1077</v>
      </c>
      <c r="B509" s="1" t="s">
        <v>1074</v>
      </c>
      <c r="C509" s="1" t="s">
        <v>76</v>
      </c>
      <c r="D509" s="1" t="s">
        <v>77</v>
      </c>
      <c r="E509" s="1" t="s">
        <v>1075</v>
      </c>
      <c r="F509" s="1" t="s">
        <v>1076</v>
      </c>
      <c r="G509" s="1">
        <v>3005</v>
      </c>
      <c r="H509" s="1" t="s">
        <v>203</v>
      </c>
      <c r="I509" s="17">
        <f ca="1">DATE(YEAR(TODAY())-1,6,18)</f>
        <v>44365</v>
      </c>
      <c r="J509" s="17">
        <f ca="1">DATE(YEAR(TODAY())-1,6,19)</f>
        <v>44366</v>
      </c>
      <c r="K509" s="1" t="s">
        <v>87</v>
      </c>
      <c r="L509" s="1" t="s">
        <v>73</v>
      </c>
      <c r="M509" s="1">
        <v>665</v>
      </c>
      <c r="N509" s="1" cm="1">
        <f t="array" ref="N509">_xlfn.RANK.EQ(M509,total_money_spent)</f>
        <v>537</v>
      </c>
      <c r="O509" s="1">
        <f t="shared" ca="1" si="7"/>
        <v>1</v>
      </c>
    </row>
    <row r="510" spans="1:15" ht="13.8" x14ac:dyDescent="0.25">
      <c r="A510" s="1" t="s">
        <v>674</v>
      </c>
      <c r="B510" s="1" t="s">
        <v>670</v>
      </c>
      <c r="C510" s="1" t="s">
        <v>119</v>
      </c>
      <c r="D510" s="1" t="s">
        <v>119</v>
      </c>
      <c r="E510" s="1" t="s">
        <v>671</v>
      </c>
      <c r="F510" s="1" t="s">
        <v>672</v>
      </c>
      <c r="G510" s="1">
        <v>2006</v>
      </c>
      <c r="H510" s="1" t="s">
        <v>24</v>
      </c>
      <c r="I510" s="17">
        <f ca="1">DATE(YEAR(TODAY())-1,3,10)</f>
        <v>44265</v>
      </c>
      <c r="J510" s="17">
        <f ca="1">DATE(YEAR(TODAY())-1,3,17)</f>
        <v>44272</v>
      </c>
      <c r="K510" s="1" t="s">
        <v>72</v>
      </c>
      <c r="L510" s="1" t="s">
        <v>73</v>
      </c>
      <c r="M510" s="1">
        <v>969</v>
      </c>
      <c r="N510" s="1" cm="1">
        <f t="array" ref="N510">_xlfn.RANK.EQ(M510,total_money_spent)</f>
        <v>81</v>
      </c>
      <c r="O510" s="1">
        <f t="shared" ca="1" si="7"/>
        <v>7</v>
      </c>
    </row>
    <row r="511" spans="1:15" ht="13.8" x14ac:dyDescent="0.25">
      <c r="A511" s="1" t="s">
        <v>1183</v>
      </c>
      <c r="B511" s="1" t="s">
        <v>1179</v>
      </c>
      <c r="C511" s="1" t="s">
        <v>76</v>
      </c>
      <c r="D511" s="1" t="s">
        <v>77</v>
      </c>
      <c r="E511" s="1" t="s">
        <v>1180</v>
      </c>
      <c r="F511" s="1" t="s">
        <v>1181</v>
      </c>
      <c r="G511" s="1" t="s">
        <v>115</v>
      </c>
      <c r="H511" s="1" t="s">
        <v>32</v>
      </c>
      <c r="I511" s="17">
        <f ca="1">DATE(YEAR(TODAY())-1,5,2)</f>
        <v>44318</v>
      </c>
      <c r="J511" s="17">
        <f ca="1">DATE(YEAR(TODAY())-1,5,6)</f>
        <v>44322</v>
      </c>
      <c r="K511" s="1" t="s">
        <v>34</v>
      </c>
      <c r="L511" s="1" t="s">
        <v>34</v>
      </c>
      <c r="M511" s="1">
        <v>800</v>
      </c>
      <c r="N511" s="1" cm="1">
        <f t="array" ref="N511">_xlfn.RANK.EQ(M511,total_money_spent)</f>
        <v>292</v>
      </c>
      <c r="O511" s="1">
        <f t="shared" ca="1" si="7"/>
        <v>4</v>
      </c>
    </row>
    <row r="512" spans="1:15" ht="13.8" x14ac:dyDescent="0.25">
      <c r="A512" s="1" t="s">
        <v>1237</v>
      </c>
      <c r="B512" s="1" t="s">
        <v>1234</v>
      </c>
      <c r="C512" s="1" t="s">
        <v>206</v>
      </c>
      <c r="D512" s="1" t="s">
        <v>21</v>
      </c>
      <c r="E512" s="1" t="s">
        <v>1235</v>
      </c>
      <c r="F512" s="1" t="s">
        <v>1236</v>
      </c>
      <c r="G512" s="1">
        <v>3002</v>
      </c>
      <c r="H512" s="1" t="s">
        <v>81</v>
      </c>
      <c r="I512" s="17">
        <f ca="1">DATE(YEAR(TODAY())-1,1,26)</f>
        <v>44222</v>
      </c>
      <c r="J512" s="17">
        <f ca="1">DATE(YEAR(TODAY())-1,2,3)</f>
        <v>44230</v>
      </c>
      <c r="K512" s="1" t="s">
        <v>61</v>
      </c>
      <c r="L512" s="1" t="s">
        <v>34</v>
      </c>
      <c r="M512" s="1">
        <v>1280</v>
      </c>
      <c r="N512" s="1" cm="1">
        <f t="array" ref="N512">_xlfn.RANK.EQ(M512,total_money_spent)</f>
        <v>8</v>
      </c>
      <c r="O512" s="1">
        <f t="shared" ca="1" si="7"/>
        <v>8</v>
      </c>
    </row>
    <row r="513" spans="1:15" ht="13.8" x14ac:dyDescent="0.25">
      <c r="A513" s="1" t="s">
        <v>900</v>
      </c>
      <c r="B513" s="1" t="s">
        <v>901</v>
      </c>
      <c r="C513" s="1" t="s">
        <v>337</v>
      </c>
      <c r="D513" s="1" t="s">
        <v>338</v>
      </c>
      <c r="E513" s="1" t="s">
        <v>902</v>
      </c>
      <c r="F513" s="1" t="s">
        <v>903</v>
      </c>
      <c r="G513" s="1">
        <v>2002</v>
      </c>
      <c r="H513" s="1" t="s">
        <v>24</v>
      </c>
      <c r="I513" s="17">
        <f ca="1">DATE(YEAR(TODAY())-1,3,28)</f>
        <v>44283</v>
      </c>
      <c r="J513" s="17">
        <f ca="1">DATE(YEAR(TODAY())-1,4,1)</f>
        <v>44287</v>
      </c>
      <c r="K513" s="1" t="s">
        <v>82</v>
      </c>
      <c r="L513" s="1" t="s">
        <v>34</v>
      </c>
      <c r="M513" s="1">
        <v>792</v>
      </c>
      <c r="N513" s="1" cm="1">
        <f t="array" ref="N513">_xlfn.RANK.EQ(M513,total_money_spent)</f>
        <v>316</v>
      </c>
      <c r="O513" s="1">
        <f t="shared" ca="1" si="7"/>
        <v>4</v>
      </c>
    </row>
    <row r="514" spans="1:15" ht="13.8" x14ac:dyDescent="0.25">
      <c r="A514" s="1" t="s">
        <v>630</v>
      </c>
      <c r="B514" s="1" t="s">
        <v>631</v>
      </c>
      <c r="C514" s="1" t="s">
        <v>76</v>
      </c>
      <c r="D514" s="1" t="s">
        <v>77</v>
      </c>
      <c r="F514" s="1" t="s">
        <v>632</v>
      </c>
      <c r="G514" s="1">
        <v>2007</v>
      </c>
      <c r="H514" s="1" t="s">
        <v>44</v>
      </c>
      <c r="I514" s="17">
        <f ca="1">DATE(YEAR(TODAY())-1,7,3)</f>
        <v>44380</v>
      </c>
      <c r="J514" s="17">
        <f ca="1">DATE(YEAR(TODAY())-1,7,8)</f>
        <v>44385</v>
      </c>
      <c r="K514" s="1" t="s">
        <v>136</v>
      </c>
      <c r="L514" s="1" t="s">
        <v>137</v>
      </c>
      <c r="M514" s="1">
        <v>907</v>
      </c>
      <c r="N514" s="1" cm="1">
        <f t="array" ref="N514">_xlfn.RANK.EQ(M514,total_money_spent)</f>
        <v>134</v>
      </c>
      <c r="O514" s="1">
        <f t="shared" ca="1" si="7"/>
        <v>5</v>
      </c>
    </row>
    <row r="515" spans="1:15" ht="13.8" x14ac:dyDescent="0.25">
      <c r="A515" s="1" t="s">
        <v>1189</v>
      </c>
      <c r="B515" s="1" t="s">
        <v>1185</v>
      </c>
      <c r="C515" s="1" t="s">
        <v>110</v>
      </c>
      <c r="D515" s="1" t="s">
        <v>111</v>
      </c>
      <c r="E515" s="1" t="s">
        <v>1186</v>
      </c>
      <c r="F515" s="1" t="s">
        <v>1187</v>
      </c>
      <c r="G515" s="1">
        <v>3003</v>
      </c>
      <c r="H515" s="1" t="s">
        <v>81</v>
      </c>
      <c r="I515" s="17">
        <f ca="1">DATE(YEAR(TODAY())-2,11,5)</f>
        <v>44140</v>
      </c>
      <c r="J515" s="17">
        <f ca="1">DATE(YEAR(TODAY())-2,11,12)</f>
        <v>44147</v>
      </c>
      <c r="K515" s="1" t="s">
        <v>25</v>
      </c>
      <c r="L515" s="1" t="s">
        <v>25</v>
      </c>
      <c r="M515" s="1">
        <v>1275</v>
      </c>
      <c r="N515" s="1" cm="1">
        <f t="array" ref="N515">_xlfn.RANK.EQ(M515,total_money_spent)</f>
        <v>9</v>
      </c>
      <c r="O515" s="1">
        <f t="shared" ref="O515:O578" ca="1" si="8">J515-I515</f>
        <v>7</v>
      </c>
    </row>
    <row r="516" spans="1:15" ht="13.8" x14ac:dyDescent="0.25">
      <c r="A516" s="1" t="s">
        <v>324</v>
      </c>
      <c r="B516" s="1" t="s">
        <v>325</v>
      </c>
      <c r="C516" s="1" t="s">
        <v>326</v>
      </c>
      <c r="D516" s="1" t="s">
        <v>140</v>
      </c>
      <c r="E516" s="1" t="s">
        <v>327</v>
      </c>
      <c r="F516" s="1" t="s">
        <v>328</v>
      </c>
      <c r="G516" s="1">
        <v>2003</v>
      </c>
      <c r="H516" s="1" t="s">
        <v>24</v>
      </c>
      <c r="I516" s="17">
        <f ca="1">DATE(YEAR(TODAY())-1,4,27)</f>
        <v>44313</v>
      </c>
      <c r="J516" s="17">
        <f ca="1">DATE(YEAR(TODAY())-1,5,1)</f>
        <v>44317</v>
      </c>
      <c r="K516" s="1" t="s">
        <v>16</v>
      </c>
      <c r="L516" s="1" t="s">
        <v>34</v>
      </c>
      <c r="M516" s="1">
        <v>793</v>
      </c>
      <c r="N516" s="1" cm="1">
        <f t="array" ref="N516">_xlfn.RANK.EQ(M516,total_money_spent)</f>
        <v>313</v>
      </c>
      <c r="O516" s="1">
        <f t="shared" ca="1" si="8"/>
        <v>4</v>
      </c>
    </row>
    <row r="517" spans="1:15" ht="13.8" x14ac:dyDescent="0.25">
      <c r="A517" s="1" t="s">
        <v>1291</v>
      </c>
      <c r="B517" s="1" t="s">
        <v>1286</v>
      </c>
      <c r="C517" s="1" t="s">
        <v>229</v>
      </c>
      <c r="D517" s="1" t="s">
        <v>230</v>
      </c>
      <c r="E517" s="1" t="s">
        <v>1287</v>
      </c>
      <c r="F517" s="1" t="s">
        <v>1288</v>
      </c>
      <c r="G517" s="1" t="s">
        <v>122</v>
      </c>
      <c r="H517" s="1" t="s">
        <v>32</v>
      </c>
      <c r="I517" s="17">
        <f ca="1">DATE(YEAR(TODAY())-1,5,9)</f>
        <v>44325</v>
      </c>
      <c r="J517" s="17">
        <f ca="1">DATE(YEAR(TODAY())-1,5,11)</f>
        <v>44327</v>
      </c>
      <c r="K517" s="1" t="s">
        <v>16</v>
      </c>
      <c r="L517" s="1" t="s">
        <v>34</v>
      </c>
      <c r="M517" s="1">
        <v>685</v>
      </c>
      <c r="N517" s="1" cm="1">
        <f t="array" ref="N517">_xlfn.RANK.EQ(M517,total_money_spent)</f>
        <v>501</v>
      </c>
      <c r="O517" s="1">
        <f t="shared" ca="1" si="8"/>
        <v>2</v>
      </c>
    </row>
    <row r="518" spans="1:15" ht="13.8" x14ac:dyDescent="0.25">
      <c r="A518" s="1" t="s">
        <v>1017</v>
      </c>
      <c r="B518" s="1" t="s">
        <v>1013</v>
      </c>
      <c r="C518" s="1" t="s">
        <v>305</v>
      </c>
      <c r="D518" s="1" t="s">
        <v>211</v>
      </c>
      <c r="E518" s="1" t="s">
        <v>1014</v>
      </c>
      <c r="F518" s="1" t="s">
        <v>1015</v>
      </c>
      <c r="G518" s="1">
        <v>2010</v>
      </c>
      <c r="H518" s="1" t="s">
        <v>44</v>
      </c>
      <c r="I518" s="17">
        <f ca="1">DATE(YEAR(TODAY())-2,11,20)</f>
        <v>44155</v>
      </c>
      <c r="J518" s="17">
        <f ca="1">DATE(YEAR(TODAY())-2,11,27)</f>
        <v>44162</v>
      </c>
      <c r="K518" s="1" t="s">
        <v>16</v>
      </c>
      <c r="L518" s="1" t="s">
        <v>34</v>
      </c>
      <c r="M518" s="1">
        <v>1078</v>
      </c>
      <c r="N518" s="1" cm="1">
        <f t="array" ref="N518">_xlfn.RANK.EQ(M518,total_money_spent)</f>
        <v>23</v>
      </c>
      <c r="O518" s="1">
        <f t="shared" ca="1" si="8"/>
        <v>7</v>
      </c>
    </row>
    <row r="519" spans="1:15" ht="13.8" x14ac:dyDescent="0.25">
      <c r="A519" s="1" t="s">
        <v>1395</v>
      </c>
      <c r="B519" s="1" t="s">
        <v>1396</v>
      </c>
      <c r="C519" s="1" t="s">
        <v>101</v>
      </c>
      <c r="D519" s="1" t="s">
        <v>102</v>
      </c>
      <c r="E519" s="1" t="s">
        <v>1397</v>
      </c>
      <c r="F519" s="1" t="s">
        <v>1398</v>
      </c>
      <c r="G519" s="1">
        <v>2001</v>
      </c>
      <c r="H519" s="1" t="s">
        <v>24</v>
      </c>
      <c r="I519" s="17">
        <f ca="1">DATE(YEAR(TODAY())-1,8,26)</f>
        <v>44434</v>
      </c>
      <c r="J519" s="17">
        <f ca="1">DATE(YEAR(TODAY())-1,9,1)</f>
        <v>44440</v>
      </c>
      <c r="K519" s="1" t="s">
        <v>72</v>
      </c>
      <c r="L519" s="1" t="s">
        <v>73</v>
      </c>
      <c r="M519" s="1">
        <v>888</v>
      </c>
      <c r="N519" s="1" cm="1">
        <f t="array" ref="N519">_xlfn.RANK.EQ(M519,total_money_spent)</f>
        <v>176</v>
      </c>
      <c r="O519" s="1">
        <f t="shared" ca="1" si="8"/>
        <v>6</v>
      </c>
    </row>
    <row r="520" spans="1:15" ht="13.8" x14ac:dyDescent="0.25">
      <c r="A520" s="1" t="s">
        <v>378</v>
      </c>
      <c r="B520" s="1" t="s">
        <v>379</v>
      </c>
      <c r="C520" s="1" t="s">
        <v>197</v>
      </c>
      <c r="D520" s="1" t="s">
        <v>198</v>
      </c>
      <c r="E520" s="1" t="s">
        <v>380</v>
      </c>
      <c r="F520" s="1" t="s">
        <v>381</v>
      </c>
      <c r="G520" s="1">
        <v>2002</v>
      </c>
      <c r="H520" s="1" t="s">
        <v>24</v>
      </c>
      <c r="I520" s="17">
        <f ca="1">DATE(YEAR(TODAY())-1,2,26)</f>
        <v>44253</v>
      </c>
      <c r="J520" s="17">
        <f ca="1">DATE(YEAR(TODAY())-1,2,28)</f>
        <v>44255</v>
      </c>
      <c r="K520" s="1" t="s">
        <v>33</v>
      </c>
      <c r="L520" s="1" t="s">
        <v>34</v>
      </c>
      <c r="M520" s="1">
        <v>715</v>
      </c>
      <c r="N520" s="1" cm="1">
        <f t="array" ref="N520">_xlfn.RANK.EQ(M520,total_money_spent)</f>
        <v>466</v>
      </c>
      <c r="O520" s="1">
        <f t="shared" ca="1" si="8"/>
        <v>2</v>
      </c>
    </row>
    <row r="521" spans="1:15" ht="13.8" x14ac:dyDescent="0.25">
      <c r="A521" s="1" t="s">
        <v>998</v>
      </c>
      <c r="B521" s="1" t="s">
        <v>999</v>
      </c>
      <c r="C521" s="1" t="s">
        <v>165</v>
      </c>
      <c r="D521" s="1" t="s">
        <v>166</v>
      </c>
      <c r="E521" s="1" t="s">
        <v>1000</v>
      </c>
      <c r="F521" s="1" t="s">
        <v>1001</v>
      </c>
      <c r="G521" s="1">
        <v>2010</v>
      </c>
      <c r="H521" s="1" t="s">
        <v>44</v>
      </c>
      <c r="I521" s="17">
        <f ca="1">DATE(YEAR(TODAY())-2,10,23)</f>
        <v>44127</v>
      </c>
      <c r="J521" s="17">
        <f ca="1">DATE(YEAR(TODAY())-2,10,25)</f>
        <v>44129</v>
      </c>
      <c r="K521" s="1" t="s">
        <v>82</v>
      </c>
      <c r="L521" s="1" t="s">
        <v>34</v>
      </c>
      <c r="M521" s="1">
        <v>741</v>
      </c>
      <c r="N521" s="1" cm="1">
        <f t="array" ref="N521">_xlfn.RANK.EQ(M521,total_money_spent)</f>
        <v>422</v>
      </c>
      <c r="O521" s="1">
        <f t="shared" ca="1" si="8"/>
        <v>2</v>
      </c>
    </row>
    <row r="522" spans="1:15" ht="13.8" x14ac:dyDescent="0.25">
      <c r="A522" s="1" t="s">
        <v>831</v>
      </c>
      <c r="B522" s="1" t="s">
        <v>826</v>
      </c>
      <c r="C522" s="1" t="s">
        <v>270</v>
      </c>
      <c r="D522" s="1" t="s">
        <v>271</v>
      </c>
      <c r="E522" s="1" t="s">
        <v>827</v>
      </c>
      <c r="F522" s="1" t="s">
        <v>828</v>
      </c>
      <c r="G522" s="1" t="s">
        <v>54</v>
      </c>
      <c r="H522" s="1" t="s">
        <v>32</v>
      </c>
      <c r="I522" s="17">
        <f ca="1">DATE(YEAR(TODAY())-1,3,17)</f>
        <v>44272</v>
      </c>
      <c r="J522" s="17">
        <f ca="1">DATE(YEAR(TODAY())-1,3,23)</f>
        <v>44278</v>
      </c>
      <c r="K522" s="1" t="s">
        <v>61</v>
      </c>
      <c r="L522" s="1" t="s">
        <v>34</v>
      </c>
      <c r="M522" s="1">
        <v>852</v>
      </c>
      <c r="N522" s="1" cm="1">
        <f t="array" ref="N522">_xlfn.RANK.EQ(M522,total_money_spent)</f>
        <v>210</v>
      </c>
      <c r="O522" s="1">
        <f t="shared" ca="1" si="8"/>
        <v>6</v>
      </c>
    </row>
    <row r="523" spans="1:15" ht="13.8" x14ac:dyDescent="0.25">
      <c r="A523" s="1" t="s">
        <v>666</v>
      </c>
      <c r="B523" s="1" t="s">
        <v>663</v>
      </c>
      <c r="C523" s="1" t="s">
        <v>37</v>
      </c>
      <c r="D523" s="1" t="s">
        <v>38</v>
      </c>
      <c r="E523" s="1" t="s">
        <v>667</v>
      </c>
      <c r="F523" s="1" t="s">
        <v>665</v>
      </c>
      <c r="G523" s="1" t="s">
        <v>31</v>
      </c>
      <c r="H523" s="1" t="s">
        <v>32</v>
      </c>
      <c r="I523" s="17">
        <f ca="1">DATE(YEAR(TODAY())-1,1,13)</f>
        <v>44209</v>
      </c>
      <c r="J523" s="17">
        <f ca="1">DATE(YEAR(TODAY())-1,1,17)</f>
        <v>44213</v>
      </c>
      <c r="K523" s="1" t="s">
        <v>33</v>
      </c>
      <c r="L523" s="1" t="s">
        <v>34</v>
      </c>
      <c r="M523" s="1">
        <v>792</v>
      </c>
      <c r="N523" s="1" cm="1">
        <f t="array" ref="N523">_xlfn.RANK.EQ(M523,total_money_spent)</f>
        <v>316</v>
      </c>
      <c r="O523" s="1">
        <f t="shared" ca="1" si="8"/>
        <v>4</v>
      </c>
    </row>
    <row r="524" spans="1:15" ht="13.8" x14ac:dyDescent="0.25">
      <c r="A524" s="1" t="s">
        <v>661</v>
      </c>
      <c r="B524" s="1" t="s">
        <v>658</v>
      </c>
      <c r="C524" s="1" t="s">
        <v>372</v>
      </c>
      <c r="D524" s="1" t="s">
        <v>28</v>
      </c>
      <c r="E524" s="1" t="s">
        <v>659</v>
      </c>
      <c r="F524" s="1" t="s">
        <v>660</v>
      </c>
      <c r="G524" s="1" t="s">
        <v>122</v>
      </c>
      <c r="H524" s="1" t="s">
        <v>32</v>
      </c>
      <c r="I524" s="17">
        <f ca="1">DATE(YEAR(TODAY())-2,12,23)</f>
        <v>44188</v>
      </c>
      <c r="J524" s="17">
        <f ca="1">DATE(YEAR(TODAY())-2,12,27)</f>
        <v>44192</v>
      </c>
      <c r="K524" s="1" t="s">
        <v>87</v>
      </c>
      <c r="L524" s="1" t="s">
        <v>73</v>
      </c>
      <c r="M524" s="1">
        <v>794</v>
      </c>
      <c r="N524" s="1" cm="1">
        <f t="array" ref="N524">_xlfn.RANK.EQ(M524,total_money_spent)</f>
        <v>310</v>
      </c>
      <c r="O524" s="1">
        <f t="shared" ca="1" si="8"/>
        <v>4</v>
      </c>
    </row>
    <row r="525" spans="1:15" ht="13.8" x14ac:dyDescent="0.25">
      <c r="A525" s="1" t="s">
        <v>339</v>
      </c>
      <c r="B525" s="1" t="s">
        <v>333</v>
      </c>
      <c r="C525" s="1" t="s">
        <v>235</v>
      </c>
      <c r="D525" s="1" t="s">
        <v>235</v>
      </c>
      <c r="E525" s="1" t="s">
        <v>334</v>
      </c>
      <c r="F525" s="1" t="s">
        <v>335</v>
      </c>
      <c r="G525" s="1">
        <v>3003</v>
      </c>
      <c r="H525" s="1" t="s">
        <v>81</v>
      </c>
      <c r="I525" s="17">
        <f ca="1">DATE(YEAR(TODAY())-1,6,15)</f>
        <v>44362</v>
      </c>
      <c r="J525" s="17">
        <f ca="1">DATE(YEAR(TODAY())-1,6,21)</f>
        <v>44368</v>
      </c>
      <c r="K525" s="1" t="s">
        <v>61</v>
      </c>
      <c r="L525" s="1" t="s">
        <v>34</v>
      </c>
      <c r="M525" s="1">
        <v>997</v>
      </c>
      <c r="N525" s="1" cm="1">
        <f t="array" ref="N525">_xlfn.RANK.EQ(M525,total_money_spent)</f>
        <v>58</v>
      </c>
      <c r="O525" s="1">
        <f t="shared" ca="1" si="8"/>
        <v>6</v>
      </c>
    </row>
    <row r="526" spans="1:15" ht="13.8" x14ac:dyDescent="0.25">
      <c r="A526" s="1" t="s">
        <v>545</v>
      </c>
      <c r="B526" s="1" t="s">
        <v>541</v>
      </c>
      <c r="C526" s="1" t="s">
        <v>64</v>
      </c>
      <c r="D526" s="1" t="s">
        <v>65</v>
      </c>
      <c r="E526" s="1" t="s">
        <v>542</v>
      </c>
      <c r="F526" s="1" t="s">
        <v>543</v>
      </c>
      <c r="G526" s="1" t="s">
        <v>226</v>
      </c>
      <c r="H526" s="1" t="s">
        <v>32</v>
      </c>
      <c r="I526" s="17">
        <f ca="1">DATE(YEAR(TODAY())-1,4,9)</f>
        <v>44295</v>
      </c>
      <c r="J526" s="17">
        <f ca="1">DATE(YEAR(TODAY())-1,4,11)</f>
        <v>44297</v>
      </c>
      <c r="K526" s="1" t="s">
        <v>61</v>
      </c>
      <c r="L526" s="1" t="s">
        <v>34</v>
      </c>
      <c r="M526" s="1">
        <v>701</v>
      </c>
      <c r="N526" s="1" cm="1">
        <f t="array" ref="N526">_xlfn.RANK.EQ(M526,total_money_spent)</f>
        <v>485</v>
      </c>
      <c r="O526" s="1">
        <f t="shared" ca="1" si="8"/>
        <v>2</v>
      </c>
    </row>
    <row r="527" spans="1:15" ht="13.8" x14ac:dyDescent="0.25">
      <c r="A527" s="1" t="s">
        <v>1432</v>
      </c>
      <c r="B527" s="1" t="s">
        <v>1429</v>
      </c>
      <c r="C527" s="1" t="s">
        <v>47</v>
      </c>
      <c r="D527" s="1" t="s">
        <v>48</v>
      </c>
      <c r="E527" s="1" t="s">
        <v>1430</v>
      </c>
      <c r="F527" s="1" t="s">
        <v>1431</v>
      </c>
      <c r="G527" s="1" t="s">
        <v>115</v>
      </c>
      <c r="H527" s="1" t="s">
        <v>32</v>
      </c>
      <c r="I527" s="17">
        <f ca="1">DATE(YEAR(TODAY())-1,9,17)</f>
        <v>44456</v>
      </c>
      <c r="J527" s="17">
        <f ca="1">DATE(YEAR(TODAY())-1,9,21)</f>
        <v>44460</v>
      </c>
      <c r="K527" s="1" t="s">
        <v>82</v>
      </c>
      <c r="L527" s="1" t="s">
        <v>34</v>
      </c>
      <c r="M527" s="1">
        <v>806</v>
      </c>
      <c r="N527" s="1" cm="1">
        <f t="array" ref="N527">_xlfn.RANK.EQ(M527,total_money_spent)</f>
        <v>274</v>
      </c>
      <c r="O527" s="1">
        <f t="shared" ca="1" si="8"/>
        <v>4</v>
      </c>
    </row>
    <row r="528" spans="1:15" ht="13.8" x14ac:dyDescent="0.25">
      <c r="A528" s="1" t="s">
        <v>926</v>
      </c>
      <c r="B528" s="1" t="s">
        <v>922</v>
      </c>
      <c r="C528" s="1" t="s">
        <v>923</v>
      </c>
      <c r="D528" s="1" t="s">
        <v>618</v>
      </c>
      <c r="E528" s="1" t="s">
        <v>924</v>
      </c>
      <c r="F528" s="1" t="s">
        <v>925</v>
      </c>
      <c r="G528" s="1">
        <v>2007</v>
      </c>
      <c r="H528" s="1" t="s">
        <v>44</v>
      </c>
      <c r="I528" s="17">
        <f ca="1">DATE(YEAR(TODAY())-1,5,22)</f>
        <v>44338</v>
      </c>
      <c r="J528" s="17">
        <f ca="1">DATE(YEAR(TODAY())-1,5,25)</f>
        <v>44341</v>
      </c>
      <c r="K528" s="1" t="s">
        <v>143</v>
      </c>
      <c r="L528" s="1" t="s">
        <v>25</v>
      </c>
      <c r="M528" s="1">
        <v>762</v>
      </c>
      <c r="N528" s="1" cm="1">
        <f t="array" ref="N528">_xlfn.RANK.EQ(M528,total_money_spent)</f>
        <v>392</v>
      </c>
      <c r="O528" s="1">
        <f t="shared" ca="1" si="8"/>
        <v>3</v>
      </c>
    </row>
    <row r="529" spans="1:15" ht="13.8" x14ac:dyDescent="0.25">
      <c r="A529" s="1" t="s">
        <v>622</v>
      </c>
      <c r="B529" s="1" t="s">
        <v>623</v>
      </c>
      <c r="C529" s="1" t="s">
        <v>337</v>
      </c>
      <c r="D529" s="1" t="s">
        <v>338</v>
      </c>
      <c r="E529" s="1" t="s">
        <v>624</v>
      </c>
      <c r="F529" s="1" t="s">
        <v>625</v>
      </c>
      <c r="G529" s="1">
        <v>2004</v>
      </c>
      <c r="H529" s="1" t="s">
        <v>24</v>
      </c>
      <c r="I529" s="17">
        <f ca="1">DATE(YEAR(TODAY())-1,9,13)</f>
        <v>44452</v>
      </c>
      <c r="J529" s="17">
        <f ca="1">DATE(YEAR(TODAY())-1,9,19)</f>
        <v>44458</v>
      </c>
      <c r="K529" s="1" t="s">
        <v>136</v>
      </c>
      <c r="L529" s="1" t="s">
        <v>137</v>
      </c>
      <c r="M529" s="1">
        <v>892</v>
      </c>
      <c r="N529" s="1" cm="1">
        <f t="array" ref="N529">_xlfn.RANK.EQ(M529,total_money_spent)</f>
        <v>169</v>
      </c>
      <c r="O529" s="1">
        <f t="shared" ca="1" si="8"/>
        <v>6</v>
      </c>
    </row>
    <row r="530" spans="1:15" ht="13.8" x14ac:dyDescent="0.25">
      <c r="A530" s="1" t="s">
        <v>55</v>
      </c>
      <c r="B530" s="1" t="s">
        <v>56</v>
      </c>
      <c r="C530" s="1" t="s">
        <v>57</v>
      </c>
      <c r="D530" s="1" t="s">
        <v>57</v>
      </c>
      <c r="E530" s="1" t="s">
        <v>58</v>
      </c>
      <c r="F530" s="1" t="s">
        <v>59</v>
      </c>
      <c r="G530" s="1" t="s">
        <v>60</v>
      </c>
      <c r="H530" s="1" t="s">
        <v>32</v>
      </c>
      <c r="I530" s="17">
        <f ca="1">DATE(YEAR(TODAY())-1,7,6)</f>
        <v>44383</v>
      </c>
      <c r="J530" s="17">
        <f ca="1">DATE(YEAR(TODAY())-1,7,11)</f>
        <v>44388</v>
      </c>
      <c r="K530" s="1" t="s">
        <v>61</v>
      </c>
      <c r="L530" s="1" t="s">
        <v>34</v>
      </c>
      <c r="M530" s="1">
        <v>812</v>
      </c>
      <c r="N530" s="1" cm="1">
        <f t="array" ref="N530">_xlfn.RANK.EQ(M530,total_money_spent)</f>
        <v>262</v>
      </c>
      <c r="O530" s="1">
        <f t="shared" ca="1" si="8"/>
        <v>5</v>
      </c>
    </row>
    <row r="531" spans="1:15" ht="13.8" x14ac:dyDescent="0.25">
      <c r="A531" s="1" t="s">
        <v>94</v>
      </c>
      <c r="B531" s="1" t="s">
        <v>95</v>
      </c>
      <c r="C531" s="1" t="s">
        <v>96</v>
      </c>
      <c r="D531" s="1" t="s">
        <v>96</v>
      </c>
      <c r="E531" s="1" t="s">
        <v>97</v>
      </c>
      <c r="F531" s="1" t="s">
        <v>98</v>
      </c>
      <c r="G531" s="1">
        <v>2008</v>
      </c>
      <c r="H531" s="1" t="s">
        <v>44</v>
      </c>
      <c r="I531" s="17">
        <f ca="1">DATE(YEAR(TODAY())-1,3,16)</f>
        <v>44271</v>
      </c>
      <c r="J531" s="17">
        <f ca="1">DATE(YEAR(TODAY())-1,3,17)</f>
        <v>44272</v>
      </c>
      <c r="K531" s="1" t="s">
        <v>33</v>
      </c>
      <c r="L531" s="1" t="s">
        <v>34</v>
      </c>
      <c r="M531" s="1">
        <v>661</v>
      </c>
      <c r="N531" s="1" cm="1">
        <f t="array" ref="N531">_xlfn.RANK.EQ(M531,total_money_spent)</f>
        <v>553</v>
      </c>
      <c r="O531" s="1">
        <f t="shared" ca="1" si="8"/>
        <v>1</v>
      </c>
    </row>
    <row r="532" spans="1:15" ht="13.8" x14ac:dyDescent="0.25">
      <c r="A532" s="1" t="s">
        <v>1011</v>
      </c>
      <c r="B532" s="1" t="s">
        <v>1008</v>
      </c>
      <c r="C532" s="1" t="s">
        <v>20</v>
      </c>
      <c r="D532" s="1" t="s">
        <v>21</v>
      </c>
      <c r="E532" s="1" t="s">
        <v>1009</v>
      </c>
      <c r="F532" s="1" t="s">
        <v>1010</v>
      </c>
      <c r="G532" s="1" t="s">
        <v>115</v>
      </c>
      <c r="H532" s="1" t="s">
        <v>32</v>
      </c>
      <c r="I532" s="17">
        <f ca="1">DATE(YEAR(TODAY())-1,7,15)</f>
        <v>44392</v>
      </c>
      <c r="J532" s="17">
        <f ca="1">DATE(YEAR(TODAY())-1,7,18)</f>
        <v>44395</v>
      </c>
      <c r="K532" s="1" t="s">
        <v>33</v>
      </c>
      <c r="L532" s="1" t="s">
        <v>34</v>
      </c>
      <c r="M532" s="1">
        <v>744</v>
      </c>
      <c r="N532" s="1" cm="1">
        <f t="array" ref="N532">_xlfn.RANK.EQ(M532,total_money_spent)</f>
        <v>414</v>
      </c>
      <c r="O532" s="1">
        <f t="shared" ca="1" si="8"/>
        <v>3</v>
      </c>
    </row>
    <row r="533" spans="1:15" ht="13.8" x14ac:dyDescent="0.25">
      <c r="A533" s="1" t="s">
        <v>1376</v>
      </c>
      <c r="B533" s="1" t="s">
        <v>1372</v>
      </c>
      <c r="C533" s="1" t="s">
        <v>70</v>
      </c>
      <c r="D533" s="1" t="s">
        <v>70</v>
      </c>
      <c r="E533" s="1" t="s">
        <v>1373</v>
      </c>
      <c r="F533" s="1" t="s">
        <v>1374</v>
      </c>
      <c r="G533" s="1">
        <v>3002</v>
      </c>
      <c r="H533" s="1" t="s">
        <v>81</v>
      </c>
      <c r="I533" s="17">
        <f ca="1">DATE(YEAR(TODAY())-1,2,6)</f>
        <v>44233</v>
      </c>
      <c r="J533" s="17">
        <f ca="1">DATE(YEAR(TODAY())-1,2,7)</f>
        <v>44234</v>
      </c>
      <c r="K533" s="1" t="s">
        <v>61</v>
      </c>
      <c r="L533" s="1" t="s">
        <v>34</v>
      </c>
      <c r="M533" s="1">
        <v>660</v>
      </c>
      <c r="N533" s="1" cm="1">
        <f t="array" ref="N533">_xlfn.RANK.EQ(M533,total_money_spent)</f>
        <v>557</v>
      </c>
      <c r="O533" s="1">
        <f t="shared" ca="1" si="8"/>
        <v>1</v>
      </c>
    </row>
    <row r="534" spans="1:15" ht="13.8" x14ac:dyDescent="0.25">
      <c r="A534" s="1" t="s">
        <v>1452</v>
      </c>
      <c r="B534" s="1" t="s">
        <v>1446</v>
      </c>
      <c r="C534" s="1" t="s">
        <v>76</v>
      </c>
      <c r="D534" s="1" t="s">
        <v>77</v>
      </c>
      <c r="E534" s="1" t="s">
        <v>1447</v>
      </c>
      <c r="F534" s="1" t="s">
        <v>1448</v>
      </c>
      <c r="G534" s="1" t="s">
        <v>54</v>
      </c>
      <c r="H534" s="1" t="s">
        <v>32</v>
      </c>
      <c r="I534" s="17">
        <f ca="1">DATE(YEAR(TODAY())-2,10,26)</f>
        <v>44130</v>
      </c>
      <c r="J534" s="17">
        <f ca="1">DATE(YEAR(TODAY())-2,11,1)</f>
        <v>44136</v>
      </c>
      <c r="K534" s="1" t="s">
        <v>87</v>
      </c>
      <c r="L534" s="1" t="s">
        <v>73</v>
      </c>
      <c r="M534" s="1">
        <v>849</v>
      </c>
      <c r="N534" s="1" cm="1">
        <f t="array" ref="N534">_xlfn.RANK.EQ(M534,total_money_spent)</f>
        <v>216</v>
      </c>
      <c r="O534" s="1">
        <f t="shared" ca="1" si="8"/>
        <v>6</v>
      </c>
    </row>
    <row r="535" spans="1:15" ht="13.8" x14ac:dyDescent="0.25">
      <c r="A535" s="1" t="s">
        <v>653</v>
      </c>
      <c r="B535" s="1" t="s">
        <v>654</v>
      </c>
      <c r="C535" s="1" t="s">
        <v>186</v>
      </c>
      <c r="D535" s="1" t="s">
        <v>187</v>
      </c>
      <c r="E535" s="1" t="s">
        <v>655</v>
      </c>
      <c r="F535" s="1" t="s">
        <v>656</v>
      </c>
      <c r="G535" s="1">
        <v>2003</v>
      </c>
      <c r="H535" s="1" t="s">
        <v>24</v>
      </c>
      <c r="I535" s="17">
        <f ca="1">DATE(YEAR(TODAY())-1,8,28)</f>
        <v>44436</v>
      </c>
      <c r="J535" s="17">
        <f ca="1">DATE(YEAR(TODAY())-1,9,3)</f>
        <v>44442</v>
      </c>
      <c r="K535" s="1" t="s">
        <v>16</v>
      </c>
      <c r="L535" s="1" t="s">
        <v>34</v>
      </c>
      <c r="M535" s="1">
        <v>901</v>
      </c>
      <c r="N535" s="1" cm="1">
        <f t="array" ref="N535">_xlfn.RANK.EQ(M535,total_money_spent)</f>
        <v>151</v>
      </c>
      <c r="O535" s="1">
        <f t="shared" ca="1" si="8"/>
        <v>6</v>
      </c>
    </row>
    <row r="536" spans="1:15" ht="13.8" x14ac:dyDescent="0.25">
      <c r="A536" s="1" t="s">
        <v>1364</v>
      </c>
      <c r="B536" s="1" t="s">
        <v>1361</v>
      </c>
      <c r="C536" s="1" t="s">
        <v>206</v>
      </c>
      <c r="D536" s="1" t="s">
        <v>21</v>
      </c>
      <c r="E536" s="1" t="s">
        <v>1362</v>
      </c>
      <c r="F536" s="1" t="s">
        <v>1363</v>
      </c>
      <c r="G536" s="1">
        <v>3004</v>
      </c>
      <c r="H536" s="1" t="s">
        <v>203</v>
      </c>
      <c r="I536" s="17">
        <f ca="1">DATE(YEAR(TODAY())-1,3,17)</f>
        <v>44272</v>
      </c>
      <c r="J536" s="17">
        <f ca="1">DATE(YEAR(TODAY())-1,3,22)</f>
        <v>44277</v>
      </c>
      <c r="K536" s="1" t="s">
        <v>82</v>
      </c>
      <c r="L536" s="1" t="s">
        <v>34</v>
      </c>
      <c r="M536" s="1">
        <v>958</v>
      </c>
      <c r="N536" s="1" cm="1">
        <f t="array" ref="N536">_xlfn.RANK.EQ(M536,total_money_spent)</f>
        <v>100</v>
      </c>
      <c r="O536" s="1">
        <f t="shared" ca="1" si="8"/>
        <v>5</v>
      </c>
    </row>
    <row r="537" spans="1:15" ht="13.8" x14ac:dyDescent="0.25">
      <c r="A537" s="1" t="s">
        <v>285</v>
      </c>
      <c r="B537" s="1" t="s">
        <v>286</v>
      </c>
      <c r="C537" s="1" t="s">
        <v>28</v>
      </c>
      <c r="D537" s="1" t="s">
        <v>28</v>
      </c>
      <c r="E537" s="1" t="s">
        <v>287</v>
      </c>
      <c r="F537" s="1" t="s">
        <v>288</v>
      </c>
      <c r="G537" s="1">
        <v>3005</v>
      </c>
      <c r="H537" s="1" t="s">
        <v>203</v>
      </c>
      <c r="I537" s="17">
        <f ca="1">DATE(YEAR(TODAY())-1,6,1)</f>
        <v>44348</v>
      </c>
      <c r="J537" s="17">
        <f ca="1">DATE(YEAR(TODAY())-1,6,8)</f>
        <v>44355</v>
      </c>
      <c r="K537" s="1" t="s">
        <v>16</v>
      </c>
      <c r="L537" s="1" t="s">
        <v>34</v>
      </c>
      <c r="M537" s="1">
        <v>1250</v>
      </c>
      <c r="N537" s="1" cm="1">
        <f t="array" ref="N537">_xlfn.RANK.EQ(M537,total_money_spent)</f>
        <v>11</v>
      </c>
      <c r="O537" s="1">
        <f t="shared" ca="1" si="8"/>
        <v>7</v>
      </c>
    </row>
    <row r="538" spans="1:15" ht="13.8" x14ac:dyDescent="0.25">
      <c r="A538" s="1" t="s">
        <v>899</v>
      </c>
      <c r="B538" s="1" t="s">
        <v>896</v>
      </c>
      <c r="C538" s="1" t="s">
        <v>70</v>
      </c>
      <c r="D538" s="1" t="s">
        <v>70</v>
      </c>
      <c r="F538" s="1" t="s">
        <v>898</v>
      </c>
      <c r="G538" s="1">
        <v>2003</v>
      </c>
      <c r="H538" s="1" t="s">
        <v>24</v>
      </c>
      <c r="I538" s="17">
        <f ca="1">DATE(YEAR(TODAY())-1,3,7)</f>
        <v>44262</v>
      </c>
      <c r="J538" s="17">
        <f ca="1">DATE(YEAR(TODAY())-1,3,12)</f>
        <v>44267</v>
      </c>
      <c r="K538" s="1" t="s">
        <v>143</v>
      </c>
      <c r="L538" s="1" t="s">
        <v>25</v>
      </c>
      <c r="M538" s="1">
        <v>849</v>
      </c>
      <c r="N538" s="1" cm="1">
        <f t="array" ref="N538">_xlfn.RANK.EQ(M538,total_money_spent)</f>
        <v>216</v>
      </c>
      <c r="O538" s="1">
        <f t="shared" ca="1" si="8"/>
        <v>5</v>
      </c>
    </row>
    <row r="539" spans="1:15" ht="13.8" x14ac:dyDescent="0.25">
      <c r="A539" s="1" t="s">
        <v>244</v>
      </c>
      <c r="B539" s="1" t="s">
        <v>245</v>
      </c>
      <c r="C539" s="1" t="s">
        <v>246</v>
      </c>
      <c r="D539" s="1" t="s">
        <v>247</v>
      </c>
      <c r="F539" s="1" t="s">
        <v>248</v>
      </c>
      <c r="G539" s="1">
        <v>3001</v>
      </c>
      <c r="H539" s="1" t="s">
        <v>81</v>
      </c>
      <c r="I539" s="17">
        <f ca="1">DATE(YEAR(TODAY())-1,4,7)</f>
        <v>44293</v>
      </c>
      <c r="J539" s="17">
        <f ca="1">DATE(YEAR(TODAY())-1,4,10)</f>
        <v>44296</v>
      </c>
      <c r="K539" s="1" t="s">
        <v>61</v>
      </c>
      <c r="L539" s="1" t="s">
        <v>34</v>
      </c>
      <c r="M539" s="1">
        <v>782</v>
      </c>
      <c r="N539" s="1" cm="1">
        <f t="array" ref="N539">_xlfn.RANK.EQ(M539,total_money_spent)</f>
        <v>338</v>
      </c>
      <c r="O539" s="1">
        <f t="shared" ca="1" si="8"/>
        <v>3</v>
      </c>
    </row>
    <row r="540" spans="1:15" ht="13.8" x14ac:dyDescent="0.25">
      <c r="A540" s="1" t="s">
        <v>1219</v>
      </c>
      <c r="B540" s="1" t="s">
        <v>1220</v>
      </c>
      <c r="C540" s="1" t="s">
        <v>106</v>
      </c>
      <c r="D540" s="1" t="s">
        <v>107</v>
      </c>
      <c r="E540" s="1" t="s">
        <v>1221</v>
      </c>
      <c r="F540" s="1" t="s">
        <v>1222</v>
      </c>
      <c r="G540" s="1">
        <v>2008</v>
      </c>
      <c r="H540" s="1" t="s">
        <v>44</v>
      </c>
      <c r="I540" s="17">
        <f ca="1">DATE(YEAR(TODAY())-1,1,20)</f>
        <v>44216</v>
      </c>
      <c r="J540" s="17">
        <f ca="1">DATE(YEAR(TODAY())-1,1,25)</f>
        <v>44221</v>
      </c>
      <c r="K540" s="1" t="s">
        <v>72</v>
      </c>
      <c r="L540" s="1" t="s">
        <v>73</v>
      </c>
      <c r="M540" s="1">
        <v>911</v>
      </c>
      <c r="N540" s="1" cm="1">
        <f t="array" ref="N540">_xlfn.RANK.EQ(M540,total_money_spent)</f>
        <v>122</v>
      </c>
      <c r="O540" s="1">
        <f t="shared" ca="1" si="8"/>
        <v>5</v>
      </c>
    </row>
    <row r="541" spans="1:15" ht="13.8" x14ac:dyDescent="0.25">
      <c r="A541" s="1" t="s">
        <v>1060</v>
      </c>
      <c r="B541" s="1" t="s">
        <v>1054</v>
      </c>
      <c r="C541" s="1" t="s">
        <v>372</v>
      </c>
      <c r="D541" s="1" t="s">
        <v>28</v>
      </c>
      <c r="E541" s="1" t="s">
        <v>1058</v>
      </c>
      <c r="F541" s="1" t="s">
        <v>1056</v>
      </c>
      <c r="G541" s="1" t="s">
        <v>54</v>
      </c>
      <c r="H541" s="1" t="s">
        <v>32</v>
      </c>
      <c r="I541" s="17">
        <f ca="1">DATE(YEAR(TODAY())-2,11,14)</f>
        <v>44149</v>
      </c>
      <c r="J541" s="17">
        <f ca="1">DATE(YEAR(TODAY())-2,11,19)</f>
        <v>44154</v>
      </c>
      <c r="K541" s="1" t="s">
        <v>82</v>
      </c>
      <c r="L541" s="1" t="s">
        <v>34</v>
      </c>
      <c r="M541" s="1">
        <v>797</v>
      </c>
      <c r="N541" s="1" cm="1">
        <f t="array" ref="N541">_xlfn.RANK.EQ(M541,total_money_spent)</f>
        <v>301</v>
      </c>
      <c r="O541" s="1">
        <f t="shared" ca="1" si="8"/>
        <v>5</v>
      </c>
    </row>
    <row r="542" spans="1:15" ht="13.8" x14ac:dyDescent="0.25">
      <c r="A542" s="1" t="s">
        <v>1495</v>
      </c>
      <c r="B542" s="1" t="s">
        <v>1491</v>
      </c>
      <c r="C542" s="1" t="s">
        <v>64</v>
      </c>
      <c r="D542" s="1" t="s">
        <v>65</v>
      </c>
      <c r="E542" s="1" t="s">
        <v>1492</v>
      </c>
      <c r="F542" s="1" t="s">
        <v>1493</v>
      </c>
      <c r="G542" s="1" t="s">
        <v>31</v>
      </c>
      <c r="H542" s="1" t="s">
        <v>32</v>
      </c>
      <c r="I542" s="17">
        <f ca="1">DATE(YEAR(TODAY())-2,12,16)</f>
        <v>44181</v>
      </c>
      <c r="J542" s="17">
        <f ca="1">DATE(YEAR(TODAY())-2,12,19)</f>
        <v>44184</v>
      </c>
      <c r="K542" s="1" t="s">
        <v>61</v>
      </c>
      <c r="L542" s="1" t="s">
        <v>34</v>
      </c>
      <c r="M542" s="1">
        <v>745</v>
      </c>
      <c r="N542" s="1" cm="1">
        <f t="array" ref="N542">_xlfn.RANK.EQ(M542,total_money_spent)</f>
        <v>412</v>
      </c>
      <c r="O542" s="1">
        <f t="shared" ca="1" si="8"/>
        <v>3</v>
      </c>
    </row>
    <row r="543" spans="1:15" ht="13.8" x14ac:dyDescent="0.25">
      <c r="A543" s="1" t="s">
        <v>366</v>
      </c>
      <c r="B543" s="1" t="s">
        <v>363</v>
      </c>
      <c r="C543" s="1" t="s">
        <v>246</v>
      </c>
      <c r="D543" s="1" t="s">
        <v>247</v>
      </c>
      <c r="E543" s="1" t="s">
        <v>364</v>
      </c>
      <c r="F543" s="1" t="s">
        <v>365</v>
      </c>
      <c r="G543" s="1">
        <v>2010</v>
      </c>
      <c r="H543" s="1" t="s">
        <v>44</v>
      </c>
      <c r="I543" s="17">
        <f ca="1">DATE(YEAR(TODAY())-2,10,30)</f>
        <v>44134</v>
      </c>
      <c r="J543" s="17">
        <f ca="1">DATE(YEAR(TODAY())-2,11,3)</f>
        <v>44138</v>
      </c>
      <c r="K543" s="1" t="s">
        <v>72</v>
      </c>
      <c r="L543" s="1" t="s">
        <v>73</v>
      </c>
      <c r="M543" s="1">
        <v>835</v>
      </c>
      <c r="N543" s="1" cm="1">
        <f t="array" ref="N543">_xlfn.RANK.EQ(M543,total_money_spent)</f>
        <v>243</v>
      </c>
      <c r="O543" s="1">
        <f t="shared" ca="1" si="8"/>
        <v>4</v>
      </c>
    </row>
    <row r="544" spans="1:15" ht="13.8" x14ac:dyDescent="0.25">
      <c r="A544" s="1" t="s">
        <v>596</v>
      </c>
      <c r="B544" s="1" t="s">
        <v>590</v>
      </c>
      <c r="C544" s="1" t="s">
        <v>157</v>
      </c>
      <c r="D544" s="1" t="s">
        <v>158</v>
      </c>
      <c r="E544" s="1" t="s">
        <v>591</v>
      </c>
      <c r="F544" s="1" t="s">
        <v>592</v>
      </c>
      <c r="G544" s="1" t="s">
        <v>122</v>
      </c>
      <c r="H544" s="1" t="s">
        <v>32</v>
      </c>
      <c r="I544" s="17">
        <f ca="1">DATE(YEAR(TODAY())-1,9,25)</f>
        <v>44464</v>
      </c>
      <c r="J544" s="17">
        <f ca="1">DATE(YEAR(TODAY())-1,9,28)</f>
        <v>44467</v>
      </c>
      <c r="K544" s="1" t="s">
        <v>87</v>
      </c>
      <c r="L544" s="1" t="s">
        <v>73</v>
      </c>
      <c r="M544" s="1">
        <v>738</v>
      </c>
      <c r="N544" s="1" cm="1">
        <f t="array" ref="N544">_xlfn.RANK.EQ(M544,total_money_spent)</f>
        <v>434</v>
      </c>
      <c r="O544" s="1">
        <f t="shared" ca="1" si="8"/>
        <v>3</v>
      </c>
    </row>
    <row r="545" spans="1:15" ht="13.8" x14ac:dyDescent="0.25">
      <c r="A545" s="1" t="s">
        <v>691</v>
      </c>
      <c r="B545" s="1" t="s">
        <v>688</v>
      </c>
      <c r="C545" s="1" t="s">
        <v>47</v>
      </c>
      <c r="D545" s="1" t="s">
        <v>48</v>
      </c>
      <c r="E545" s="1" t="s">
        <v>689</v>
      </c>
      <c r="F545" s="1" t="s">
        <v>690</v>
      </c>
      <c r="G545" s="1">
        <v>3001</v>
      </c>
      <c r="H545" s="1" t="s">
        <v>81</v>
      </c>
      <c r="I545" s="17">
        <f ca="1">DATE(YEAR(TODAY())-1,8,11)</f>
        <v>44419</v>
      </c>
      <c r="J545" s="17">
        <f ca="1">DATE(YEAR(TODAY())-1,8,16)</f>
        <v>44424</v>
      </c>
      <c r="K545" s="1" t="s">
        <v>33</v>
      </c>
      <c r="L545" s="1" t="s">
        <v>34</v>
      </c>
      <c r="M545" s="1">
        <v>899</v>
      </c>
      <c r="N545" s="1" cm="1">
        <f t="array" ref="N545">_xlfn.RANK.EQ(M545,total_money_spent)</f>
        <v>155</v>
      </c>
      <c r="O545" s="1">
        <f t="shared" ca="1" si="8"/>
        <v>5</v>
      </c>
    </row>
    <row r="546" spans="1:15" ht="13.8" x14ac:dyDescent="0.25">
      <c r="A546" s="1" t="s">
        <v>1200</v>
      </c>
      <c r="B546" s="1" t="s">
        <v>1196</v>
      </c>
      <c r="C546" s="1" t="s">
        <v>131</v>
      </c>
      <c r="D546" s="1" t="s">
        <v>132</v>
      </c>
      <c r="E546" s="1" t="s">
        <v>1197</v>
      </c>
      <c r="F546" s="1" t="s">
        <v>1198</v>
      </c>
      <c r="G546" s="1">
        <v>2008</v>
      </c>
      <c r="H546" s="1" t="s">
        <v>44</v>
      </c>
      <c r="I546" s="17">
        <f ca="1">DATE(YEAR(TODAY())-2,11,6)</f>
        <v>44141</v>
      </c>
      <c r="J546" s="17">
        <f ca="1">DATE(YEAR(TODAY())-2,11,9)</f>
        <v>44144</v>
      </c>
      <c r="K546" s="1" t="s">
        <v>72</v>
      </c>
      <c r="L546" s="1" t="s">
        <v>73</v>
      </c>
      <c r="M546" s="1">
        <v>769</v>
      </c>
      <c r="N546" s="1" cm="1">
        <f t="array" ref="N546">_xlfn.RANK.EQ(M546,total_money_spent)</f>
        <v>378</v>
      </c>
      <c r="O546" s="1">
        <f t="shared" ca="1" si="8"/>
        <v>3</v>
      </c>
    </row>
    <row r="547" spans="1:15" ht="13.8" x14ac:dyDescent="0.25">
      <c r="A547" s="1" t="s">
        <v>615</v>
      </c>
      <c r="B547" s="1" t="s">
        <v>616</v>
      </c>
      <c r="C547" s="1" t="s">
        <v>617</v>
      </c>
      <c r="D547" s="1" t="s">
        <v>618</v>
      </c>
      <c r="E547" s="1" t="s">
        <v>619</v>
      </c>
      <c r="F547" s="1" t="s">
        <v>620</v>
      </c>
      <c r="G547" s="1">
        <v>2007</v>
      </c>
      <c r="H547" s="1" t="s">
        <v>44</v>
      </c>
      <c r="I547" s="17">
        <f ca="1">DATE(YEAR(TODAY())-1,9,14)</f>
        <v>44453</v>
      </c>
      <c r="J547" s="17">
        <f ca="1">DATE(YEAR(TODAY())-1,9,17)</f>
        <v>44456</v>
      </c>
      <c r="K547" s="1" t="s">
        <v>16</v>
      </c>
      <c r="L547" s="1" t="s">
        <v>34</v>
      </c>
      <c r="M547" s="1">
        <v>759</v>
      </c>
      <c r="N547" s="1" cm="1">
        <f t="array" ref="N547">_xlfn.RANK.EQ(M547,total_money_spent)</f>
        <v>398</v>
      </c>
      <c r="O547" s="1">
        <f t="shared" ca="1" si="8"/>
        <v>3</v>
      </c>
    </row>
    <row r="548" spans="1:15" ht="13.8" x14ac:dyDescent="0.25">
      <c r="A548" s="1" t="s">
        <v>1480</v>
      </c>
      <c r="B548" s="1" t="s">
        <v>1481</v>
      </c>
      <c r="C548" s="1" t="s">
        <v>57</v>
      </c>
      <c r="D548" s="1" t="s">
        <v>57</v>
      </c>
      <c r="E548" s="1" t="s">
        <v>1482</v>
      </c>
      <c r="F548" s="1" t="s">
        <v>1483</v>
      </c>
      <c r="G548" s="1">
        <v>2002</v>
      </c>
      <c r="H548" s="1" t="s">
        <v>24</v>
      </c>
      <c r="I548" s="17">
        <f ca="1">DATE(YEAR(TODAY())-1,8,28)</f>
        <v>44436</v>
      </c>
      <c r="J548" s="17">
        <f ca="1">DATE(YEAR(TODAY())-1,9,4)</f>
        <v>44443</v>
      </c>
      <c r="K548" s="1" t="s">
        <v>82</v>
      </c>
      <c r="L548" s="1" t="s">
        <v>34</v>
      </c>
      <c r="M548" s="1">
        <v>980</v>
      </c>
      <c r="N548" s="1" cm="1">
        <f t="array" ref="N548">_xlfn.RANK.EQ(M548,total_money_spent)</f>
        <v>61</v>
      </c>
      <c r="O548" s="1">
        <f t="shared" ca="1" si="8"/>
        <v>7</v>
      </c>
    </row>
    <row r="549" spans="1:15" ht="13.8" x14ac:dyDescent="0.25">
      <c r="A549" s="1" t="s">
        <v>40</v>
      </c>
      <c r="B549" s="1" t="s">
        <v>41</v>
      </c>
      <c r="C549" s="1" t="s">
        <v>20</v>
      </c>
      <c r="D549" s="1" t="s">
        <v>21</v>
      </c>
      <c r="E549" s="1" t="s">
        <v>42</v>
      </c>
      <c r="F549" s="1" t="s">
        <v>43</v>
      </c>
      <c r="G549" s="1">
        <v>2008</v>
      </c>
      <c r="H549" s="1" t="s">
        <v>44</v>
      </c>
      <c r="I549" s="17">
        <f ca="1">DATE(YEAR(TODAY())-1,7,20)</f>
        <v>44397</v>
      </c>
      <c r="J549" s="17">
        <f ca="1">DATE(YEAR(TODAY())-1,7,24)</f>
        <v>44401</v>
      </c>
      <c r="K549" s="1" t="s">
        <v>16</v>
      </c>
      <c r="L549" s="1" t="s">
        <v>34</v>
      </c>
      <c r="M549" s="1">
        <v>843</v>
      </c>
      <c r="N549" s="1" cm="1">
        <f t="array" ref="N549">_xlfn.RANK.EQ(M549,total_money_spent)</f>
        <v>227</v>
      </c>
      <c r="O549" s="1">
        <f t="shared" ca="1" si="8"/>
        <v>4</v>
      </c>
    </row>
    <row r="550" spans="1:15" ht="13.8" x14ac:dyDescent="0.25">
      <c r="A550" s="1" t="s">
        <v>1184</v>
      </c>
      <c r="B550" s="1" t="s">
        <v>1185</v>
      </c>
      <c r="C550" s="1" t="s">
        <v>70</v>
      </c>
      <c r="D550" s="1" t="s">
        <v>70</v>
      </c>
      <c r="E550" s="1" t="s">
        <v>1186</v>
      </c>
      <c r="F550" s="1" t="s">
        <v>1187</v>
      </c>
      <c r="G550" s="1">
        <v>2007</v>
      </c>
      <c r="H550" s="1" t="s">
        <v>44</v>
      </c>
      <c r="I550" s="17">
        <f ca="1">DATE(YEAR(TODAY())-1,1,3)</f>
        <v>44199</v>
      </c>
      <c r="J550" s="17">
        <f ca="1">DATE(YEAR(TODAY())-1,1,5)</f>
        <v>44201</v>
      </c>
      <c r="K550" s="1" t="s">
        <v>87</v>
      </c>
      <c r="L550" s="1" t="s">
        <v>73</v>
      </c>
      <c r="M550" s="1">
        <v>734</v>
      </c>
      <c r="N550" s="1" cm="1">
        <f t="array" ref="N550">_xlfn.RANK.EQ(M550,total_money_spent)</f>
        <v>444</v>
      </c>
      <c r="O550" s="1">
        <f t="shared" ca="1" si="8"/>
        <v>2</v>
      </c>
    </row>
    <row r="551" spans="1:15" ht="13.8" x14ac:dyDescent="0.25">
      <c r="A551" s="1" t="s">
        <v>1319</v>
      </c>
      <c r="B551" s="1" t="s">
        <v>1320</v>
      </c>
      <c r="C551" s="1" t="s">
        <v>157</v>
      </c>
      <c r="D551" s="1" t="s">
        <v>158</v>
      </c>
      <c r="E551" s="1" t="s">
        <v>1321</v>
      </c>
      <c r="F551" s="1" t="s">
        <v>1322</v>
      </c>
      <c r="G551" s="1">
        <v>2002</v>
      </c>
      <c r="H551" s="1" t="s">
        <v>24</v>
      </c>
      <c r="I551" s="17">
        <f ca="1">DATE(YEAR(TODAY())-2,10,9)</f>
        <v>44113</v>
      </c>
      <c r="J551" s="17">
        <f ca="1">DATE(YEAR(TODAY())-2,10,13)</f>
        <v>44117</v>
      </c>
      <c r="K551" s="1" t="s">
        <v>25</v>
      </c>
      <c r="L551" s="1" t="s">
        <v>25</v>
      </c>
      <c r="M551" s="1">
        <v>789</v>
      </c>
      <c r="N551" s="1" cm="1">
        <f t="array" ref="N551">_xlfn.RANK.EQ(M551,total_money_spent)</f>
        <v>325</v>
      </c>
      <c r="O551" s="1">
        <f t="shared" ca="1" si="8"/>
        <v>4</v>
      </c>
    </row>
    <row r="552" spans="1:15" ht="13.8" x14ac:dyDescent="0.25">
      <c r="A552" s="1" t="s">
        <v>830</v>
      </c>
      <c r="B552" s="1" t="s">
        <v>826</v>
      </c>
      <c r="C552" s="1" t="s">
        <v>523</v>
      </c>
      <c r="D552" s="1" t="s">
        <v>158</v>
      </c>
      <c r="E552" s="1" t="s">
        <v>827</v>
      </c>
      <c r="F552" s="1" t="s">
        <v>828</v>
      </c>
      <c r="G552" s="1">
        <v>3003</v>
      </c>
      <c r="H552" s="1" t="s">
        <v>81</v>
      </c>
      <c r="I552" s="17">
        <f ca="1">DATE(YEAR(TODAY())-1,4,22)</f>
        <v>44308</v>
      </c>
      <c r="J552" s="17">
        <f ca="1">DATE(YEAR(TODAY())-1,4,28)</f>
        <v>44314</v>
      </c>
      <c r="K552" s="1" t="s">
        <v>34</v>
      </c>
      <c r="L552" s="1" t="s">
        <v>34</v>
      </c>
      <c r="M552" s="1">
        <v>1005</v>
      </c>
      <c r="N552" s="1" cm="1">
        <f t="array" ref="N552">_xlfn.RANK.EQ(M552,total_money_spent)</f>
        <v>50</v>
      </c>
      <c r="O552" s="1">
        <f t="shared" ca="1" si="8"/>
        <v>6</v>
      </c>
    </row>
    <row r="553" spans="1:15" ht="13.8" x14ac:dyDescent="0.25">
      <c r="A553" s="1" t="s">
        <v>912</v>
      </c>
      <c r="B553" s="1" t="s">
        <v>913</v>
      </c>
      <c r="C553" s="1" t="s">
        <v>229</v>
      </c>
      <c r="D553" s="1" t="s">
        <v>230</v>
      </c>
      <c r="E553" s="1" t="s">
        <v>914</v>
      </c>
      <c r="F553" s="1" t="s">
        <v>915</v>
      </c>
      <c r="G553" s="1">
        <v>2002</v>
      </c>
      <c r="H553" s="1" t="s">
        <v>24</v>
      </c>
      <c r="I553" s="17">
        <f ca="1">DATE(YEAR(TODAY())-1,7,25)</f>
        <v>44402</v>
      </c>
      <c r="J553" s="17">
        <f ca="1">DATE(YEAR(TODAY())-1,7,30)</f>
        <v>44407</v>
      </c>
      <c r="K553" s="1" t="s">
        <v>87</v>
      </c>
      <c r="L553" s="1" t="s">
        <v>73</v>
      </c>
      <c r="M553" s="1">
        <v>846</v>
      </c>
      <c r="N553" s="1" cm="1">
        <f t="array" ref="N553">_xlfn.RANK.EQ(M553,total_money_spent)</f>
        <v>222</v>
      </c>
      <c r="O553" s="1">
        <f t="shared" ca="1" si="8"/>
        <v>5</v>
      </c>
    </row>
    <row r="554" spans="1:15" ht="13.8" x14ac:dyDescent="0.25">
      <c r="A554" s="1" t="s">
        <v>346</v>
      </c>
      <c r="B554" s="1" t="s">
        <v>347</v>
      </c>
      <c r="C554" s="1" t="s">
        <v>76</v>
      </c>
      <c r="D554" s="1" t="s">
        <v>77</v>
      </c>
      <c r="E554" s="1" t="s">
        <v>348</v>
      </c>
      <c r="F554" s="1" t="s">
        <v>349</v>
      </c>
      <c r="G554" s="1">
        <v>3004</v>
      </c>
      <c r="H554" s="1" t="s">
        <v>203</v>
      </c>
      <c r="I554" s="17">
        <f ca="1">DATE(YEAR(TODAY())-1,3,25)</f>
        <v>44280</v>
      </c>
      <c r="J554" s="17">
        <f ca="1">DATE(YEAR(TODAY())-1,4,2)</f>
        <v>44288</v>
      </c>
      <c r="K554" s="1" t="s">
        <v>72</v>
      </c>
      <c r="L554" s="1" t="s">
        <v>73</v>
      </c>
      <c r="M554" s="1">
        <v>1400</v>
      </c>
      <c r="N554" s="1" cm="1">
        <f t="array" ref="N554">_xlfn.RANK.EQ(M554,total_money_spent)</f>
        <v>4</v>
      </c>
      <c r="O554" s="1">
        <f t="shared" ca="1" si="8"/>
        <v>8</v>
      </c>
    </row>
    <row r="555" spans="1:15" ht="13.8" x14ac:dyDescent="0.25">
      <c r="A555" s="1" t="s">
        <v>1003</v>
      </c>
      <c r="B555" s="1" t="s">
        <v>1004</v>
      </c>
      <c r="C555" s="1" t="s">
        <v>270</v>
      </c>
      <c r="D555" s="1" t="s">
        <v>271</v>
      </c>
      <c r="E555" s="1" t="s">
        <v>1005</v>
      </c>
      <c r="F555" s="1" t="s">
        <v>1006</v>
      </c>
      <c r="G555" s="1">
        <v>2002</v>
      </c>
      <c r="H555" s="1" t="s">
        <v>24</v>
      </c>
      <c r="I555" s="17">
        <f ca="1">DATE(YEAR(TODAY())-1,5,11)</f>
        <v>44327</v>
      </c>
      <c r="J555" s="17">
        <f ca="1">DATE(YEAR(TODAY())-1,5,13)</f>
        <v>44329</v>
      </c>
      <c r="K555" s="1" t="s">
        <v>25</v>
      </c>
      <c r="L555" s="1" t="s">
        <v>25</v>
      </c>
      <c r="M555" s="1">
        <v>721</v>
      </c>
      <c r="N555" s="1" cm="1">
        <f t="array" ref="N555">_xlfn.RANK.EQ(M555,total_money_spent)</f>
        <v>460</v>
      </c>
      <c r="O555" s="1">
        <f t="shared" ca="1" si="8"/>
        <v>2</v>
      </c>
    </row>
    <row r="556" spans="1:15" ht="13.8" x14ac:dyDescent="0.25">
      <c r="A556" s="1" t="s">
        <v>763</v>
      </c>
      <c r="B556" s="1" t="s">
        <v>764</v>
      </c>
      <c r="C556" s="1" t="s">
        <v>131</v>
      </c>
      <c r="D556" s="1" t="s">
        <v>132</v>
      </c>
      <c r="E556" s="1" t="s">
        <v>765</v>
      </c>
      <c r="F556" s="1" t="s">
        <v>766</v>
      </c>
      <c r="G556" s="1">
        <v>2006</v>
      </c>
      <c r="H556" s="1" t="s">
        <v>24</v>
      </c>
      <c r="I556" s="17">
        <f ca="1">DATE(YEAR(TODAY())-1,3,21)</f>
        <v>44276</v>
      </c>
      <c r="J556" s="17">
        <f ca="1">DATE(YEAR(TODAY())-1,3,27)</f>
        <v>44282</v>
      </c>
      <c r="K556" s="1" t="s">
        <v>82</v>
      </c>
      <c r="L556" s="1" t="s">
        <v>34</v>
      </c>
      <c r="M556" s="1">
        <v>900</v>
      </c>
      <c r="N556" s="1" cm="1">
        <f t="array" ref="N556">_xlfn.RANK.EQ(M556,total_money_spent)</f>
        <v>153</v>
      </c>
      <c r="O556" s="1">
        <f t="shared" ca="1" si="8"/>
        <v>6</v>
      </c>
    </row>
    <row r="557" spans="1:15" ht="13.8" x14ac:dyDescent="0.25">
      <c r="A557" s="1" t="s">
        <v>963</v>
      </c>
      <c r="B557" s="1" t="s">
        <v>960</v>
      </c>
      <c r="C557" s="1" t="s">
        <v>125</v>
      </c>
      <c r="D557" s="1" t="s">
        <v>126</v>
      </c>
      <c r="F557" s="1" t="s">
        <v>962</v>
      </c>
      <c r="G557" s="1">
        <v>3005</v>
      </c>
      <c r="H557" s="1" t="s">
        <v>203</v>
      </c>
      <c r="I557" s="17">
        <f ca="1">DATE(YEAR(TODAY())-1,9,15)</f>
        <v>44454</v>
      </c>
      <c r="J557" s="17">
        <f ca="1">DATE(YEAR(TODAY())-1,9,18)</f>
        <v>44457</v>
      </c>
      <c r="K557" s="1" t="s">
        <v>16</v>
      </c>
      <c r="L557" s="1" t="s">
        <v>34</v>
      </c>
      <c r="M557" s="1">
        <v>791</v>
      </c>
      <c r="N557" s="1" cm="1">
        <f t="array" ref="N557">_xlfn.RANK.EQ(M557,total_money_spent)</f>
        <v>319</v>
      </c>
      <c r="O557" s="1">
        <f t="shared" ca="1" si="8"/>
        <v>3</v>
      </c>
    </row>
    <row r="558" spans="1:15" ht="13.8" x14ac:dyDescent="0.25">
      <c r="A558" s="1" t="s">
        <v>519</v>
      </c>
      <c r="B558" s="1" t="s">
        <v>515</v>
      </c>
      <c r="C558" s="1" t="s">
        <v>37</v>
      </c>
      <c r="D558" s="1" t="s">
        <v>38</v>
      </c>
      <c r="E558" s="1" t="s">
        <v>516</v>
      </c>
      <c r="F558" s="1" t="s">
        <v>517</v>
      </c>
      <c r="G558" s="1">
        <v>3004</v>
      </c>
      <c r="H558" s="1" t="s">
        <v>203</v>
      </c>
      <c r="I558" s="17">
        <f ca="1">DATE(YEAR(TODAY())-1,1,28)</f>
        <v>44224</v>
      </c>
      <c r="J558" s="17">
        <f ca="1">DATE(YEAR(TODAY())-1,2,2)</f>
        <v>44229</v>
      </c>
      <c r="K558" s="1" t="s">
        <v>143</v>
      </c>
      <c r="L558" s="1" t="s">
        <v>25</v>
      </c>
      <c r="M558" s="1">
        <v>960</v>
      </c>
      <c r="N558" s="1" cm="1">
        <f t="array" ref="N558">_xlfn.RANK.EQ(M558,total_money_spent)</f>
        <v>95</v>
      </c>
      <c r="O558" s="1">
        <f t="shared" ca="1" si="8"/>
        <v>5</v>
      </c>
    </row>
    <row r="559" spans="1:15" ht="13.8" x14ac:dyDescent="0.25">
      <c r="A559" s="1" t="s">
        <v>838</v>
      </c>
      <c r="B559" s="1" t="s">
        <v>836</v>
      </c>
      <c r="C559" s="1" t="s">
        <v>52</v>
      </c>
      <c r="D559" s="1" t="s">
        <v>53</v>
      </c>
      <c r="E559" s="1" t="s">
        <v>839</v>
      </c>
      <c r="F559" s="1" t="s">
        <v>837</v>
      </c>
      <c r="G559" s="1">
        <v>2007</v>
      </c>
      <c r="H559" s="1" t="s">
        <v>44</v>
      </c>
      <c r="I559" s="17">
        <f ca="1">DATE(YEAR(TODAY())-1,4,27)</f>
        <v>44313</v>
      </c>
      <c r="J559" s="17">
        <f ca="1">DATE(YEAR(TODAY())-1,4,30)</f>
        <v>44316</v>
      </c>
      <c r="K559" s="1" t="s">
        <v>34</v>
      </c>
      <c r="L559" s="1" t="s">
        <v>34</v>
      </c>
      <c r="M559" s="1">
        <v>776</v>
      </c>
      <c r="N559" s="1" cm="1">
        <f t="array" ref="N559">_xlfn.RANK.EQ(M559,total_money_spent)</f>
        <v>358</v>
      </c>
      <c r="O559" s="1">
        <f t="shared" ca="1" si="8"/>
        <v>3</v>
      </c>
    </row>
    <row r="560" spans="1:15" ht="13.8" x14ac:dyDescent="0.25">
      <c r="A560" s="1" t="s">
        <v>564</v>
      </c>
      <c r="B560" s="1" t="s">
        <v>560</v>
      </c>
      <c r="C560" s="1" t="s">
        <v>106</v>
      </c>
      <c r="D560" s="1" t="s">
        <v>107</v>
      </c>
      <c r="E560" s="1" t="s">
        <v>563</v>
      </c>
      <c r="F560" s="1" t="s">
        <v>561</v>
      </c>
      <c r="G560" s="1" t="s">
        <v>31</v>
      </c>
      <c r="H560" s="1" t="s">
        <v>32</v>
      </c>
      <c r="I560" s="17">
        <f ca="1">DATE(YEAR(TODAY())-1,3,29)</f>
        <v>44284</v>
      </c>
      <c r="J560" s="17">
        <f ca="1">DATE(YEAR(TODAY())-1,4,3)</f>
        <v>44289</v>
      </c>
      <c r="K560" s="1" t="s">
        <v>25</v>
      </c>
      <c r="L560" s="1" t="s">
        <v>25</v>
      </c>
      <c r="M560" s="1">
        <v>807</v>
      </c>
      <c r="N560" s="1" cm="1">
        <f t="array" ref="N560">_xlfn.RANK.EQ(M560,total_money_spent)</f>
        <v>272</v>
      </c>
      <c r="O560" s="1">
        <f t="shared" ca="1" si="8"/>
        <v>5</v>
      </c>
    </row>
    <row r="561" spans="1:15" ht="13.8" x14ac:dyDescent="0.25">
      <c r="A561" s="1" t="s">
        <v>1182</v>
      </c>
      <c r="B561" s="1" t="s">
        <v>1179</v>
      </c>
      <c r="C561" s="1" t="s">
        <v>101</v>
      </c>
      <c r="D561" s="1" t="s">
        <v>102</v>
      </c>
      <c r="F561" s="1" t="s">
        <v>1181</v>
      </c>
      <c r="G561" s="1">
        <v>3001</v>
      </c>
      <c r="H561" s="1" t="s">
        <v>81</v>
      </c>
      <c r="I561" s="17">
        <f ca="1">DATE(YEAR(TODAY())-2,11,6)</f>
        <v>44141</v>
      </c>
      <c r="J561" s="17">
        <f ca="1">DATE(YEAR(TODAY())-2,11,9)</f>
        <v>44144</v>
      </c>
      <c r="K561" s="1" t="s">
        <v>25</v>
      </c>
      <c r="L561" s="1" t="s">
        <v>25</v>
      </c>
      <c r="M561" s="1">
        <v>783</v>
      </c>
      <c r="N561" s="1" cm="1">
        <f t="array" ref="N561">_xlfn.RANK.EQ(M561,total_money_spent)</f>
        <v>336</v>
      </c>
      <c r="O561" s="1">
        <f t="shared" ca="1" si="8"/>
        <v>3</v>
      </c>
    </row>
    <row r="562" spans="1:15" ht="13.8" x14ac:dyDescent="0.25">
      <c r="A562" s="1" t="s">
        <v>841</v>
      </c>
      <c r="B562" s="1" t="s">
        <v>842</v>
      </c>
      <c r="C562" s="1" t="s">
        <v>91</v>
      </c>
      <c r="D562" s="1" t="s">
        <v>91</v>
      </c>
      <c r="E562" s="1" t="s">
        <v>843</v>
      </c>
      <c r="F562" s="1" t="s">
        <v>844</v>
      </c>
      <c r="G562" s="1" t="s">
        <v>226</v>
      </c>
      <c r="H562" s="1" t="s">
        <v>32</v>
      </c>
      <c r="I562" s="17">
        <f ca="1">DATE(YEAR(TODAY())-2,11,24)</f>
        <v>44159</v>
      </c>
      <c r="J562" s="17">
        <f ca="1">DATE(YEAR(TODAY())-2,11,25)</f>
        <v>44160</v>
      </c>
      <c r="K562" s="1" t="s">
        <v>87</v>
      </c>
      <c r="L562" s="1" t="s">
        <v>73</v>
      </c>
      <c r="M562" s="1">
        <v>676</v>
      </c>
      <c r="N562" s="1" cm="1">
        <f t="array" ref="N562">_xlfn.RANK.EQ(M562,total_money_spent)</f>
        <v>507</v>
      </c>
      <c r="O562" s="1">
        <f t="shared" ca="1" si="8"/>
        <v>1</v>
      </c>
    </row>
    <row r="563" spans="1:15" ht="13.8" x14ac:dyDescent="0.25">
      <c r="A563" s="1" t="s">
        <v>1233</v>
      </c>
      <c r="B563" s="1" t="s">
        <v>1234</v>
      </c>
      <c r="C563" s="1" t="s">
        <v>131</v>
      </c>
      <c r="D563" s="1" t="s">
        <v>132</v>
      </c>
      <c r="E563" s="1" t="s">
        <v>1235</v>
      </c>
      <c r="F563" s="1" t="s">
        <v>1236</v>
      </c>
      <c r="G563" s="1">
        <v>2002</v>
      </c>
      <c r="H563" s="1" t="s">
        <v>24</v>
      </c>
      <c r="I563" s="17">
        <f ca="1">DATE(YEAR(TODAY())-1,5,14)</f>
        <v>44330</v>
      </c>
      <c r="J563" s="17">
        <f ca="1">DATE(YEAR(TODAY())-1,5,17)</f>
        <v>44333</v>
      </c>
      <c r="K563" s="1" t="s">
        <v>33</v>
      </c>
      <c r="L563" s="1" t="s">
        <v>34</v>
      </c>
      <c r="M563" s="1">
        <v>777</v>
      </c>
      <c r="N563" s="1" cm="1">
        <f t="array" ref="N563">_xlfn.RANK.EQ(M563,total_money_spent)</f>
        <v>354</v>
      </c>
      <c r="O563" s="1">
        <f t="shared" ca="1" si="8"/>
        <v>3</v>
      </c>
    </row>
    <row r="564" spans="1:15" ht="13.8" x14ac:dyDescent="0.25">
      <c r="A564" s="1" t="s">
        <v>876</v>
      </c>
      <c r="B564" s="1" t="s">
        <v>877</v>
      </c>
      <c r="C564" s="1" t="s">
        <v>47</v>
      </c>
      <c r="D564" s="1" t="s">
        <v>48</v>
      </c>
      <c r="E564" s="1" t="s">
        <v>878</v>
      </c>
      <c r="F564" s="1" t="s">
        <v>879</v>
      </c>
      <c r="G564" s="1">
        <v>2002</v>
      </c>
      <c r="H564" s="1" t="s">
        <v>24</v>
      </c>
      <c r="I564" s="17">
        <f ca="1">DATE(YEAR(TODAY())-1,1,18)</f>
        <v>44214</v>
      </c>
      <c r="J564" s="17">
        <f ca="1">DATE(YEAR(TODAY())-1,1,23)</f>
        <v>44219</v>
      </c>
      <c r="K564" s="1" t="s">
        <v>25</v>
      </c>
      <c r="L564" s="1" t="s">
        <v>25</v>
      </c>
      <c r="M564" s="1">
        <v>845</v>
      </c>
      <c r="N564" s="1" cm="1">
        <f t="array" ref="N564">_xlfn.RANK.EQ(M564,total_money_spent)</f>
        <v>224</v>
      </c>
      <c r="O564" s="1">
        <f t="shared" ca="1" si="8"/>
        <v>5</v>
      </c>
    </row>
    <row r="565" spans="1:15" ht="13.8" x14ac:dyDescent="0.25">
      <c r="A565" s="1" t="s">
        <v>1190</v>
      </c>
      <c r="B565" s="1" t="s">
        <v>1191</v>
      </c>
      <c r="C565" s="1" t="s">
        <v>1192</v>
      </c>
      <c r="D565" s="1" t="s">
        <v>618</v>
      </c>
      <c r="E565" s="1" t="s">
        <v>1193</v>
      </c>
      <c r="F565" s="1" t="s">
        <v>1194</v>
      </c>
      <c r="G565" s="1">
        <v>2003</v>
      </c>
      <c r="H565" s="1" t="s">
        <v>24</v>
      </c>
      <c r="I565" s="17">
        <f ca="1">DATE(YEAR(TODAY())-1,1,8)</f>
        <v>44204</v>
      </c>
      <c r="J565" s="17">
        <f ca="1">DATE(YEAR(TODAY())-1,1,12)</f>
        <v>44208</v>
      </c>
      <c r="K565" s="1" t="s">
        <v>143</v>
      </c>
      <c r="L565" s="1" t="s">
        <v>25</v>
      </c>
      <c r="M565" s="1">
        <v>796</v>
      </c>
      <c r="N565" s="1" cm="1">
        <f t="array" ref="N565">_xlfn.RANK.EQ(M565,total_money_spent)</f>
        <v>304</v>
      </c>
      <c r="O565" s="1">
        <f t="shared" ca="1" si="8"/>
        <v>4</v>
      </c>
    </row>
    <row r="566" spans="1:15" ht="13.8" x14ac:dyDescent="0.25">
      <c r="A566" s="1" t="s">
        <v>240</v>
      </c>
      <c r="B566" s="1" t="s">
        <v>241</v>
      </c>
      <c r="C566" s="1" t="s">
        <v>125</v>
      </c>
      <c r="D566" s="1" t="s">
        <v>126</v>
      </c>
      <c r="E566" s="1" t="s">
        <v>242</v>
      </c>
      <c r="F566" s="1" t="s">
        <v>243</v>
      </c>
      <c r="G566" s="1">
        <v>3002</v>
      </c>
      <c r="H566" s="1" t="s">
        <v>81</v>
      </c>
      <c r="I566" s="17">
        <f ca="1">DATE(YEAR(TODAY())-1,6,21)</f>
        <v>44368</v>
      </c>
      <c r="J566" s="17">
        <f ca="1">DATE(YEAR(TODAY())-1,6,24)</f>
        <v>44371</v>
      </c>
      <c r="K566" s="1" t="s">
        <v>143</v>
      </c>
      <c r="L566" s="1" t="s">
        <v>25</v>
      </c>
      <c r="M566" s="1">
        <v>781</v>
      </c>
      <c r="N566" s="1" cm="1">
        <f t="array" ref="N566">_xlfn.RANK.EQ(M566,total_money_spent)</f>
        <v>341</v>
      </c>
      <c r="O566" s="1">
        <f t="shared" ca="1" si="8"/>
        <v>3</v>
      </c>
    </row>
    <row r="567" spans="1:15" ht="13.8" x14ac:dyDescent="0.25">
      <c r="A567" s="1" t="s">
        <v>1087</v>
      </c>
      <c r="B567" s="1" t="s">
        <v>1084</v>
      </c>
      <c r="C567" s="1" t="s">
        <v>57</v>
      </c>
      <c r="D567" s="1" t="s">
        <v>57</v>
      </c>
      <c r="E567" s="1" t="s">
        <v>1085</v>
      </c>
      <c r="F567" s="1" t="s">
        <v>1086</v>
      </c>
      <c r="G567" s="1">
        <v>2010</v>
      </c>
      <c r="H567" s="1" t="s">
        <v>44</v>
      </c>
      <c r="I567" s="17">
        <f ca="1">DATE(YEAR(TODAY())-1,8,10)</f>
        <v>44418</v>
      </c>
      <c r="J567" s="17">
        <f ca="1">DATE(YEAR(TODAY())-1,8,14)</f>
        <v>44422</v>
      </c>
      <c r="K567" s="1" t="s">
        <v>136</v>
      </c>
      <c r="L567" s="1" t="s">
        <v>137</v>
      </c>
      <c r="M567" s="1">
        <v>830</v>
      </c>
      <c r="N567" s="1" cm="1">
        <f t="array" ref="N567">_xlfn.RANK.EQ(M567,total_money_spent)</f>
        <v>253</v>
      </c>
      <c r="O567" s="1">
        <f t="shared" ca="1" si="8"/>
        <v>4</v>
      </c>
    </row>
    <row r="568" spans="1:15" ht="13.8" x14ac:dyDescent="0.25">
      <c r="A568" s="1" t="s">
        <v>840</v>
      </c>
      <c r="B568" s="1" t="s">
        <v>836</v>
      </c>
      <c r="C568" s="1" t="s">
        <v>125</v>
      </c>
      <c r="D568" s="1" t="s">
        <v>126</v>
      </c>
      <c r="E568" s="1" t="s">
        <v>839</v>
      </c>
      <c r="F568" s="1" t="s">
        <v>837</v>
      </c>
      <c r="G568" s="1" t="s">
        <v>226</v>
      </c>
      <c r="H568" s="1" t="s">
        <v>32</v>
      </c>
      <c r="I568" s="17">
        <f ca="1">DATE(YEAR(TODAY())-1,9,16)</f>
        <v>44455</v>
      </c>
      <c r="J568" s="17">
        <f ca="1">DATE(YEAR(TODAY())-1,9,17)</f>
        <v>44456</v>
      </c>
      <c r="K568" s="1" t="s">
        <v>82</v>
      </c>
      <c r="L568" s="1" t="s">
        <v>34</v>
      </c>
      <c r="M568" s="1">
        <v>677</v>
      </c>
      <c r="N568" s="1" cm="1">
        <f t="array" ref="N568">_xlfn.RANK.EQ(M568,total_money_spent)</f>
        <v>506</v>
      </c>
      <c r="O568" s="1">
        <f t="shared" ca="1" si="8"/>
        <v>1</v>
      </c>
    </row>
    <row r="569" spans="1:15" ht="13.8" x14ac:dyDescent="0.25">
      <c r="A569" s="1" t="s">
        <v>373</v>
      </c>
      <c r="B569" s="1" t="s">
        <v>368</v>
      </c>
      <c r="C569" s="1" t="s">
        <v>147</v>
      </c>
      <c r="D569" s="1" t="s">
        <v>147</v>
      </c>
      <c r="E569" s="1" t="s">
        <v>369</v>
      </c>
      <c r="F569" s="1" t="s">
        <v>370</v>
      </c>
      <c r="G569" s="1" t="s">
        <v>115</v>
      </c>
      <c r="H569" s="1" t="s">
        <v>32</v>
      </c>
      <c r="I569" s="17">
        <f ca="1">DATE(YEAR(TODAY())-1,6,30)</f>
        <v>44377</v>
      </c>
      <c r="J569" s="17">
        <f ca="1">DATE(YEAR(TODAY())-1,7,3)</f>
        <v>44380</v>
      </c>
      <c r="K569" s="1" t="s">
        <v>61</v>
      </c>
      <c r="L569" s="1" t="s">
        <v>34</v>
      </c>
      <c r="M569" s="1">
        <v>740</v>
      </c>
      <c r="N569" s="1" cm="1">
        <f t="array" ref="N569">_xlfn.RANK.EQ(M569,total_money_spent)</f>
        <v>426</v>
      </c>
      <c r="O569" s="1">
        <f t="shared" ca="1" si="8"/>
        <v>3</v>
      </c>
    </row>
    <row r="570" spans="1:15" ht="13.8" x14ac:dyDescent="0.25">
      <c r="A570" s="1" t="s">
        <v>595</v>
      </c>
      <c r="B570" s="1" t="s">
        <v>590</v>
      </c>
      <c r="C570" s="1" t="s">
        <v>140</v>
      </c>
      <c r="D570" s="1" t="s">
        <v>140</v>
      </c>
      <c r="E570" s="1" t="s">
        <v>591</v>
      </c>
      <c r="F570" s="1" t="s">
        <v>592</v>
      </c>
      <c r="G570" s="1" t="s">
        <v>54</v>
      </c>
      <c r="H570" s="1" t="s">
        <v>32</v>
      </c>
      <c r="I570" s="17">
        <f ca="1">DATE(YEAR(TODAY())-1,5,23)</f>
        <v>44339</v>
      </c>
      <c r="J570" s="17">
        <f ca="1">DATE(YEAR(TODAY())-1,5,30)</f>
        <v>44346</v>
      </c>
      <c r="K570" s="1" t="s">
        <v>16</v>
      </c>
      <c r="L570" s="1" t="s">
        <v>34</v>
      </c>
      <c r="M570" s="1">
        <v>915</v>
      </c>
      <c r="N570" s="1" cm="1">
        <f t="array" ref="N570">_xlfn.RANK.EQ(M570,total_money_spent)</f>
        <v>112</v>
      </c>
      <c r="O570" s="1">
        <f t="shared" ca="1" si="8"/>
        <v>7</v>
      </c>
    </row>
    <row r="571" spans="1:15" ht="13.8" x14ac:dyDescent="0.25">
      <c r="A571" s="1" t="s">
        <v>518</v>
      </c>
      <c r="B571" s="1" t="s">
        <v>515</v>
      </c>
      <c r="C571" s="1" t="s">
        <v>235</v>
      </c>
      <c r="D571" s="1" t="s">
        <v>235</v>
      </c>
      <c r="E571" s="1" t="s">
        <v>516</v>
      </c>
      <c r="F571" s="1" t="s">
        <v>517</v>
      </c>
      <c r="G571" s="1">
        <v>3001</v>
      </c>
      <c r="H571" s="1" t="s">
        <v>81</v>
      </c>
      <c r="I571" s="17">
        <f ca="1">DATE(YEAR(TODAY())-1,2,2)</f>
        <v>44229</v>
      </c>
      <c r="J571" s="17">
        <f ca="1">DATE(YEAR(TODAY())-1,2,5)</f>
        <v>44232</v>
      </c>
      <c r="K571" s="1" t="s">
        <v>34</v>
      </c>
      <c r="L571" s="1" t="s">
        <v>34</v>
      </c>
      <c r="M571" s="1">
        <v>776</v>
      </c>
      <c r="N571" s="1" cm="1">
        <f t="array" ref="N571">_xlfn.RANK.EQ(M571,total_money_spent)</f>
        <v>358</v>
      </c>
      <c r="O571" s="1">
        <f t="shared" ca="1" si="8"/>
        <v>3</v>
      </c>
    </row>
    <row r="572" spans="1:15" ht="13.8" x14ac:dyDescent="0.25">
      <c r="A572" s="1" t="s">
        <v>1205</v>
      </c>
      <c r="B572" s="1" t="s">
        <v>1202</v>
      </c>
      <c r="C572" s="1" t="s">
        <v>110</v>
      </c>
      <c r="D572" s="1" t="s">
        <v>111</v>
      </c>
      <c r="E572" s="1" t="s">
        <v>1203</v>
      </c>
      <c r="F572" s="1" t="s">
        <v>1204</v>
      </c>
      <c r="G572" s="1">
        <v>3002</v>
      </c>
      <c r="H572" s="1" t="s">
        <v>81</v>
      </c>
      <c r="I572" s="17">
        <f ca="1">DATE(YEAR(TODAY())-1,8,3)</f>
        <v>44411</v>
      </c>
      <c r="J572" s="17">
        <f ca="1">DATE(YEAR(TODAY())-1,8,5)</f>
        <v>44413</v>
      </c>
      <c r="K572" s="1" t="s">
        <v>136</v>
      </c>
      <c r="L572" s="1" t="s">
        <v>137</v>
      </c>
      <c r="M572" s="1">
        <v>745</v>
      </c>
      <c r="N572" s="1" cm="1">
        <f t="array" ref="N572">_xlfn.RANK.EQ(M572,total_money_spent)</f>
        <v>412</v>
      </c>
      <c r="O572" s="1">
        <f t="shared" ca="1" si="8"/>
        <v>2</v>
      </c>
    </row>
    <row r="573" spans="1:15" ht="13.8" x14ac:dyDescent="0.25">
      <c r="A573" s="1" t="s">
        <v>965</v>
      </c>
      <c r="B573" s="1" t="s">
        <v>966</v>
      </c>
      <c r="C573" s="1" t="s">
        <v>131</v>
      </c>
      <c r="D573" s="1" t="s">
        <v>132</v>
      </c>
      <c r="E573" s="1" t="s">
        <v>967</v>
      </c>
      <c r="F573" s="1" t="s">
        <v>968</v>
      </c>
      <c r="G573" s="1">
        <v>3003</v>
      </c>
      <c r="H573" s="1" t="s">
        <v>81</v>
      </c>
      <c r="I573" s="17">
        <f ca="1">DATE(YEAR(TODAY())-1,5,25)</f>
        <v>44341</v>
      </c>
      <c r="J573" s="17">
        <f ca="1">DATE(YEAR(TODAY())-1,5,27)</f>
        <v>44343</v>
      </c>
      <c r="K573" s="1" t="s">
        <v>34</v>
      </c>
      <c r="L573" s="1" t="s">
        <v>34</v>
      </c>
      <c r="M573" s="1">
        <v>739</v>
      </c>
      <c r="N573" s="1" cm="1">
        <f t="array" ref="N573">_xlfn.RANK.EQ(M573,total_money_spent)</f>
        <v>430</v>
      </c>
      <c r="O573" s="1">
        <f t="shared" ca="1" si="8"/>
        <v>2</v>
      </c>
    </row>
    <row r="574" spans="1:15" ht="13.8" x14ac:dyDescent="0.25">
      <c r="A574" s="1" t="s">
        <v>1020</v>
      </c>
      <c r="B574" s="1" t="s">
        <v>1013</v>
      </c>
      <c r="C574" s="1" t="s">
        <v>250</v>
      </c>
      <c r="D574" s="1" t="s">
        <v>53</v>
      </c>
      <c r="E574" s="1" t="s">
        <v>1014</v>
      </c>
      <c r="F574" s="1" t="s">
        <v>1015</v>
      </c>
      <c r="G574" s="1" t="s">
        <v>115</v>
      </c>
      <c r="H574" s="1" t="s">
        <v>32</v>
      </c>
      <c r="I574" s="17">
        <f ca="1">DATE(YEAR(TODAY())-1,1,16)</f>
        <v>44212</v>
      </c>
      <c r="J574" s="17">
        <f ca="1">DATE(YEAR(TODAY())-1,1,22)</f>
        <v>44218</v>
      </c>
      <c r="K574" s="1" t="s">
        <v>82</v>
      </c>
      <c r="L574" s="1" t="s">
        <v>34</v>
      </c>
      <c r="M574" s="1">
        <v>851</v>
      </c>
      <c r="N574" s="1" cm="1">
        <f t="array" ref="N574">_xlfn.RANK.EQ(M574,total_money_spent)</f>
        <v>212</v>
      </c>
      <c r="O574" s="1">
        <f t="shared" ca="1" si="8"/>
        <v>6</v>
      </c>
    </row>
    <row r="575" spans="1:15" ht="13.8" x14ac:dyDescent="0.25">
      <c r="A575" s="1" t="s">
        <v>1290</v>
      </c>
      <c r="B575" s="1" t="s">
        <v>1286</v>
      </c>
      <c r="C575" s="1" t="s">
        <v>52</v>
      </c>
      <c r="D575" s="1" t="s">
        <v>53</v>
      </c>
      <c r="E575" s="1" t="s">
        <v>1287</v>
      </c>
      <c r="F575" s="1" t="s">
        <v>1288</v>
      </c>
      <c r="G575" s="1" t="s">
        <v>60</v>
      </c>
      <c r="H575" s="1" t="s">
        <v>32</v>
      </c>
      <c r="I575" s="17">
        <f ca="1">DATE(YEAR(TODAY())-1,3,2)</f>
        <v>44257</v>
      </c>
      <c r="J575" s="17">
        <f ca="1">DATE(YEAR(TODAY())-1,3,5)</f>
        <v>44260</v>
      </c>
      <c r="K575" s="1" t="s">
        <v>136</v>
      </c>
      <c r="L575" s="1" t="s">
        <v>137</v>
      </c>
      <c r="M575" s="1">
        <v>724</v>
      </c>
      <c r="N575" s="1" cm="1">
        <f t="array" ref="N575">_xlfn.RANK.EQ(M575,total_money_spent)</f>
        <v>456</v>
      </c>
      <c r="O575" s="1">
        <f t="shared" ca="1" si="8"/>
        <v>3</v>
      </c>
    </row>
    <row r="576" spans="1:15" ht="13.8" x14ac:dyDescent="0.25">
      <c r="A576" s="1" t="s">
        <v>456</v>
      </c>
      <c r="B576" s="1" t="s">
        <v>452</v>
      </c>
      <c r="C576" s="1" t="s">
        <v>140</v>
      </c>
      <c r="D576" s="1" t="s">
        <v>140</v>
      </c>
      <c r="E576" s="1" t="s">
        <v>453</v>
      </c>
      <c r="F576" s="1" t="s">
        <v>454</v>
      </c>
      <c r="G576" s="1">
        <v>3005</v>
      </c>
      <c r="H576" s="1" t="s">
        <v>203</v>
      </c>
      <c r="I576" s="17">
        <f ca="1">DATE(YEAR(TODAY())-2,12,1)</f>
        <v>44166</v>
      </c>
      <c r="J576" s="17">
        <f ca="1">DATE(YEAR(TODAY())-2,12,7)</f>
        <v>44172</v>
      </c>
      <c r="K576" s="1" t="s">
        <v>87</v>
      </c>
      <c r="L576" s="1" t="s">
        <v>73</v>
      </c>
      <c r="M576" s="1">
        <v>1067</v>
      </c>
      <c r="N576" s="1" cm="1">
        <f t="array" ref="N576">_xlfn.RANK.EQ(M576,total_money_spent)</f>
        <v>38</v>
      </c>
      <c r="O576" s="1">
        <f t="shared" ca="1" si="8"/>
        <v>6</v>
      </c>
    </row>
    <row r="577" spans="1:15" ht="13.8" x14ac:dyDescent="0.25">
      <c r="A577" s="1" t="s">
        <v>1292</v>
      </c>
      <c r="B577" s="1" t="s">
        <v>1293</v>
      </c>
      <c r="C577" s="1" t="s">
        <v>170</v>
      </c>
      <c r="D577" s="1" t="s">
        <v>171</v>
      </c>
      <c r="E577" s="1" t="s">
        <v>1294</v>
      </c>
      <c r="F577" s="1" t="s">
        <v>1295</v>
      </c>
      <c r="G577" s="1" t="s">
        <v>54</v>
      </c>
      <c r="H577" s="1" t="s">
        <v>32</v>
      </c>
      <c r="I577" s="17">
        <f ca="1">DATE(YEAR(TODAY())-1,4,25)</f>
        <v>44311</v>
      </c>
      <c r="J577" s="17">
        <f ca="1">DATE(YEAR(TODAY())-1,4,26)</f>
        <v>44312</v>
      </c>
      <c r="K577" s="1" t="s">
        <v>82</v>
      </c>
      <c r="L577" s="1" t="s">
        <v>34</v>
      </c>
      <c r="M577" s="1">
        <v>657</v>
      </c>
      <c r="N577" s="1" cm="1">
        <f t="array" ref="N577">_xlfn.RANK.EQ(M577,total_money_spent)</f>
        <v>569</v>
      </c>
      <c r="O577" s="1">
        <f t="shared" ca="1" si="8"/>
        <v>1</v>
      </c>
    </row>
    <row r="578" spans="1:15" ht="13.8" x14ac:dyDescent="0.25">
      <c r="A578" s="1" t="s">
        <v>402</v>
      </c>
      <c r="B578" s="1" t="s">
        <v>395</v>
      </c>
      <c r="C578" s="1" t="s">
        <v>403</v>
      </c>
      <c r="D578" s="1" t="s">
        <v>258</v>
      </c>
      <c r="E578" s="1" t="s">
        <v>396</v>
      </c>
      <c r="F578" s="1" t="s">
        <v>397</v>
      </c>
      <c r="G578" s="1" t="s">
        <v>115</v>
      </c>
      <c r="H578" s="1" t="s">
        <v>32</v>
      </c>
      <c r="I578" s="17">
        <f ca="1">DATE(YEAR(TODAY())-1,2,29)</f>
        <v>44256</v>
      </c>
      <c r="J578" s="17">
        <f ca="1">DATE(YEAR(TODAY())-1,3,5)</f>
        <v>44260</v>
      </c>
      <c r="K578" s="1" t="s">
        <v>61</v>
      </c>
      <c r="L578" s="1" t="s">
        <v>34</v>
      </c>
      <c r="M578" s="1">
        <v>787</v>
      </c>
      <c r="N578" s="1" cm="1">
        <f t="array" ref="N578">_xlfn.RANK.EQ(M578,total_money_spent)</f>
        <v>329</v>
      </c>
      <c r="O578" s="1">
        <f t="shared" ca="1" si="8"/>
        <v>4</v>
      </c>
    </row>
    <row r="579" spans="1:15" ht="13.8" x14ac:dyDescent="0.25">
      <c r="A579" s="1" t="s">
        <v>438</v>
      </c>
      <c r="B579" s="1" t="s">
        <v>439</v>
      </c>
      <c r="C579" s="1" t="s">
        <v>326</v>
      </c>
      <c r="D579" s="1" t="s">
        <v>140</v>
      </c>
      <c r="E579" s="1" t="s">
        <v>440</v>
      </c>
      <c r="F579" s="1" t="s">
        <v>441</v>
      </c>
      <c r="G579" s="1" t="s">
        <v>54</v>
      </c>
      <c r="H579" s="1" t="s">
        <v>32</v>
      </c>
      <c r="I579" s="17">
        <f ca="1">DATE(YEAR(TODAY())-1,3,6)</f>
        <v>44261</v>
      </c>
      <c r="J579" s="17">
        <f ca="1">DATE(YEAR(TODAY())-1,3,8)</f>
        <v>44263</v>
      </c>
      <c r="K579" s="1" t="s">
        <v>33</v>
      </c>
      <c r="L579" s="1" t="s">
        <v>34</v>
      </c>
      <c r="M579" s="1">
        <v>698</v>
      </c>
      <c r="N579" s="1" cm="1">
        <f t="array" ref="N579">_xlfn.RANK.EQ(M579,total_money_spent)</f>
        <v>488</v>
      </c>
      <c r="O579" s="1">
        <f t="shared" ref="O579:O587" ca="1" si="9">J579-I579</f>
        <v>2</v>
      </c>
    </row>
    <row r="580" spans="1:15" ht="13.8" x14ac:dyDescent="0.25">
      <c r="A580" s="1" t="s">
        <v>544</v>
      </c>
      <c r="B580" s="1" t="s">
        <v>541</v>
      </c>
      <c r="C580" s="1" t="s">
        <v>326</v>
      </c>
      <c r="D580" s="1" t="s">
        <v>140</v>
      </c>
      <c r="E580" s="1" t="s">
        <v>542</v>
      </c>
      <c r="F580" s="1" t="s">
        <v>543</v>
      </c>
      <c r="G580" s="1">
        <v>2005</v>
      </c>
      <c r="H580" s="1" t="s">
        <v>24</v>
      </c>
      <c r="I580" s="17">
        <f ca="1">DATE(YEAR(TODAY())-2,11,5)</f>
        <v>44140</v>
      </c>
      <c r="J580" s="17">
        <f ca="1">DATE(YEAR(TODAY())-2,11,8)</f>
        <v>44143</v>
      </c>
      <c r="K580" s="1" t="s">
        <v>82</v>
      </c>
      <c r="L580" s="1" t="s">
        <v>34</v>
      </c>
      <c r="M580" s="1">
        <v>770</v>
      </c>
      <c r="N580" s="1" cm="1">
        <f t="array" ref="N580">_xlfn.RANK.EQ(M580,total_money_spent)</f>
        <v>376</v>
      </c>
      <c r="O580" s="1">
        <f t="shared" ca="1" si="9"/>
        <v>3</v>
      </c>
    </row>
    <row r="581" spans="1:15" ht="13.8" x14ac:dyDescent="0.25">
      <c r="A581" s="1" t="s">
        <v>911</v>
      </c>
      <c r="B581" s="1" t="s">
        <v>908</v>
      </c>
      <c r="C581" s="1" t="s">
        <v>47</v>
      </c>
      <c r="D581" s="1" t="s">
        <v>48</v>
      </c>
      <c r="E581" s="1" t="s">
        <v>909</v>
      </c>
      <c r="F581" s="1" t="s">
        <v>910</v>
      </c>
      <c r="G581" s="1">
        <v>2010</v>
      </c>
      <c r="H581" s="1" t="s">
        <v>44</v>
      </c>
      <c r="I581" s="17">
        <f ca="1">DATE(YEAR(TODAY())-1,5,25)</f>
        <v>44341</v>
      </c>
      <c r="J581" s="17">
        <f ca="1">DATE(YEAR(TODAY())-1,5,29)</f>
        <v>44345</v>
      </c>
      <c r="K581" s="1" t="s">
        <v>136</v>
      </c>
      <c r="L581" s="1" t="s">
        <v>137</v>
      </c>
      <c r="M581" s="1">
        <v>827</v>
      </c>
      <c r="N581" s="1" cm="1">
        <f t="array" ref="N581">_xlfn.RANK.EQ(M581,total_money_spent)</f>
        <v>256</v>
      </c>
      <c r="O581" s="1">
        <f t="shared" ca="1" si="9"/>
        <v>4</v>
      </c>
    </row>
    <row r="582" spans="1:15" ht="13.8" x14ac:dyDescent="0.25">
      <c r="A582" s="1" t="s">
        <v>857</v>
      </c>
      <c r="B582" s="1" t="s">
        <v>854</v>
      </c>
      <c r="C582" s="1" t="s">
        <v>96</v>
      </c>
      <c r="D582" s="1" t="s">
        <v>96</v>
      </c>
      <c r="E582" s="1" t="s">
        <v>855</v>
      </c>
      <c r="F582" s="1" t="s">
        <v>856</v>
      </c>
      <c r="G582" s="1" t="s">
        <v>31</v>
      </c>
      <c r="H582" s="1" t="s">
        <v>32</v>
      </c>
      <c r="I582" s="17">
        <f ca="1">DATE(YEAR(TODAY())-1,7,11)</f>
        <v>44388</v>
      </c>
      <c r="J582" s="17">
        <f ca="1">DATE(YEAR(TODAY())-1,7,13)</f>
        <v>44390</v>
      </c>
      <c r="K582" s="1" t="s">
        <v>61</v>
      </c>
      <c r="L582" s="1" t="s">
        <v>34</v>
      </c>
      <c r="M582" s="1">
        <v>699</v>
      </c>
      <c r="N582" s="1" cm="1">
        <f t="array" ref="N582">_xlfn.RANK.EQ(M582,total_money_spent)</f>
        <v>487</v>
      </c>
      <c r="O582" s="1">
        <f t="shared" ca="1" si="9"/>
        <v>2</v>
      </c>
    </row>
    <row r="583" spans="1:15" ht="13.8" x14ac:dyDescent="0.25">
      <c r="A583" s="1" t="s">
        <v>928</v>
      </c>
      <c r="B583" s="1" t="s">
        <v>929</v>
      </c>
      <c r="C583" s="1" t="s">
        <v>235</v>
      </c>
      <c r="D583" s="1" t="s">
        <v>235</v>
      </c>
      <c r="E583" s="1" t="s">
        <v>930</v>
      </c>
      <c r="F583" s="1" t="s">
        <v>931</v>
      </c>
      <c r="G583" s="1">
        <v>2004</v>
      </c>
      <c r="H583" s="1" t="s">
        <v>24</v>
      </c>
      <c r="I583" s="17">
        <f ca="1">DATE(YEAR(TODAY())-2,12,2)</f>
        <v>44167</v>
      </c>
      <c r="J583" s="17">
        <f ca="1">DATE(YEAR(TODAY())-2,12,7)</f>
        <v>44172</v>
      </c>
      <c r="K583" s="1" t="s">
        <v>16</v>
      </c>
      <c r="L583" s="1" t="s">
        <v>34</v>
      </c>
      <c r="M583" s="1">
        <v>847</v>
      </c>
      <c r="N583" s="1" cm="1">
        <f t="array" ref="N583">_xlfn.RANK.EQ(M583,total_money_spent)</f>
        <v>220</v>
      </c>
      <c r="O583" s="1">
        <f t="shared" ca="1" si="9"/>
        <v>5</v>
      </c>
    </row>
    <row r="584" spans="1:15" ht="13.8" x14ac:dyDescent="0.25">
      <c r="A584" s="1" t="s">
        <v>80</v>
      </c>
      <c r="B584" s="1" t="s">
        <v>75</v>
      </c>
      <c r="C584" s="1" t="s">
        <v>47</v>
      </c>
      <c r="D584" s="1" t="s">
        <v>48</v>
      </c>
      <c r="E584" s="1" t="s">
        <v>78</v>
      </c>
      <c r="F584" s="1" t="s">
        <v>79</v>
      </c>
      <c r="G584" s="1">
        <v>3002</v>
      </c>
      <c r="H584" s="1" t="s">
        <v>81</v>
      </c>
      <c r="I584" s="17">
        <f ca="1">DATE(YEAR(TODAY())-1,5,7)</f>
        <v>44323</v>
      </c>
      <c r="J584" s="17">
        <f ca="1">DATE(YEAR(TODAY())-1,5,14)</f>
        <v>44330</v>
      </c>
      <c r="K584" s="1" t="s">
        <v>82</v>
      </c>
      <c r="L584" s="1" t="s">
        <v>34</v>
      </c>
      <c r="M584" s="1">
        <v>1794</v>
      </c>
      <c r="N584" s="1" cm="1">
        <f t="array" ref="N584">_xlfn.RANK.EQ(M584,total_money_spent)</f>
        <v>1</v>
      </c>
      <c r="O584" s="1">
        <f t="shared" ca="1" si="9"/>
        <v>7</v>
      </c>
    </row>
    <row r="585" spans="1:15" ht="13.8" x14ac:dyDescent="0.25">
      <c r="A585" s="1" t="s">
        <v>1393</v>
      </c>
      <c r="B585" s="1" t="s">
        <v>1390</v>
      </c>
      <c r="C585" s="1" t="s">
        <v>47</v>
      </c>
      <c r="D585" s="1" t="s">
        <v>48</v>
      </c>
      <c r="E585" s="1" t="s">
        <v>1391</v>
      </c>
      <c r="F585" s="1" t="s">
        <v>1392</v>
      </c>
      <c r="G585" s="1">
        <v>2004</v>
      </c>
      <c r="H585" s="1" t="s">
        <v>24</v>
      </c>
      <c r="I585" s="17">
        <f ca="1">DATE(YEAR(TODAY())-1,9,29)</f>
        <v>44468</v>
      </c>
      <c r="J585" s="17">
        <f ca="1">DATE(YEAR(TODAY())-1,9,30)</f>
        <v>44469</v>
      </c>
      <c r="K585" s="1" t="s">
        <v>16</v>
      </c>
      <c r="L585" s="1" t="s">
        <v>34</v>
      </c>
      <c r="M585" s="1">
        <v>658</v>
      </c>
      <c r="N585" s="1" cm="1">
        <f t="array" ref="N585">_xlfn.RANK.EQ(M585,total_money_spent)</f>
        <v>565</v>
      </c>
      <c r="O585" s="1">
        <f t="shared" ca="1" si="9"/>
        <v>1</v>
      </c>
    </row>
    <row r="586" spans="1:15" ht="13.8" x14ac:dyDescent="0.25">
      <c r="A586" s="1" t="s">
        <v>350</v>
      </c>
      <c r="B586" s="1" t="s">
        <v>351</v>
      </c>
      <c r="C586" s="1" t="s">
        <v>47</v>
      </c>
      <c r="D586" s="1" t="s">
        <v>48</v>
      </c>
      <c r="E586" s="1" t="s">
        <v>352</v>
      </c>
      <c r="F586" s="1" t="s">
        <v>353</v>
      </c>
      <c r="G586" s="1">
        <v>2001</v>
      </c>
      <c r="H586" s="1" t="s">
        <v>24</v>
      </c>
      <c r="I586" s="17">
        <f ca="1">DATE(YEAR(TODAY())-1,7,2)</f>
        <v>44379</v>
      </c>
      <c r="J586" s="17">
        <f ca="1">DATE(YEAR(TODAY())-1,7,6)</f>
        <v>44383</v>
      </c>
      <c r="K586" s="1" t="s">
        <v>136</v>
      </c>
      <c r="L586" s="1" t="s">
        <v>137</v>
      </c>
      <c r="M586" s="1">
        <v>814</v>
      </c>
      <c r="N586" s="1" cm="1">
        <f t="array" ref="N586">_xlfn.RANK.EQ(M586,total_money_spent)</f>
        <v>259</v>
      </c>
      <c r="O586" s="1">
        <f t="shared" ca="1" si="9"/>
        <v>4</v>
      </c>
    </row>
    <row r="587" spans="1:15" ht="13.8" x14ac:dyDescent="0.25">
      <c r="A587" s="1" t="s">
        <v>540</v>
      </c>
      <c r="B587" s="1" t="s">
        <v>541</v>
      </c>
      <c r="C587" s="1" t="s">
        <v>250</v>
      </c>
      <c r="D587" s="1" t="s">
        <v>53</v>
      </c>
      <c r="E587" s="1" t="s">
        <v>542</v>
      </c>
      <c r="F587" s="1" t="s">
        <v>543</v>
      </c>
      <c r="G587" s="1">
        <v>2003</v>
      </c>
      <c r="H587" s="1" t="s">
        <v>24</v>
      </c>
      <c r="I587" s="17">
        <f ca="1">DATE(YEAR(TODAY())-2,11,25)</f>
        <v>44160</v>
      </c>
      <c r="J587" s="17">
        <f ca="1">DATE(YEAR(TODAY())-2,12,3)</f>
        <v>44168</v>
      </c>
      <c r="K587" s="1" t="s">
        <v>61</v>
      </c>
      <c r="L587" s="1" t="s">
        <v>34</v>
      </c>
      <c r="M587" s="1">
        <v>1071</v>
      </c>
      <c r="N587" s="1" cm="1">
        <f t="array" ref="N587">_xlfn.RANK.EQ(M587,total_money_spent)</f>
        <v>31</v>
      </c>
      <c r="O587" s="1">
        <f t="shared" ca="1" si="9"/>
        <v>8</v>
      </c>
    </row>
  </sheetData>
  <autoFilter ref="A1:M587" xr:uid="{6F8490DA-F458-49B0-B562-EC036EEBA752}">
    <sortState xmlns:xlrd2="http://schemas.microsoft.com/office/spreadsheetml/2017/richdata2" ref="A2:M587">
      <sortCondition ref="A1:A587"/>
    </sortState>
  </autoFilter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7F1D-1000-4F72-BFB2-644D5A416B2A}">
  <sheetPr>
    <tabColor theme="7" tint="0.59999389629810485"/>
  </sheetPr>
  <dimension ref="B3:F11"/>
  <sheetViews>
    <sheetView workbookViewId="0"/>
    <sheetView showGridLines="0" workbookViewId="1">
      <selection activeCell="I5" sqref="I5"/>
    </sheetView>
  </sheetViews>
  <sheetFormatPr defaultRowHeight="13.8" x14ac:dyDescent="0.25"/>
  <sheetData>
    <row r="3" spans="2:6" x14ac:dyDescent="0.25">
      <c r="B3" s="20"/>
      <c r="C3" s="21"/>
      <c r="D3" s="21"/>
      <c r="E3" s="21"/>
      <c r="F3" s="22"/>
    </row>
    <row r="4" spans="2:6" x14ac:dyDescent="0.25">
      <c r="B4" s="23"/>
      <c r="C4" s="24"/>
      <c r="D4" s="24"/>
      <c r="E4" s="24"/>
      <c r="F4" s="25"/>
    </row>
    <row r="5" spans="2:6" x14ac:dyDescent="0.25">
      <c r="B5" s="23"/>
      <c r="C5" s="24"/>
      <c r="D5" s="24"/>
      <c r="E5" s="24"/>
      <c r="F5" s="25"/>
    </row>
    <row r="6" spans="2:6" x14ac:dyDescent="0.25">
      <c r="B6" s="23"/>
      <c r="C6" s="24"/>
      <c r="D6" s="24"/>
      <c r="E6" s="24"/>
      <c r="F6" s="25"/>
    </row>
    <row r="7" spans="2:6" x14ac:dyDescent="0.25">
      <c r="B7" s="23"/>
      <c r="C7" s="24"/>
      <c r="D7" s="24"/>
      <c r="E7" s="24"/>
      <c r="F7" s="25"/>
    </row>
    <row r="8" spans="2:6" x14ac:dyDescent="0.25">
      <c r="B8" s="23"/>
      <c r="C8" s="24"/>
      <c r="D8" s="24"/>
      <c r="E8" s="24"/>
      <c r="F8" s="25"/>
    </row>
    <row r="9" spans="2:6" x14ac:dyDescent="0.25">
      <c r="B9" s="23"/>
      <c r="C9" s="24"/>
      <c r="D9" s="24"/>
      <c r="E9" s="24"/>
      <c r="F9" s="25"/>
    </row>
    <row r="10" spans="2:6" x14ac:dyDescent="0.25">
      <c r="B10" s="23"/>
      <c r="C10" s="24"/>
      <c r="D10" s="24"/>
      <c r="E10" s="24"/>
      <c r="F10" s="25"/>
    </row>
    <row r="11" spans="2:6" x14ac:dyDescent="0.25">
      <c r="B11" s="26"/>
      <c r="C11" s="27"/>
      <c r="D11" s="27"/>
      <c r="E11" s="27"/>
      <c r="F11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Lookup Sheet</vt:lpstr>
      <vt:lpstr>Data</vt:lpstr>
      <vt:lpstr>Misc.</vt:lpstr>
      <vt:lpstr>customer_names</vt:lpstr>
      <vt:lpstr>phone</vt:lpstr>
      <vt:lpstr>total_money_spent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Poaletti</dc:creator>
  <cp:keywords/>
  <dc:description/>
  <cp:lastModifiedBy>Nicholas Hanks</cp:lastModifiedBy>
  <cp:revision/>
  <dcterms:created xsi:type="dcterms:W3CDTF">2021-09-16T13:34:01Z</dcterms:created>
  <dcterms:modified xsi:type="dcterms:W3CDTF">2022-10-08T18:28:05Z</dcterms:modified>
  <cp:category/>
  <cp:contentStatus/>
</cp:coreProperties>
</file>