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/FALL 2022/BUS115/w9/"/>
    </mc:Choice>
  </mc:AlternateContent>
  <xr:revisionPtr revIDLastSave="25" documentId="8_{079C6F55-60C4-4B9B-A742-F8202003B7B4}" xr6:coauthVersionLast="47" xr6:coauthVersionMax="47" xr10:uidLastSave="{2A4094CD-7A11-4CE6-87DC-FD9DA056B79F}"/>
  <workbookProtection lockStructure="1"/>
  <bookViews>
    <workbookView xWindow="-108" yWindow="-108" windowWidth="23256" windowHeight="12456" xr2:uid="{DD48EB59-D422-440A-B3D8-B7024E933AC0}"/>
  </bookViews>
  <sheets>
    <sheet name="Dashboard" sheetId="3" r:id="rId1"/>
    <sheet name="Orders" sheetId="2" r:id="rId2"/>
    <sheet name="Insights" sheetId="4" r:id="rId3"/>
  </sheets>
  <definedNames>
    <definedName name="_xlnm._FilterDatabase" localSheetId="1" hidden="1">Orders!$A$1:$N$91</definedName>
    <definedName name="BUS_115_CID" hidden="1">"FALL_2022"</definedName>
    <definedName name="customer_names">Orders!$D$2:$D$91</definedName>
    <definedName name="FA22_BUS_115_CID" hidden="1">"FALL_2022"</definedName>
    <definedName name="SP22_BUS_115_CID" hidden="1">"SPRING_2022"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6" i="2" l="1"/>
  <c r="L95" i="2"/>
  <c r="J94" i="2"/>
  <c r="K94" i="2"/>
  <c r="L94" i="2"/>
  <c r="I94" i="2"/>
  <c r="D9" i="3"/>
  <c r="E9" i="3"/>
  <c r="F9" i="3"/>
  <c r="G9" i="3"/>
  <c r="H9" i="3"/>
  <c r="I9" i="3"/>
  <c r="C9" i="3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2" i="2"/>
  <c r="I6" i="3"/>
  <c r="E6" i="3"/>
  <c r="F6" i="3"/>
  <c r="G6" i="3"/>
  <c r="H6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2" i="2"/>
  <c r="N45" i="2"/>
  <c r="N67" i="2"/>
  <c r="N3" i="2"/>
  <c r="N54" i="2"/>
  <c r="N11" i="2"/>
  <c r="N36" i="2"/>
  <c r="N10" i="2"/>
  <c r="N68" i="2"/>
  <c r="N87" i="2"/>
  <c r="N88" i="2"/>
  <c r="N7" i="2"/>
  <c r="N43" i="2"/>
  <c r="N78" i="2"/>
  <c r="N16" i="2"/>
  <c r="N86" i="2"/>
  <c r="N69" i="2"/>
  <c r="N47" i="2"/>
  <c r="N53" i="2"/>
  <c r="N70" i="2"/>
  <c r="N23" i="2"/>
  <c r="N14" i="2"/>
  <c r="N28" i="2"/>
  <c r="N60" i="2"/>
  <c r="N20" i="2"/>
  <c r="N76" i="2"/>
  <c r="N37" i="2"/>
  <c r="N89" i="2"/>
  <c r="N56" i="2"/>
  <c r="N38" i="2"/>
  <c r="N4" i="2"/>
  <c r="N39" i="2"/>
  <c r="N71" i="2"/>
  <c r="N61" i="2"/>
  <c r="N48" i="2"/>
  <c r="N58" i="2"/>
  <c r="N30" i="2"/>
  <c r="N62" i="2"/>
  <c r="N13" i="2"/>
  <c r="N79" i="2"/>
  <c r="N18" i="2"/>
  <c r="N24" i="2"/>
  <c r="N72" i="2"/>
  <c r="N83" i="2"/>
  <c r="N33" i="2"/>
  <c r="N8" i="2"/>
  <c r="N73" i="2"/>
  <c r="N40" i="2"/>
  <c r="N77" i="2"/>
  <c r="N25" i="2"/>
  <c r="N46" i="2"/>
  <c r="N90" i="2"/>
  <c r="N91" i="2"/>
  <c r="N19" i="2"/>
  <c r="N12" i="2"/>
  <c r="N41" i="2"/>
  <c r="N59" i="2"/>
  <c r="N15" i="2"/>
  <c r="N5" i="2"/>
  <c r="N9" i="2"/>
  <c r="N31" i="2"/>
  <c r="N2" i="2"/>
  <c r="N6" i="2"/>
  <c r="N55" i="2"/>
  <c r="N85" i="2"/>
  <c r="N74" i="2"/>
  <c r="N84" i="2"/>
  <c r="N44" i="2"/>
  <c r="N80" i="2"/>
  <c r="N32" i="2"/>
  <c r="N49" i="2"/>
  <c r="N17" i="2"/>
  <c r="N52" i="2"/>
  <c r="N26" i="2"/>
  <c r="N82" i="2"/>
  <c r="N27" i="2"/>
  <c r="N34" i="2"/>
  <c r="N51" i="2"/>
  <c r="N65" i="2"/>
  <c r="N42" i="2"/>
  <c r="N75" i="2"/>
  <c r="N50" i="2"/>
  <c r="N64" i="2"/>
  <c r="N35" i="2"/>
  <c r="N81" i="2"/>
  <c r="N66" i="2"/>
  <c r="N21" i="2" a="1"/>
  <c r="N21" i="2" s="1"/>
  <c r="N57" i="2" a="1"/>
  <c r="N57" i="2"/>
  <c r="N29" i="2" a="1"/>
  <c r="N29" i="2" s="1"/>
  <c r="N63" i="2" a="1"/>
  <c r="N63" i="2" s="1"/>
  <c r="N22" i="2" a="1"/>
  <c r="N22" i="2" s="1"/>
  <c r="B81" i="2"/>
  <c r="B35" i="2"/>
  <c r="B64" i="2"/>
  <c r="B50" i="2"/>
  <c r="B75" i="2"/>
  <c r="B42" i="2"/>
  <c r="B65" i="2"/>
  <c r="B51" i="2"/>
  <c r="B34" i="2"/>
  <c r="B27" i="2"/>
  <c r="B82" i="2"/>
  <c r="B26" i="2"/>
  <c r="B52" i="2"/>
  <c r="B17" i="2"/>
  <c r="B49" i="2"/>
  <c r="B32" i="2"/>
  <c r="B80" i="2"/>
  <c r="B44" i="2"/>
  <c r="B84" i="2"/>
  <c r="B74" i="2"/>
  <c r="B85" i="2"/>
  <c r="B55" i="2"/>
  <c r="B6" i="2"/>
  <c r="B2" i="2"/>
  <c r="B31" i="2"/>
  <c r="B9" i="2"/>
  <c r="B5" i="2"/>
  <c r="B15" i="2"/>
  <c r="B59" i="2"/>
  <c r="B41" i="2"/>
  <c r="B12" i="2"/>
  <c r="B19" i="2"/>
  <c r="B91" i="2"/>
  <c r="B90" i="2"/>
  <c r="B46" i="2"/>
  <c r="B25" i="2"/>
  <c r="B77" i="2"/>
  <c r="B40" i="2"/>
  <c r="B73" i="2"/>
  <c r="B8" i="2"/>
  <c r="B33" i="2"/>
  <c r="B83" i="2"/>
  <c r="B72" i="2"/>
  <c r="B24" i="2"/>
  <c r="B18" i="2"/>
  <c r="B79" i="2"/>
  <c r="B13" i="2"/>
  <c r="B62" i="2"/>
  <c r="B30" i="2"/>
  <c r="B58" i="2"/>
  <c r="B48" i="2"/>
  <c r="B61" i="2"/>
  <c r="B71" i="2"/>
  <c r="B39" i="2"/>
  <c r="B4" i="2"/>
  <c r="B38" i="2"/>
  <c r="B56" i="2"/>
  <c r="B89" i="2"/>
  <c r="B37" i="2"/>
  <c r="B76" i="2"/>
  <c r="B20" i="2"/>
  <c r="B60" i="2"/>
  <c r="B28" i="2"/>
  <c r="B14" i="2"/>
  <c r="B23" i="2"/>
  <c r="B70" i="2"/>
  <c r="B53" i="2"/>
  <c r="B47" i="2"/>
  <c r="B69" i="2"/>
  <c r="B86" i="2"/>
  <c r="B16" i="2"/>
  <c r="B78" i="2"/>
  <c r="B43" i="2"/>
  <c r="B7" i="2"/>
  <c r="B88" i="2"/>
  <c r="B87" i="2"/>
  <c r="B68" i="2"/>
  <c r="B10" i="2"/>
  <c r="B36" i="2"/>
  <c r="B11" i="2"/>
  <c r="B54" i="2"/>
  <c r="B3" i="2"/>
  <c r="B67" i="2"/>
  <c r="B45" i="2"/>
  <c r="B66" i="2"/>
  <c r="B63" i="2"/>
  <c r="B29" i="2"/>
  <c r="B57" i="2"/>
  <c r="B21" i="2"/>
  <c r="B22" i="2"/>
  <c r="A81" i="2"/>
  <c r="A35" i="2"/>
  <c r="A64" i="2"/>
  <c r="A50" i="2"/>
  <c r="A75" i="2"/>
  <c r="A42" i="2"/>
  <c r="A65" i="2"/>
  <c r="A51" i="2"/>
  <c r="A34" i="2"/>
  <c r="A27" i="2"/>
  <c r="A82" i="2"/>
  <c r="A26" i="2"/>
  <c r="A52" i="2"/>
  <c r="A17" i="2"/>
  <c r="A49" i="2"/>
  <c r="A32" i="2"/>
  <c r="A80" i="2"/>
  <c r="A44" i="2"/>
  <c r="A84" i="2"/>
  <c r="A74" i="2"/>
  <c r="A85" i="2"/>
  <c r="A55" i="2"/>
  <c r="A6" i="2"/>
  <c r="A2" i="2"/>
  <c r="A31" i="2"/>
  <c r="A9" i="2"/>
  <c r="A5" i="2"/>
  <c r="A15" i="2"/>
  <c r="A59" i="2"/>
  <c r="A41" i="2"/>
  <c r="A12" i="2"/>
  <c r="A19" i="2"/>
  <c r="A91" i="2"/>
  <c r="A90" i="2"/>
  <c r="A46" i="2"/>
  <c r="A25" i="2"/>
  <c r="A77" i="2"/>
  <c r="A40" i="2"/>
  <c r="A73" i="2"/>
  <c r="A8" i="2"/>
  <c r="A33" i="2"/>
  <c r="A83" i="2"/>
  <c r="A72" i="2"/>
  <c r="A24" i="2"/>
  <c r="A18" i="2"/>
  <c r="A79" i="2"/>
  <c r="A13" i="2"/>
  <c r="A62" i="2"/>
  <c r="A30" i="2"/>
  <c r="A58" i="2"/>
  <c r="A48" i="2"/>
  <c r="A61" i="2"/>
  <c r="A71" i="2"/>
  <c r="A39" i="2"/>
  <c r="A4" i="2"/>
  <c r="A38" i="2"/>
  <c r="A56" i="2"/>
  <c r="A89" i="2"/>
  <c r="A37" i="2"/>
  <c r="A76" i="2"/>
  <c r="A20" i="2"/>
  <c r="A60" i="2"/>
  <c r="A28" i="2"/>
  <c r="A14" i="2"/>
  <c r="A23" i="2"/>
  <c r="A70" i="2"/>
  <c r="A53" i="2"/>
  <c r="A47" i="2"/>
  <c r="A69" i="2"/>
  <c r="A86" i="2"/>
  <c r="A16" i="2"/>
  <c r="A78" i="2"/>
  <c r="A43" i="2"/>
  <c r="A7" i="2"/>
  <c r="A88" i="2"/>
  <c r="A87" i="2"/>
  <c r="A68" i="2"/>
  <c r="A10" i="2"/>
  <c r="A36" i="2"/>
  <c r="A11" i="2"/>
  <c r="A54" i="2"/>
  <c r="A3" i="2"/>
  <c r="A67" i="2"/>
  <c r="A45" i="2"/>
  <c r="A66" i="2"/>
  <c r="A63" i="2"/>
  <c r="A29" i="2"/>
  <c r="A57" i="2"/>
  <c r="A21" i="2"/>
  <c r="A22" i="2"/>
  <c r="D6" i="3" l="1"/>
  <c r="C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<sst xmlns="http://schemas.openxmlformats.org/spreadsheetml/2006/main" count="668" uniqueCount="286">
  <si>
    <t>Order Date</t>
  </si>
  <si>
    <t>Ship Date</t>
  </si>
  <si>
    <t>Ship Mode</t>
  </si>
  <si>
    <t>Customer Name</t>
  </si>
  <si>
    <t>City</t>
  </si>
  <si>
    <t>State</t>
  </si>
  <si>
    <t>Region</t>
  </si>
  <si>
    <t>Category</t>
  </si>
  <si>
    <t>Retail price per unit</t>
  </si>
  <si>
    <t>Quantity sold</t>
  </si>
  <si>
    <t>Discount percent</t>
  </si>
  <si>
    <t>Total Sales</t>
  </si>
  <si>
    <t>Order Number</t>
  </si>
  <si>
    <t>UPS</t>
  </si>
  <si>
    <t>Adela Neeley</t>
  </si>
  <si>
    <t>Houston</t>
  </si>
  <si>
    <t>Texas</t>
  </si>
  <si>
    <t>Central</t>
  </si>
  <si>
    <t>Furniture</t>
  </si>
  <si>
    <t>496-1850</t>
  </si>
  <si>
    <t>USPS</t>
  </si>
  <si>
    <t>Alycia Whitenack</t>
  </si>
  <si>
    <t>Grand Prairie</t>
  </si>
  <si>
    <t>Office Supplies</t>
  </si>
  <si>
    <t>496-1994</t>
  </si>
  <si>
    <t xml:space="preserve">Anitra Ketelsen </t>
  </si>
  <si>
    <t>Concord</t>
  </si>
  <si>
    <t>North Carolina</t>
  </si>
  <si>
    <t>South</t>
  </si>
  <si>
    <t>496-1872</t>
  </si>
  <si>
    <t>Annamae Cervantes</t>
  </si>
  <si>
    <t>San Antonio</t>
  </si>
  <si>
    <t>Technology</t>
  </si>
  <si>
    <t>598-2470</t>
  </si>
  <si>
    <t>Arianna Dezzutti</t>
  </si>
  <si>
    <t>Gilbert</t>
  </si>
  <si>
    <t>Arizona</t>
  </si>
  <si>
    <t>West</t>
  </si>
  <si>
    <t>598-2200</t>
  </si>
  <si>
    <t>Ariel Breiner</t>
  </si>
  <si>
    <t>Los Angeles</t>
  </si>
  <si>
    <t>California</t>
  </si>
  <si>
    <t>598-2265</t>
  </si>
  <si>
    <t xml:space="preserve">Arielle Zartman </t>
  </si>
  <si>
    <t>Hamilton</t>
  </si>
  <si>
    <t>Ohio</t>
  </si>
  <si>
    <t>East</t>
  </si>
  <si>
    <t>496-1222</t>
  </si>
  <si>
    <t xml:space="preserve">Arlen Harries </t>
  </si>
  <si>
    <t>FedEx</t>
  </si>
  <si>
    <t xml:space="preserve">Arletha Spindler </t>
  </si>
  <si>
    <t>Chicago</t>
  </si>
  <si>
    <t>Illinois</t>
  </si>
  <si>
    <t>598-2976</t>
  </si>
  <si>
    <t xml:space="preserve">Arnulfo Hutton </t>
  </si>
  <si>
    <t>Henderson</t>
  </si>
  <si>
    <t>Kentucky</t>
  </si>
  <si>
    <t>598-2747</t>
  </si>
  <si>
    <t>Ashley Smith 4</t>
  </si>
  <si>
    <t>Urbandale</t>
  </si>
  <si>
    <t>Iowa</t>
  </si>
  <si>
    <t>598-2426</t>
  </si>
  <si>
    <t>Babara Metheny</t>
  </si>
  <si>
    <t>New York City</t>
  </si>
  <si>
    <t>New York</t>
  </si>
  <si>
    <t>598-2796</t>
  </si>
  <si>
    <t xml:space="preserve">Boris Poirrier </t>
  </si>
  <si>
    <t>New Albany</t>
  </si>
  <si>
    <t>Indiana</t>
  </si>
  <si>
    <t>496-2551</t>
  </si>
  <si>
    <t xml:space="preserve">Brittany Stegner </t>
  </si>
  <si>
    <t>598-8824</t>
  </si>
  <si>
    <t>Brittney Bausch</t>
  </si>
  <si>
    <t>Seattle</t>
  </si>
  <si>
    <t>Washington</t>
  </si>
  <si>
    <t>496-1722</t>
  </si>
  <si>
    <t>496-1697</t>
  </si>
  <si>
    <t>Cathy Gibby</t>
  </si>
  <si>
    <t>Decatur</t>
  </si>
  <si>
    <t>598-2192</t>
  </si>
  <si>
    <t xml:space="preserve">Celine Kahre </t>
  </si>
  <si>
    <t>Columbus</t>
  </si>
  <si>
    <t>496-1617</t>
  </si>
  <si>
    <t>Charmain Dedeaux</t>
  </si>
  <si>
    <t>San Francisco</t>
  </si>
  <si>
    <t>598-2606</t>
  </si>
  <si>
    <t xml:space="preserve">Charmaine Zhang </t>
  </si>
  <si>
    <t>Saint Paul</t>
  </si>
  <si>
    <t>Minnesota</t>
  </si>
  <si>
    <t>598-2483</t>
  </si>
  <si>
    <t xml:space="preserve">Cheryll Calle </t>
  </si>
  <si>
    <t>Orem</t>
  </si>
  <si>
    <t>Utah</t>
  </si>
  <si>
    <t>598-2673</t>
  </si>
  <si>
    <t xml:space="preserve">Chrystal Deppe </t>
  </si>
  <si>
    <t>598-2613</t>
  </si>
  <si>
    <t xml:space="preserve">Claude Darbonne </t>
  </si>
  <si>
    <t>Philadelphia</t>
  </si>
  <si>
    <t>Pennsylvania</t>
  </si>
  <si>
    <t>496-1770</t>
  </si>
  <si>
    <t>Clay Facemire</t>
  </si>
  <si>
    <t>Melbourne</t>
  </si>
  <si>
    <t>Florida</t>
  </si>
  <si>
    <t>496-1873</t>
  </si>
  <si>
    <t xml:space="preserve">Concha Mccleskey </t>
  </si>
  <si>
    <t xml:space="preserve">Cuc Gillenwater </t>
  </si>
  <si>
    <t>496-1886</t>
  </si>
  <si>
    <t>Dara Culton</t>
  </si>
  <si>
    <t>Rochester</t>
  </si>
  <si>
    <t>598-2413</t>
  </si>
  <si>
    <t>Dong Malcomb</t>
  </si>
  <si>
    <t>Richardson</t>
  </si>
  <si>
    <t xml:space="preserve">Donovan Kelling </t>
  </si>
  <si>
    <t>Bristol</t>
  </si>
  <si>
    <t>Tennessee</t>
  </si>
  <si>
    <t>496-2099</t>
  </si>
  <si>
    <t xml:space="preserve">Edgardo Danner </t>
  </si>
  <si>
    <t>Fort Worth</t>
  </si>
  <si>
    <t>496-1150</t>
  </si>
  <si>
    <t>Elin Halloway</t>
  </si>
  <si>
    <t>Pasadena</t>
  </si>
  <si>
    <t>Elvina Kristensen</t>
  </si>
  <si>
    <t>496-1769</t>
  </si>
  <si>
    <t>Emilie Godinez</t>
  </si>
  <si>
    <t xml:space="preserve">Esperanza Comacho </t>
  </si>
  <si>
    <t>Charlotte</t>
  </si>
  <si>
    <t>598-2985</t>
  </si>
  <si>
    <t xml:space="preserve">Estella Magrath </t>
  </si>
  <si>
    <t>598-2333</t>
  </si>
  <si>
    <t>Fawn Bulloch</t>
  </si>
  <si>
    <t>598-2222</t>
  </si>
  <si>
    <t>Gabrielle Roach</t>
  </si>
  <si>
    <t>496-1378</t>
  </si>
  <si>
    <t xml:space="preserve">Genevie Hipple </t>
  </si>
  <si>
    <t>496-1899</t>
  </si>
  <si>
    <t>Gretta Nixon</t>
  </si>
  <si>
    <t>Memphis</t>
  </si>
  <si>
    <t>496-1243</t>
  </si>
  <si>
    <t>Halley Solari</t>
  </si>
  <si>
    <t>598-2243</t>
  </si>
  <si>
    <t>Henrietta Markowitz</t>
  </si>
  <si>
    <t>Durham</t>
  </si>
  <si>
    <t>598-5003</t>
  </si>
  <si>
    <t>Izola Mink</t>
  </si>
  <si>
    <t>Franklin</t>
  </si>
  <si>
    <t>Wisconsin</t>
  </si>
  <si>
    <t>496-1323</t>
  </si>
  <si>
    <t>Jacqualine Haskins</t>
  </si>
  <si>
    <t>Springfield</t>
  </si>
  <si>
    <t>Virginia</t>
  </si>
  <si>
    <t>598-5573</t>
  </si>
  <si>
    <t>Jaimee Janecek</t>
  </si>
  <si>
    <t>Minneapolis</t>
  </si>
  <si>
    <t>496-1430</t>
  </si>
  <si>
    <t>Janel Dotson</t>
  </si>
  <si>
    <t>598-2428</t>
  </si>
  <si>
    <t>Jay Huffstetler</t>
  </si>
  <si>
    <t>Fremont</t>
  </si>
  <si>
    <t>Nebraska</t>
  </si>
  <si>
    <t>598-2410</t>
  </si>
  <si>
    <t xml:space="preserve">Jeanna Landrum </t>
  </si>
  <si>
    <t>496-2051</t>
  </si>
  <si>
    <t>Julian Greenan</t>
  </si>
  <si>
    <t>598-5555</t>
  </si>
  <si>
    <t xml:space="preserve">Juliane Below </t>
  </si>
  <si>
    <t>Aurora</t>
  </si>
  <si>
    <t>Colorado</t>
  </si>
  <si>
    <t>Katie Giguere</t>
  </si>
  <si>
    <t>Dover</t>
  </si>
  <si>
    <t>Delaware</t>
  </si>
  <si>
    <t>496-1119</t>
  </si>
  <si>
    <t>Kaylene Kwak</t>
  </si>
  <si>
    <t>Naperville</t>
  </si>
  <si>
    <t>598-2418</t>
  </si>
  <si>
    <t>Kevin Newton</t>
  </si>
  <si>
    <t>496-1497</t>
  </si>
  <si>
    <t xml:space="preserve">Kristeen Silsby </t>
  </si>
  <si>
    <t>496-2770</t>
  </si>
  <si>
    <t xml:space="preserve">Larae Macek </t>
  </si>
  <si>
    <t>Redlands</t>
  </si>
  <si>
    <t>598-2947</t>
  </si>
  <si>
    <t>Larissa Herlihy</t>
  </si>
  <si>
    <t>598-2530</t>
  </si>
  <si>
    <t>Lavelle Hooton</t>
  </si>
  <si>
    <t>Newark</t>
  </si>
  <si>
    <t>496-1665</t>
  </si>
  <si>
    <t xml:space="preserve">Lavonne Jacko </t>
  </si>
  <si>
    <t>598-2211</t>
  </si>
  <si>
    <t>Leanne Holte</t>
  </si>
  <si>
    <t>598-2632</t>
  </si>
  <si>
    <t xml:space="preserve">Lenny Dierking </t>
  </si>
  <si>
    <t>Edmond</t>
  </si>
  <si>
    <t>Oklahoma</t>
  </si>
  <si>
    <t>598-2840</t>
  </si>
  <si>
    <t xml:space="preserve">Leonor Burton </t>
  </si>
  <si>
    <t>Eagan</t>
  </si>
  <si>
    <t>598-2622</t>
  </si>
  <si>
    <t xml:space="preserve">Leticia Odonnell </t>
  </si>
  <si>
    <t>496-1242</t>
  </si>
  <si>
    <t xml:space="preserve">Lloyd Plumley </t>
  </si>
  <si>
    <t>Columbia</t>
  </si>
  <si>
    <t>South Carolina</t>
  </si>
  <si>
    <t xml:space="preserve">Louvenia Tabon </t>
  </si>
  <si>
    <t>Maragret Lytle</t>
  </si>
  <si>
    <t>496-0001</t>
  </si>
  <si>
    <t>Marybeth Selvage</t>
  </si>
  <si>
    <t>Orland Park</t>
  </si>
  <si>
    <t>496-0002</t>
  </si>
  <si>
    <t xml:space="preserve">Mattie Nave </t>
  </si>
  <si>
    <t>Madison</t>
  </si>
  <si>
    <t>496-0003</t>
  </si>
  <si>
    <t xml:space="preserve">Monique Ulman </t>
  </si>
  <si>
    <t>Bloomington</t>
  </si>
  <si>
    <t>496-0004</t>
  </si>
  <si>
    <t>Moses Raynes</t>
  </si>
  <si>
    <t>496-0005</t>
  </si>
  <si>
    <t>Nickole Burell</t>
  </si>
  <si>
    <t>Monroe</t>
  </si>
  <si>
    <t>Louisiana</t>
  </si>
  <si>
    <t>496-0006</t>
  </si>
  <si>
    <t xml:space="preserve">Omega Pollock </t>
  </si>
  <si>
    <t>Portland</t>
  </si>
  <si>
    <t>Oregon</t>
  </si>
  <si>
    <t>496-0007</t>
  </si>
  <si>
    <t xml:space="preserve">Pamela Rohman </t>
  </si>
  <si>
    <t>496-0008</t>
  </si>
  <si>
    <t>Pandora Mayton</t>
  </si>
  <si>
    <t>Carlsbad</t>
  </si>
  <si>
    <t>New Mexico</t>
  </si>
  <si>
    <t>496-0009</t>
  </si>
  <si>
    <t xml:space="preserve">Penni Haar </t>
  </si>
  <si>
    <t>496-0010</t>
  </si>
  <si>
    <t xml:space="preserve">Randal Back </t>
  </si>
  <si>
    <t>496-0011</t>
  </si>
  <si>
    <t>Raymon Cassel</t>
  </si>
  <si>
    <t>Fairfield</t>
  </si>
  <si>
    <t>Connecticut</t>
  </si>
  <si>
    <t>496-0012</t>
  </si>
  <si>
    <t>Reyna Manthe</t>
  </si>
  <si>
    <t>496-0013</t>
  </si>
  <si>
    <t xml:space="preserve">Ricardo Tillison </t>
  </si>
  <si>
    <t>Independence</t>
  </si>
  <si>
    <t>Missouri</t>
  </si>
  <si>
    <t>496-0014</t>
  </si>
  <si>
    <t xml:space="preserve">Ricky Lisowski </t>
  </si>
  <si>
    <t>Fort Lauderdale</t>
  </si>
  <si>
    <t>496-0015</t>
  </si>
  <si>
    <t>Rosanne Gulotta</t>
  </si>
  <si>
    <t>496-0016</t>
  </si>
  <si>
    <t>Salvador Cruikshank</t>
  </si>
  <si>
    <t>San Jose</t>
  </si>
  <si>
    <t>496-0017</t>
  </si>
  <si>
    <t>Samatha Armentrout</t>
  </si>
  <si>
    <t>496-0018</t>
  </si>
  <si>
    <t>Serena Yelton</t>
  </si>
  <si>
    <t>Wilmington</t>
  </si>
  <si>
    <t>496-0019</t>
  </si>
  <si>
    <t>Sparkle Jesus</t>
  </si>
  <si>
    <t>Alabama</t>
  </si>
  <si>
    <t>496-0020</t>
  </si>
  <si>
    <t xml:space="preserve">Teodora Calaway </t>
  </si>
  <si>
    <t>Scottsdale</t>
  </si>
  <si>
    <t>496-0021</t>
  </si>
  <si>
    <t xml:space="preserve">Theresa Nixon </t>
  </si>
  <si>
    <t>Troy</t>
  </si>
  <si>
    <t>496-0022</t>
  </si>
  <si>
    <t xml:space="preserve">Tim Hackenberg </t>
  </si>
  <si>
    <t>496-0023</t>
  </si>
  <si>
    <t>Titus Oshea</t>
  </si>
  <si>
    <t>496-0024</t>
  </si>
  <si>
    <t xml:space="preserve">Tyler Conkling </t>
  </si>
  <si>
    <t>Phoenix</t>
  </si>
  <si>
    <t>496-0025</t>
  </si>
  <si>
    <t xml:space="preserve">Verline Goin </t>
  </si>
  <si>
    <t>Westfield</t>
  </si>
  <si>
    <t>New Jersey</t>
  </si>
  <si>
    <t>496-0026</t>
  </si>
  <si>
    <t xml:space="preserve">Yolanda Suman </t>
  </si>
  <si>
    <t>496-0027</t>
  </si>
  <si>
    <t>Nicholas Hanks</t>
  </si>
  <si>
    <t>New City</t>
  </si>
  <si>
    <t>New Order Number</t>
  </si>
  <si>
    <t>REGION CODES</t>
  </si>
  <si>
    <t>1. One insight I saw was that only 36% of the customers are ordering more than 4 items at a time. This could be good to know if the company is doing the shipping because then they can raise the rates of shipping items less then 5 items. Or, do a discount on shipping for when they add 5 or more items to their shopping cart. (reverse psychology right there)</t>
  </si>
  <si>
    <t>total</t>
  </si>
  <si>
    <t xml:space="preserve">2. Another insight I had was the customers who are in the top 10% of sales is bringing in the majority of the income for the company. 65% of the total income for the company to be exact.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</si>
</sst>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4"/>
      <color rgb="FF3F3F76"/>
      <name val="Arial"/>
      <family val="2"/>
      <scheme val="minor"/>
    </font>
    <font>
      <b/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vertical="center"/>
    </xf>
    <xf numFmtId="10" fontId="1" fillId="0" borderId="0" xfId="0" applyNumberFormat="1" applyFont="1" applyAlignment="1">
      <alignment horizontal="left" vertical="center"/>
    </xf>
    <xf numFmtId="10" fontId="0" fillId="0" borderId="0" xfId="0" applyNumberFormat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1" fillId="0" borderId="12" xfId="0" applyNumberFormat="1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10" fontId="1" fillId="0" borderId="12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/>
    </xf>
    <xf numFmtId="14" fontId="1" fillId="0" borderId="12" xfId="0" applyNumberFormat="1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10" fontId="2" fillId="0" borderId="0" xfId="1" applyNumberFormat="1" applyBorder="1" applyAlignment="1">
      <alignment horizontal="center" vertical="center"/>
    </xf>
    <xf numFmtId="0" fontId="3" fillId="2" borderId="2" xfId="2" applyAlignment="1">
      <alignment vertical="center"/>
    </xf>
    <xf numFmtId="10" fontId="6" fillId="4" borderId="12" xfId="1" applyNumberFormat="1" applyFont="1" applyFill="1" applyBorder="1" applyAlignment="1">
      <alignment horizontal="center" vertical="center"/>
    </xf>
    <xf numFmtId="0" fontId="5" fillId="2" borderId="2" xfId="2" applyFont="1" applyBorder="1" applyAlignment="1" applyProtection="1">
      <alignment horizontal="center" vertical="center"/>
      <protection locked="0"/>
    </xf>
    <xf numFmtId="0" fontId="3" fillId="2" borderId="2" xfId="2" applyAlignment="1" applyProtection="1">
      <alignment vertical="center"/>
      <protection locked="0"/>
    </xf>
    <xf numFmtId="0" fontId="0" fillId="0" borderId="0" xfId="0" applyAlignment="1">
      <alignment horizontal="left" vertical="top" wrapText="1"/>
    </xf>
    <xf numFmtId="14" fontId="4" fillId="3" borderId="3" xfId="3" applyNumberFormat="1" applyAlignment="1">
      <alignment horizontal="left" vertical="center"/>
    </xf>
    <xf numFmtId="164" fontId="4" fillId="3" borderId="3" xfId="3" applyNumberFormat="1" applyAlignment="1">
      <alignment vertical="center"/>
    </xf>
    <xf numFmtId="0" fontId="4" fillId="3" borderId="3" xfId="3" applyAlignment="1">
      <alignment vertical="center"/>
    </xf>
    <xf numFmtId="10" fontId="4" fillId="3" borderId="3" xfId="3" applyNumberFormat="1" applyAlignment="1">
      <alignment vertical="center"/>
    </xf>
    <xf numFmtId="0" fontId="4" fillId="3" borderId="3" xfId="3" applyNumberFormat="1" applyAlignment="1">
      <alignment vertical="center"/>
    </xf>
  </cellXfs>
  <cellStyles count="4">
    <cellStyle name="Heading 3" xfId="1" builtinId="18"/>
    <cellStyle name="Input" xfId="2" builtinId="20"/>
    <cellStyle name="Normal" xfId="0" builtinId="0"/>
    <cellStyle name="Output" xfId="3" builtinId="21"/>
  </cellStyles>
  <dxfs count="7"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E940-F5A1-4787-978F-3411A5C92508}">
  <sheetPr>
    <tabColor theme="5" tint="0.79998168889431442"/>
  </sheetPr>
  <dimension ref="B1:J15"/>
  <sheetViews>
    <sheetView showGridLines="0" tabSelected="1" zoomScale="131" workbookViewId="0">
      <selection activeCell="G5" sqref="G5"/>
    </sheetView>
  </sheetViews>
  <sheetFormatPr defaultRowHeight="13.8" x14ac:dyDescent="0.25"/>
  <cols>
    <col min="1" max="1" width="2.3984375" customWidth="1"/>
    <col min="2" max="2" width="2.59765625" customWidth="1"/>
    <col min="3" max="3" width="18.19921875" bestFit="1" customWidth="1"/>
    <col min="4" max="4" width="12.5" bestFit="1" customWidth="1"/>
    <col min="5" max="5" width="15.8984375" bestFit="1" customWidth="1"/>
    <col min="6" max="6" width="10.5" bestFit="1" customWidth="1"/>
    <col min="7" max="7" width="13.5" bestFit="1" customWidth="1"/>
    <col min="8" max="8" width="10.796875" bestFit="1" customWidth="1"/>
    <col min="9" max="9" width="18" bestFit="1" customWidth="1"/>
    <col min="10" max="10" width="2.69921875" customWidth="1"/>
  </cols>
  <sheetData>
    <row r="1" spans="2:10" ht="14.4" thickBot="1" x14ac:dyDescent="0.3"/>
    <row r="2" spans="2:10" x14ac:dyDescent="0.25">
      <c r="B2" s="12"/>
      <c r="C2" s="13"/>
      <c r="D2" s="13"/>
      <c r="E2" s="13"/>
      <c r="F2" s="13"/>
      <c r="G2" s="13"/>
      <c r="H2" s="13"/>
      <c r="I2" s="13"/>
      <c r="J2" s="14"/>
    </row>
    <row r="3" spans="2:10" ht="22.8" customHeight="1" x14ac:dyDescent="0.25">
      <c r="B3" s="15"/>
      <c r="C3" s="16"/>
      <c r="D3" s="16"/>
      <c r="E3" s="30" t="s">
        <v>211</v>
      </c>
      <c r="F3" s="30"/>
      <c r="G3" s="30"/>
      <c r="H3" s="16"/>
      <c r="I3" s="16"/>
      <c r="J3" s="17"/>
    </row>
    <row r="4" spans="2:10" x14ac:dyDescent="0.25">
      <c r="B4" s="15"/>
      <c r="C4" s="16"/>
      <c r="D4" s="16"/>
      <c r="E4" s="16"/>
      <c r="F4" s="16"/>
      <c r="G4" s="16"/>
      <c r="H4" s="16"/>
      <c r="I4" s="16"/>
      <c r="J4" s="17"/>
    </row>
    <row r="5" spans="2:10" ht="19.8" customHeight="1" x14ac:dyDescent="0.25">
      <c r="B5" s="15"/>
      <c r="C5" s="25" t="s">
        <v>0</v>
      </c>
      <c r="D5" s="25" t="s">
        <v>1</v>
      </c>
      <c r="E5" s="22" t="s">
        <v>2</v>
      </c>
      <c r="F5" s="22" t="s">
        <v>4</v>
      </c>
      <c r="G5" s="22" t="s">
        <v>5</v>
      </c>
      <c r="H5" s="22" t="s">
        <v>6</v>
      </c>
      <c r="I5" s="22" t="s">
        <v>7</v>
      </c>
      <c r="J5" s="17"/>
    </row>
    <row r="6" spans="2:10" ht="19.8" customHeight="1" x14ac:dyDescent="0.25">
      <c r="B6" s="15"/>
      <c r="C6" s="33">
        <f ca="1">_xlfn.XLOOKUP($E$3,customer_names,Orders!A2:A91)</f>
        <v>43362</v>
      </c>
      <c r="D6" s="33">
        <f ca="1">_xlfn.XLOOKUP($E$3,customer_names,Orders!B2:B91)</f>
        <v>43367</v>
      </c>
      <c r="E6" s="33" t="str">
        <f>_xlfn.XLOOKUP($E$3,customer_names,Orders!C2:C91)</f>
        <v>USPS</v>
      </c>
      <c r="F6" s="33" t="str">
        <f>_xlfn.XLOOKUP($E$3,customer_names,Orders!E2:E91)</f>
        <v>Bloomington</v>
      </c>
      <c r="G6" s="33" t="str">
        <f>_xlfn.XLOOKUP($E$3,customer_names,Orders!F2:F91)</f>
        <v>Illinois</v>
      </c>
      <c r="H6" s="33" t="str">
        <f>_xlfn.XLOOKUP($E$3,customer_names,Orders!G2:G91)</f>
        <v>Central</v>
      </c>
      <c r="I6" s="33" t="str">
        <f>_xlfn.XLOOKUP($E$3,customer_names,Orders!H2:H91)</f>
        <v>Furniture</v>
      </c>
      <c r="J6" s="17"/>
    </row>
    <row r="7" spans="2:10" x14ac:dyDescent="0.25">
      <c r="B7" s="15"/>
      <c r="C7" s="16"/>
      <c r="D7" s="16"/>
      <c r="E7" s="16"/>
      <c r="F7" s="16"/>
      <c r="G7" s="16"/>
      <c r="H7" s="16"/>
      <c r="I7" s="16"/>
      <c r="J7" s="17"/>
    </row>
    <row r="8" spans="2:10" ht="19.8" customHeight="1" x14ac:dyDescent="0.25">
      <c r="B8" s="15"/>
      <c r="C8" s="21" t="s">
        <v>8</v>
      </c>
      <c r="D8" s="22" t="s">
        <v>9</v>
      </c>
      <c r="E8" s="23" t="s">
        <v>10</v>
      </c>
      <c r="F8" s="22" t="s">
        <v>11</v>
      </c>
      <c r="G8" s="24" t="s">
        <v>12</v>
      </c>
      <c r="H8" s="22" t="s">
        <v>280</v>
      </c>
      <c r="I8" s="24" t="s">
        <v>281</v>
      </c>
      <c r="J8" s="17"/>
    </row>
    <row r="9" spans="2:10" ht="19.8" customHeight="1" x14ac:dyDescent="0.25">
      <c r="B9" s="15"/>
      <c r="C9" s="34">
        <f>_xlfn.XLOOKUP($E$3,customer_names,Orders!I$2:I$91)</f>
        <v>617.70000000000005</v>
      </c>
      <c r="D9" s="35">
        <f>_xlfn.XLOOKUP($E$3,customer_names,Orders!J$2:J$91)</f>
        <v>6</v>
      </c>
      <c r="E9" s="36">
        <f>_xlfn.XLOOKUP($E$3,customer_names,Orders!K$2:K$91)</f>
        <v>0.5</v>
      </c>
      <c r="F9" s="34">
        <f>_xlfn.XLOOKUP($E$3,customer_names,Orders!L$2:L$91)</f>
        <v>1853.1000000000001</v>
      </c>
      <c r="G9" s="37" t="str">
        <f>_xlfn.XLOOKUP($E$3,customer_names,Orders!M$2:M$91)</f>
        <v>496-0004</v>
      </c>
      <c r="H9" s="35" t="str">
        <f>_xlfn.XLOOKUP($E$3,customer_names,Orders!N$2:N$91)</f>
        <v>Bloomington</v>
      </c>
      <c r="I9" s="37" t="str">
        <f>_xlfn.XLOOKUP($E$3,customer_names,Orders!O$2:O$91)</f>
        <v>301-496-0004</v>
      </c>
      <c r="J9" s="17"/>
    </row>
    <row r="10" spans="2:10" ht="19.8" customHeight="1" x14ac:dyDescent="0.25">
      <c r="B10" s="15"/>
      <c r="C10" s="7"/>
      <c r="D10" s="1"/>
      <c r="E10" s="9"/>
      <c r="F10" s="7"/>
      <c r="G10" s="11"/>
      <c r="H10" s="1"/>
      <c r="I10" s="11"/>
      <c r="J10" s="17"/>
    </row>
    <row r="11" spans="2:10" ht="19.8" customHeight="1" x14ac:dyDescent="0.25">
      <c r="B11" s="15"/>
      <c r="C11" s="7"/>
      <c r="D11" s="1"/>
      <c r="E11" s="29" t="s">
        <v>282</v>
      </c>
      <c r="F11" s="29"/>
      <c r="G11" s="29"/>
      <c r="H11" s="1"/>
      <c r="I11" s="11"/>
      <c r="J11" s="17"/>
    </row>
    <row r="12" spans="2:10" ht="19.8" customHeight="1" x14ac:dyDescent="0.25">
      <c r="B12" s="15"/>
      <c r="C12" s="7"/>
      <c r="D12" s="1"/>
      <c r="E12" s="27"/>
      <c r="F12" s="27"/>
      <c r="G12" s="27"/>
      <c r="H12" s="1"/>
      <c r="I12" s="11"/>
      <c r="J12" s="17"/>
    </row>
    <row r="13" spans="2:10" ht="19.8" customHeight="1" x14ac:dyDescent="0.25">
      <c r="B13" s="15"/>
      <c r="C13" s="26" t="s">
        <v>46</v>
      </c>
      <c r="D13" s="26" t="s">
        <v>28</v>
      </c>
      <c r="E13" s="26" t="s">
        <v>17</v>
      </c>
      <c r="F13" s="26" t="s">
        <v>37</v>
      </c>
      <c r="G13" s="26"/>
      <c r="H13" s="26"/>
      <c r="I13" s="26"/>
      <c r="J13" s="17"/>
    </row>
    <row r="14" spans="2:10" ht="22.2" customHeight="1" x14ac:dyDescent="0.25">
      <c r="B14" s="15"/>
      <c r="C14" s="31">
        <v>101</v>
      </c>
      <c r="D14" s="31">
        <v>201</v>
      </c>
      <c r="E14" s="31">
        <v>301</v>
      </c>
      <c r="F14" s="31">
        <v>401</v>
      </c>
      <c r="G14" s="28"/>
      <c r="H14" s="28"/>
      <c r="I14" s="28"/>
      <c r="J14" s="17"/>
    </row>
    <row r="15" spans="2:10" ht="14.4" thickBot="1" x14ac:dyDescent="0.3">
      <c r="B15" s="18"/>
      <c r="C15" s="19"/>
      <c r="D15" s="19"/>
      <c r="E15" s="19"/>
      <c r="F15" s="19"/>
      <c r="G15" s="19"/>
      <c r="H15" s="19"/>
      <c r="I15" s="19"/>
      <c r="J15" s="20"/>
    </row>
  </sheetData>
  <sheetProtection sheet="1" objects="1" scenarios="1"/>
  <mergeCells count="2">
    <mergeCell ref="E3:G3"/>
    <mergeCell ref="E11:G11"/>
  </mergeCells>
  <conditionalFormatting sqref="C6:I6">
    <cfRule type="expression" dxfId="6" priority="12">
      <formula>$G6="Technology"</formula>
    </cfRule>
  </conditionalFormatting>
  <conditionalFormatting sqref="C10:H10 C11:E12 H11:H12">
    <cfRule type="expression" dxfId="5" priority="6">
      <formula>$H10="Technology"</formula>
    </cfRule>
  </conditionalFormatting>
  <conditionalFormatting sqref="F10">
    <cfRule type="top10" dxfId="4" priority="4" percent="1" rank="10"/>
  </conditionalFormatting>
  <conditionalFormatting sqref="C9:H9">
    <cfRule type="expression" dxfId="1" priority="3">
      <formula>$H9="Technology"</formula>
    </cfRule>
  </conditionalFormatting>
  <conditionalFormatting sqref="F9">
    <cfRule type="top10" dxfId="0" priority="1" percent="1" rank="10"/>
  </conditionalFormatting>
  <dataValidations count="1">
    <dataValidation type="list" allowBlank="1" showInputMessage="1" showErrorMessage="1" errorTitle="Unable to find name" promptTitle="Enter customer name here" sqref="E3:G3" xr:uid="{7B94B1A3-65F4-4BFC-84B3-1D9F63FAFF7E}">
      <formula1>customer_names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7424D22C-A747-445E-AC09-237B2343C287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5</xm:f>
              </x14:cfvo>
              <x14:cfIcon iconSet="NoIcons" iconId="0"/>
              <x14:cfIcon iconSet="NoIcons" iconId="0"/>
              <x14:cfIcon iconSet="3Symbols2" iconId="2"/>
            </x14:iconSet>
          </x14:cfRule>
          <xm:sqref>D10:D12</xm:sqref>
        </x14:conditionalFormatting>
        <x14:conditionalFormatting xmlns:xm="http://schemas.microsoft.com/office/excel/2006/main">
          <x14:cfRule type="iconSet" priority="2" id="{A7F74FA0-5471-4AD7-9CE1-A0019F357AA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5</xm:f>
              </x14:cfvo>
              <x14:cfIcon iconSet="NoIcons" iconId="0"/>
              <x14:cfIcon iconSet="NoIcons" iconId="0"/>
              <x14:cfIcon iconSet="3Symbols2" iconId="2"/>
            </x14:iconSet>
          </x14:cfRule>
          <xm:sqref>D9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0DA-F458-49B0-B562-EC036EEBA752}">
  <sheetPr codeName="Sheet1">
    <tabColor theme="7" tint="0.79998168889431442"/>
  </sheetPr>
  <dimension ref="A1:Q96"/>
  <sheetViews>
    <sheetView topLeftCell="A79" workbookViewId="0">
      <selection activeCell="D92" sqref="D92"/>
    </sheetView>
  </sheetViews>
  <sheetFormatPr defaultColWidth="10.69921875" defaultRowHeight="19.95" customHeight="1" x14ac:dyDescent="0.25"/>
  <cols>
    <col min="1" max="2" width="10.69921875" style="5"/>
    <col min="3" max="3" width="12.09765625" style="3" bestFit="1" customWidth="1"/>
    <col min="4" max="4" width="18.19921875" style="3" bestFit="1" customWidth="1"/>
    <col min="5" max="5" width="13.69921875" style="3" bestFit="1" customWidth="1"/>
    <col min="6" max="6" width="12.796875" style="3" bestFit="1" customWidth="1"/>
    <col min="7" max="7" width="9.09765625" style="3" bestFit="1" customWidth="1"/>
    <col min="8" max="8" width="13.09765625" style="3" bestFit="1" customWidth="1"/>
    <col min="9" max="9" width="20.19921875" style="7" bestFit="1" customWidth="1"/>
    <col min="10" max="10" width="14.5" style="1" bestFit="1" customWidth="1"/>
    <col min="11" max="11" width="17.8984375" style="9" bestFit="1" customWidth="1"/>
    <col min="12" max="12" width="12.5" style="1" bestFit="1" customWidth="1"/>
    <col min="13" max="13" width="15.5" style="11" bestFit="1" customWidth="1"/>
    <col min="14" max="14" width="13.69921875" style="1" bestFit="1" customWidth="1"/>
    <col min="15" max="15" width="18" style="11" bestFit="1" customWidth="1"/>
    <col min="16" max="16384" width="10.69921875" style="1"/>
  </cols>
  <sheetData>
    <row r="1" spans="1:17" s="3" customFormat="1" ht="28.8" customHeight="1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8" t="s">
        <v>10</v>
      </c>
      <c r="L1" s="2" t="s">
        <v>11</v>
      </c>
      <c r="M1" s="10" t="s">
        <v>12</v>
      </c>
      <c r="N1" s="2" t="s">
        <v>280</v>
      </c>
      <c r="O1" s="10" t="s">
        <v>281</v>
      </c>
      <c r="Q1" s="2"/>
    </row>
    <row r="2" spans="1:17" ht="19.95" customHeight="1" x14ac:dyDescent="0.25">
      <c r="A2" s="5">
        <f ca="1">DATE(YEAR(TODAY())-4,9,19)</f>
        <v>43362</v>
      </c>
      <c r="B2" s="5">
        <f ca="1">DATE(YEAR(TODAY())-4,9,24)</f>
        <v>43367</v>
      </c>
      <c r="C2" s="3" t="s">
        <v>20</v>
      </c>
      <c r="D2" s="3" t="s">
        <v>211</v>
      </c>
      <c r="E2" s="3" t="s">
        <v>212</v>
      </c>
      <c r="F2" s="3" t="s">
        <v>52</v>
      </c>
      <c r="G2" s="3" t="s">
        <v>17</v>
      </c>
      <c r="H2" s="3" t="s">
        <v>18</v>
      </c>
      <c r="I2" s="7">
        <v>617.70000000000005</v>
      </c>
      <c r="J2" s="1">
        <v>6</v>
      </c>
      <c r="K2" s="9">
        <v>0.5</v>
      </c>
      <c r="L2" s="7">
        <f>I2*J2*(1-K2)</f>
        <v>1853.1000000000001</v>
      </c>
      <c r="M2" s="11" t="s">
        <v>213</v>
      </c>
      <c r="N2" s="1" t="str">
        <f>IF($E2 = "Los Angeles", "Millville", $E2)</f>
        <v>Bloomington</v>
      </c>
      <c r="O2" s="11" t="str">
        <f>_xlfn.CONCAT(_xlfn.XLOOKUP(G2,Dashboard!$C$13:$F$13,Dashboard!$C$14:$F$14),"-",M2)</f>
        <v>301-496-0004</v>
      </c>
    </row>
    <row r="3" spans="1:17" ht="19.95" customHeight="1" x14ac:dyDescent="0.25">
      <c r="A3" s="5">
        <f ca="1">DATE(YEAR(TODAY())-1,11,12)</f>
        <v>44512</v>
      </c>
      <c r="B3" s="5">
        <f ca="1">DATE(YEAR(TODAY())-1,11,15)</f>
        <v>44515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17</v>
      </c>
      <c r="H3" s="3" t="s">
        <v>23</v>
      </c>
      <c r="I3" s="7">
        <v>230.38</v>
      </c>
      <c r="J3" s="1">
        <v>3</v>
      </c>
      <c r="K3" s="9">
        <v>0.2</v>
      </c>
      <c r="L3" s="7">
        <f t="shared" ref="L3:L66" si="0">I3*J3*(1-K3)</f>
        <v>552.91200000000003</v>
      </c>
      <c r="M3" s="11" t="s">
        <v>53</v>
      </c>
      <c r="N3" s="1" t="str">
        <f>IF($E3 = "Los Angeles", "Millville", $E3)</f>
        <v>Chicago</v>
      </c>
      <c r="O3" s="11" t="str">
        <f>_xlfn.CONCAT(_xlfn.XLOOKUP(G3,Dashboard!$C$13:$F$13,Dashboard!$C$14:$F$14),"-",M3)</f>
        <v>301-598-2976</v>
      </c>
    </row>
    <row r="4" spans="1:17" ht="19.95" customHeight="1" x14ac:dyDescent="0.25">
      <c r="A4" s="5">
        <f ca="1">DATE(YEAR(TODAY())-4,9,13)</f>
        <v>43356</v>
      </c>
      <c r="B4" s="5">
        <f ca="1">DATE(YEAR(TODAY())-4,9,18)</f>
        <v>43361</v>
      </c>
      <c r="C4" s="3" t="s">
        <v>20</v>
      </c>
      <c r="D4" s="3" t="s">
        <v>129</v>
      </c>
      <c r="E4" s="3" t="s">
        <v>51</v>
      </c>
      <c r="F4" s="3" t="s">
        <v>52</v>
      </c>
      <c r="G4" s="3" t="s">
        <v>17</v>
      </c>
      <c r="H4" s="3" t="s">
        <v>23</v>
      </c>
      <c r="I4" s="7">
        <v>52.45</v>
      </c>
      <c r="J4" s="1">
        <v>2</v>
      </c>
      <c r="K4" s="9">
        <v>0.8</v>
      </c>
      <c r="L4" s="7">
        <f t="shared" si="0"/>
        <v>20.979999999999997</v>
      </c>
      <c r="M4" s="11" t="s">
        <v>130</v>
      </c>
      <c r="N4" s="1" t="str">
        <f>IF($E4 = "Los Angeles", "Millville", $E4)</f>
        <v>Chicago</v>
      </c>
      <c r="O4" s="11" t="str">
        <f>_xlfn.CONCAT(_xlfn.XLOOKUP(G4,Dashboard!$C$13:$F$13,Dashboard!$C$14:$F$14),"-",M4)</f>
        <v>301-598-2222</v>
      </c>
    </row>
    <row r="5" spans="1:17" ht="19.95" customHeight="1" x14ac:dyDescent="0.25">
      <c r="A5" s="5">
        <f ca="1">DATE(YEAR(TODAY())-3,4,28)</f>
        <v>43583</v>
      </c>
      <c r="B5" s="5">
        <f ca="1">DATE(YEAR(TODAY())-3,5,3)</f>
        <v>43588</v>
      </c>
      <c r="C5" s="3" t="s">
        <v>20</v>
      </c>
      <c r="D5" s="3" t="s">
        <v>203</v>
      </c>
      <c r="E5" s="3" t="s">
        <v>51</v>
      </c>
      <c r="F5" s="3" t="s">
        <v>52</v>
      </c>
      <c r="G5" s="3" t="s">
        <v>17</v>
      </c>
      <c r="H5" s="3" t="s">
        <v>18</v>
      </c>
      <c r="I5" s="7">
        <v>213.12</v>
      </c>
      <c r="J5" s="1">
        <v>5</v>
      </c>
      <c r="K5" s="9">
        <v>0.3</v>
      </c>
      <c r="L5" s="7">
        <f t="shared" si="0"/>
        <v>745.91999999999985</v>
      </c>
      <c r="M5" s="11" t="s">
        <v>204</v>
      </c>
      <c r="N5" s="1" t="str">
        <f>IF($E5 = "Los Angeles", "Millville", $E5)</f>
        <v>Chicago</v>
      </c>
      <c r="O5" s="11" t="str">
        <f>_xlfn.CONCAT(_xlfn.XLOOKUP(G5,Dashboard!$C$13:$F$13,Dashboard!$C$14:$F$14),"-",M5)</f>
        <v>301-496-0001</v>
      </c>
    </row>
    <row r="6" spans="1:17" ht="19.95" customHeight="1" x14ac:dyDescent="0.25">
      <c r="A6" s="5">
        <f ca="1">DATE(YEAR(TODAY())-2,8,28)</f>
        <v>44071</v>
      </c>
      <c r="B6" s="5">
        <f ca="1">DATE(YEAR(TODAY())-2,9,1)</f>
        <v>44075</v>
      </c>
      <c r="C6" s="3" t="s">
        <v>20</v>
      </c>
      <c r="D6" s="3" t="s">
        <v>214</v>
      </c>
      <c r="E6" s="3" t="s">
        <v>51</v>
      </c>
      <c r="F6" s="3" t="s">
        <v>52</v>
      </c>
      <c r="G6" s="3" t="s">
        <v>17</v>
      </c>
      <c r="H6" s="3" t="s">
        <v>32</v>
      </c>
      <c r="I6" s="7">
        <v>95.98</v>
      </c>
      <c r="J6" s="1">
        <v>3</v>
      </c>
      <c r="K6" s="9">
        <v>0.2</v>
      </c>
      <c r="L6" s="7">
        <f t="shared" si="0"/>
        <v>230.352</v>
      </c>
      <c r="M6" s="11" t="s">
        <v>215</v>
      </c>
      <c r="N6" s="1" t="str">
        <f>IF($E6 = "Los Angeles", "Millville", $E6)</f>
        <v>Chicago</v>
      </c>
      <c r="O6" s="11" t="str">
        <f>_xlfn.CONCAT(_xlfn.XLOOKUP(G6,Dashboard!$C$13:$F$13,Dashboard!$C$14:$F$14),"-",M6)</f>
        <v>301-496-0005</v>
      </c>
    </row>
    <row r="7" spans="1:17" ht="19.95" customHeight="1" x14ac:dyDescent="0.25">
      <c r="A7" s="5">
        <f ca="1">DATE(YEAR(TODAY())-4,12,4)</f>
        <v>43438</v>
      </c>
      <c r="B7" s="5">
        <f ca="1">DATE(YEAR(TODAY())-4,12,8)</f>
        <v>43442</v>
      </c>
      <c r="C7" s="3" t="s">
        <v>13</v>
      </c>
      <c r="D7" s="3" t="s">
        <v>77</v>
      </c>
      <c r="E7" s="3" t="s">
        <v>78</v>
      </c>
      <c r="F7" s="3" t="s">
        <v>52</v>
      </c>
      <c r="G7" s="3" t="s">
        <v>17</v>
      </c>
      <c r="H7" s="3" t="s">
        <v>32</v>
      </c>
      <c r="I7" s="7">
        <v>408.74</v>
      </c>
      <c r="J7" s="1">
        <v>7</v>
      </c>
      <c r="K7" s="9">
        <v>0.2</v>
      </c>
      <c r="L7" s="7">
        <f t="shared" si="0"/>
        <v>2288.9440000000004</v>
      </c>
      <c r="M7" s="11" t="s">
        <v>79</v>
      </c>
      <c r="N7" s="1" t="str">
        <f>IF($E7 = "Los Angeles", "Millville", $E7)</f>
        <v>Decatur</v>
      </c>
      <c r="O7" s="11" t="str">
        <f>_xlfn.CONCAT(_xlfn.XLOOKUP(G7,Dashboard!$C$13:$F$13,Dashboard!$C$14:$F$14),"-",M7)</f>
        <v>301-598-2192</v>
      </c>
    </row>
    <row r="8" spans="1:17" ht="19.95" customHeight="1" x14ac:dyDescent="0.25">
      <c r="A8" s="5">
        <f ca="1">DATE(YEAR(TODAY())-1,9,9)</f>
        <v>44448</v>
      </c>
      <c r="B8" s="5">
        <f ca="1">DATE(YEAR(TODAY())-1,9,14)</f>
        <v>44453</v>
      </c>
      <c r="C8" s="3" t="s">
        <v>20</v>
      </c>
      <c r="D8" s="3" t="s">
        <v>171</v>
      </c>
      <c r="E8" s="3" t="s">
        <v>172</v>
      </c>
      <c r="F8" s="3" t="s">
        <v>52</v>
      </c>
      <c r="G8" s="3" t="s">
        <v>17</v>
      </c>
      <c r="H8" s="3" t="s">
        <v>32</v>
      </c>
      <c r="I8" s="7">
        <v>147.16999999999999</v>
      </c>
      <c r="J8" s="1">
        <v>4</v>
      </c>
      <c r="K8" s="9">
        <v>0.2</v>
      </c>
      <c r="L8" s="7">
        <f t="shared" si="0"/>
        <v>470.94399999999996</v>
      </c>
      <c r="M8" s="11" t="s">
        <v>173</v>
      </c>
      <c r="N8" s="1" t="str">
        <f>IF($E8 = "Los Angeles", "Millville", $E8)</f>
        <v>Naperville</v>
      </c>
      <c r="O8" s="11" t="str">
        <f>_xlfn.CONCAT(_xlfn.XLOOKUP(G8,Dashboard!$C$13:$F$13,Dashboard!$C$14:$F$14),"-",M8)</f>
        <v>301-598-2418</v>
      </c>
    </row>
    <row r="9" spans="1:17" ht="19.95" customHeight="1" x14ac:dyDescent="0.25">
      <c r="A9" s="5">
        <f ca="1">DATE(YEAR(TODAY())-3,10,13)</f>
        <v>43751</v>
      </c>
      <c r="B9" s="5">
        <f ca="1">DATE(YEAR(TODAY())-3,10,18)</f>
        <v>43756</v>
      </c>
      <c r="C9" s="3" t="s">
        <v>20</v>
      </c>
      <c r="D9" s="3" t="s">
        <v>205</v>
      </c>
      <c r="E9" s="3" t="s">
        <v>206</v>
      </c>
      <c r="F9" s="3" t="s">
        <v>52</v>
      </c>
      <c r="G9" s="3" t="s">
        <v>17</v>
      </c>
      <c r="H9" s="3" t="s">
        <v>32</v>
      </c>
      <c r="I9" s="7">
        <v>339.96</v>
      </c>
      <c r="J9" s="1">
        <v>5</v>
      </c>
      <c r="K9" s="9">
        <v>0.2</v>
      </c>
      <c r="L9" s="7">
        <f t="shared" si="0"/>
        <v>1359.8400000000001</v>
      </c>
      <c r="M9" s="11" t="s">
        <v>207</v>
      </c>
      <c r="N9" s="1" t="str">
        <f>IF($E9 = "Los Angeles", "Millville", $E9)</f>
        <v>Orland Park</v>
      </c>
      <c r="O9" s="11" t="str">
        <f>_xlfn.CONCAT(_xlfn.XLOOKUP(G9,Dashboard!$C$13:$F$13,Dashboard!$C$14:$F$14),"-",M9)</f>
        <v>301-496-0002</v>
      </c>
    </row>
    <row r="10" spans="1:17" ht="19.95" customHeight="1" x14ac:dyDescent="0.25">
      <c r="A10" s="5">
        <f ca="1">DATE(YEAR(TODAY())-3,4,16)</f>
        <v>43571</v>
      </c>
      <c r="B10" s="5">
        <f ca="1">DATE(YEAR(TODAY())-3,4,20)</f>
        <v>43575</v>
      </c>
      <c r="C10" s="3" t="s">
        <v>20</v>
      </c>
      <c r="D10" s="3" t="s">
        <v>66</v>
      </c>
      <c r="E10" s="3" t="s">
        <v>67</v>
      </c>
      <c r="F10" s="3" t="s">
        <v>68</v>
      </c>
      <c r="G10" s="3" t="s">
        <v>17</v>
      </c>
      <c r="H10" s="3" t="s">
        <v>18</v>
      </c>
      <c r="I10" s="7">
        <v>89.99</v>
      </c>
      <c r="J10" s="1">
        <v>1</v>
      </c>
      <c r="K10" s="9">
        <v>0</v>
      </c>
      <c r="L10" s="7">
        <f t="shared" si="0"/>
        <v>89.99</v>
      </c>
      <c r="M10" s="11" t="s">
        <v>69</v>
      </c>
      <c r="N10" s="1" t="str">
        <f>IF($E10 = "Los Angeles", "Millville", $E10)</f>
        <v>New Albany</v>
      </c>
      <c r="O10" s="11" t="str">
        <f>_xlfn.CONCAT(_xlfn.XLOOKUP(G10,Dashboard!$C$13:$F$13,Dashboard!$C$14:$F$14),"-",M10)</f>
        <v>301-496-2551</v>
      </c>
    </row>
    <row r="11" spans="1:17" ht="19.95" customHeight="1" x14ac:dyDescent="0.25">
      <c r="A11" s="5">
        <f ca="1">DATE(YEAR(TODAY())-2,11,2)</f>
        <v>44137</v>
      </c>
      <c r="B11" s="5">
        <f ca="1">DATE(YEAR(TODAY())-2,11,9)</f>
        <v>44144</v>
      </c>
      <c r="C11" s="3" t="s">
        <v>20</v>
      </c>
      <c r="D11" s="3" t="s">
        <v>58</v>
      </c>
      <c r="E11" s="3" t="s">
        <v>59</v>
      </c>
      <c r="F11" s="3" t="s">
        <v>60</v>
      </c>
      <c r="G11" s="3" t="s">
        <v>17</v>
      </c>
      <c r="H11" s="3" t="s">
        <v>23</v>
      </c>
      <c r="I11" s="7">
        <v>27.24</v>
      </c>
      <c r="J11" s="1">
        <v>6</v>
      </c>
      <c r="K11" s="9">
        <v>0</v>
      </c>
      <c r="L11" s="7">
        <f t="shared" si="0"/>
        <v>163.44</v>
      </c>
      <c r="M11" s="11" t="s">
        <v>61</v>
      </c>
      <c r="N11" s="1" t="str">
        <f>IF($E11 = "Los Angeles", "Millville", $E11)</f>
        <v>Urbandale</v>
      </c>
      <c r="O11" s="11" t="str">
        <f>_xlfn.CONCAT(_xlfn.XLOOKUP(G11,Dashboard!$C$13:$F$13,Dashboard!$C$14:$F$14),"-",M11)</f>
        <v>301-598-2426</v>
      </c>
    </row>
    <row r="12" spans="1:17" ht="19.95" customHeight="1" x14ac:dyDescent="0.25">
      <c r="A12" s="5">
        <f ca="1">DATE(YEAR(TODAY())-2,3,10)</f>
        <v>43900</v>
      </c>
      <c r="B12" s="5">
        <f ca="1">DATE(YEAR(TODAY())-2,3,12)</f>
        <v>43902</v>
      </c>
      <c r="C12" s="3" t="s">
        <v>49</v>
      </c>
      <c r="D12" s="3" t="s">
        <v>194</v>
      </c>
      <c r="E12" s="3" t="s">
        <v>195</v>
      </c>
      <c r="F12" s="3" t="s">
        <v>88</v>
      </c>
      <c r="G12" s="3" t="s">
        <v>17</v>
      </c>
      <c r="H12" s="3" t="s">
        <v>32</v>
      </c>
      <c r="I12" s="7">
        <v>45.98</v>
      </c>
      <c r="J12" s="1">
        <v>2</v>
      </c>
      <c r="K12" s="9">
        <v>0</v>
      </c>
      <c r="L12" s="7">
        <f t="shared" si="0"/>
        <v>91.96</v>
      </c>
      <c r="M12" s="11" t="s">
        <v>196</v>
      </c>
      <c r="N12" s="1" t="str">
        <f>IF($E12 = "Los Angeles", "Millville", $E12)</f>
        <v>Eagan</v>
      </c>
      <c r="O12" s="11" t="str">
        <f>_xlfn.CONCAT(_xlfn.XLOOKUP(G12,Dashboard!$C$13:$F$13,Dashboard!$C$14:$F$14),"-",M12)</f>
        <v>301-598-2622</v>
      </c>
    </row>
    <row r="13" spans="1:17" ht="19.95" customHeight="1" x14ac:dyDescent="0.25">
      <c r="A13" s="5">
        <f ca="1">DATE(YEAR(TODAY())-3,1,30)</f>
        <v>43495</v>
      </c>
      <c r="B13" s="5">
        <f ca="1">DATE(YEAR(TODAY())-3,2,4)</f>
        <v>43500</v>
      </c>
      <c r="C13" s="3" t="s">
        <v>13</v>
      </c>
      <c r="D13" s="3" t="s">
        <v>151</v>
      </c>
      <c r="E13" s="3" t="s">
        <v>152</v>
      </c>
      <c r="F13" s="3" t="s">
        <v>88</v>
      </c>
      <c r="G13" s="3" t="s">
        <v>17</v>
      </c>
      <c r="H13" s="3" t="s">
        <v>18</v>
      </c>
      <c r="I13" s="7">
        <v>53.34</v>
      </c>
      <c r="J13" s="1">
        <v>3</v>
      </c>
      <c r="K13" s="9">
        <v>0</v>
      </c>
      <c r="L13" s="7">
        <f t="shared" si="0"/>
        <v>160.02000000000001</v>
      </c>
      <c r="M13" s="11" t="s">
        <v>153</v>
      </c>
      <c r="N13" s="1" t="str">
        <f>IF($E13 = "Los Angeles", "Millville", $E13)</f>
        <v>Minneapolis</v>
      </c>
      <c r="O13" s="11" t="str">
        <f>_xlfn.CONCAT(_xlfn.XLOOKUP(G13,Dashboard!$C$13:$F$13,Dashboard!$C$14:$F$14),"-",M13)</f>
        <v>301-496-1430</v>
      </c>
    </row>
    <row r="14" spans="1:17" ht="19.95" customHeight="1" x14ac:dyDescent="0.25">
      <c r="A14" s="5">
        <f ca="1">DATE(YEAR(TODAY())-2,11,30)</f>
        <v>44165</v>
      </c>
      <c r="B14" s="5">
        <f ca="1">DATE(YEAR(TODAY())-2,12,3)</f>
        <v>44168</v>
      </c>
      <c r="C14" s="3" t="s">
        <v>13</v>
      </c>
      <c r="D14" s="3" t="s">
        <v>107</v>
      </c>
      <c r="E14" s="3" t="s">
        <v>108</v>
      </c>
      <c r="F14" s="3" t="s">
        <v>88</v>
      </c>
      <c r="G14" s="3" t="s">
        <v>17</v>
      </c>
      <c r="H14" s="3" t="s">
        <v>23</v>
      </c>
      <c r="I14" s="7">
        <v>23.92</v>
      </c>
      <c r="J14" s="1">
        <v>4</v>
      </c>
      <c r="K14" s="9">
        <v>0</v>
      </c>
      <c r="L14" s="7">
        <f t="shared" si="0"/>
        <v>95.68</v>
      </c>
      <c r="M14" s="11" t="s">
        <v>109</v>
      </c>
      <c r="N14" s="1" t="str">
        <f>IF($E14 = "Los Angeles", "Millville", $E14)</f>
        <v>Rochester</v>
      </c>
      <c r="O14" s="11" t="str">
        <f>_xlfn.CONCAT(_xlfn.XLOOKUP(G14,Dashboard!$C$13:$F$13,Dashboard!$C$14:$F$14),"-",M14)</f>
        <v>301-598-2413</v>
      </c>
    </row>
    <row r="15" spans="1:17" ht="19.95" customHeight="1" x14ac:dyDescent="0.25">
      <c r="A15" s="5">
        <f ca="1">DATE(YEAR(TODAY())-1,10,25)</f>
        <v>44494</v>
      </c>
      <c r="B15" s="5">
        <f ca="1">DATE(YEAR(TODAY())-1,11,1)</f>
        <v>44501</v>
      </c>
      <c r="C15" s="3" t="s">
        <v>20</v>
      </c>
      <c r="D15" s="3" t="s">
        <v>202</v>
      </c>
      <c r="E15" s="3" t="s">
        <v>108</v>
      </c>
      <c r="F15" s="3" t="s">
        <v>88</v>
      </c>
      <c r="G15" s="3" t="s">
        <v>17</v>
      </c>
      <c r="H15" s="3" t="s">
        <v>32</v>
      </c>
      <c r="I15" s="7">
        <v>19.989999999999998</v>
      </c>
      <c r="J15" s="1">
        <v>1</v>
      </c>
      <c r="K15" s="9">
        <v>0</v>
      </c>
      <c r="L15" s="7">
        <f t="shared" si="0"/>
        <v>19.989999999999998</v>
      </c>
      <c r="M15" s="11" t="s">
        <v>103</v>
      </c>
      <c r="N15" s="1" t="str">
        <f>IF($E15 = "Los Angeles", "Millville", $E15)</f>
        <v>Rochester</v>
      </c>
      <c r="O15" s="11" t="str">
        <f>_xlfn.CONCAT(_xlfn.XLOOKUP(G15,Dashboard!$C$13:$F$13,Dashboard!$C$14:$F$14),"-",M15)</f>
        <v>301-496-1873</v>
      </c>
    </row>
    <row r="16" spans="1:17" ht="19.95" customHeight="1" x14ac:dyDescent="0.25">
      <c r="A16" s="5">
        <f ca="1">DATE(YEAR(TODAY())-2,9,5)</f>
        <v>44079</v>
      </c>
      <c r="B16" s="5">
        <f ca="1">DATE(YEAR(TODAY())-2,9,10)</f>
        <v>44084</v>
      </c>
      <c r="C16" s="3" t="s">
        <v>20</v>
      </c>
      <c r="D16" s="3" t="s">
        <v>86</v>
      </c>
      <c r="E16" s="3" t="s">
        <v>87</v>
      </c>
      <c r="F16" s="3" t="s">
        <v>88</v>
      </c>
      <c r="G16" s="3" t="s">
        <v>17</v>
      </c>
      <c r="H16" s="3" t="s">
        <v>23</v>
      </c>
      <c r="I16" s="7">
        <v>77.88</v>
      </c>
      <c r="J16" s="1">
        <v>6</v>
      </c>
      <c r="K16" s="9">
        <v>0</v>
      </c>
      <c r="L16" s="7">
        <f t="shared" si="0"/>
        <v>467.28</v>
      </c>
      <c r="M16" s="11" t="s">
        <v>89</v>
      </c>
      <c r="N16" s="1" t="str">
        <f>IF($E16 = "Los Angeles", "Millville", $E16)</f>
        <v>Saint Paul</v>
      </c>
      <c r="O16" s="11" t="str">
        <f>_xlfn.CONCAT(_xlfn.XLOOKUP(G16,Dashboard!$C$13:$F$13,Dashboard!$C$14:$F$14),"-",M16)</f>
        <v>301-598-2483</v>
      </c>
    </row>
    <row r="17" spans="1:15" ht="19.95" customHeight="1" x14ac:dyDescent="0.25">
      <c r="A17" s="5">
        <f ca="1">DATE(YEAR(TODAY())-1,12,21)</f>
        <v>44551</v>
      </c>
      <c r="B17" s="5">
        <f ca="1">DATE(YEAR(TODAY())-1,12,26)</f>
        <v>44556</v>
      </c>
      <c r="C17" s="3" t="s">
        <v>20</v>
      </c>
      <c r="D17" s="3" t="s">
        <v>240</v>
      </c>
      <c r="E17" s="3" t="s">
        <v>241</v>
      </c>
      <c r="F17" s="3" t="s">
        <v>242</v>
      </c>
      <c r="G17" s="3" t="s">
        <v>17</v>
      </c>
      <c r="H17" s="3" t="s">
        <v>23</v>
      </c>
      <c r="I17" s="7">
        <v>839.43</v>
      </c>
      <c r="J17" s="1">
        <v>3</v>
      </c>
      <c r="K17" s="9">
        <v>0</v>
      </c>
      <c r="L17" s="7">
        <f t="shared" si="0"/>
        <v>2518.29</v>
      </c>
      <c r="M17" s="11" t="s">
        <v>243</v>
      </c>
      <c r="N17" s="1" t="str">
        <f>IF($E17 = "Los Angeles", "Millville", $E17)</f>
        <v>Independence</v>
      </c>
      <c r="O17" s="11" t="str">
        <f>_xlfn.CONCAT(_xlfn.XLOOKUP(G17,Dashboard!$C$13:$F$13,Dashboard!$C$14:$F$14),"-",M17)</f>
        <v>301-496-0014</v>
      </c>
    </row>
    <row r="18" spans="1:15" ht="19.95" customHeight="1" x14ac:dyDescent="0.25">
      <c r="A18" s="5">
        <f ca="1">DATE(YEAR(TODAY())-2,12,8)</f>
        <v>44173</v>
      </c>
      <c r="B18" s="5">
        <f ca="1">DATE(YEAR(TODAY())-2,12,12)</f>
        <v>44177</v>
      </c>
      <c r="C18" s="3" t="s">
        <v>20</v>
      </c>
      <c r="D18" s="3" t="s">
        <v>156</v>
      </c>
      <c r="E18" s="3" t="s">
        <v>157</v>
      </c>
      <c r="F18" s="3" t="s">
        <v>158</v>
      </c>
      <c r="G18" s="3" t="s">
        <v>17</v>
      </c>
      <c r="H18" s="3" t="s">
        <v>23</v>
      </c>
      <c r="I18" s="7">
        <v>60.34</v>
      </c>
      <c r="J18" s="1">
        <v>7</v>
      </c>
      <c r="K18" s="9">
        <v>0</v>
      </c>
      <c r="L18" s="7">
        <f t="shared" si="0"/>
        <v>422.38</v>
      </c>
      <c r="M18" s="11" t="s">
        <v>159</v>
      </c>
      <c r="N18" s="1" t="str">
        <f>IF($E18 = "Los Angeles", "Millville", $E18)</f>
        <v>Fremont</v>
      </c>
      <c r="O18" s="11" t="str">
        <f>_xlfn.CONCAT(_xlfn.XLOOKUP(G18,Dashboard!$C$13:$F$13,Dashboard!$C$14:$F$14),"-",M18)</f>
        <v>301-598-2410</v>
      </c>
    </row>
    <row r="19" spans="1:15" ht="19.95" customHeight="1" x14ac:dyDescent="0.25">
      <c r="A19" s="5">
        <f ca="1">DATE(YEAR(TODAY())-2,11,19)</f>
        <v>44154</v>
      </c>
      <c r="B19" s="5">
        <f ca="1">DATE(YEAR(TODAY())-2,11,23)</f>
        <v>44158</v>
      </c>
      <c r="C19" s="3" t="s">
        <v>20</v>
      </c>
      <c r="D19" s="3" t="s">
        <v>190</v>
      </c>
      <c r="E19" s="3" t="s">
        <v>191</v>
      </c>
      <c r="F19" s="3" t="s">
        <v>192</v>
      </c>
      <c r="G19" s="3" t="s">
        <v>17</v>
      </c>
      <c r="H19" s="3" t="s">
        <v>32</v>
      </c>
      <c r="I19" s="7">
        <v>944.93</v>
      </c>
      <c r="J19" s="1">
        <v>7</v>
      </c>
      <c r="K19" s="9">
        <v>0</v>
      </c>
      <c r="L19" s="7">
        <f t="shared" si="0"/>
        <v>6614.5099999999993</v>
      </c>
      <c r="M19" s="11" t="s">
        <v>193</v>
      </c>
      <c r="N19" s="1" t="str">
        <f>IF($E19 = "Los Angeles", "Millville", $E19)</f>
        <v>Edmond</v>
      </c>
      <c r="O19" s="11" t="str">
        <f>_xlfn.CONCAT(_xlfn.XLOOKUP(G19,Dashboard!$C$13:$F$13,Dashboard!$C$14:$F$14),"-",M19)</f>
        <v>301-598-2840</v>
      </c>
    </row>
    <row r="20" spans="1:15" ht="19.95" customHeight="1" x14ac:dyDescent="0.25">
      <c r="A20" s="5">
        <f ca="1">DATE(YEAR(TODAY())-3,11,20)</f>
        <v>43789</v>
      </c>
      <c r="B20" s="5">
        <f ca="1">DATE(YEAR(TODAY())-3,11,24)</f>
        <v>43793</v>
      </c>
      <c r="C20" s="3" t="s">
        <v>20</v>
      </c>
      <c r="D20" s="3" t="s">
        <v>116</v>
      </c>
      <c r="E20" s="3" t="s">
        <v>117</v>
      </c>
      <c r="F20" s="3" t="s">
        <v>16</v>
      </c>
      <c r="G20" s="3" t="s">
        <v>17</v>
      </c>
      <c r="H20" s="3" t="s">
        <v>23</v>
      </c>
      <c r="I20" s="7">
        <v>68.81</v>
      </c>
      <c r="J20" s="1">
        <v>5</v>
      </c>
      <c r="K20" s="9">
        <v>0.8</v>
      </c>
      <c r="L20" s="7">
        <f t="shared" si="0"/>
        <v>68.809999999999988</v>
      </c>
      <c r="M20" s="11" t="s">
        <v>118</v>
      </c>
      <c r="N20" s="1" t="str">
        <f>IF($E20 = "Los Angeles", "Millville", $E20)</f>
        <v>Fort Worth</v>
      </c>
      <c r="O20" s="11" t="str">
        <f>_xlfn.CONCAT(_xlfn.XLOOKUP(G20,Dashboard!$C$13:$F$13,Dashboard!$C$14:$F$14),"-",M20)</f>
        <v>301-496-1150</v>
      </c>
    </row>
    <row r="21" spans="1:15" ht="19.95" customHeight="1" x14ac:dyDescent="0.25">
      <c r="A21" s="5">
        <f ca="1">DATE(YEAR(TODAY())-2,7,15)</f>
        <v>44027</v>
      </c>
      <c r="B21" s="5">
        <f ca="1">DATE(YEAR(TODAY())-2,7,21)</f>
        <v>44033</v>
      </c>
      <c r="C21" s="3" t="s">
        <v>20</v>
      </c>
      <c r="D21" s="3" t="s">
        <v>21</v>
      </c>
      <c r="E21" s="3" t="s">
        <v>22</v>
      </c>
      <c r="F21" s="3" t="s">
        <v>16</v>
      </c>
      <c r="G21" s="3" t="s">
        <v>17</v>
      </c>
      <c r="H21" s="3" t="s">
        <v>23</v>
      </c>
      <c r="I21" s="7">
        <v>37.22</v>
      </c>
      <c r="J21" s="1">
        <v>3</v>
      </c>
      <c r="K21" s="9">
        <v>0.2</v>
      </c>
      <c r="L21" s="7">
        <f t="shared" si="0"/>
        <v>89.328000000000003</v>
      </c>
      <c r="M21" s="11" t="s">
        <v>24</v>
      </c>
      <c r="N21" s="1" t="str" cm="1">
        <f t="array" ref="N21">IF($E21 = "Los Angeles", Millville, $E21)</f>
        <v>Grand Prairie</v>
      </c>
      <c r="O21" s="11" t="str">
        <f>_xlfn.CONCAT(_xlfn.XLOOKUP(G21,Dashboard!$C$13:$F$13,Dashboard!$C$14:$F$14),"-",M21)</f>
        <v>301-496-1994</v>
      </c>
    </row>
    <row r="22" spans="1:15" ht="19.95" customHeight="1" x14ac:dyDescent="0.25">
      <c r="A22" s="5">
        <f ca="1">DATE(YEAR(TODAY())-4,12,25)</f>
        <v>43459</v>
      </c>
      <c r="B22" s="5">
        <f ca="1">DATE(YEAR(TODAY())-4,12,27)</f>
        <v>43461</v>
      </c>
      <c r="C22" s="3" t="s">
        <v>13</v>
      </c>
      <c r="D22" s="3" t="s">
        <v>14</v>
      </c>
      <c r="E22" s="3" t="s">
        <v>15</v>
      </c>
      <c r="F22" s="3" t="s">
        <v>16</v>
      </c>
      <c r="G22" s="3" t="s">
        <v>17</v>
      </c>
      <c r="H22" s="3" t="s">
        <v>18</v>
      </c>
      <c r="I22" s="7">
        <v>600.55999999999995</v>
      </c>
      <c r="J22" s="1">
        <v>3</v>
      </c>
      <c r="K22" s="9">
        <v>0.3</v>
      </c>
      <c r="L22" s="7">
        <f t="shared" si="0"/>
        <v>1261.1759999999997</v>
      </c>
      <c r="M22" s="11" t="s">
        <v>19</v>
      </c>
      <c r="N22" s="1" t="str" cm="1">
        <f t="array" ref="N22">IF($E22 = "Los Angeles", Millville, $E22)</f>
        <v>Houston</v>
      </c>
      <c r="O22" s="11" t="str">
        <f>_xlfn.CONCAT(_xlfn.XLOOKUP(G22,Dashboard!$C$13:$F$13,Dashboard!$C$14:$F$14),"-",M22)</f>
        <v>301-496-1850</v>
      </c>
    </row>
    <row r="23" spans="1:15" ht="19.95" customHeight="1" x14ac:dyDescent="0.25">
      <c r="A23" s="5">
        <f ca="1">DATE(YEAR(TODAY())-2,4,4)</f>
        <v>43925</v>
      </c>
      <c r="B23" s="5">
        <f ca="1">DATE(YEAR(TODAY())-2,4,9)</f>
        <v>43930</v>
      </c>
      <c r="C23" s="3" t="s">
        <v>13</v>
      </c>
      <c r="D23" s="3" t="s">
        <v>105</v>
      </c>
      <c r="E23" s="3" t="s">
        <v>15</v>
      </c>
      <c r="F23" s="3" t="s">
        <v>16</v>
      </c>
      <c r="G23" s="3" t="s">
        <v>17</v>
      </c>
      <c r="H23" s="3" t="s">
        <v>23</v>
      </c>
      <c r="I23" s="7">
        <v>158.37</v>
      </c>
      <c r="J23" s="1">
        <v>7</v>
      </c>
      <c r="K23" s="9">
        <v>0.2</v>
      </c>
      <c r="L23" s="7">
        <f t="shared" si="0"/>
        <v>886.87200000000018</v>
      </c>
      <c r="M23" s="11" t="s">
        <v>106</v>
      </c>
      <c r="N23" s="1" t="str">
        <f>IF($E23 = "Los Angeles", "Millville", $E23)</f>
        <v>Houston</v>
      </c>
      <c r="O23" s="11" t="str">
        <f>_xlfn.CONCAT(_xlfn.XLOOKUP(G23,Dashboard!$C$13:$F$13,Dashboard!$C$14:$F$14),"-",M23)</f>
        <v>301-496-1886</v>
      </c>
    </row>
    <row r="24" spans="1:15" ht="19.95" customHeight="1" x14ac:dyDescent="0.25">
      <c r="A24" s="5">
        <f ca="1">DATE(YEAR(TODAY())-1,12,8)</f>
        <v>44538</v>
      </c>
      <c r="B24" s="5">
        <f ca="1">DATE(YEAR(TODAY())-1,12,10)</f>
        <v>44540</v>
      </c>
      <c r="C24" s="3" t="s">
        <v>49</v>
      </c>
      <c r="D24" s="3" t="s">
        <v>160</v>
      </c>
      <c r="E24" s="3" t="s">
        <v>15</v>
      </c>
      <c r="F24" s="3" t="s">
        <v>16</v>
      </c>
      <c r="G24" s="3" t="s">
        <v>17</v>
      </c>
      <c r="H24" s="3" t="s">
        <v>23</v>
      </c>
      <c r="I24" s="7">
        <v>27.24</v>
      </c>
      <c r="J24" s="1">
        <v>3</v>
      </c>
      <c r="K24" s="9">
        <v>0.2</v>
      </c>
      <c r="L24" s="7">
        <f t="shared" si="0"/>
        <v>65.376000000000005</v>
      </c>
      <c r="M24" s="11" t="s">
        <v>161</v>
      </c>
      <c r="N24" s="1" t="str">
        <f>IF($E24 = "Los Angeles", "Millville", $E24)</f>
        <v>Houston</v>
      </c>
      <c r="O24" s="11" t="str">
        <f>_xlfn.CONCAT(_xlfn.XLOOKUP(G24,Dashboard!$C$13:$F$13,Dashboard!$C$14:$F$14),"-",M24)</f>
        <v>301-496-2051</v>
      </c>
    </row>
    <row r="25" spans="1:15" ht="19.95" customHeight="1" x14ac:dyDescent="0.25">
      <c r="A25" s="5">
        <f ca="1">DATE(YEAR(TODAY())-1,10,18)</f>
        <v>44487</v>
      </c>
      <c r="B25" s="5">
        <f ca="1">DATE(YEAR(TODAY())-1,10,22)</f>
        <v>44491</v>
      </c>
      <c r="C25" s="3" t="s">
        <v>13</v>
      </c>
      <c r="D25" s="3" t="s">
        <v>181</v>
      </c>
      <c r="E25" s="3" t="s">
        <v>15</v>
      </c>
      <c r="F25" s="3" t="s">
        <v>16</v>
      </c>
      <c r="G25" s="3" t="s">
        <v>17</v>
      </c>
      <c r="H25" s="3" t="s">
        <v>23</v>
      </c>
      <c r="I25" s="7">
        <v>29.47</v>
      </c>
      <c r="J25" s="1">
        <v>3</v>
      </c>
      <c r="K25" s="9">
        <v>0.2</v>
      </c>
      <c r="L25" s="7">
        <f t="shared" si="0"/>
        <v>70.727999999999994</v>
      </c>
      <c r="M25" s="11" t="s">
        <v>182</v>
      </c>
      <c r="N25" s="1" t="str">
        <f>IF($E25 = "Los Angeles", "Millville", $E25)</f>
        <v>Houston</v>
      </c>
      <c r="O25" s="11" t="str">
        <f>_xlfn.CONCAT(_xlfn.XLOOKUP(G25,Dashboard!$C$13:$F$13,Dashboard!$C$14:$F$14),"-",M25)</f>
        <v>301-598-2530</v>
      </c>
    </row>
    <row r="26" spans="1:15" ht="19.95" customHeight="1" x14ac:dyDescent="0.25">
      <c r="A26" s="5">
        <f ca="1">DATE(YEAR(TODAY())-1,4,20)</f>
        <v>44306</v>
      </c>
      <c r="B26" s="5">
        <f ca="1">DATE(YEAR(TODAY())-1,4,24)</f>
        <v>44310</v>
      </c>
      <c r="C26" s="3" t="s">
        <v>13</v>
      </c>
      <c r="D26" s="3" t="s">
        <v>247</v>
      </c>
      <c r="E26" s="3" t="s">
        <v>15</v>
      </c>
      <c r="F26" s="3" t="s">
        <v>16</v>
      </c>
      <c r="G26" s="3" t="s">
        <v>17</v>
      </c>
      <c r="H26" s="3" t="s">
        <v>23</v>
      </c>
      <c r="I26" s="7">
        <v>97.26</v>
      </c>
      <c r="J26" s="1">
        <v>4</v>
      </c>
      <c r="K26" s="9">
        <v>0.8</v>
      </c>
      <c r="L26" s="7">
        <f t="shared" si="0"/>
        <v>77.807999999999993</v>
      </c>
      <c r="M26" s="11" t="s">
        <v>248</v>
      </c>
      <c r="N26" s="1" t="str">
        <f>IF($E26 = "Los Angeles", "Millville", $E26)</f>
        <v>Houston</v>
      </c>
      <c r="O26" s="11" t="str">
        <f>_xlfn.CONCAT(_xlfn.XLOOKUP(G26,Dashboard!$C$13:$F$13,Dashboard!$C$14:$F$14),"-",M26)</f>
        <v>301-496-0016</v>
      </c>
    </row>
    <row r="27" spans="1:15" ht="19.95" customHeight="1" x14ac:dyDescent="0.25">
      <c r="A27" s="5">
        <f ca="1">DATE(YEAR(TODAY())-3,12,25)</f>
        <v>43824</v>
      </c>
      <c r="B27" s="5">
        <f ca="1">DATE(YEAR(TODAY())-3,12,29)</f>
        <v>43828</v>
      </c>
      <c r="C27" s="3" t="s">
        <v>20</v>
      </c>
      <c r="D27" s="3" t="s">
        <v>252</v>
      </c>
      <c r="E27" s="3" t="s">
        <v>15</v>
      </c>
      <c r="F27" s="3" t="s">
        <v>16</v>
      </c>
      <c r="G27" s="3" t="s">
        <v>17</v>
      </c>
      <c r="H27" s="3" t="s">
        <v>18</v>
      </c>
      <c r="I27" s="7">
        <v>532.4</v>
      </c>
      <c r="J27" s="1">
        <v>3</v>
      </c>
      <c r="K27" s="9">
        <v>0.32</v>
      </c>
      <c r="L27" s="7">
        <f t="shared" si="0"/>
        <v>1086.0959999999998</v>
      </c>
      <c r="M27" s="11" t="s">
        <v>253</v>
      </c>
      <c r="N27" s="1" t="str">
        <f>IF($E27 = "Los Angeles", "Millville", $E27)</f>
        <v>Houston</v>
      </c>
      <c r="O27" s="11" t="str">
        <f>_xlfn.CONCAT(_xlfn.XLOOKUP(G27,Dashboard!$C$13:$F$13,Dashboard!$C$14:$F$14),"-",M27)</f>
        <v>301-496-0018</v>
      </c>
    </row>
    <row r="28" spans="1:15" ht="19.95" customHeight="1" x14ac:dyDescent="0.25">
      <c r="A28" s="5">
        <f ca="1">DATE(YEAR(TODAY())-2,12,7)</f>
        <v>44172</v>
      </c>
      <c r="B28" s="5">
        <f ca="1">DATE(YEAR(TODAY())-2,12,9)</f>
        <v>44174</v>
      </c>
      <c r="C28" s="3" t="s">
        <v>49</v>
      </c>
      <c r="D28" s="3" t="s">
        <v>110</v>
      </c>
      <c r="E28" s="3" t="s">
        <v>111</v>
      </c>
      <c r="F28" s="3" t="s">
        <v>16</v>
      </c>
      <c r="G28" s="3" t="s">
        <v>17</v>
      </c>
      <c r="H28" s="3" t="s">
        <v>32</v>
      </c>
      <c r="I28" s="7">
        <v>1097.54</v>
      </c>
      <c r="J28" s="1">
        <v>7</v>
      </c>
      <c r="K28" s="9">
        <v>0.2</v>
      </c>
      <c r="L28" s="7">
        <f t="shared" si="0"/>
        <v>6146.2240000000002</v>
      </c>
      <c r="M28" s="11" t="s">
        <v>75</v>
      </c>
      <c r="N28" s="1" t="str">
        <f>IF($E28 = "Los Angeles", "Millville", $E28)</f>
        <v>Richardson</v>
      </c>
      <c r="O28" s="11" t="str">
        <f>_xlfn.CONCAT(_xlfn.XLOOKUP(G28,Dashboard!$C$13:$F$13,Dashboard!$C$14:$F$14),"-",M28)</f>
        <v>301-496-1722</v>
      </c>
    </row>
    <row r="29" spans="1:15" ht="19.95" customHeight="1" x14ac:dyDescent="0.25">
      <c r="A29" s="5">
        <f ca="1">DATE(YEAR(TODAY())-4,9,7)</f>
        <v>43350</v>
      </c>
      <c r="B29" s="5">
        <f ca="1">DATE(YEAR(TODAY())-4,9,11)</f>
        <v>43354</v>
      </c>
      <c r="C29" s="3" t="s">
        <v>20</v>
      </c>
      <c r="D29" s="3" t="s">
        <v>30</v>
      </c>
      <c r="E29" s="3" t="s">
        <v>31</v>
      </c>
      <c r="F29" s="3" t="s">
        <v>16</v>
      </c>
      <c r="G29" s="3" t="s">
        <v>17</v>
      </c>
      <c r="H29" s="3" t="s">
        <v>32</v>
      </c>
      <c r="I29" s="7">
        <v>8159.95</v>
      </c>
      <c r="J29" s="1">
        <v>8</v>
      </c>
      <c r="K29" s="9">
        <v>0.4</v>
      </c>
      <c r="L29" s="7">
        <f t="shared" si="0"/>
        <v>39167.759999999995</v>
      </c>
      <c r="M29" s="11" t="s">
        <v>33</v>
      </c>
      <c r="N29" s="1" t="str" cm="1">
        <f t="array" ref="N29">IF($E29 = "Los Angeles", Millville, $E29)</f>
        <v>San Antonio</v>
      </c>
      <c r="O29" s="11" t="str">
        <f>_xlfn.CONCAT(_xlfn.XLOOKUP(G29,Dashboard!$C$13:$F$13,Dashboard!$C$14:$F$14),"-",M29)</f>
        <v>301-598-2470</v>
      </c>
    </row>
    <row r="30" spans="1:15" ht="19.95" customHeight="1" x14ac:dyDescent="0.25">
      <c r="A30" s="5">
        <f ca="1">DATE(YEAR(TODAY())-2,12,4)</f>
        <v>44169</v>
      </c>
      <c r="B30" s="5">
        <f ca="1">DATE(YEAR(TODAY())-2,12,8)</f>
        <v>44173</v>
      </c>
      <c r="C30" s="3" t="s">
        <v>20</v>
      </c>
      <c r="D30" s="3" t="s">
        <v>143</v>
      </c>
      <c r="E30" s="3" t="s">
        <v>144</v>
      </c>
      <c r="F30" s="3" t="s">
        <v>145</v>
      </c>
      <c r="G30" s="3" t="s">
        <v>17</v>
      </c>
      <c r="H30" s="3" t="s">
        <v>18</v>
      </c>
      <c r="I30" s="7">
        <v>1951.84</v>
      </c>
      <c r="J30" s="1">
        <v>8</v>
      </c>
      <c r="K30" s="9">
        <v>0</v>
      </c>
      <c r="L30" s="7">
        <f t="shared" si="0"/>
        <v>15614.72</v>
      </c>
      <c r="M30" s="11" t="s">
        <v>146</v>
      </c>
      <c r="N30" s="1" t="str">
        <f>IF($E30 = "Los Angeles", "Millville", $E30)</f>
        <v>Franklin</v>
      </c>
      <c r="O30" s="11" t="str">
        <f>_xlfn.CONCAT(_xlfn.XLOOKUP(G30,Dashboard!$C$13:$F$13,Dashboard!$C$14:$F$14),"-",M30)</f>
        <v>301-496-1323</v>
      </c>
    </row>
    <row r="31" spans="1:15" ht="19.95" customHeight="1" x14ac:dyDescent="0.25">
      <c r="A31" s="5">
        <f ca="1">DATE(YEAR(TODAY())-4,11,10)</f>
        <v>43414</v>
      </c>
      <c r="B31" s="5">
        <f ca="1">DATE(YEAR(TODAY())-4,11,17)</f>
        <v>43421</v>
      </c>
      <c r="C31" s="3" t="s">
        <v>20</v>
      </c>
      <c r="D31" s="3" t="s">
        <v>208</v>
      </c>
      <c r="E31" s="3" t="s">
        <v>209</v>
      </c>
      <c r="F31" s="3" t="s">
        <v>145</v>
      </c>
      <c r="G31" s="3" t="s">
        <v>17</v>
      </c>
      <c r="H31" s="3" t="s">
        <v>23</v>
      </c>
      <c r="I31" s="7">
        <v>665.88</v>
      </c>
      <c r="J31" s="1">
        <v>6</v>
      </c>
      <c r="K31" s="9">
        <v>0</v>
      </c>
      <c r="L31" s="7">
        <f t="shared" si="0"/>
        <v>3995.2799999999997</v>
      </c>
      <c r="M31" s="11" t="s">
        <v>210</v>
      </c>
      <c r="N31" s="1" t="str">
        <f>IF($E31 = "Los Angeles", "Millville", $E31)</f>
        <v>Madison</v>
      </c>
      <c r="O31" s="11" t="str">
        <f>_xlfn.CONCAT(_xlfn.XLOOKUP(G31,Dashboard!$C$13:$F$13,Dashboard!$C$14:$F$14),"-",M31)</f>
        <v>301-496-0003</v>
      </c>
    </row>
    <row r="32" spans="1:15" ht="19.95" customHeight="1" x14ac:dyDescent="0.25">
      <c r="A32" s="5">
        <f ca="1">DATE(YEAR(TODAY())-2,11,27)</f>
        <v>44162</v>
      </c>
      <c r="B32" s="5">
        <f ca="1">DATE(YEAR(TODAY())-2,12,1)</f>
        <v>44166</v>
      </c>
      <c r="C32" s="3" t="s">
        <v>20</v>
      </c>
      <c r="D32" s="3" t="s">
        <v>234</v>
      </c>
      <c r="E32" s="3" t="s">
        <v>235</v>
      </c>
      <c r="F32" s="3" t="s">
        <v>236</v>
      </c>
      <c r="G32" s="3" t="s">
        <v>46</v>
      </c>
      <c r="H32" s="3" t="s">
        <v>23</v>
      </c>
      <c r="I32" s="7">
        <v>7.16</v>
      </c>
      <c r="J32" s="1">
        <v>2</v>
      </c>
      <c r="K32" s="9">
        <v>0</v>
      </c>
      <c r="L32" s="7">
        <f t="shared" si="0"/>
        <v>14.32</v>
      </c>
      <c r="M32" s="11" t="s">
        <v>237</v>
      </c>
      <c r="N32" s="1" t="str">
        <f>IF($E32 = "Los Angeles", "Millville", $E32)</f>
        <v>Fairfield</v>
      </c>
      <c r="O32" s="11" t="str">
        <f>_xlfn.CONCAT(_xlfn.XLOOKUP(G32,Dashboard!$C$13:$F$13,Dashboard!$C$14:$F$14),"-",M32)</f>
        <v>101-496-0012</v>
      </c>
    </row>
    <row r="33" spans="1:15" ht="19.95" customHeight="1" x14ac:dyDescent="0.25">
      <c r="A33" s="5">
        <f ca="1">DATE(YEAR(TODAY())-2,6,19)</f>
        <v>44001</v>
      </c>
      <c r="B33" s="5">
        <f ca="1">DATE(YEAR(TODAY())-2,6,24)</f>
        <v>44006</v>
      </c>
      <c r="C33" s="3" t="s">
        <v>20</v>
      </c>
      <c r="D33" s="3" t="s">
        <v>167</v>
      </c>
      <c r="E33" s="3" t="s">
        <v>168</v>
      </c>
      <c r="F33" s="3" t="s">
        <v>169</v>
      </c>
      <c r="G33" s="3" t="s">
        <v>46</v>
      </c>
      <c r="H33" s="3" t="s">
        <v>32</v>
      </c>
      <c r="I33" s="7">
        <v>45</v>
      </c>
      <c r="J33" s="1">
        <v>3</v>
      </c>
      <c r="K33" s="9">
        <v>0</v>
      </c>
      <c r="L33" s="7">
        <f t="shared" si="0"/>
        <v>135</v>
      </c>
      <c r="M33" s="11" t="s">
        <v>170</v>
      </c>
      <c r="N33" s="1" t="str">
        <f>IF($E33 = "Los Angeles", "Millville", $E33)</f>
        <v>Dover</v>
      </c>
      <c r="O33" s="11" t="str">
        <f>_xlfn.CONCAT(_xlfn.XLOOKUP(G33,Dashboard!$C$13:$F$13,Dashboard!$C$14:$F$14),"-",M33)</f>
        <v>101-496-1119</v>
      </c>
    </row>
    <row r="34" spans="1:15" ht="19.95" customHeight="1" x14ac:dyDescent="0.25">
      <c r="A34" s="5">
        <f ca="1">DATE(YEAR(TODAY())-2,6,11)</f>
        <v>43993</v>
      </c>
      <c r="B34" s="5">
        <f ca="1">DATE(YEAR(TODAY())-2,6,14)</f>
        <v>43996</v>
      </c>
      <c r="C34" s="3" t="s">
        <v>49</v>
      </c>
      <c r="D34" s="3" t="s">
        <v>254</v>
      </c>
      <c r="E34" s="3" t="s">
        <v>255</v>
      </c>
      <c r="F34" s="3" t="s">
        <v>169</v>
      </c>
      <c r="G34" s="3" t="s">
        <v>46</v>
      </c>
      <c r="H34" s="3" t="s">
        <v>23</v>
      </c>
      <c r="I34" s="7">
        <v>226.56</v>
      </c>
      <c r="J34" s="1">
        <v>6</v>
      </c>
      <c r="K34" s="9">
        <v>0</v>
      </c>
      <c r="L34" s="7">
        <f t="shared" si="0"/>
        <v>1359.3600000000001</v>
      </c>
      <c r="M34" s="11" t="s">
        <v>256</v>
      </c>
      <c r="N34" s="1" t="str">
        <f>IF($E34 = "Los Angeles", "Millville", $E34)</f>
        <v>Wilmington</v>
      </c>
      <c r="O34" s="11" t="str">
        <f>_xlfn.CONCAT(_xlfn.XLOOKUP(G34,Dashboard!$C$13:$F$13,Dashboard!$C$14:$F$14),"-",M34)</f>
        <v>101-496-0019</v>
      </c>
    </row>
    <row r="35" spans="1:15" ht="19.95" customHeight="1" x14ac:dyDescent="0.25">
      <c r="A35" s="5">
        <f ca="1">DATE(YEAR(TODAY())-1,11,5)</f>
        <v>44505</v>
      </c>
      <c r="B35" s="5">
        <f ca="1">DATE(YEAR(TODAY())-1,11,12)</f>
        <v>44512</v>
      </c>
      <c r="C35" s="3" t="s">
        <v>20</v>
      </c>
      <c r="D35" s="3" t="s">
        <v>273</v>
      </c>
      <c r="E35" s="3" t="s">
        <v>274</v>
      </c>
      <c r="F35" s="3" t="s">
        <v>275</v>
      </c>
      <c r="G35" s="3" t="s">
        <v>46</v>
      </c>
      <c r="H35" s="3" t="s">
        <v>23</v>
      </c>
      <c r="I35" s="7">
        <v>46.26</v>
      </c>
      <c r="J35" s="1">
        <v>3</v>
      </c>
      <c r="K35" s="9">
        <v>0</v>
      </c>
      <c r="L35" s="7">
        <f t="shared" si="0"/>
        <v>138.78</v>
      </c>
      <c r="M35" s="11" t="s">
        <v>276</v>
      </c>
      <c r="N35" s="1" t="str">
        <f>IF($E35 = "Los Angeles", "Millville", $E35)</f>
        <v>Westfield</v>
      </c>
      <c r="O35" s="11" t="str">
        <f>_xlfn.CONCAT(_xlfn.XLOOKUP(G35,Dashboard!$C$13:$F$13,Dashboard!$C$14:$F$14),"-",M35)</f>
        <v>101-496-0026</v>
      </c>
    </row>
    <row r="36" spans="1:15" ht="19.95" customHeight="1" x14ac:dyDescent="0.25">
      <c r="A36" s="5">
        <f ca="1">DATE(YEAR(TODAY())-1,12,24)</f>
        <v>44554</v>
      </c>
      <c r="B36" s="5">
        <f ca="1">DATE(YEAR(TODAY())-1,12,29)</f>
        <v>44559</v>
      </c>
      <c r="C36" s="3" t="s">
        <v>20</v>
      </c>
      <c r="D36" s="3" t="s">
        <v>62</v>
      </c>
      <c r="E36" s="3" t="s">
        <v>63</v>
      </c>
      <c r="F36" s="3" t="s">
        <v>64</v>
      </c>
      <c r="G36" s="3" t="s">
        <v>46</v>
      </c>
      <c r="H36" s="3" t="s">
        <v>18</v>
      </c>
      <c r="I36" s="7">
        <v>41.96</v>
      </c>
      <c r="J36" s="1">
        <v>2</v>
      </c>
      <c r="K36" s="9">
        <v>0</v>
      </c>
      <c r="L36" s="7">
        <f t="shared" si="0"/>
        <v>83.92</v>
      </c>
      <c r="M36" s="11" t="s">
        <v>65</v>
      </c>
      <c r="N36" s="1" t="str">
        <f>IF($E36 = "Los Angeles", "Millville", $E36)</f>
        <v>New York City</v>
      </c>
      <c r="O36" s="11" t="str">
        <f>_xlfn.CONCAT(_xlfn.XLOOKUP(G36,Dashboard!$C$13:$F$13,Dashboard!$C$14:$F$14),"-",M36)</f>
        <v>101-598-2796</v>
      </c>
    </row>
    <row r="37" spans="1:15" ht="19.95" customHeight="1" x14ac:dyDescent="0.25">
      <c r="A37" s="5">
        <f ca="1">DATE(YEAR(TODAY())-2,9,17)</f>
        <v>44091</v>
      </c>
      <c r="B37" s="5">
        <f ca="1">DATE(YEAR(TODAY())-2,9,22)</f>
        <v>44096</v>
      </c>
      <c r="C37" s="3" t="s">
        <v>20</v>
      </c>
      <c r="D37" s="3" t="s">
        <v>121</v>
      </c>
      <c r="E37" s="3" t="s">
        <v>63</v>
      </c>
      <c r="F37" s="3" t="s">
        <v>64</v>
      </c>
      <c r="G37" s="3" t="s">
        <v>46</v>
      </c>
      <c r="H37" s="3" t="s">
        <v>23</v>
      </c>
      <c r="I37" s="7">
        <v>4.62</v>
      </c>
      <c r="J37" s="1">
        <v>1</v>
      </c>
      <c r="K37" s="9">
        <v>0.2</v>
      </c>
      <c r="L37" s="7">
        <f t="shared" si="0"/>
        <v>3.6960000000000002</v>
      </c>
      <c r="M37" s="11" t="s">
        <v>122</v>
      </c>
      <c r="N37" s="1" t="str">
        <f>IF($E37 = "Los Angeles", "Millville", $E37)</f>
        <v>New York City</v>
      </c>
      <c r="O37" s="11" t="str">
        <f>_xlfn.CONCAT(_xlfn.XLOOKUP(G37,Dashboard!$C$13:$F$13,Dashboard!$C$14:$F$14),"-",M37)</f>
        <v>101-496-1769</v>
      </c>
    </row>
    <row r="38" spans="1:15" ht="19.95" customHeight="1" x14ac:dyDescent="0.25">
      <c r="A38" s="5">
        <f ca="1">DATE(YEAR(TODAY())-2,12,10)</f>
        <v>44175</v>
      </c>
      <c r="B38" s="5">
        <f ca="1">DATE(YEAR(TODAY())-2,12,16)</f>
        <v>44181</v>
      </c>
      <c r="C38" s="3" t="s">
        <v>20</v>
      </c>
      <c r="D38" s="3" t="s">
        <v>127</v>
      </c>
      <c r="E38" s="3" t="s">
        <v>63</v>
      </c>
      <c r="F38" s="3" t="s">
        <v>64</v>
      </c>
      <c r="G38" s="3" t="s">
        <v>46</v>
      </c>
      <c r="H38" s="3" t="s">
        <v>32</v>
      </c>
      <c r="I38" s="7">
        <v>1029.95</v>
      </c>
      <c r="J38" s="1">
        <v>5</v>
      </c>
      <c r="K38" s="9">
        <v>0</v>
      </c>
      <c r="L38" s="7">
        <f t="shared" si="0"/>
        <v>5149.75</v>
      </c>
      <c r="M38" s="11" t="s">
        <v>128</v>
      </c>
      <c r="N38" s="1" t="str">
        <f>IF($E38 = "Los Angeles", "Millville", $E38)</f>
        <v>New York City</v>
      </c>
      <c r="O38" s="11" t="str">
        <f>_xlfn.CONCAT(_xlfn.XLOOKUP(G38,Dashboard!$C$13:$F$13,Dashboard!$C$14:$F$14),"-",M38)</f>
        <v>101-598-2333</v>
      </c>
    </row>
    <row r="39" spans="1:15" ht="19.95" customHeight="1" x14ac:dyDescent="0.25">
      <c r="A39" s="5">
        <f ca="1">DATE(YEAR(TODAY())-3,12,13)</f>
        <v>43812</v>
      </c>
      <c r="B39" s="5">
        <f ca="1">DATE(YEAR(TODAY())-3,12,17)</f>
        <v>43816</v>
      </c>
      <c r="C39" s="3" t="s">
        <v>20</v>
      </c>
      <c r="D39" s="3" t="s">
        <v>131</v>
      </c>
      <c r="E39" s="3" t="s">
        <v>63</v>
      </c>
      <c r="F39" s="3" t="s">
        <v>64</v>
      </c>
      <c r="G39" s="3" t="s">
        <v>46</v>
      </c>
      <c r="H39" s="3" t="s">
        <v>23</v>
      </c>
      <c r="I39" s="7">
        <v>3.28</v>
      </c>
      <c r="J39" s="1">
        <v>1</v>
      </c>
      <c r="K39" s="9">
        <v>0</v>
      </c>
      <c r="L39" s="7">
        <f t="shared" si="0"/>
        <v>3.28</v>
      </c>
      <c r="M39" s="11" t="s">
        <v>132</v>
      </c>
      <c r="N39" s="1" t="str">
        <f>IF($E39 = "Los Angeles", "Millville", $E39)</f>
        <v>New York City</v>
      </c>
      <c r="O39" s="11" t="str">
        <f>_xlfn.CONCAT(_xlfn.XLOOKUP(G39,Dashboard!$C$13:$F$13,Dashboard!$C$14:$F$14),"-",M39)</f>
        <v>101-496-1378</v>
      </c>
    </row>
    <row r="40" spans="1:15" ht="19.95" customHeight="1" x14ac:dyDescent="0.25">
      <c r="A40" s="5">
        <f ca="1">DATE(YEAR(TODAY())-3,10,10)</f>
        <v>43748</v>
      </c>
      <c r="B40" s="5">
        <f ca="1">DATE(YEAR(TODAY())-3,10,12)</f>
        <v>43750</v>
      </c>
      <c r="C40" s="3" t="s">
        <v>49</v>
      </c>
      <c r="D40" s="3" t="s">
        <v>176</v>
      </c>
      <c r="E40" s="3" t="s">
        <v>63</v>
      </c>
      <c r="F40" s="3" t="s">
        <v>64</v>
      </c>
      <c r="G40" s="3" t="s">
        <v>46</v>
      </c>
      <c r="H40" s="3" t="s">
        <v>18</v>
      </c>
      <c r="I40" s="7">
        <v>899.14</v>
      </c>
      <c r="J40" s="1">
        <v>4</v>
      </c>
      <c r="K40" s="9">
        <v>0.2</v>
      </c>
      <c r="L40" s="7">
        <f t="shared" si="0"/>
        <v>2877.248</v>
      </c>
      <c r="M40" s="11" t="s">
        <v>177</v>
      </c>
      <c r="N40" s="1" t="str">
        <f>IF($E40 = "Los Angeles", "Millville", $E40)</f>
        <v>New York City</v>
      </c>
      <c r="O40" s="11" t="str">
        <f>_xlfn.CONCAT(_xlfn.XLOOKUP(G40,Dashboard!$C$13:$F$13,Dashboard!$C$14:$F$14),"-",M40)</f>
        <v>101-496-2770</v>
      </c>
    </row>
    <row r="41" spans="1:15" ht="19.95" customHeight="1" x14ac:dyDescent="0.25">
      <c r="A41" s="5">
        <f ca="1">DATE(YEAR(TODAY())-1,11,8)</f>
        <v>44508</v>
      </c>
      <c r="B41" s="5">
        <f ca="1">DATE(YEAR(TODAY())-1,11,10)</f>
        <v>44510</v>
      </c>
      <c r="C41" s="3" t="s">
        <v>13</v>
      </c>
      <c r="D41" s="3" t="s">
        <v>197</v>
      </c>
      <c r="E41" s="3" t="s">
        <v>63</v>
      </c>
      <c r="F41" s="3" t="s">
        <v>64</v>
      </c>
      <c r="G41" s="3" t="s">
        <v>46</v>
      </c>
      <c r="H41" s="3" t="s">
        <v>18</v>
      </c>
      <c r="I41" s="7">
        <v>96.53</v>
      </c>
      <c r="J41" s="1">
        <v>7</v>
      </c>
      <c r="K41" s="9">
        <v>0</v>
      </c>
      <c r="L41" s="7">
        <f t="shared" si="0"/>
        <v>675.71</v>
      </c>
      <c r="M41" s="11" t="s">
        <v>198</v>
      </c>
      <c r="N41" s="1" t="str">
        <f>IF($E41 = "Los Angeles", "Millville", $E41)</f>
        <v>New York City</v>
      </c>
      <c r="O41" s="11" t="str">
        <f>_xlfn.CONCAT(_xlfn.XLOOKUP(G41,Dashboard!$C$13:$F$13,Dashboard!$C$14:$F$14),"-",M41)</f>
        <v>101-496-1242</v>
      </c>
    </row>
    <row r="42" spans="1:15" ht="19.95" customHeight="1" x14ac:dyDescent="0.25">
      <c r="A42" s="5">
        <f ca="1">DATE(YEAR(TODAY())-2,6,16)</f>
        <v>43998</v>
      </c>
      <c r="B42" s="5">
        <f ca="1">DATE(YEAR(TODAY())-2,6,17)</f>
        <v>43999</v>
      </c>
      <c r="C42" s="3" t="s">
        <v>49</v>
      </c>
      <c r="D42" s="3" t="s">
        <v>263</v>
      </c>
      <c r="E42" s="3" t="s">
        <v>264</v>
      </c>
      <c r="F42" s="3" t="s">
        <v>64</v>
      </c>
      <c r="G42" s="3" t="s">
        <v>46</v>
      </c>
      <c r="H42" s="3" t="s">
        <v>18</v>
      </c>
      <c r="I42" s="7">
        <v>319.41000000000003</v>
      </c>
      <c r="J42" s="1">
        <v>5</v>
      </c>
      <c r="K42" s="9">
        <v>0.1</v>
      </c>
      <c r="L42" s="7">
        <f t="shared" si="0"/>
        <v>1437.3450000000003</v>
      </c>
      <c r="M42" s="11" t="s">
        <v>265</v>
      </c>
      <c r="N42" s="1" t="str">
        <f>IF($E42 = "Los Angeles", "Millville", $E42)</f>
        <v>Troy</v>
      </c>
      <c r="O42" s="11" t="str">
        <f>_xlfn.CONCAT(_xlfn.XLOOKUP(G42,Dashboard!$C$13:$F$13,Dashboard!$C$14:$F$14),"-",M42)</f>
        <v>101-496-0022</v>
      </c>
    </row>
    <row r="43" spans="1:15" ht="19.95" customHeight="1" x14ac:dyDescent="0.25">
      <c r="A43" s="5">
        <f ca="1">DATE(YEAR(TODAY())-1,2,1)</f>
        <v>44228</v>
      </c>
      <c r="B43" s="5">
        <f ca="1">DATE(YEAR(TODAY())-1,2,4)</f>
        <v>44231</v>
      </c>
      <c r="C43" s="3" t="s">
        <v>49</v>
      </c>
      <c r="D43" s="3" t="s">
        <v>80</v>
      </c>
      <c r="E43" s="3" t="s">
        <v>81</v>
      </c>
      <c r="F43" s="3" t="s">
        <v>45</v>
      </c>
      <c r="G43" s="3" t="s">
        <v>46</v>
      </c>
      <c r="H43" s="3" t="s">
        <v>23</v>
      </c>
      <c r="I43" s="7">
        <v>78.3</v>
      </c>
      <c r="J43" s="1">
        <v>2</v>
      </c>
      <c r="K43" s="9">
        <v>0.2</v>
      </c>
      <c r="L43" s="7">
        <f t="shared" si="0"/>
        <v>125.28</v>
      </c>
      <c r="M43" s="11" t="s">
        <v>82</v>
      </c>
      <c r="N43" s="1" t="str">
        <f>IF($E43 = "Los Angeles", "Millville", $E43)</f>
        <v>Columbus</v>
      </c>
      <c r="O43" s="11" t="str">
        <f>_xlfn.CONCAT(_xlfn.XLOOKUP(G43,Dashboard!$C$13:$F$13,Dashboard!$C$14:$F$14),"-",M43)</f>
        <v>101-496-1617</v>
      </c>
    </row>
    <row r="44" spans="1:15" ht="19.95" customHeight="1" x14ac:dyDescent="0.25">
      <c r="A44" s="5">
        <f ca="1">DATE(YEAR(TODAY())-4,8,24)</f>
        <v>43336</v>
      </c>
      <c r="B44" s="5">
        <f ca="1">DATE(YEAR(TODAY())-4,8,26)</f>
        <v>43338</v>
      </c>
      <c r="C44" s="3" t="s">
        <v>13</v>
      </c>
      <c r="D44" s="3" t="s">
        <v>230</v>
      </c>
      <c r="E44" s="3" t="s">
        <v>81</v>
      </c>
      <c r="F44" s="3" t="s">
        <v>45</v>
      </c>
      <c r="G44" s="3" t="s">
        <v>46</v>
      </c>
      <c r="H44" s="3" t="s">
        <v>23</v>
      </c>
      <c r="I44" s="7">
        <v>130.46</v>
      </c>
      <c r="J44" s="1">
        <v>6</v>
      </c>
      <c r="K44" s="9">
        <v>0.2</v>
      </c>
      <c r="L44" s="7">
        <f t="shared" si="0"/>
        <v>626.20800000000008</v>
      </c>
      <c r="M44" s="11" t="s">
        <v>231</v>
      </c>
      <c r="N44" s="1" t="str">
        <f>IF($E44 = "Los Angeles", "Millville", $E44)</f>
        <v>Columbus</v>
      </c>
      <c r="O44" s="11" t="str">
        <f>_xlfn.CONCAT(_xlfn.XLOOKUP(G44,Dashboard!$C$13:$F$13,Dashboard!$C$14:$F$14),"-",M44)</f>
        <v>101-496-0010</v>
      </c>
    </row>
    <row r="45" spans="1:15" ht="19.95" customHeight="1" x14ac:dyDescent="0.25">
      <c r="A45" s="5">
        <f ca="1">DATE(YEAR(TODAY())-4,3,20)</f>
        <v>43179</v>
      </c>
      <c r="B45" s="5">
        <f ca="1">DATE(YEAR(TODAY())-4,3,24)</f>
        <v>43183</v>
      </c>
      <c r="C45" s="3" t="s">
        <v>20</v>
      </c>
      <c r="D45" s="3" t="s">
        <v>43</v>
      </c>
      <c r="E45" s="3" t="s">
        <v>44</v>
      </c>
      <c r="F45" s="3" t="s">
        <v>45</v>
      </c>
      <c r="G45" s="3" t="s">
        <v>46</v>
      </c>
      <c r="H45" s="3" t="s">
        <v>23</v>
      </c>
      <c r="I45" s="7">
        <v>7.41</v>
      </c>
      <c r="J45" s="1">
        <v>2</v>
      </c>
      <c r="K45" s="9">
        <v>0.2</v>
      </c>
      <c r="L45" s="7">
        <f t="shared" si="0"/>
        <v>11.856000000000002</v>
      </c>
      <c r="M45" s="11" t="s">
        <v>47</v>
      </c>
      <c r="N45" s="1" t="str">
        <f>IF($E45 = "Los Angeles", "Millville", $E45)</f>
        <v>Hamilton</v>
      </c>
      <c r="O45" s="11" t="str">
        <f>_xlfn.CONCAT(_xlfn.XLOOKUP(G45,Dashboard!$C$13:$F$13,Dashboard!$C$14:$F$14),"-",M45)</f>
        <v>101-496-1222</v>
      </c>
    </row>
    <row r="46" spans="1:15" ht="19.95" customHeight="1" x14ac:dyDescent="0.25">
      <c r="A46" s="5">
        <f ca="1">DATE(YEAR(TODAY())-4,10,21)</f>
        <v>43394</v>
      </c>
      <c r="B46" s="5">
        <f ca="1">DATE(YEAR(TODAY())-4,10,27)</f>
        <v>43400</v>
      </c>
      <c r="C46" s="3" t="s">
        <v>20</v>
      </c>
      <c r="D46" s="3" t="s">
        <v>183</v>
      </c>
      <c r="E46" s="3" t="s">
        <v>184</v>
      </c>
      <c r="F46" s="3" t="s">
        <v>45</v>
      </c>
      <c r="G46" s="3" t="s">
        <v>46</v>
      </c>
      <c r="H46" s="3" t="s">
        <v>18</v>
      </c>
      <c r="I46" s="7">
        <v>93.89</v>
      </c>
      <c r="J46" s="1">
        <v>4</v>
      </c>
      <c r="K46" s="9">
        <v>0.2</v>
      </c>
      <c r="L46" s="7">
        <f t="shared" si="0"/>
        <v>300.44800000000004</v>
      </c>
      <c r="M46" s="11" t="s">
        <v>185</v>
      </c>
      <c r="N46" s="1" t="str">
        <f>IF($E46 = "Los Angeles", "Millville", $E46)</f>
        <v>Newark</v>
      </c>
      <c r="O46" s="11" t="str">
        <f>_xlfn.CONCAT(_xlfn.XLOOKUP(G46,Dashboard!$C$13:$F$13,Dashboard!$C$14:$F$14),"-",M46)</f>
        <v>101-496-1665</v>
      </c>
    </row>
    <row r="47" spans="1:15" ht="19.95" customHeight="1" x14ac:dyDescent="0.25">
      <c r="A47" s="5">
        <f ca="1">DATE(YEAR(TODAY())-3,12,26)</f>
        <v>43825</v>
      </c>
      <c r="B47" s="5">
        <f ca="1">DATE(YEAR(TODAY())-3,12,29)</f>
        <v>43828</v>
      </c>
      <c r="C47" s="3" t="s">
        <v>13</v>
      </c>
      <c r="D47" s="3" t="s">
        <v>96</v>
      </c>
      <c r="E47" s="3" t="s">
        <v>97</v>
      </c>
      <c r="F47" s="3" t="s">
        <v>98</v>
      </c>
      <c r="G47" s="3" t="s">
        <v>46</v>
      </c>
      <c r="H47" s="3" t="s">
        <v>32</v>
      </c>
      <c r="I47" s="7">
        <v>54.38</v>
      </c>
      <c r="J47" s="1">
        <v>2</v>
      </c>
      <c r="K47" s="9">
        <v>0.2</v>
      </c>
      <c r="L47" s="7">
        <f t="shared" si="0"/>
        <v>87.00800000000001</v>
      </c>
      <c r="M47" s="11" t="s">
        <v>99</v>
      </c>
      <c r="N47" s="1" t="str">
        <f>IF($E47 = "Los Angeles", "Millville", $E47)</f>
        <v>Philadelphia</v>
      </c>
      <c r="O47" s="11" t="str">
        <f>_xlfn.CONCAT(_xlfn.XLOOKUP(G47,Dashboard!$C$13:$F$13,Dashboard!$C$14:$F$14),"-",M47)</f>
        <v>101-496-1770</v>
      </c>
    </row>
    <row r="48" spans="1:15" ht="19.95" customHeight="1" x14ac:dyDescent="0.25">
      <c r="A48" s="5">
        <f ca="1">DATE(YEAR(TODAY())-2,9,4)</f>
        <v>44078</v>
      </c>
      <c r="B48" s="5">
        <f ca="1">DATE(YEAR(TODAY())-2,9,6)</f>
        <v>44080</v>
      </c>
      <c r="C48" s="3" t="s">
        <v>13</v>
      </c>
      <c r="D48" s="3" t="s">
        <v>138</v>
      </c>
      <c r="E48" s="3" t="s">
        <v>97</v>
      </c>
      <c r="F48" s="3" t="s">
        <v>98</v>
      </c>
      <c r="G48" s="3" t="s">
        <v>46</v>
      </c>
      <c r="H48" s="3" t="s">
        <v>18</v>
      </c>
      <c r="I48" s="7">
        <v>82.8</v>
      </c>
      <c r="J48" s="1">
        <v>2</v>
      </c>
      <c r="K48" s="9">
        <v>0.2</v>
      </c>
      <c r="L48" s="7">
        <f t="shared" si="0"/>
        <v>132.47999999999999</v>
      </c>
      <c r="M48" s="11" t="s">
        <v>139</v>
      </c>
      <c r="N48" s="1" t="str">
        <f>IF($E48 = "Los Angeles", "Millville", $E48)</f>
        <v>Philadelphia</v>
      </c>
      <c r="O48" s="11" t="str">
        <f>_xlfn.CONCAT(_xlfn.XLOOKUP(G48,Dashboard!$C$13:$F$13,Dashboard!$C$14:$F$14),"-",M48)</f>
        <v>101-598-2243</v>
      </c>
    </row>
    <row r="49" spans="1:15" ht="19.95" customHeight="1" x14ac:dyDescent="0.25">
      <c r="A49" s="5">
        <f ca="1">DATE(YEAR(TODAY())-1,7,15)</f>
        <v>44392</v>
      </c>
      <c r="B49" s="5">
        <f ca="1">DATE(YEAR(TODAY())-1,7,17)</f>
        <v>44394</v>
      </c>
      <c r="C49" s="3" t="s">
        <v>13</v>
      </c>
      <c r="D49" s="3" t="s">
        <v>238</v>
      </c>
      <c r="E49" s="3" t="s">
        <v>97</v>
      </c>
      <c r="F49" s="3" t="s">
        <v>98</v>
      </c>
      <c r="G49" s="3" t="s">
        <v>46</v>
      </c>
      <c r="H49" s="3" t="s">
        <v>18</v>
      </c>
      <c r="I49" s="7">
        <v>71.37</v>
      </c>
      <c r="J49" s="1">
        <v>2</v>
      </c>
      <c r="K49" s="9">
        <v>0.3</v>
      </c>
      <c r="L49" s="7">
        <f t="shared" si="0"/>
        <v>99.918000000000006</v>
      </c>
      <c r="M49" s="11" t="s">
        <v>239</v>
      </c>
      <c r="N49" s="1" t="str">
        <f>IF($E49 = "Los Angeles", "Millville", $E49)</f>
        <v>Philadelphia</v>
      </c>
      <c r="O49" s="11" t="str">
        <f>_xlfn.CONCAT(_xlfn.XLOOKUP(G49,Dashboard!$C$13:$F$13,Dashboard!$C$14:$F$14),"-",M49)</f>
        <v>101-496-0013</v>
      </c>
    </row>
    <row r="50" spans="1:15" ht="19.95" customHeight="1" x14ac:dyDescent="0.25">
      <c r="A50" s="5">
        <f ca="1">DATE(YEAR(TODAY())-3,9,15)</f>
        <v>43723</v>
      </c>
      <c r="B50" s="5">
        <f ca="1">DATE(YEAR(TODAY())-3,9,19)</f>
        <v>43727</v>
      </c>
      <c r="C50" s="3" t="s">
        <v>20</v>
      </c>
      <c r="D50" s="3" t="s">
        <v>268</v>
      </c>
      <c r="E50" s="3" t="s">
        <v>97</v>
      </c>
      <c r="F50" s="3" t="s">
        <v>98</v>
      </c>
      <c r="G50" s="3" t="s">
        <v>46</v>
      </c>
      <c r="H50" s="3" t="s">
        <v>18</v>
      </c>
      <c r="I50" s="7">
        <v>3083.43</v>
      </c>
      <c r="J50" s="1">
        <v>7</v>
      </c>
      <c r="K50" s="9">
        <v>0.5</v>
      </c>
      <c r="L50" s="7">
        <f t="shared" si="0"/>
        <v>10792.004999999999</v>
      </c>
      <c r="M50" s="11" t="s">
        <v>269</v>
      </c>
      <c r="N50" s="1" t="str">
        <f>IF($E50 = "Los Angeles", "Millville", $E50)</f>
        <v>Philadelphia</v>
      </c>
      <c r="O50" s="11" t="str">
        <f>_xlfn.CONCAT(_xlfn.XLOOKUP(G50,Dashboard!$C$13:$F$13,Dashboard!$C$14:$F$14),"-",M50)</f>
        <v>101-496-0024</v>
      </c>
    </row>
    <row r="51" spans="1:15" ht="19.95" customHeight="1" x14ac:dyDescent="0.25">
      <c r="A51" s="5">
        <f ca="1">DATE(YEAR(TODAY())-2,6,11)</f>
        <v>43993</v>
      </c>
      <c r="B51" s="5">
        <f ca="1">DATE(YEAR(TODAY())-2,6,14)</f>
        <v>43996</v>
      </c>
      <c r="C51" s="3" t="s">
        <v>49</v>
      </c>
      <c r="D51" s="3" t="s">
        <v>257</v>
      </c>
      <c r="E51" s="3" t="s">
        <v>78</v>
      </c>
      <c r="F51" s="3" t="s">
        <v>258</v>
      </c>
      <c r="G51" s="3" t="s">
        <v>28</v>
      </c>
      <c r="H51" s="3" t="s">
        <v>23</v>
      </c>
      <c r="I51" s="7">
        <v>208.16</v>
      </c>
      <c r="J51" s="1">
        <v>1</v>
      </c>
      <c r="K51" s="9">
        <v>0</v>
      </c>
      <c r="L51" s="7">
        <f t="shared" si="0"/>
        <v>208.16</v>
      </c>
      <c r="M51" s="11" t="s">
        <v>259</v>
      </c>
      <c r="N51" s="1" t="str">
        <f>IF($E51 = "Los Angeles", "Millville", $E51)</f>
        <v>Decatur</v>
      </c>
      <c r="O51" s="11" t="str">
        <f>_xlfn.CONCAT(_xlfn.XLOOKUP(G51,Dashboard!$C$13:$F$13,Dashboard!$C$14:$F$14),"-",M51)</f>
        <v>201-496-0020</v>
      </c>
    </row>
    <row r="52" spans="1:15" ht="19.95" customHeight="1" x14ac:dyDescent="0.25">
      <c r="A52" s="5">
        <f ca="1">DATE(YEAR(TODAY())-3,10,9)</f>
        <v>43747</v>
      </c>
      <c r="B52" s="5">
        <f ca="1">DATE(YEAR(TODAY())-3,10,16)</f>
        <v>43754</v>
      </c>
      <c r="C52" s="3" t="s">
        <v>20</v>
      </c>
      <c r="D52" s="3" t="s">
        <v>244</v>
      </c>
      <c r="E52" s="3" t="s">
        <v>245</v>
      </c>
      <c r="F52" s="3" t="s">
        <v>102</v>
      </c>
      <c r="G52" s="3" t="s">
        <v>28</v>
      </c>
      <c r="H52" s="3" t="s">
        <v>18</v>
      </c>
      <c r="I52" s="7">
        <v>957.58</v>
      </c>
      <c r="J52" s="1">
        <v>5</v>
      </c>
      <c r="K52" s="9">
        <v>0.45</v>
      </c>
      <c r="L52" s="7">
        <f t="shared" si="0"/>
        <v>2633.3450000000007</v>
      </c>
      <c r="M52" s="11" t="s">
        <v>246</v>
      </c>
      <c r="N52" s="1" t="str">
        <f>IF($E52 = "Los Angeles", "Millville", $E52)</f>
        <v>Fort Lauderdale</v>
      </c>
      <c r="O52" s="11" t="str">
        <f>_xlfn.CONCAT(_xlfn.XLOOKUP(G52,Dashboard!$C$13:$F$13,Dashboard!$C$14:$F$14),"-",M52)</f>
        <v>201-496-0015</v>
      </c>
    </row>
    <row r="53" spans="1:15" ht="19.95" customHeight="1" x14ac:dyDescent="0.25">
      <c r="A53" s="5">
        <f ca="1">DATE(YEAR(TODAY())-1,9,18)</f>
        <v>44457</v>
      </c>
      <c r="B53" s="5">
        <f ca="1">DATE(YEAR(TODAY())-1,9,22)</f>
        <v>44461</v>
      </c>
      <c r="C53" s="3" t="s">
        <v>20</v>
      </c>
      <c r="D53" s="3" t="s">
        <v>100</v>
      </c>
      <c r="E53" s="3" t="s">
        <v>101</v>
      </c>
      <c r="F53" s="3" t="s">
        <v>102</v>
      </c>
      <c r="G53" s="3" t="s">
        <v>28</v>
      </c>
      <c r="H53" s="3" t="s">
        <v>23</v>
      </c>
      <c r="I53" s="7">
        <v>95.62</v>
      </c>
      <c r="J53" s="1">
        <v>2</v>
      </c>
      <c r="K53" s="9">
        <v>0.2</v>
      </c>
      <c r="L53" s="7">
        <f t="shared" si="0"/>
        <v>152.99200000000002</v>
      </c>
      <c r="M53" s="11" t="s">
        <v>103</v>
      </c>
      <c r="N53" s="1" t="str">
        <f>IF($E53 = "Los Angeles", "Millville", $E53)</f>
        <v>Melbourne</v>
      </c>
      <c r="O53" s="11" t="str">
        <f>_xlfn.CONCAT(_xlfn.XLOOKUP(G53,Dashboard!$C$13:$F$13,Dashboard!$C$14:$F$14),"-",M53)</f>
        <v>201-496-1873</v>
      </c>
    </row>
    <row r="54" spans="1:15" ht="19.95" customHeight="1" x14ac:dyDescent="0.25">
      <c r="A54" s="5">
        <f ca="1">DATE(YEAR(TODAY())-2,11,7)</f>
        <v>44142</v>
      </c>
      <c r="B54" s="5">
        <f ca="1">DATE(YEAR(TODAY())-2,11,10)</f>
        <v>44145</v>
      </c>
      <c r="C54" s="3" t="s">
        <v>13</v>
      </c>
      <c r="D54" s="3" t="s">
        <v>54</v>
      </c>
      <c r="E54" s="3" t="s">
        <v>55</v>
      </c>
      <c r="F54" s="3" t="s">
        <v>56</v>
      </c>
      <c r="G54" s="3" t="s">
        <v>28</v>
      </c>
      <c r="H54" s="3" t="s">
        <v>18</v>
      </c>
      <c r="I54" s="7">
        <v>731.94</v>
      </c>
      <c r="J54" s="1">
        <v>3</v>
      </c>
      <c r="K54" s="9">
        <v>0</v>
      </c>
      <c r="L54" s="7">
        <f t="shared" si="0"/>
        <v>2195.8200000000002</v>
      </c>
      <c r="M54" s="11" t="s">
        <v>57</v>
      </c>
      <c r="N54" s="1" t="str">
        <f>IF($E54 = "Los Angeles", "Millville", $E54)</f>
        <v>Henderson</v>
      </c>
      <c r="O54" s="11" t="str">
        <f>_xlfn.CONCAT(_xlfn.XLOOKUP(G54,Dashboard!$C$13:$F$13,Dashboard!$C$14:$F$14),"-",M54)</f>
        <v>201-598-2747</v>
      </c>
    </row>
    <row r="55" spans="1:15" ht="19.95" customHeight="1" x14ac:dyDescent="0.25">
      <c r="A55" s="5">
        <f ca="1">DATE(YEAR(TODAY())-4,11,18)</f>
        <v>43422</v>
      </c>
      <c r="B55" s="5">
        <f ca="1">DATE(YEAR(TODAY())-4,11,23)</f>
        <v>43427</v>
      </c>
      <c r="C55" s="3" t="s">
        <v>13</v>
      </c>
      <c r="D55" s="3" t="s">
        <v>216</v>
      </c>
      <c r="E55" s="3" t="s">
        <v>217</v>
      </c>
      <c r="F55" s="3" t="s">
        <v>218</v>
      </c>
      <c r="G55" s="3" t="s">
        <v>28</v>
      </c>
      <c r="H55" s="3" t="s">
        <v>32</v>
      </c>
      <c r="I55" s="7">
        <v>503.96</v>
      </c>
      <c r="J55" s="1">
        <v>4</v>
      </c>
      <c r="K55" s="9">
        <v>0</v>
      </c>
      <c r="L55" s="7">
        <f t="shared" si="0"/>
        <v>2015.84</v>
      </c>
      <c r="M55" s="11" t="s">
        <v>219</v>
      </c>
      <c r="N55" s="1" t="str">
        <f>IF($E55 = "Los Angeles", "Millville", $E55)</f>
        <v>Monroe</v>
      </c>
      <c r="O55" s="11" t="str">
        <f>_xlfn.CONCAT(_xlfn.XLOOKUP(G55,Dashboard!$C$13:$F$13,Dashboard!$C$14:$F$14),"-",M55)</f>
        <v>201-496-0006</v>
      </c>
    </row>
    <row r="56" spans="1:15" ht="19.95" customHeight="1" x14ac:dyDescent="0.25">
      <c r="A56" s="5">
        <f ca="1">DATE(YEAR(TODAY())-1,11,22)</f>
        <v>44522</v>
      </c>
      <c r="B56" s="5">
        <f ca="1">DATE(YEAR(TODAY())-1,11,27)</f>
        <v>44527</v>
      </c>
      <c r="C56" s="3" t="s">
        <v>20</v>
      </c>
      <c r="D56" s="3" t="s">
        <v>124</v>
      </c>
      <c r="E56" s="3" t="s">
        <v>125</v>
      </c>
      <c r="F56" s="3" t="s">
        <v>27</v>
      </c>
      <c r="G56" s="3" t="s">
        <v>28</v>
      </c>
      <c r="H56" s="3" t="s">
        <v>32</v>
      </c>
      <c r="I56" s="7">
        <v>74.11</v>
      </c>
      <c r="J56" s="1">
        <v>8</v>
      </c>
      <c r="K56" s="9">
        <v>0.2</v>
      </c>
      <c r="L56" s="7">
        <f t="shared" si="0"/>
        <v>474.30400000000003</v>
      </c>
      <c r="M56" s="11" t="s">
        <v>126</v>
      </c>
      <c r="N56" s="1" t="str">
        <f>IF($E56 = "Los Angeles", "Millville", $E56)</f>
        <v>Charlotte</v>
      </c>
      <c r="O56" s="11" t="str">
        <f>_xlfn.CONCAT(_xlfn.XLOOKUP(G56,Dashboard!$C$13:$F$13,Dashboard!$C$14:$F$14),"-",M56)</f>
        <v>201-598-2985</v>
      </c>
    </row>
    <row r="57" spans="1:15" ht="19.95" customHeight="1" x14ac:dyDescent="0.25">
      <c r="A57" s="5">
        <f ca="1">DATE(YEAR(TODAY())-1,4,14)</f>
        <v>44300</v>
      </c>
      <c r="B57" s="5">
        <f ca="1">DATE(YEAR(TODAY())-1,4,19)</f>
        <v>44305</v>
      </c>
      <c r="C57" s="3" t="s">
        <v>20</v>
      </c>
      <c r="D57" s="3" t="s">
        <v>25</v>
      </c>
      <c r="E57" s="3" t="s">
        <v>26</v>
      </c>
      <c r="F57" s="3" t="s">
        <v>27</v>
      </c>
      <c r="G57" s="3" t="s">
        <v>28</v>
      </c>
      <c r="H57" s="3" t="s">
        <v>23</v>
      </c>
      <c r="I57" s="7">
        <v>15.55</v>
      </c>
      <c r="J57" s="1">
        <v>3</v>
      </c>
      <c r="K57" s="9">
        <v>0.2</v>
      </c>
      <c r="L57" s="7">
        <f t="shared" si="0"/>
        <v>37.320000000000007</v>
      </c>
      <c r="M57" s="11" t="s">
        <v>29</v>
      </c>
      <c r="N57" s="1" t="str" cm="1">
        <f t="array" ref="N57">IF($E57 = "Los Angeles", Millville, $E57)</f>
        <v>Concord</v>
      </c>
      <c r="O57" s="11" t="str">
        <f>_xlfn.CONCAT(_xlfn.XLOOKUP(G57,Dashboard!$C$13:$F$13,Dashboard!$C$14:$F$14),"-",M57)</f>
        <v>201-496-1872</v>
      </c>
    </row>
    <row r="58" spans="1:15" ht="19.95" customHeight="1" x14ac:dyDescent="0.25">
      <c r="A58" s="5">
        <f ca="1">DATE(YEAR(TODAY())-3,9,1)</f>
        <v>43709</v>
      </c>
      <c r="B58" s="5">
        <f ca="1">DATE(YEAR(TODAY())-3,9,6)</f>
        <v>43714</v>
      </c>
      <c r="C58" s="3" t="s">
        <v>20</v>
      </c>
      <c r="D58" s="3" t="s">
        <v>140</v>
      </c>
      <c r="E58" s="3" t="s">
        <v>141</v>
      </c>
      <c r="F58" s="3" t="s">
        <v>27</v>
      </c>
      <c r="G58" s="3" t="s">
        <v>28</v>
      </c>
      <c r="H58" s="3" t="s">
        <v>23</v>
      </c>
      <c r="I58" s="7">
        <v>200.98</v>
      </c>
      <c r="J58" s="1">
        <v>7</v>
      </c>
      <c r="K58" s="9">
        <v>0.2</v>
      </c>
      <c r="L58" s="7">
        <f t="shared" si="0"/>
        <v>1125.4880000000001</v>
      </c>
      <c r="M58" s="11" t="s">
        <v>142</v>
      </c>
      <c r="N58" s="1" t="str">
        <f>IF($E58 = "Los Angeles", "Millville", $E58)</f>
        <v>Durham</v>
      </c>
      <c r="O58" s="11" t="str">
        <f>_xlfn.CONCAT(_xlfn.XLOOKUP(G58,Dashboard!$C$13:$F$13,Dashboard!$C$14:$F$14),"-",M58)</f>
        <v>201-598-5003</v>
      </c>
    </row>
    <row r="59" spans="1:15" ht="19.95" customHeight="1" x14ac:dyDescent="0.25">
      <c r="A59" s="5">
        <f ca="1">DATE(YEAR(TODAY())-1,5,27)</f>
        <v>44343</v>
      </c>
      <c r="B59" s="5">
        <f ca="1">DATE(YEAR(TODAY())-1,5,29)</f>
        <v>44345</v>
      </c>
      <c r="C59" s="3" t="s">
        <v>13</v>
      </c>
      <c r="D59" s="3" t="s">
        <v>199</v>
      </c>
      <c r="E59" s="3" t="s">
        <v>200</v>
      </c>
      <c r="F59" s="3" t="s">
        <v>201</v>
      </c>
      <c r="G59" s="3" t="s">
        <v>28</v>
      </c>
      <c r="H59" s="3" t="s">
        <v>18</v>
      </c>
      <c r="I59" s="7">
        <v>301.95999999999998</v>
      </c>
      <c r="J59" s="1">
        <v>2</v>
      </c>
      <c r="K59" s="9">
        <v>0</v>
      </c>
      <c r="L59" s="7">
        <f t="shared" si="0"/>
        <v>603.91999999999996</v>
      </c>
      <c r="M59" s="11" t="s">
        <v>75</v>
      </c>
      <c r="N59" s="1" t="str">
        <f>IF($E59 = "Los Angeles", "Millville", $E59)</f>
        <v>Columbia</v>
      </c>
      <c r="O59" s="11" t="str">
        <f>_xlfn.CONCAT(_xlfn.XLOOKUP(G59,Dashboard!$C$13:$F$13,Dashboard!$C$14:$F$14),"-",M59)</f>
        <v>201-496-1722</v>
      </c>
    </row>
    <row r="60" spans="1:15" ht="19.95" customHeight="1" x14ac:dyDescent="0.25">
      <c r="A60" s="5">
        <f ca="1">DATE(YEAR(TODAY())-3,4,3)</f>
        <v>43558</v>
      </c>
      <c r="B60" s="5">
        <f ca="1">DATE(YEAR(TODAY())-3,4,8)</f>
        <v>43563</v>
      </c>
      <c r="C60" s="3" t="s">
        <v>20</v>
      </c>
      <c r="D60" s="3" t="s">
        <v>112</v>
      </c>
      <c r="E60" s="3" t="s">
        <v>113</v>
      </c>
      <c r="F60" s="3" t="s">
        <v>114</v>
      </c>
      <c r="G60" s="3" t="s">
        <v>28</v>
      </c>
      <c r="H60" s="3" t="s">
        <v>23</v>
      </c>
      <c r="I60" s="7">
        <v>201</v>
      </c>
      <c r="J60" s="1">
        <v>1</v>
      </c>
      <c r="K60" s="9">
        <v>0.7</v>
      </c>
      <c r="L60" s="7">
        <f t="shared" si="0"/>
        <v>60.300000000000011</v>
      </c>
      <c r="M60" s="11" t="s">
        <v>115</v>
      </c>
      <c r="N60" s="1" t="str">
        <f>IF($E60 = "Los Angeles", "Millville", $E60)</f>
        <v>Bristol</v>
      </c>
      <c r="O60" s="11" t="str">
        <f>_xlfn.CONCAT(_xlfn.XLOOKUP(G60,Dashboard!$C$13:$F$13,Dashboard!$C$14:$F$14),"-",M60)</f>
        <v>201-496-2099</v>
      </c>
    </row>
    <row r="61" spans="1:15" ht="19.95" customHeight="1" x14ac:dyDescent="0.25">
      <c r="A61" s="5">
        <f ca="1">DATE(YEAR(TODAY())-3,4,24)</f>
        <v>43579</v>
      </c>
      <c r="B61" s="5">
        <f ca="1">DATE(YEAR(TODAY())-3,4,30)</f>
        <v>43585</v>
      </c>
      <c r="C61" s="3" t="s">
        <v>20</v>
      </c>
      <c r="D61" s="3" t="s">
        <v>135</v>
      </c>
      <c r="E61" s="3" t="s">
        <v>136</v>
      </c>
      <c r="F61" s="3" t="s">
        <v>114</v>
      </c>
      <c r="G61" s="3" t="s">
        <v>28</v>
      </c>
      <c r="H61" s="3" t="s">
        <v>18</v>
      </c>
      <c r="I61" s="7">
        <v>831.94</v>
      </c>
      <c r="J61" s="1">
        <v>8</v>
      </c>
      <c r="K61" s="9">
        <v>0.2</v>
      </c>
      <c r="L61" s="7">
        <f t="shared" si="0"/>
        <v>5324.4160000000011</v>
      </c>
      <c r="M61" s="11" t="s">
        <v>137</v>
      </c>
      <c r="N61" s="1" t="str">
        <f>IF($E61 = "Los Angeles", "Millville", $E61)</f>
        <v>Memphis</v>
      </c>
      <c r="O61" s="11" t="str">
        <f>_xlfn.CONCAT(_xlfn.XLOOKUP(G61,Dashboard!$C$13:$F$13,Dashboard!$C$14:$F$14),"-",M61)</f>
        <v>201-496-1243</v>
      </c>
    </row>
    <row r="62" spans="1:15" ht="19.95" customHeight="1" x14ac:dyDescent="0.25">
      <c r="A62" s="5">
        <f ca="1">DATE(YEAR(TODAY())-2,6,3)</f>
        <v>43985</v>
      </c>
      <c r="B62" s="5">
        <f ca="1">DATE(YEAR(TODAY())-2,6,5)</f>
        <v>43987</v>
      </c>
      <c r="C62" s="3" t="s">
        <v>49</v>
      </c>
      <c r="D62" s="3" t="s">
        <v>147</v>
      </c>
      <c r="E62" s="3" t="s">
        <v>148</v>
      </c>
      <c r="F62" s="3" t="s">
        <v>149</v>
      </c>
      <c r="G62" s="3" t="s">
        <v>28</v>
      </c>
      <c r="H62" s="3" t="s">
        <v>23</v>
      </c>
      <c r="I62" s="7">
        <v>75.88</v>
      </c>
      <c r="J62" s="1">
        <v>2</v>
      </c>
      <c r="K62" s="9">
        <v>0</v>
      </c>
      <c r="L62" s="7">
        <f t="shared" si="0"/>
        <v>151.76</v>
      </c>
      <c r="M62" s="11" t="s">
        <v>150</v>
      </c>
      <c r="N62" s="1" t="str">
        <f>IF($E62 = "Los Angeles", "Millville", $E62)</f>
        <v>Springfield</v>
      </c>
      <c r="O62" s="11" t="str">
        <f>_xlfn.CONCAT(_xlfn.XLOOKUP(G62,Dashboard!$C$13:$F$13,Dashboard!$C$14:$F$14),"-",M62)</f>
        <v>201-598-5573</v>
      </c>
    </row>
    <row r="63" spans="1:15" ht="19.95" customHeight="1" x14ac:dyDescent="0.25">
      <c r="A63" s="5">
        <f ca="1">DATE(YEAR(TODAY())-4,12,4)</f>
        <v>43438</v>
      </c>
      <c r="B63" s="5">
        <f ca="1">DATE(YEAR(TODAY())-4,12,9)</f>
        <v>43443</v>
      </c>
      <c r="C63" s="3" t="s">
        <v>20</v>
      </c>
      <c r="D63" s="3" t="s">
        <v>34</v>
      </c>
      <c r="E63" s="3" t="s">
        <v>35</v>
      </c>
      <c r="F63" s="3" t="s">
        <v>36</v>
      </c>
      <c r="G63" s="3" t="s">
        <v>37</v>
      </c>
      <c r="H63" s="3" t="s">
        <v>23</v>
      </c>
      <c r="I63" s="7">
        <v>1113.02</v>
      </c>
      <c r="J63" s="1">
        <v>8</v>
      </c>
      <c r="K63" s="9">
        <v>0.2</v>
      </c>
      <c r="L63" s="7">
        <f t="shared" si="0"/>
        <v>7123.3280000000004</v>
      </c>
      <c r="M63" s="11" t="s">
        <v>38</v>
      </c>
      <c r="N63" s="1" t="str" cm="1">
        <f t="array" ref="N63">IF($E63 = "Los Angeles", Millville, $E63)</f>
        <v>Gilbert</v>
      </c>
      <c r="O63" s="11" t="str">
        <f>_xlfn.CONCAT(_xlfn.XLOOKUP(G63,Dashboard!$C$13:$F$13,Dashboard!$C$14:$F$14),"-",M63)</f>
        <v>401-598-2200</v>
      </c>
    </row>
    <row r="64" spans="1:15" ht="19.95" customHeight="1" x14ac:dyDescent="0.25">
      <c r="A64" s="5">
        <f ca="1">DATE(YEAR(TODAY())-1,11,4)</f>
        <v>44504</v>
      </c>
      <c r="B64" s="5">
        <f ca="1">DATE(YEAR(TODAY())-1,11,11)</f>
        <v>44511</v>
      </c>
      <c r="C64" s="3" t="s">
        <v>20</v>
      </c>
      <c r="D64" s="3" t="s">
        <v>270</v>
      </c>
      <c r="E64" s="3" t="s">
        <v>271</v>
      </c>
      <c r="F64" s="3" t="s">
        <v>36</v>
      </c>
      <c r="G64" s="3" t="s">
        <v>37</v>
      </c>
      <c r="H64" s="3" t="s">
        <v>23</v>
      </c>
      <c r="I64" s="7">
        <v>243.99</v>
      </c>
      <c r="J64" s="1">
        <v>7</v>
      </c>
      <c r="K64" s="9">
        <v>0.2</v>
      </c>
      <c r="L64" s="7">
        <f t="shared" si="0"/>
        <v>1366.3440000000001</v>
      </c>
      <c r="M64" s="11" t="s">
        <v>272</v>
      </c>
      <c r="N64" s="1" t="str">
        <f>IF($E64 = "Los Angeles", "Millville", $E64)</f>
        <v>Phoenix</v>
      </c>
      <c r="O64" s="11" t="str">
        <f>_xlfn.CONCAT(_xlfn.XLOOKUP(G64,Dashboard!$C$13:$F$13,Dashboard!$C$14:$F$14),"-",M64)</f>
        <v>401-496-0025</v>
      </c>
    </row>
    <row r="65" spans="1:15" ht="19.95" customHeight="1" x14ac:dyDescent="0.25">
      <c r="A65" s="5">
        <f ca="1">DATE(YEAR(TODAY())-2,3,12)</f>
        <v>43902</v>
      </c>
      <c r="B65" s="5">
        <f ca="1">DATE(YEAR(TODAY())-2,3,15)</f>
        <v>43905</v>
      </c>
      <c r="C65" s="3" t="s">
        <v>49</v>
      </c>
      <c r="D65" s="3" t="s">
        <v>260</v>
      </c>
      <c r="E65" s="3" t="s">
        <v>261</v>
      </c>
      <c r="F65" s="3" t="s">
        <v>36</v>
      </c>
      <c r="G65" s="3" t="s">
        <v>37</v>
      </c>
      <c r="H65" s="3" t="s">
        <v>32</v>
      </c>
      <c r="I65" s="7">
        <v>203.18</v>
      </c>
      <c r="J65" s="1">
        <v>2</v>
      </c>
      <c r="K65" s="9">
        <v>0.2</v>
      </c>
      <c r="L65" s="7">
        <f t="shared" si="0"/>
        <v>325.08800000000002</v>
      </c>
      <c r="M65" s="11" t="s">
        <v>262</v>
      </c>
      <c r="N65" s="1" t="str">
        <f>IF($E65 = "Los Angeles", "Millville", $E65)</f>
        <v>Scottsdale</v>
      </c>
      <c r="O65" s="11" t="str">
        <f>_xlfn.CONCAT(_xlfn.XLOOKUP(G65,Dashboard!$C$13:$F$13,Dashboard!$C$14:$F$14),"-",M65)</f>
        <v>401-496-0021</v>
      </c>
    </row>
    <row r="66" spans="1:15" ht="19.95" customHeight="1" x14ac:dyDescent="0.25">
      <c r="A66" s="5">
        <f ca="1">DATE(YEAR(TODAY())-4,6,8)</f>
        <v>43259</v>
      </c>
      <c r="B66" s="5">
        <f ca="1">DATE(YEAR(TODAY())-4,6,13)</f>
        <v>43264</v>
      </c>
      <c r="C66" s="3" t="s">
        <v>20</v>
      </c>
      <c r="D66" s="3" t="s">
        <v>39</v>
      </c>
      <c r="E66" s="3" t="s">
        <v>40</v>
      </c>
      <c r="F66" s="3" t="s">
        <v>41</v>
      </c>
      <c r="G66" s="3" t="s">
        <v>37</v>
      </c>
      <c r="H66" s="3" t="s">
        <v>18</v>
      </c>
      <c r="I66" s="7">
        <v>1706.18</v>
      </c>
      <c r="J66" s="1">
        <v>9</v>
      </c>
      <c r="K66" s="9">
        <v>0.2</v>
      </c>
      <c r="L66" s="7">
        <f t="shared" si="0"/>
        <v>12284.496000000001</v>
      </c>
      <c r="M66" s="11" t="s">
        <v>42</v>
      </c>
      <c r="N66" s="1" t="str">
        <f>IF($E66 = "Los Angeles", "Millville", $E66)</f>
        <v>Millville</v>
      </c>
      <c r="O66" s="11" t="str">
        <f>_xlfn.CONCAT(_xlfn.XLOOKUP(G66,Dashboard!$C$13:$F$13,Dashboard!$C$14:$F$14),"-",M66)</f>
        <v>401-598-2265</v>
      </c>
    </row>
    <row r="67" spans="1:15" ht="19.95" customHeight="1" x14ac:dyDescent="0.25">
      <c r="A67" s="5">
        <f ca="1">DATE(YEAR(TODAY())-4,8,4)</f>
        <v>43316</v>
      </c>
      <c r="B67" s="5">
        <f ca="1">DATE(YEAR(TODAY())-4,8,8)</f>
        <v>43320</v>
      </c>
      <c r="C67" s="3" t="s">
        <v>20</v>
      </c>
      <c r="D67" s="3" t="s">
        <v>48</v>
      </c>
      <c r="E67" s="3" t="s">
        <v>40</v>
      </c>
      <c r="F67" s="3" t="s">
        <v>41</v>
      </c>
      <c r="G67" s="3" t="s">
        <v>37</v>
      </c>
      <c r="H67" s="3" t="s">
        <v>18</v>
      </c>
      <c r="I67" s="7">
        <v>340.14</v>
      </c>
      <c r="J67" s="1">
        <v>7</v>
      </c>
      <c r="K67" s="9">
        <v>0.2</v>
      </c>
      <c r="L67" s="7">
        <f t="shared" ref="L67:L91" si="1">I67*J67*(1-K67)</f>
        <v>1904.7840000000001</v>
      </c>
      <c r="M67" s="11" t="s">
        <v>38</v>
      </c>
      <c r="N67" s="1" t="str">
        <f>IF($E67 = "Los Angeles", "Millville", $E67)</f>
        <v>Millville</v>
      </c>
      <c r="O67" s="11" t="str">
        <f>_xlfn.CONCAT(_xlfn.XLOOKUP(G67,Dashboard!$C$13:$F$13,Dashboard!$C$14:$F$14),"-",M67)</f>
        <v>401-598-2200</v>
      </c>
    </row>
    <row r="68" spans="1:15" ht="19.95" customHeight="1" x14ac:dyDescent="0.25">
      <c r="A68" s="5">
        <f ca="1">DATE(YEAR(TODAY())-2,6,11)</f>
        <v>43993</v>
      </c>
      <c r="B68" s="5">
        <f ca="1">DATE(YEAR(TODAY())-2,6,15)</f>
        <v>43997</v>
      </c>
      <c r="C68" s="3" t="s">
        <v>13</v>
      </c>
      <c r="D68" s="3" t="s">
        <v>70</v>
      </c>
      <c r="E68" s="3" t="s">
        <v>40</v>
      </c>
      <c r="F68" s="3" t="s">
        <v>41</v>
      </c>
      <c r="G68" s="3" t="s">
        <v>37</v>
      </c>
      <c r="H68" s="3" t="s">
        <v>23</v>
      </c>
      <c r="I68" s="7">
        <v>14.62</v>
      </c>
      <c r="J68" s="1">
        <v>2</v>
      </c>
      <c r="K68" s="9">
        <v>0</v>
      </c>
      <c r="L68" s="7">
        <f t="shared" si="1"/>
        <v>29.24</v>
      </c>
      <c r="M68" s="11" t="s">
        <v>71</v>
      </c>
      <c r="N68" s="1" t="str">
        <f>IF($E68 = "Los Angeles", "Millville", $E68)</f>
        <v>Millville</v>
      </c>
      <c r="O68" s="11" t="str">
        <f>_xlfn.CONCAT(_xlfn.XLOOKUP(G68,Dashboard!$C$13:$F$13,Dashboard!$C$14:$F$14),"-",M68)</f>
        <v>401-598-8824</v>
      </c>
    </row>
    <row r="69" spans="1:15" ht="19.95" customHeight="1" x14ac:dyDescent="0.25">
      <c r="A69" s="5">
        <f ca="1">DATE(YEAR(TODAY())-2,1,14)</f>
        <v>43844</v>
      </c>
      <c r="B69" s="5">
        <f ca="1">DATE(YEAR(TODAY())-2,1,18)</f>
        <v>43848</v>
      </c>
      <c r="C69" s="3" t="s">
        <v>13</v>
      </c>
      <c r="D69" s="3" t="s">
        <v>94</v>
      </c>
      <c r="E69" s="3" t="s">
        <v>40</v>
      </c>
      <c r="F69" s="3" t="s">
        <v>41</v>
      </c>
      <c r="G69" s="3" t="s">
        <v>37</v>
      </c>
      <c r="H69" s="3" t="s">
        <v>32</v>
      </c>
      <c r="I69" s="7">
        <v>90.57</v>
      </c>
      <c r="J69" s="1">
        <v>3</v>
      </c>
      <c r="K69" s="9">
        <v>0</v>
      </c>
      <c r="L69" s="7">
        <f t="shared" si="1"/>
        <v>271.70999999999998</v>
      </c>
      <c r="M69" s="11" t="s">
        <v>95</v>
      </c>
      <c r="N69" s="1" t="str">
        <f>IF($E69 = "Los Angeles", "Millville", $E69)</f>
        <v>Millville</v>
      </c>
      <c r="O69" s="11" t="str">
        <f>_xlfn.CONCAT(_xlfn.XLOOKUP(G69,Dashboard!$C$13:$F$13,Dashboard!$C$14:$F$14),"-",M69)</f>
        <v>401-598-2613</v>
      </c>
    </row>
    <row r="70" spans="1:15" ht="19.95" customHeight="1" x14ac:dyDescent="0.25">
      <c r="A70" s="5">
        <f ca="1">DATE(YEAR(TODAY())-4,8,25)</f>
        <v>43337</v>
      </c>
      <c r="B70" s="5">
        <f ca="1">DATE(YEAR(TODAY())-4,8,29)</f>
        <v>43341</v>
      </c>
      <c r="C70" s="3" t="s">
        <v>20</v>
      </c>
      <c r="D70" s="3" t="s">
        <v>104</v>
      </c>
      <c r="E70" s="3" t="s">
        <v>40</v>
      </c>
      <c r="F70" s="3" t="s">
        <v>41</v>
      </c>
      <c r="G70" s="3" t="s">
        <v>37</v>
      </c>
      <c r="H70" s="3" t="s">
        <v>32</v>
      </c>
      <c r="I70" s="7">
        <v>176.8</v>
      </c>
      <c r="J70" s="1">
        <v>8</v>
      </c>
      <c r="K70" s="9">
        <v>0</v>
      </c>
      <c r="L70" s="7">
        <f t="shared" si="1"/>
        <v>1414.4</v>
      </c>
      <c r="M70" s="11" t="s">
        <v>75</v>
      </c>
      <c r="N70" s="1" t="str">
        <f>IF($E70 = "Los Angeles", "Millville", $E70)</f>
        <v>Millville</v>
      </c>
      <c r="O70" s="11" t="str">
        <f>_xlfn.CONCAT(_xlfn.XLOOKUP(G70,Dashboard!$C$13:$F$13,Dashboard!$C$14:$F$14),"-",M70)</f>
        <v>401-496-1722</v>
      </c>
    </row>
    <row r="71" spans="1:15" ht="19.95" customHeight="1" x14ac:dyDescent="0.25">
      <c r="A71" s="5">
        <f ca="1">DATE(YEAR(TODAY())-2,9,16)</f>
        <v>44090</v>
      </c>
      <c r="B71" s="5">
        <f ca="1">DATE(YEAR(TODAY())-2,9,21)</f>
        <v>44095</v>
      </c>
      <c r="C71" s="3" t="s">
        <v>20</v>
      </c>
      <c r="D71" s="3" t="s">
        <v>133</v>
      </c>
      <c r="E71" s="3" t="s">
        <v>40</v>
      </c>
      <c r="F71" s="3" t="s">
        <v>41</v>
      </c>
      <c r="G71" s="3" t="s">
        <v>37</v>
      </c>
      <c r="H71" s="3" t="s">
        <v>32</v>
      </c>
      <c r="I71" s="7">
        <v>73.58</v>
      </c>
      <c r="J71" s="1">
        <v>2</v>
      </c>
      <c r="K71" s="9">
        <v>0.2</v>
      </c>
      <c r="L71" s="7">
        <f t="shared" si="1"/>
        <v>117.72800000000001</v>
      </c>
      <c r="M71" s="11" t="s">
        <v>134</v>
      </c>
      <c r="N71" s="1" t="str">
        <f>IF($E71 = "Los Angeles", "Millville", $E71)</f>
        <v>Millville</v>
      </c>
      <c r="O71" s="11" t="str">
        <f>_xlfn.CONCAT(_xlfn.XLOOKUP(G71,Dashboard!$C$13:$F$13,Dashboard!$C$14:$F$14),"-",M71)</f>
        <v>401-496-1899</v>
      </c>
    </row>
    <row r="72" spans="1:15" ht="19.95" customHeight="1" x14ac:dyDescent="0.25">
      <c r="A72" s="5">
        <f ca="1">DATE(YEAR(TODAY())-3,11,22)</f>
        <v>43791</v>
      </c>
      <c r="B72" s="5">
        <f ca="1">DATE(YEAR(TODAY())-3,11,28)</f>
        <v>43797</v>
      </c>
      <c r="C72" s="3" t="s">
        <v>20</v>
      </c>
      <c r="D72" s="3" t="s">
        <v>162</v>
      </c>
      <c r="E72" s="3" t="s">
        <v>40</v>
      </c>
      <c r="F72" s="3" t="s">
        <v>41</v>
      </c>
      <c r="G72" s="3" t="s">
        <v>37</v>
      </c>
      <c r="H72" s="3" t="s">
        <v>23</v>
      </c>
      <c r="I72" s="7">
        <v>146.72999999999999</v>
      </c>
      <c r="J72" s="1">
        <v>3</v>
      </c>
      <c r="K72" s="9">
        <v>0</v>
      </c>
      <c r="L72" s="7">
        <f t="shared" si="1"/>
        <v>440.18999999999994</v>
      </c>
      <c r="M72" s="11" t="s">
        <v>163</v>
      </c>
      <c r="N72" s="1" t="str">
        <f>IF($E72 = "Los Angeles", "Millville", $E72)</f>
        <v>Millville</v>
      </c>
      <c r="O72" s="11" t="str">
        <f>_xlfn.CONCAT(_xlfn.XLOOKUP(G72,Dashboard!$C$13:$F$13,Dashboard!$C$14:$F$14),"-",M72)</f>
        <v>401-598-5555</v>
      </c>
    </row>
    <row r="73" spans="1:15" ht="19.95" customHeight="1" x14ac:dyDescent="0.25">
      <c r="A73" s="5">
        <f ca="1">DATE(YEAR(TODAY())-2,11,5)</f>
        <v>44140</v>
      </c>
      <c r="B73" s="5">
        <f ca="1">DATE(YEAR(TODAY())-2,11,9)</f>
        <v>44144</v>
      </c>
      <c r="C73" s="3" t="s">
        <v>13</v>
      </c>
      <c r="D73" s="3" t="s">
        <v>174</v>
      </c>
      <c r="E73" s="3" t="s">
        <v>40</v>
      </c>
      <c r="F73" s="3" t="s">
        <v>41</v>
      </c>
      <c r="G73" s="3" t="s">
        <v>37</v>
      </c>
      <c r="H73" s="3" t="s">
        <v>18</v>
      </c>
      <c r="I73" s="7">
        <v>238.56</v>
      </c>
      <c r="J73" s="1">
        <v>3</v>
      </c>
      <c r="K73" s="9">
        <v>0</v>
      </c>
      <c r="L73" s="7">
        <f t="shared" si="1"/>
        <v>715.68000000000006</v>
      </c>
      <c r="M73" s="11" t="s">
        <v>175</v>
      </c>
      <c r="N73" s="1" t="str">
        <f>IF($E73 = "Los Angeles", "Millville", $E73)</f>
        <v>Millville</v>
      </c>
      <c r="O73" s="11" t="str">
        <f>_xlfn.CONCAT(_xlfn.XLOOKUP(G73,Dashboard!$C$13:$F$13,Dashboard!$C$14:$F$14),"-",M73)</f>
        <v>401-496-1497</v>
      </c>
    </row>
    <row r="74" spans="1:15" ht="19.95" customHeight="1" x14ac:dyDescent="0.25">
      <c r="A74" s="5">
        <f ca="1">DATE(YEAR(TODAY())-2,7,16)</f>
        <v>44028</v>
      </c>
      <c r="B74" s="5">
        <f ca="1">DATE(YEAR(TODAY())-2,7,21)</f>
        <v>44033</v>
      </c>
      <c r="C74" s="3" t="s">
        <v>20</v>
      </c>
      <c r="D74" s="3" t="s">
        <v>224</v>
      </c>
      <c r="E74" s="3" t="s">
        <v>40</v>
      </c>
      <c r="F74" s="3" t="s">
        <v>41</v>
      </c>
      <c r="G74" s="3" t="s">
        <v>37</v>
      </c>
      <c r="H74" s="3" t="s">
        <v>23</v>
      </c>
      <c r="I74" s="7">
        <v>77.88</v>
      </c>
      <c r="J74" s="1">
        <v>2</v>
      </c>
      <c r="K74" s="9">
        <v>0</v>
      </c>
      <c r="L74" s="7">
        <f t="shared" si="1"/>
        <v>155.76</v>
      </c>
      <c r="M74" s="11" t="s">
        <v>225</v>
      </c>
      <c r="N74" s="1" t="str">
        <f>IF($E74 = "Los Angeles", "Millville", $E74)</f>
        <v>Millville</v>
      </c>
      <c r="O74" s="11" t="str">
        <f>_xlfn.CONCAT(_xlfn.XLOOKUP(G74,Dashboard!$C$13:$F$13,Dashboard!$C$14:$F$14),"-",M74)</f>
        <v>401-496-0008</v>
      </c>
    </row>
    <row r="75" spans="1:15" ht="19.95" customHeight="1" x14ac:dyDescent="0.25">
      <c r="A75" s="5">
        <f ca="1">DATE(YEAR(TODAY())-2,5,10)</f>
        <v>43961</v>
      </c>
      <c r="B75" s="5">
        <f ca="1">DATE(YEAR(TODAY())-2,5,11)</f>
        <v>43962</v>
      </c>
      <c r="C75" s="3" t="s">
        <v>49</v>
      </c>
      <c r="D75" s="3" t="s">
        <v>266</v>
      </c>
      <c r="E75" s="3" t="s">
        <v>40</v>
      </c>
      <c r="F75" s="3" t="s">
        <v>41</v>
      </c>
      <c r="G75" s="3" t="s">
        <v>37</v>
      </c>
      <c r="H75" s="3" t="s">
        <v>23</v>
      </c>
      <c r="I75" s="7">
        <v>5.98</v>
      </c>
      <c r="J75" s="1">
        <v>1</v>
      </c>
      <c r="K75" s="9">
        <v>0</v>
      </c>
      <c r="L75" s="7">
        <f t="shared" si="1"/>
        <v>5.98</v>
      </c>
      <c r="M75" s="11" t="s">
        <v>267</v>
      </c>
      <c r="N75" s="1" t="str">
        <f>IF($E75 = "Los Angeles", "Millville", $E75)</f>
        <v>Millville</v>
      </c>
      <c r="O75" s="11" t="str">
        <f>_xlfn.CONCAT(_xlfn.XLOOKUP(G75,Dashboard!$C$13:$F$13,Dashboard!$C$14:$F$14),"-",M75)</f>
        <v>401-496-0023</v>
      </c>
    </row>
    <row r="76" spans="1:15" ht="19.95" customHeight="1" x14ac:dyDescent="0.25">
      <c r="A76" s="5">
        <f ca="1">DATE(YEAR(TODAY())-3,9,5)</f>
        <v>43713</v>
      </c>
      <c r="B76" s="5">
        <f ca="1">DATE(YEAR(TODAY())-3,9,10)</f>
        <v>43718</v>
      </c>
      <c r="C76" s="3" t="s">
        <v>20</v>
      </c>
      <c r="D76" s="3" t="s">
        <v>119</v>
      </c>
      <c r="E76" s="3" t="s">
        <v>120</v>
      </c>
      <c r="F76" s="3" t="s">
        <v>41</v>
      </c>
      <c r="G76" s="3" t="s">
        <v>37</v>
      </c>
      <c r="H76" s="3" t="s">
        <v>23</v>
      </c>
      <c r="I76" s="7">
        <v>671.93</v>
      </c>
      <c r="J76" s="1">
        <v>7</v>
      </c>
      <c r="K76" s="9">
        <v>0</v>
      </c>
      <c r="L76" s="7">
        <f t="shared" si="1"/>
        <v>4703.5099999999993</v>
      </c>
      <c r="M76" s="11" t="s">
        <v>99</v>
      </c>
      <c r="N76" s="1" t="str">
        <f>IF($E76 = "Los Angeles", "Millville", $E76)</f>
        <v>Pasadena</v>
      </c>
      <c r="O76" s="11" t="str">
        <f>_xlfn.CONCAT(_xlfn.XLOOKUP(G76,Dashboard!$C$13:$F$13,Dashboard!$C$14:$F$14),"-",M76)</f>
        <v>401-496-1770</v>
      </c>
    </row>
    <row r="77" spans="1:15" ht="19.95" customHeight="1" x14ac:dyDescent="0.25">
      <c r="A77" s="5">
        <f ca="1">DATE(YEAR(TODAY())-3,10,29)</f>
        <v>43767</v>
      </c>
      <c r="B77" s="5">
        <f ca="1">DATE(YEAR(TODAY())-3,11,4)</f>
        <v>43773</v>
      </c>
      <c r="C77" s="3" t="s">
        <v>20</v>
      </c>
      <c r="D77" s="3" t="s">
        <v>178</v>
      </c>
      <c r="E77" s="3" t="s">
        <v>179</v>
      </c>
      <c r="F77" s="3" t="s">
        <v>41</v>
      </c>
      <c r="G77" s="3" t="s">
        <v>37</v>
      </c>
      <c r="H77" s="3" t="s">
        <v>23</v>
      </c>
      <c r="I77" s="7">
        <v>14.28</v>
      </c>
      <c r="J77" s="1">
        <v>7</v>
      </c>
      <c r="K77" s="9">
        <v>0</v>
      </c>
      <c r="L77" s="7">
        <f t="shared" si="1"/>
        <v>99.96</v>
      </c>
      <c r="M77" s="11" t="s">
        <v>180</v>
      </c>
      <c r="N77" s="1" t="str">
        <f>IF($E77 = "Los Angeles", "Millville", $E77)</f>
        <v>Redlands</v>
      </c>
      <c r="O77" s="11" t="str">
        <f>_xlfn.CONCAT(_xlfn.XLOOKUP(G77,Dashboard!$C$13:$F$13,Dashboard!$C$14:$F$14),"-",M77)</f>
        <v>401-598-2947</v>
      </c>
    </row>
    <row r="78" spans="1:15" ht="19.95" customHeight="1" x14ac:dyDescent="0.25">
      <c r="A78" s="5">
        <f ca="1">DATE(YEAR(TODAY())-4,10,11)</f>
        <v>43384</v>
      </c>
      <c r="B78" s="5">
        <f ca="1">DATE(YEAR(TODAY())-4,10,15)</f>
        <v>43388</v>
      </c>
      <c r="C78" s="3" t="s">
        <v>20</v>
      </c>
      <c r="D78" s="3" t="s">
        <v>83</v>
      </c>
      <c r="E78" s="3" t="s">
        <v>84</v>
      </c>
      <c r="F78" s="3" t="s">
        <v>41</v>
      </c>
      <c r="G78" s="3" t="s">
        <v>37</v>
      </c>
      <c r="H78" s="3" t="s">
        <v>23</v>
      </c>
      <c r="I78" s="7">
        <v>21.39</v>
      </c>
      <c r="J78" s="1">
        <v>1</v>
      </c>
      <c r="K78" s="9">
        <v>0</v>
      </c>
      <c r="L78" s="7">
        <f t="shared" si="1"/>
        <v>21.39</v>
      </c>
      <c r="M78" s="11" t="s">
        <v>85</v>
      </c>
      <c r="N78" s="1" t="str">
        <f>IF($E78 = "Los Angeles", "Millville", $E78)</f>
        <v>San Francisco</v>
      </c>
      <c r="O78" s="11" t="str">
        <f>_xlfn.CONCAT(_xlfn.XLOOKUP(G78,Dashboard!$C$13:$F$13,Dashboard!$C$14:$F$14),"-",M78)</f>
        <v>401-598-2606</v>
      </c>
    </row>
    <row r="79" spans="1:15" ht="19.95" customHeight="1" x14ac:dyDescent="0.25">
      <c r="A79" s="5">
        <f ca="1">DATE(YEAR(TODAY())-1,6,16)</f>
        <v>44363</v>
      </c>
      <c r="B79" s="5">
        <f ca="1">DATE(YEAR(TODAY())-1,6,19)</f>
        <v>44366</v>
      </c>
      <c r="C79" s="3" t="s">
        <v>49</v>
      </c>
      <c r="D79" s="3" t="s">
        <v>154</v>
      </c>
      <c r="E79" s="3" t="s">
        <v>84</v>
      </c>
      <c r="F79" s="3" t="s">
        <v>41</v>
      </c>
      <c r="G79" s="3" t="s">
        <v>37</v>
      </c>
      <c r="H79" s="3" t="s">
        <v>23</v>
      </c>
      <c r="I79" s="7">
        <v>51.31</v>
      </c>
      <c r="J79" s="1">
        <v>3</v>
      </c>
      <c r="K79" s="9">
        <v>0.2</v>
      </c>
      <c r="L79" s="7">
        <f t="shared" si="1"/>
        <v>123.14400000000001</v>
      </c>
      <c r="M79" s="11" t="s">
        <v>155</v>
      </c>
      <c r="N79" s="1" t="str">
        <f>IF($E79 = "Los Angeles", "Millville", $E79)</f>
        <v>San Francisco</v>
      </c>
      <c r="O79" s="11" t="str">
        <f>_xlfn.CONCAT(_xlfn.XLOOKUP(G79,Dashboard!$C$13:$F$13,Dashboard!$C$14:$F$14),"-",M79)</f>
        <v>401-598-2428</v>
      </c>
    </row>
    <row r="80" spans="1:15" ht="19.95" customHeight="1" x14ac:dyDescent="0.25">
      <c r="A80" s="5">
        <f ca="1">DATE(YEAR(TODAY())-1,9,17)</f>
        <v>44456</v>
      </c>
      <c r="B80" s="5">
        <f ca="1">DATE(YEAR(TODAY())-1,9,22)</f>
        <v>44461</v>
      </c>
      <c r="C80" s="3" t="s">
        <v>20</v>
      </c>
      <c r="D80" s="3" t="s">
        <v>232</v>
      </c>
      <c r="E80" s="3" t="s">
        <v>84</v>
      </c>
      <c r="F80" s="3" t="s">
        <v>41</v>
      </c>
      <c r="G80" s="3" t="s">
        <v>37</v>
      </c>
      <c r="H80" s="3" t="s">
        <v>23</v>
      </c>
      <c r="I80" s="7">
        <v>143.69999999999999</v>
      </c>
      <c r="J80" s="1">
        <v>3</v>
      </c>
      <c r="K80" s="9">
        <v>0</v>
      </c>
      <c r="L80" s="7">
        <f t="shared" si="1"/>
        <v>431.09999999999997</v>
      </c>
      <c r="M80" s="11" t="s">
        <v>233</v>
      </c>
      <c r="N80" s="1" t="str">
        <f>IF($E80 = "Los Angeles", "Millville", $E80)</f>
        <v>San Francisco</v>
      </c>
      <c r="O80" s="11" t="str">
        <f>_xlfn.CONCAT(_xlfn.XLOOKUP(G80,Dashboard!$C$13:$F$13,Dashboard!$C$14:$F$14),"-",M80)</f>
        <v>401-496-0011</v>
      </c>
    </row>
    <row r="81" spans="1:15" ht="19.95" customHeight="1" x14ac:dyDescent="0.25">
      <c r="A81" s="5">
        <f ca="1">DATE(YEAR(TODAY())-4,8,26)</f>
        <v>43338</v>
      </c>
      <c r="B81" s="5">
        <f ca="1">DATE(YEAR(TODAY())-4,8,31)</f>
        <v>43343</v>
      </c>
      <c r="C81" s="3" t="s">
        <v>13</v>
      </c>
      <c r="D81" s="3" t="s">
        <v>277</v>
      </c>
      <c r="E81" s="3" t="s">
        <v>84</v>
      </c>
      <c r="F81" s="3" t="s">
        <v>41</v>
      </c>
      <c r="G81" s="3" t="s">
        <v>37</v>
      </c>
      <c r="H81" s="3" t="s">
        <v>32</v>
      </c>
      <c r="I81" s="7">
        <v>213.48</v>
      </c>
      <c r="J81" s="1">
        <v>3</v>
      </c>
      <c r="K81" s="9">
        <v>0.2</v>
      </c>
      <c r="L81" s="7">
        <f t="shared" si="1"/>
        <v>512.35199999999998</v>
      </c>
      <c r="M81" s="11" t="s">
        <v>278</v>
      </c>
      <c r="N81" s="1" t="str">
        <f>IF($E81 = "Los Angeles", "Millville", $E81)</f>
        <v>San Francisco</v>
      </c>
      <c r="O81" s="11" t="str">
        <f>_xlfn.CONCAT(_xlfn.XLOOKUP(G81,Dashboard!$C$13:$F$13,Dashboard!$C$14:$F$14),"-",M81)</f>
        <v>401-496-0027</v>
      </c>
    </row>
    <row r="82" spans="1:15" ht="19.95" customHeight="1" x14ac:dyDescent="0.25">
      <c r="A82" s="5">
        <f ca="1">DATE(YEAR(TODAY())-3,5,29)</f>
        <v>43614</v>
      </c>
      <c r="B82" s="5">
        <f ca="1">DATE(YEAR(TODAY())-3,5,31)</f>
        <v>43616</v>
      </c>
      <c r="C82" s="3" t="s">
        <v>49</v>
      </c>
      <c r="D82" s="3" t="s">
        <v>249</v>
      </c>
      <c r="E82" s="3" t="s">
        <v>250</v>
      </c>
      <c r="F82" s="3" t="s">
        <v>41</v>
      </c>
      <c r="G82" s="3" t="s">
        <v>37</v>
      </c>
      <c r="H82" s="3" t="s">
        <v>23</v>
      </c>
      <c r="I82" s="7">
        <v>105.52</v>
      </c>
      <c r="J82" s="1">
        <v>4</v>
      </c>
      <c r="K82" s="9">
        <v>0</v>
      </c>
      <c r="L82" s="7">
        <f t="shared" si="1"/>
        <v>422.08</v>
      </c>
      <c r="M82" s="11" t="s">
        <v>251</v>
      </c>
      <c r="N82" s="1" t="str">
        <f>IF($E82 = "Los Angeles", "Millville", $E82)</f>
        <v>San Jose</v>
      </c>
      <c r="O82" s="11" t="str">
        <f>_xlfn.CONCAT(_xlfn.XLOOKUP(G82,Dashboard!$C$13:$F$13,Dashboard!$C$14:$F$14),"-",M82)</f>
        <v>401-496-0017</v>
      </c>
    </row>
    <row r="83" spans="1:15" ht="19.95" customHeight="1" x14ac:dyDescent="0.25">
      <c r="A83" s="5">
        <f ca="1">DATE(YEAR(TODAY())-3,11,11)</f>
        <v>43780</v>
      </c>
      <c r="B83" s="5">
        <f ca="1">DATE(YEAR(TODAY())-3,11,15)</f>
        <v>43784</v>
      </c>
      <c r="C83" s="3" t="s">
        <v>20</v>
      </c>
      <c r="D83" s="3" t="s">
        <v>164</v>
      </c>
      <c r="E83" s="3" t="s">
        <v>165</v>
      </c>
      <c r="F83" s="3" t="s">
        <v>166</v>
      </c>
      <c r="G83" s="3" t="s">
        <v>37</v>
      </c>
      <c r="H83" s="3" t="s">
        <v>32</v>
      </c>
      <c r="I83" s="7">
        <v>238.9</v>
      </c>
      <c r="J83" s="1">
        <v>6</v>
      </c>
      <c r="K83" s="9">
        <v>0.2</v>
      </c>
      <c r="L83" s="7">
        <f t="shared" si="1"/>
        <v>1146.72</v>
      </c>
      <c r="M83" s="11" t="s">
        <v>103</v>
      </c>
      <c r="N83" s="1" t="str">
        <f>IF($E83 = "Los Angeles", "Millville", $E83)</f>
        <v>Aurora</v>
      </c>
      <c r="O83" s="11" t="str">
        <f>_xlfn.CONCAT(_xlfn.XLOOKUP(G83,Dashboard!$C$13:$F$13,Dashboard!$C$14:$F$14),"-",M83)</f>
        <v>401-496-1873</v>
      </c>
    </row>
    <row r="84" spans="1:15" ht="19.95" customHeight="1" x14ac:dyDescent="0.25">
      <c r="A84" s="5">
        <f ca="1">DATE(YEAR(TODAY())-2,11,15)</f>
        <v>44150</v>
      </c>
      <c r="B84" s="5">
        <f ca="1">DATE(YEAR(TODAY())-2,11,19)</f>
        <v>44154</v>
      </c>
      <c r="C84" s="3" t="s">
        <v>20</v>
      </c>
      <c r="D84" s="3" t="s">
        <v>226</v>
      </c>
      <c r="E84" s="3" t="s">
        <v>227</v>
      </c>
      <c r="F84" s="3" t="s">
        <v>228</v>
      </c>
      <c r="G84" s="3" t="s">
        <v>37</v>
      </c>
      <c r="H84" s="3" t="s">
        <v>23</v>
      </c>
      <c r="I84" s="7">
        <v>28.4</v>
      </c>
      <c r="J84" s="1">
        <v>5</v>
      </c>
      <c r="K84" s="9">
        <v>0</v>
      </c>
      <c r="L84" s="7">
        <f t="shared" si="1"/>
        <v>142</v>
      </c>
      <c r="M84" s="11" t="s">
        <v>229</v>
      </c>
      <c r="N84" s="1" t="str">
        <f>IF($E84 = "Los Angeles", "Millville", $E84)</f>
        <v>Carlsbad</v>
      </c>
      <c r="O84" s="11" t="str">
        <f>_xlfn.CONCAT(_xlfn.XLOOKUP(G84,Dashboard!$C$13:$F$13,Dashboard!$C$14:$F$14),"-",M84)</f>
        <v>401-496-0009</v>
      </c>
    </row>
    <row r="85" spans="1:15" ht="19.95" customHeight="1" x14ac:dyDescent="0.25">
      <c r="A85" s="5">
        <f ca="1">DATE(YEAR(TODAY())-1,11,5)</f>
        <v>44505</v>
      </c>
      <c r="B85" s="5">
        <f ca="1">DATE(YEAR(TODAY())-1,11,11)</f>
        <v>44511</v>
      </c>
      <c r="C85" s="3" t="s">
        <v>20</v>
      </c>
      <c r="D85" s="3" t="s">
        <v>220</v>
      </c>
      <c r="E85" s="3" t="s">
        <v>221</v>
      </c>
      <c r="F85" s="3" t="s">
        <v>222</v>
      </c>
      <c r="G85" s="3" t="s">
        <v>37</v>
      </c>
      <c r="H85" s="3" t="s">
        <v>23</v>
      </c>
      <c r="I85" s="7">
        <v>5.68</v>
      </c>
      <c r="J85" s="1">
        <v>1</v>
      </c>
      <c r="K85" s="9">
        <v>0.7</v>
      </c>
      <c r="L85" s="7">
        <f t="shared" si="1"/>
        <v>1.7040000000000002</v>
      </c>
      <c r="M85" s="11" t="s">
        <v>223</v>
      </c>
      <c r="N85" s="1" t="str">
        <f>IF($E85 = "Los Angeles", "Millville", $E85)</f>
        <v>Portland</v>
      </c>
      <c r="O85" s="11" t="str">
        <f>_xlfn.CONCAT(_xlfn.XLOOKUP(G85,Dashboard!$C$13:$F$13,Dashboard!$C$14:$F$14),"-",M85)</f>
        <v>401-496-0007</v>
      </c>
    </row>
    <row r="86" spans="1:15" ht="19.95" customHeight="1" x14ac:dyDescent="0.25">
      <c r="A86" s="5">
        <f ca="1">DATE(YEAR(TODAY())-3,9,23)</f>
        <v>43731</v>
      </c>
      <c r="B86" s="5">
        <f ca="1">DATE(YEAR(TODAY())-3,9,28)</f>
        <v>43736</v>
      </c>
      <c r="C86" s="3" t="s">
        <v>20</v>
      </c>
      <c r="D86" s="3" t="s">
        <v>90</v>
      </c>
      <c r="E86" s="3" t="s">
        <v>91</v>
      </c>
      <c r="F86" s="3" t="s">
        <v>92</v>
      </c>
      <c r="G86" s="3" t="s">
        <v>37</v>
      </c>
      <c r="H86" s="3" t="s">
        <v>18</v>
      </c>
      <c r="I86" s="7">
        <v>1044.6300000000001</v>
      </c>
      <c r="J86" s="1">
        <v>3</v>
      </c>
      <c r="K86" s="9">
        <v>0</v>
      </c>
      <c r="L86" s="7">
        <f t="shared" si="1"/>
        <v>3133.8900000000003</v>
      </c>
      <c r="M86" s="11" t="s">
        <v>93</v>
      </c>
      <c r="N86" s="1" t="str">
        <f>IF($E86 = "Los Angeles", "Millville", $E86)</f>
        <v>Orem</v>
      </c>
      <c r="O86" s="11" t="str">
        <f>_xlfn.CONCAT(_xlfn.XLOOKUP(G86,Dashboard!$C$13:$F$13,Dashboard!$C$14:$F$14),"-",M86)</f>
        <v>401-598-2673</v>
      </c>
    </row>
    <row r="87" spans="1:15" ht="19.95" customHeight="1" x14ac:dyDescent="0.25">
      <c r="A87" s="5">
        <f ca="1">DATE(YEAR(TODAY())-4,2,28)</f>
        <v>43159</v>
      </c>
      <c r="B87" s="5">
        <f ca="1">DATE(YEAR(TODAY())-4,3,5)</f>
        <v>43164</v>
      </c>
      <c r="C87" s="3" t="s">
        <v>13</v>
      </c>
      <c r="D87" s="3" t="s">
        <v>72</v>
      </c>
      <c r="E87" s="3" t="s">
        <v>73</v>
      </c>
      <c r="F87" s="3" t="s">
        <v>74</v>
      </c>
      <c r="G87" s="3" t="s">
        <v>37</v>
      </c>
      <c r="H87" s="3" t="s">
        <v>18</v>
      </c>
      <c r="I87" s="7">
        <v>457.57</v>
      </c>
      <c r="J87" s="1">
        <v>2</v>
      </c>
      <c r="K87" s="9">
        <v>0.2</v>
      </c>
      <c r="L87" s="7">
        <f t="shared" si="1"/>
        <v>732.11200000000008</v>
      </c>
      <c r="M87" s="11" t="s">
        <v>75</v>
      </c>
      <c r="N87" s="1" t="str">
        <f>IF($E87 = "Los Angeles", "Millville", $E87)</f>
        <v>Seattle</v>
      </c>
      <c r="O87" s="11" t="str">
        <f>_xlfn.CONCAT(_xlfn.XLOOKUP(G87,Dashboard!$C$13:$F$13,Dashboard!$C$14:$F$14),"-",M87)</f>
        <v>401-496-1722</v>
      </c>
    </row>
    <row r="88" spans="1:15" ht="19.95" customHeight="1" x14ac:dyDescent="0.25">
      <c r="A88" s="5">
        <f ca="1">DATE(YEAR(TODAY())-3,2,29)</f>
        <v>43525</v>
      </c>
      <c r="B88" s="5">
        <f ca="1">DATE(YEAR(TODAY())-3,3,4)</f>
        <v>43528</v>
      </c>
      <c r="C88" s="3" t="s">
        <v>20</v>
      </c>
      <c r="D88" s="3" t="s">
        <v>279</v>
      </c>
      <c r="E88" s="3" t="s">
        <v>73</v>
      </c>
      <c r="F88" s="3" t="s">
        <v>74</v>
      </c>
      <c r="G88" s="3" t="s">
        <v>37</v>
      </c>
      <c r="H88" s="3" t="s">
        <v>18</v>
      </c>
      <c r="I88" s="7">
        <v>787.53</v>
      </c>
      <c r="J88" s="1">
        <v>3</v>
      </c>
      <c r="K88" s="9">
        <v>0</v>
      </c>
      <c r="L88" s="7">
        <f t="shared" si="1"/>
        <v>2362.59</v>
      </c>
      <c r="M88" s="11" t="s">
        <v>76</v>
      </c>
      <c r="N88" s="1" t="str">
        <f>IF($E88 = "Los Angeles", "Millville", $E88)</f>
        <v>Seattle</v>
      </c>
      <c r="O88" s="11" t="str">
        <f>_xlfn.CONCAT(_xlfn.XLOOKUP(G88,Dashboard!$C$13:$F$13,Dashboard!$C$14:$F$14),"-",M88)</f>
        <v>401-496-1697</v>
      </c>
    </row>
    <row r="89" spans="1:15" ht="19.95" customHeight="1" x14ac:dyDescent="0.25">
      <c r="A89" s="5">
        <f ca="1">DATE(YEAR(TODAY())-2,12,4)</f>
        <v>44169</v>
      </c>
      <c r="B89" s="5">
        <f ca="1">DATE(YEAR(TODAY())-2,12,9)</f>
        <v>44174</v>
      </c>
      <c r="C89" s="3" t="s">
        <v>20</v>
      </c>
      <c r="D89" s="3" t="s">
        <v>123</v>
      </c>
      <c r="E89" s="3" t="s">
        <v>73</v>
      </c>
      <c r="F89" s="3" t="s">
        <v>74</v>
      </c>
      <c r="G89" s="3" t="s">
        <v>37</v>
      </c>
      <c r="H89" s="3" t="s">
        <v>23</v>
      </c>
      <c r="I89" s="7">
        <v>407.98</v>
      </c>
      <c r="J89" s="1">
        <v>3</v>
      </c>
      <c r="K89" s="9">
        <v>0.2</v>
      </c>
      <c r="L89" s="7">
        <f t="shared" si="1"/>
        <v>979.15200000000004</v>
      </c>
      <c r="M89" s="11" t="s">
        <v>99</v>
      </c>
      <c r="N89" s="1" t="str">
        <f>IF($E89 = "Los Angeles", "Millville", $E89)</f>
        <v>Seattle</v>
      </c>
      <c r="O89" s="11" t="str">
        <f>_xlfn.CONCAT(_xlfn.XLOOKUP(G89,Dashboard!$C$13:$F$13,Dashboard!$C$14:$F$14),"-",M89)</f>
        <v>401-496-1770</v>
      </c>
    </row>
    <row r="90" spans="1:15" ht="19.95" customHeight="1" x14ac:dyDescent="0.25">
      <c r="A90" s="5">
        <f ca="1">DATE(YEAR(TODAY())-2,11,6)</f>
        <v>44141</v>
      </c>
      <c r="B90" s="5">
        <f ca="1">DATE(YEAR(TODAY())-2,11,10)</f>
        <v>44145</v>
      </c>
      <c r="C90" s="3" t="s">
        <v>20</v>
      </c>
      <c r="D90" s="3" t="s">
        <v>186</v>
      </c>
      <c r="E90" s="3" t="s">
        <v>73</v>
      </c>
      <c r="F90" s="3" t="s">
        <v>74</v>
      </c>
      <c r="G90" s="3" t="s">
        <v>37</v>
      </c>
      <c r="H90" s="3" t="s">
        <v>23</v>
      </c>
      <c r="I90" s="7">
        <v>27.68</v>
      </c>
      <c r="J90" s="1">
        <v>2</v>
      </c>
      <c r="K90" s="9">
        <v>0.2</v>
      </c>
      <c r="L90" s="7">
        <f t="shared" si="1"/>
        <v>44.288000000000004</v>
      </c>
      <c r="M90" s="11" t="s">
        <v>187</v>
      </c>
      <c r="N90" s="1" t="str">
        <f>IF($E90 = "Los Angeles", "Millville", $E90)</f>
        <v>Seattle</v>
      </c>
      <c r="O90" s="11" t="str">
        <f>_xlfn.CONCAT(_xlfn.XLOOKUP(G90,Dashboard!$C$13:$F$13,Dashboard!$C$14:$F$14),"-",M90)</f>
        <v>401-598-2211</v>
      </c>
    </row>
    <row r="91" spans="1:15" ht="19.95" customHeight="1" x14ac:dyDescent="0.25">
      <c r="A91" s="5">
        <f ca="1">DATE(YEAR(TODAY())-3,5,26)</f>
        <v>43611</v>
      </c>
      <c r="B91" s="5">
        <f ca="1">DATE(YEAR(TODAY())-3,6,1)</f>
        <v>43617</v>
      </c>
      <c r="C91" s="3" t="s">
        <v>20</v>
      </c>
      <c r="D91" s="3" t="s">
        <v>188</v>
      </c>
      <c r="E91" s="3" t="s">
        <v>73</v>
      </c>
      <c r="F91" s="3" t="s">
        <v>74</v>
      </c>
      <c r="G91" s="3" t="s">
        <v>37</v>
      </c>
      <c r="H91" s="3" t="s">
        <v>23</v>
      </c>
      <c r="I91" s="7">
        <v>6.63</v>
      </c>
      <c r="J91" s="1">
        <v>3</v>
      </c>
      <c r="K91" s="9">
        <v>0</v>
      </c>
      <c r="L91" s="7">
        <f t="shared" si="1"/>
        <v>19.89</v>
      </c>
      <c r="M91" s="11" t="s">
        <v>189</v>
      </c>
      <c r="N91" s="1" t="str">
        <f>IF($E91 = "Los Angeles", "Millville", $E91)</f>
        <v>Seattle</v>
      </c>
      <c r="O91" s="11" t="str">
        <f>_xlfn.CONCAT(_xlfn.XLOOKUP(G91,Dashboard!$C$13:$F$13,Dashboard!$C$14:$F$14),"-",M91)</f>
        <v>401-598-2632</v>
      </c>
    </row>
    <row r="93" spans="1:15" ht="19.95" customHeight="1" x14ac:dyDescent="0.25">
      <c r="I93" s="7" t="s">
        <v>284</v>
      </c>
    </row>
    <row r="94" spans="1:15" ht="19.95" customHeight="1" x14ac:dyDescent="0.25">
      <c r="I94" s="7">
        <f>SUM(I1:I91)</f>
        <v>36893.509999999987</v>
      </c>
      <c r="J94" s="7">
        <f t="shared" ref="J94:L94" si="2">SUM(J1:J91)</f>
        <v>360</v>
      </c>
      <c r="K94" s="7">
        <f t="shared" si="2"/>
        <v>13.969999999999988</v>
      </c>
      <c r="L94" s="7">
        <f t="shared" si="2"/>
        <v>166764.5970000001</v>
      </c>
    </row>
    <row r="95" spans="1:15" ht="19.95" customHeight="1" x14ac:dyDescent="0.25">
      <c r="L95" s="7">
        <f>SUM(L66,L63,L61,L50,L38,L30,L29,L28,L19)</f>
        <v>108217.209</v>
      </c>
    </row>
    <row r="96" spans="1:15" ht="19.95" customHeight="1" x14ac:dyDescent="0.25">
      <c r="L96" s="1">
        <f>L95/L94</f>
        <v>0.6489219591374058</v>
      </c>
    </row>
  </sheetData>
  <sheetProtection sheet="1" objects="1" scenarios="1"/>
  <autoFilter ref="A1:N91" xr:uid="{6F8490DA-F458-49B0-B562-EC036EEBA752}">
    <sortState xmlns:xlrd2="http://schemas.microsoft.com/office/spreadsheetml/2017/richdata2" ref="A2:N91">
      <sortCondition ref="G2:G91"/>
      <sortCondition ref="F2:F91"/>
      <sortCondition ref="E2:E91"/>
    </sortState>
  </autoFilter>
  <conditionalFormatting sqref="A2:N91">
    <cfRule type="expression" dxfId="3" priority="3">
      <formula>$H2="Technology"</formula>
    </cfRule>
  </conditionalFormatting>
  <conditionalFormatting sqref="L2:L91">
    <cfRule type="top10" dxfId="2" priority="1" percent="1" rank="10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FCF2BFB5-18A8-40B7-AABB-E934C7A8CCE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5</xm:f>
              </x14:cfvo>
              <x14:cfIcon iconSet="NoIcons" iconId="0"/>
              <x14:cfIcon iconSet="NoIcons" iconId="0"/>
              <x14:cfIcon iconSet="3Symbols2" iconId="2"/>
            </x14:iconSet>
          </x14:cfRule>
          <xm:sqref>J2:J91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73E5-4CFC-4259-856D-F014DBB64CF8}">
  <sheetPr>
    <tabColor theme="8" tint="0.79998168889431442"/>
  </sheetPr>
  <dimension ref="B2:B4"/>
  <sheetViews>
    <sheetView workbookViewId="0">
      <selection activeCell="B2" sqref="B2"/>
    </sheetView>
  </sheetViews>
  <sheetFormatPr defaultRowHeight="13.8" x14ac:dyDescent="0.25"/>
  <cols>
    <col min="2" max="2" width="28.19921875" customWidth="1"/>
  </cols>
  <sheetData>
    <row r="2" spans="2:2" ht="165.6" x14ac:dyDescent="0.25">
      <c r="B2" s="32" t="s">
        <v>283</v>
      </c>
    </row>
    <row r="4" spans="2:2" ht="82.8" x14ac:dyDescent="0.25">
      <c r="B4" s="32" t="s">
        <v>285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Dashboard</vt:lpstr>
      <vt:lpstr>Orders</vt:lpstr>
      <vt:lpstr>Insights</vt:lpstr>
      <vt:lpstr>customer_names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2022-11-12T03:54:30Z</dcterms:modified>
</cp:coreProperties>
</file>