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jerdmann_ethz_ch/Documents/UST/"/>
    </mc:Choice>
  </mc:AlternateContent>
  <xr:revisionPtr revIDLastSave="8087" documentId="11_92483E2D04E89AD36523F29B863E8C1851038389" xr6:coauthVersionLast="47" xr6:coauthVersionMax="47" xr10:uidLastSave="{8A1057A3-029A-4DCD-81DA-98DFE8C32E0E}"/>
  <bookViews>
    <workbookView xWindow="-110" yWindow="-110" windowWidth="19420" windowHeight="10300" xr2:uid="{00000000-000D-0000-FFFF-FFFF00000000}"/>
  </bookViews>
  <sheets>
    <sheet name="Tabelle1" sheetId="1" r:id="rId1"/>
    <sheet name="Calculation" sheetId="2" r:id="rId2"/>
    <sheet name="Calculation 20%" sheetId="5" r:id="rId3"/>
    <sheet name="Wage density" sheetId="6" r:id="rId4"/>
    <sheet name="First try" sheetId="7" r:id="rId5"/>
    <sheet name="Productivity density" sheetId="8" r:id="rId6"/>
    <sheet name="The Coolest Model" sheetId="3" r:id="rId7"/>
    <sheet name="Wage Asset link" sheetId="9" r:id="rId8"/>
    <sheet name="The Cooler Model" sheetId="4" r:id="rId9"/>
    <sheet name="Density Housing Prices Link" sheetId="10" r:id="rId10"/>
  </sheets>
  <definedNames>
    <definedName name="lambda_1" localSheetId="2">'Calculation 20%'!$B$32</definedName>
    <definedName name="lambda_1">Calculation!$B$32</definedName>
    <definedName name="lambda_2" localSheetId="2">'Calculation 20%'!$B$33</definedName>
    <definedName name="lambda_2">Calculation!$B$33</definedName>
    <definedName name="lambda_3" localSheetId="2">'Calculation 20%'!$B$34</definedName>
    <definedName name="lambda_3">Calculation!$B$34</definedName>
    <definedName name="risk_factor" localSheetId="2">'Calculation 20%'!$B$31</definedName>
    <definedName name="risk_factor">Calculation!$B$31</definedName>
    <definedName name="solver_adj" localSheetId="1" hidden="1">Calculation!$D$2:$D$13</definedName>
    <definedName name="solver_adj" localSheetId="2" hidden="1">'Calculation 20%'!$B$19:$E$19</definedName>
    <definedName name="solver_adj" localSheetId="4" hidden="1">'First try'!$I$2:$I$13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drv" localSheetId="1" hidden="1">2</definedName>
    <definedName name="solver_drv" localSheetId="2" hidden="1">1</definedName>
    <definedName name="solver_drv" localSheetId="4" hidden="1">1</definedName>
    <definedName name="solver_eng" localSheetId="1" hidden="1">2</definedName>
    <definedName name="solver_eng" localSheetId="2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lhs1" localSheetId="1" hidden="1">Calculation!$M$2:$M$13</definedName>
    <definedName name="solver_lhs1" localSheetId="2" hidden="1">'Calculation 20%'!$B$19:$E$19</definedName>
    <definedName name="solver_lhs1" localSheetId="4" hidden="1">'First try'!$I$2:$I$13</definedName>
    <definedName name="solver_lhs2" localSheetId="2" hidden="1">'Calculation 20%'!$B$19:$E$19</definedName>
    <definedName name="solver_lhs2" localSheetId="4" hidden="1">'First try'!$I$2:$I$13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um" localSheetId="1" hidden="1">1</definedName>
    <definedName name="solver_num" localSheetId="2" hidden="1">2</definedName>
    <definedName name="solver_num" localSheetId="4" hidden="1">0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opt" localSheetId="1" hidden="1">Calculation!$K$1</definedName>
    <definedName name="solver_opt" localSheetId="2" hidden="1">'Calculation 20%'!$S$2</definedName>
    <definedName name="solver_opt" localSheetId="4" hidden="1">'First try'!$N$14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rbv" localSheetId="1" hidden="1">2</definedName>
    <definedName name="solver_rbv" localSheetId="2" hidden="1">1</definedName>
    <definedName name="solver_rbv" localSheetId="4" hidden="1">1</definedName>
    <definedName name="solver_rel1" localSheetId="1" hidden="1">2</definedName>
    <definedName name="solver_rel1" localSheetId="2" hidden="1">1</definedName>
    <definedName name="solver_rel1" localSheetId="4" hidden="1">3</definedName>
    <definedName name="solver_rel2" localSheetId="2" hidden="1">3</definedName>
    <definedName name="solver_rel2" localSheetId="4" hidden="1">3</definedName>
    <definedName name="solver_rhs1" localSheetId="1" hidden="1">Calculation!$N$2:$N$13</definedName>
    <definedName name="solver_rhs1" localSheetId="2" hidden="1">1</definedName>
    <definedName name="solver_rhs1" localSheetId="4" hidden="1">0.1</definedName>
    <definedName name="solver_rhs2" localSheetId="2" hidden="1">0.1</definedName>
    <definedName name="solver_rhs2" localSheetId="4" hidden="1">0.1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scl" localSheetId="1" hidden="1">2</definedName>
    <definedName name="solver_scl" localSheetId="2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yp" localSheetId="1" hidden="1">3</definedName>
    <definedName name="solver_typ" localSheetId="2" hidden="1">2</definedName>
    <definedName name="solver_typ" localSheetId="4" hidden="1">3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4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K36" i="1"/>
  <c r="K37" i="1"/>
  <c r="K38" i="1"/>
  <c r="K39" i="1"/>
  <c r="K40" i="1"/>
  <c r="K41" i="1"/>
  <c r="K42" i="1"/>
  <c r="K43" i="1"/>
  <c r="K44" i="1"/>
  <c r="K45" i="1"/>
  <c r="K46" i="1"/>
  <c r="K47" i="1"/>
  <c r="J37" i="1"/>
  <c r="J38" i="1"/>
  <c r="J39" i="1"/>
  <c r="J40" i="1"/>
  <c r="J41" i="1"/>
  <c r="J42" i="1"/>
  <c r="J43" i="1"/>
  <c r="J44" i="1"/>
  <c r="J45" i="1"/>
  <c r="J46" i="1"/>
  <c r="J47" i="1"/>
  <c r="J36" i="1"/>
  <c r="J34" i="1"/>
  <c r="X9" i="1"/>
  <c r="T10" i="1"/>
  <c r="J34" i="3"/>
  <c r="X2" i="1"/>
  <c r="O18" i="1"/>
  <c r="U2" i="1" l="1"/>
  <c r="E4" i="10"/>
  <c r="E5" i="10"/>
  <c r="E6" i="10"/>
  <c r="E7" i="10"/>
  <c r="E8" i="10"/>
  <c r="E9" i="10"/>
  <c r="E10" i="10"/>
  <c r="E11" i="10"/>
  <c r="E12" i="10"/>
  <c r="E13" i="10"/>
  <c r="E14" i="10"/>
  <c r="E3" i="10"/>
  <c r="D5" i="10"/>
  <c r="D6" i="10"/>
  <c r="D7" i="10"/>
  <c r="D8" i="10"/>
  <c r="D9" i="10"/>
  <c r="D10" i="10"/>
  <c r="D11" i="10"/>
  <c r="D12" i="10"/>
  <c r="D13" i="10"/>
  <c r="D14" i="10"/>
  <c r="D3" i="10"/>
  <c r="D4" i="10"/>
  <c r="H4" i="9"/>
  <c r="H5" i="9"/>
  <c r="H6" i="9"/>
  <c r="H7" i="9"/>
  <c r="H8" i="9"/>
  <c r="H9" i="9"/>
  <c r="H10" i="9"/>
  <c r="H11" i="9"/>
  <c r="H12" i="9"/>
  <c r="H13" i="9"/>
  <c r="H14" i="9"/>
  <c r="H3" i="9"/>
  <c r="F4" i="9"/>
  <c r="F5" i="9"/>
  <c r="F6" i="9"/>
  <c r="F7" i="9"/>
  <c r="F8" i="9"/>
  <c r="F9" i="9"/>
  <c r="F10" i="9"/>
  <c r="F11" i="9"/>
  <c r="F12" i="9"/>
  <c r="F13" i="9"/>
  <c r="F14" i="9"/>
  <c r="F3" i="9"/>
  <c r="P2" i="7"/>
  <c r="H2" i="7"/>
  <c r="B14" i="7"/>
  <c r="H9" i="7"/>
  <c r="H10" i="7"/>
  <c r="E5" i="6"/>
  <c r="E6" i="6"/>
  <c r="E7" i="6"/>
  <c r="E8" i="6"/>
  <c r="E11" i="6"/>
  <c r="E12" i="6"/>
  <c r="E13" i="6"/>
  <c r="E14" i="6"/>
  <c r="E15" i="6"/>
  <c r="E16" i="6"/>
  <c r="E17" i="6"/>
  <c r="D5" i="6"/>
  <c r="H3" i="7" s="1"/>
  <c r="D6" i="6"/>
  <c r="H4" i="7" s="1"/>
  <c r="D7" i="6"/>
  <c r="H5" i="7" s="1"/>
  <c r="D8" i="6"/>
  <c r="H6" i="7" s="1"/>
  <c r="D9" i="6"/>
  <c r="D10" i="6"/>
  <c r="D11" i="6"/>
  <c r="D12" i="6"/>
  <c r="D13" i="6"/>
  <c r="H11" i="7" s="1"/>
  <c r="D14" i="6"/>
  <c r="H12" i="7" s="1"/>
  <c r="D15" i="6"/>
  <c r="H13" i="7" s="1"/>
  <c r="D4" i="6"/>
  <c r="E4" i="6" s="1"/>
  <c r="I3" i="5"/>
  <c r="I4" i="5"/>
  <c r="I5" i="5"/>
  <c r="I6" i="5"/>
  <c r="I7" i="5"/>
  <c r="I8" i="5"/>
  <c r="I9" i="5"/>
  <c r="I10" i="5"/>
  <c r="I11" i="5"/>
  <c r="I12" i="5"/>
  <c r="I13" i="5"/>
  <c r="I2" i="5"/>
  <c r="C2" i="5"/>
  <c r="C3" i="5"/>
  <c r="C4" i="5"/>
  <c r="C5" i="5"/>
  <c r="C6" i="5"/>
  <c r="C7" i="5"/>
  <c r="C8" i="5"/>
  <c r="C9" i="5"/>
  <c r="C10" i="5"/>
  <c r="C11" i="5"/>
  <c r="C12" i="5"/>
  <c r="C13" i="5"/>
  <c r="D15" i="2"/>
  <c r="B34" i="2"/>
  <c r="B33" i="2"/>
  <c r="B32" i="2"/>
  <c r="N3" i="2"/>
  <c r="N4" i="2"/>
  <c r="N5" i="2"/>
  <c r="N6" i="2"/>
  <c r="N7" i="2"/>
  <c r="N8" i="2"/>
  <c r="N9" i="2"/>
  <c r="N10" i="2"/>
  <c r="N11" i="2"/>
  <c r="N12" i="2"/>
  <c r="N13" i="2"/>
  <c r="N2" i="2"/>
  <c r="E19" i="2"/>
  <c r="E20" i="2"/>
  <c r="E21" i="2"/>
  <c r="E27" i="2"/>
  <c r="E28" i="2"/>
  <c r="E29" i="2"/>
  <c r="C19" i="2"/>
  <c r="C20" i="2"/>
  <c r="C21" i="2"/>
  <c r="C22" i="2"/>
  <c r="C23" i="2"/>
  <c r="C24" i="2"/>
  <c r="C25" i="2"/>
  <c r="C26" i="2"/>
  <c r="C27" i="2"/>
  <c r="C28" i="2"/>
  <c r="C29" i="2"/>
  <c r="C18" i="2"/>
  <c r="R3" i="1"/>
  <c r="R4" i="1"/>
  <c r="R5" i="1"/>
  <c r="R6" i="1"/>
  <c r="R7" i="1"/>
  <c r="R8" i="1"/>
  <c r="R9" i="1"/>
  <c r="R10" i="1"/>
  <c r="R11" i="1"/>
  <c r="R12" i="1"/>
  <c r="R13" i="1"/>
  <c r="R2" i="1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D46" i="3" s="1"/>
  <c r="E29" i="3"/>
  <c r="C30" i="3"/>
  <c r="C47" i="3" s="1"/>
  <c r="D30" i="3"/>
  <c r="E30" i="3"/>
  <c r="C31" i="3"/>
  <c r="D31" i="3"/>
  <c r="E31" i="3"/>
  <c r="C32" i="3"/>
  <c r="D32" i="3"/>
  <c r="E32" i="3"/>
  <c r="C33" i="3"/>
  <c r="D33" i="3"/>
  <c r="E33" i="3"/>
  <c r="C34" i="3"/>
  <c r="C51" i="3" s="1"/>
  <c r="D34" i="3"/>
  <c r="E34" i="3"/>
  <c r="C35" i="3"/>
  <c r="D35" i="3"/>
  <c r="E35" i="3"/>
  <c r="C36" i="3"/>
  <c r="D36" i="3"/>
  <c r="E36" i="3"/>
  <c r="B26" i="3"/>
  <c r="B27" i="3"/>
  <c r="B28" i="3"/>
  <c r="B29" i="3"/>
  <c r="B30" i="3"/>
  <c r="B31" i="3"/>
  <c r="B32" i="3"/>
  <c r="B33" i="3"/>
  <c r="B34" i="3"/>
  <c r="B35" i="3"/>
  <c r="B36" i="3"/>
  <c r="B25" i="3"/>
  <c r="Z3" i="1"/>
  <c r="F4" i="4" s="1"/>
  <c r="Z4" i="1"/>
  <c r="F5" i="4" s="1"/>
  <c r="Z5" i="1"/>
  <c r="F6" i="4" s="1"/>
  <c r="Z6" i="1"/>
  <c r="F7" i="4" s="1"/>
  <c r="Z7" i="1"/>
  <c r="F8" i="4" s="1"/>
  <c r="Z8" i="1"/>
  <c r="F9" i="4" s="1"/>
  <c r="Z9" i="1"/>
  <c r="F10" i="4" s="1"/>
  <c r="Z10" i="1"/>
  <c r="F11" i="4" s="1"/>
  <c r="Z11" i="1"/>
  <c r="F12" i="4" s="1"/>
  <c r="Z12" i="1"/>
  <c r="F13" i="4" s="1"/>
  <c r="Z13" i="1"/>
  <c r="F14" i="4" s="1"/>
  <c r="Z2" i="1"/>
  <c r="F3" i="4" s="1"/>
  <c r="Y3" i="3"/>
  <c r="Y4" i="3"/>
  <c r="Y5" i="3"/>
  <c r="Y6" i="3"/>
  <c r="Y7" i="3"/>
  <c r="Y8" i="3"/>
  <c r="Y9" i="3"/>
  <c r="Y10" i="3"/>
  <c r="Y11" i="3"/>
  <c r="Y12" i="3"/>
  <c r="Y13" i="3"/>
  <c r="Y2" i="3"/>
  <c r="Q3" i="1"/>
  <c r="Q4" i="1"/>
  <c r="Q5" i="1"/>
  <c r="Q6" i="1"/>
  <c r="E22" i="2" s="1"/>
  <c r="Q7" i="1"/>
  <c r="E23" i="2" s="1"/>
  <c r="Q8" i="1"/>
  <c r="E24" i="2" s="1"/>
  <c r="Q9" i="1"/>
  <c r="E25" i="2" s="1"/>
  <c r="Q10" i="1"/>
  <c r="E26" i="2" s="1"/>
  <c r="Q11" i="1"/>
  <c r="Q12" i="1"/>
  <c r="Q13" i="1"/>
  <c r="Q2" i="1"/>
  <c r="E18" i="2" s="1"/>
  <c r="E7" i="4"/>
  <c r="E3" i="4"/>
  <c r="C9" i="2"/>
  <c r="X3" i="1"/>
  <c r="X4" i="1"/>
  <c r="X5" i="1"/>
  <c r="X6" i="1"/>
  <c r="X7" i="1"/>
  <c r="X8" i="1"/>
  <c r="X10" i="1"/>
  <c r="X11" i="1"/>
  <c r="X12" i="1"/>
  <c r="X13" i="1"/>
  <c r="C2" i="2"/>
  <c r="C3" i="2"/>
  <c r="C4" i="2"/>
  <c r="C5" i="2"/>
  <c r="C6" i="2"/>
  <c r="C7" i="2"/>
  <c r="C8" i="2"/>
  <c r="C10" i="2"/>
  <c r="C11" i="2"/>
  <c r="C12" i="2"/>
  <c r="C13" i="2"/>
  <c r="D60" i="3"/>
  <c r="E60" i="3"/>
  <c r="F60" i="3"/>
  <c r="G60" i="3"/>
  <c r="H60" i="3"/>
  <c r="D61" i="3"/>
  <c r="D42" i="3" s="1"/>
  <c r="E61" i="3"/>
  <c r="F61" i="3"/>
  <c r="G61" i="3"/>
  <c r="H61" i="3"/>
  <c r="D62" i="3"/>
  <c r="E62" i="3"/>
  <c r="F62" i="3"/>
  <c r="G62" i="3"/>
  <c r="E52" i="3" s="1"/>
  <c r="H62" i="3"/>
  <c r="E59" i="3"/>
  <c r="B47" i="3" s="1"/>
  <c r="F59" i="3"/>
  <c r="G59" i="3"/>
  <c r="H59" i="3"/>
  <c r="D59" i="3"/>
  <c r="E43" i="3"/>
  <c r="C46" i="3"/>
  <c r="C50" i="3"/>
  <c r="C42" i="3"/>
  <c r="F25" i="3"/>
  <c r="K23" i="3"/>
  <c r="K22" i="3"/>
  <c r="O18" i="3"/>
  <c r="W13" i="3"/>
  <c r="U13" i="3"/>
  <c r="T13" i="3"/>
  <c r="O13" i="3"/>
  <c r="W12" i="3"/>
  <c r="U12" i="3"/>
  <c r="T12" i="3"/>
  <c r="O12" i="3"/>
  <c r="W11" i="3"/>
  <c r="U11" i="3"/>
  <c r="T11" i="3"/>
  <c r="O11" i="3"/>
  <c r="W10" i="3"/>
  <c r="U10" i="3"/>
  <c r="T10" i="3"/>
  <c r="O10" i="3"/>
  <c r="W9" i="3"/>
  <c r="U9" i="3"/>
  <c r="T9" i="3"/>
  <c r="O9" i="3"/>
  <c r="W8" i="3"/>
  <c r="U8" i="3"/>
  <c r="T8" i="3"/>
  <c r="O8" i="3"/>
  <c r="W7" i="3"/>
  <c r="U7" i="3"/>
  <c r="T7" i="3"/>
  <c r="O7" i="3"/>
  <c r="W6" i="3"/>
  <c r="U6" i="3"/>
  <c r="T6" i="3"/>
  <c r="O6" i="3"/>
  <c r="W5" i="3"/>
  <c r="U5" i="3"/>
  <c r="T5" i="3"/>
  <c r="O5" i="3"/>
  <c r="W4" i="3"/>
  <c r="U4" i="3"/>
  <c r="T4" i="3"/>
  <c r="O4" i="3"/>
  <c r="W3" i="3"/>
  <c r="U3" i="3"/>
  <c r="T3" i="3"/>
  <c r="O3" i="3"/>
  <c r="W2" i="3"/>
  <c r="U2" i="3"/>
  <c r="T2" i="3"/>
  <c r="O2" i="3"/>
  <c r="W3" i="1"/>
  <c r="W4" i="1"/>
  <c r="W5" i="1"/>
  <c r="E6" i="4" s="1"/>
  <c r="W6" i="1"/>
  <c r="W7" i="1"/>
  <c r="W8" i="1"/>
  <c r="W9" i="1"/>
  <c r="W10" i="1"/>
  <c r="W11" i="1"/>
  <c r="W12" i="1"/>
  <c r="W13" i="1"/>
  <c r="E14" i="4" s="1"/>
  <c r="W2" i="1"/>
  <c r="K23" i="1"/>
  <c r="U3" i="1"/>
  <c r="U4" i="1"/>
  <c r="U5" i="1"/>
  <c r="U6" i="1"/>
  <c r="U7" i="1"/>
  <c r="U8" i="1"/>
  <c r="U9" i="1"/>
  <c r="U10" i="1"/>
  <c r="U11" i="1"/>
  <c r="U12" i="1"/>
  <c r="U13" i="1"/>
  <c r="T3" i="1"/>
  <c r="E4" i="4" s="1"/>
  <c r="T4" i="1"/>
  <c r="E5" i="4" s="1"/>
  <c r="T5" i="1"/>
  <c r="T6" i="1"/>
  <c r="T7" i="1"/>
  <c r="T8" i="1"/>
  <c r="T9" i="1"/>
  <c r="E11" i="4"/>
  <c r="T11" i="1"/>
  <c r="E12" i="4" s="1"/>
  <c r="T12" i="1"/>
  <c r="E13" i="4" s="1"/>
  <c r="T13" i="1"/>
  <c r="K22" i="1"/>
  <c r="O3" i="1"/>
  <c r="O2" i="1"/>
  <c r="O4" i="1"/>
  <c r="O5" i="1"/>
  <c r="O6" i="1"/>
  <c r="O7" i="1"/>
  <c r="O8" i="1"/>
  <c r="O9" i="1"/>
  <c r="O10" i="1"/>
  <c r="O11" i="1"/>
  <c r="O12" i="1"/>
  <c r="O13" i="1"/>
  <c r="B53" i="3" l="1"/>
  <c r="C15" i="2"/>
  <c r="B46" i="3"/>
  <c r="E9" i="6"/>
  <c r="H7" i="7"/>
  <c r="H14" i="7" s="1"/>
  <c r="D50" i="3"/>
  <c r="B45" i="3"/>
  <c r="E9" i="4"/>
  <c r="B48" i="3"/>
  <c r="B52" i="3"/>
  <c r="D51" i="3"/>
  <c r="C15" i="5"/>
  <c r="E45" i="3"/>
  <c r="B43" i="3"/>
  <c r="B50" i="3"/>
  <c r="B49" i="3"/>
  <c r="B44" i="3"/>
  <c r="D45" i="3"/>
  <c r="E10" i="6"/>
  <c r="H8" i="7"/>
  <c r="B51" i="3"/>
  <c r="B42" i="3"/>
  <c r="E49" i="3"/>
  <c r="E10" i="4"/>
  <c r="D43" i="3"/>
  <c r="E10" i="2"/>
  <c r="N14" i="2"/>
  <c r="E51" i="3"/>
  <c r="E8" i="4"/>
  <c r="D47" i="3"/>
  <c r="F7" i="7" s="1"/>
  <c r="E48" i="3"/>
  <c r="C45" i="3"/>
  <c r="E42" i="3"/>
  <c r="E53" i="3"/>
  <c r="C43" i="3"/>
  <c r="B3" i="2" s="1"/>
  <c r="E46" i="3"/>
  <c r="B6" i="2" s="1"/>
  <c r="E47" i="3"/>
  <c r="B7" i="2" s="1"/>
  <c r="E44" i="3"/>
  <c r="L11" i="2"/>
  <c r="D44" i="3"/>
  <c r="C44" i="3"/>
  <c r="B2" i="2"/>
  <c r="B11" i="2"/>
  <c r="E11" i="2" s="1"/>
  <c r="B5" i="2"/>
  <c r="L5" i="2" s="1"/>
  <c r="B4" i="2"/>
  <c r="E4" i="2" s="1"/>
  <c r="C49" i="3"/>
  <c r="D53" i="3"/>
  <c r="D49" i="3"/>
  <c r="E50" i="3"/>
  <c r="B10" i="2" s="1"/>
  <c r="L10" i="2" s="1"/>
  <c r="C52" i="3"/>
  <c r="C48" i="3"/>
  <c r="D52" i="3"/>
  <c r="D48" i="3"/>
  <c r="C53" i="3"/>
  <c r="G7" i="7" l="1"/>
  <c r="E6" i="2"/>
  <c r="L6" i="2"/>
  <c r="L7" i="2"/>
  <c r="E7" i="2"/>
  <c r="L3" i="2"/>
  <c r="E3" i="2"/>
  <c r="B4" i="5"/>
  <c r="P4" i="5" s="1"/>
  <c r="F4" i="7"/>
  <c r="B5" i="5"/>
  <c r="P5" i="5" s="1"/>
  <c r="F5" i="7"/>
  <c r="B13" i="5"/>
  <c r="P13" i="5" s="1"/>
  <c r="F13" i="7"/>
  <c r="L4" i="2"/>
  <c r="F2" i="7"/>
  <c r="B2" i="5"/>
  <c r="B7" i="5"/>
  <c r="P7" i="5" s="1"/>
  <c r="B13" i="2"/>
  <c r="J7" i="7"/>
  <c r="F11" i="7"/>
  <c r="B11" i="5"/>
  <c r="P11" i="5" s="1"/>
  <c r="B9" i="5"/>
  <c r="P9" i="5" s="1"/>
  <c r="F9" i="7"/>
  <c r="F10" i="7"/>
  <c r="B10" i="5"/>
  <c r="P10" i="5" s="1"/>
  <c r="B12" i="5"/>
  <c r="P12" i="5" s="1"/>
  <c r="F12" i="7"/>
  <c r="F6" i="7"/>
  <c r="B6" i="5"/>
  <c r="P6" i="5" s="1"/>
  <c r="E5" i="2"/>
  <c r="F3" i="7"/>
  <c r="B3" i="5"/>
  <c r="P3" i="5" s="1"/>
  <c r="F8" i="7"/>
  <c r="B8" i="5"/>
  <c r="P8" i="5" s="1"/>
  <c r="B8" i="2"/>
  <c r="B12" i="2"/>
  <c r="B9" i="2"/>
  <c r="E2" i="2"/>
  <c r="L2" i="2"/>
  <c r="E9" i="2" l="1"/>
  <c r="L9" i="2"/>
  <c r="G12" i="7"/>
  <c r="D6" i="5"/>
  <c r="E6" i="5" s="1"/>
  <c r="F6" i="5" s="1"/>
  <c r="L13" i="2"/>
  <c r="M13" i="2" s="1"/>
  <c r="E13" i="2"/>
  <c r="F13" i="2" s="1"/>
  <c r="G13" i="2" s="1"/>
  <c r="H13" i="2" s="1"/>
  <c r="G5" i="7"/>
  <c r="G8" i="7"/>
  <c r="L12" i="2"/>
  <c r="E12" i="2"/>
  <c r="G6" i="7"/>
  <c r="G11" i="7"/>
  <c r="L8" i="2"/>
  <c r="M11" i="2" s="1"/>
  <c r="E8" i="2"/>
  <c r="F7" i="2" s="1"/>
  <c r="G7" i="2" s="1"/>
  <c r="H7" i="2" s="1"/>
  <c r="Q10" i="5"/>
  <c r="R10" i="5" s="1"/>
  <c r="S10" i="5" s="1"/>
  <c r="D9" i="5"/>
  <c r="E9" i="5" s="1"/>
  <c r="F9" i="5" s="1"/>
  <c r="G10" i="7"/>
  <c r="P2" i="5"/>
  <c r="Q2" i="5" s="1"/>
  <c r="R2" i="5" s="1"/>
  <c r="S2" i="5" s="1"/>
  <c r="B15" i="5"/>
  <c r="G4" i="7"/>
  <c r="Q9" i="5"/>
  <c r="R9" i="5" s="1"/>
  <c r="S9" i="5" s="1"/>
  <c r="G13" i="7"/>
  <c r="G3" i="7"/>
  <c r="G9" i="7"/>
  <c r="G2" i="7"/>
  <c r="Q4" i="5"/>
  <c r="R4" i="5" s="1"/>
  <c r="S4" i="5" s="1"/>
  <c r="M2" i="2"/>
  <c r="M4" i="2"/>
  <c r="M3" i="2"/>
  <c r="F2" i="2"/>
  <c r="G2" i="2" s="1"/>
  <c r="H2" i="2" s="1"/>
  <c r="F10" i="2"/>
  <c r="G10" i="2" s="1"/>
  <c r="H10" i="2" s="1"/>
  <c r="L15" i="2" l="1"/>
  <c r="F11" i="2"/>
  <c r="G11" i="2" s="1"/>
  <c r="H11" i="2" s="1"/>
  <c r="M12" i="2"/>
  <c r="Q13" i="5"/>
  <c r="R13" i="5" s="1"/>
  <c r="S13" i="5" s="1"/>
  <c r="F12" i="2"/>
  <c r="G12" i="2" s="1"/>
  <c r="H12" i="2" s="1"/>
  <c r="M9" i="2"/>
  <c r="Q3" i="5"/>
  <c r="R3" i="5" s="1"/>
  <c r="S3" i="5" s="1"/>
  <c r="F8" i="2"/>
  <c r="G8" i="2" s="1"/>
  <c r="H8" i="2" s="1"/>
  <c r="M5" i="2"/>
  <c r="M7" i="2"/>
  <c r="F4" i="2"/>
  <c r="G4" i="2" s="1"/>
  <c r="H4" i="2" s="1"/>
  <c r="Q7" i="5"/>
  <c r="R7" i="5" s="1"/>
  <c r="S7" i="5" s="1"/>
  <c r="J11" i="7"/>
  <c r="J13" i="7"/>
  <c r="G14" i="7"/>
  <c r="P7" i="7" s="1"/>
  <c r="Q7" i="7" s="1"/>
  <c r="J2" i="7"/>
  <c r="J12" i="7"/>
  <c r="J10" i="7"/>
  <c r="J5" i="7"/>
  <c r="Q11" i="5"/>
  <c r="R11" i="5" s="1"/>
  <c r="S11" i="5" s="1"/>
  <c r="M8" i="2"/>
  <c r="D5" i="5"/>
  <c r="E5" i="5" s="1"/>
  <c r="F5" i="5" s="1"/>
  <c r="D8" i="5"/>
  <c r="E8" i="5" s="1"/>
  <c r="F8" i="5" s="1"/>
  <c r="D3" i="5"/>
  <c r="E3" i="5" s="1"/>
  <c r="F3" i="5" s="1"/>
  <c r="D7" i="5"/>
  <c r="E7" i="5" s="1"/>
  <c r="F7" i="5" s="1"/>
  <c r="D13" i="5"/>
  <c r="E13" i="5" s="1"/>
  <c r="F13" i="5" s="1"/>
  <c r="D4" i="5"/>
  <c r="E4" i="5" s="1"/>
  <c r="F4" i="5" s="1"/>
  <c r="D2" i="5"/>
  <c r="D12" i="5"/>
  <c r="E12" i="5" s="1"/>
  <c r="F12" i="5" s="1"/>
  <c r="D10" i="5"/>
  <c r="E10" i="5" s="1"/>
  <c r="F10" i="5" s="1"/>
  <c r="Q12" i="5"/>
  <c r="R12" i="5" s="1"/>
  <c r="S12" i="5" s="1"/>
  <c r="Q6" i="5"/>
  <c r="R6" i="5" s="1"/>
  <c r="S6" i="5" s="1"/>
  <c r="J8" i="7"/>
  <c r="J6" i="7"/>
  <c r="P6" i="7"/>
  <c r="Q6" i="7" s="1"/>
  <c r="F6" i="2"/>
  <c r="G6" i="2" s="1"/>
  <c r="H6" i="2" s="1"/>
  <c r="J9" i="7"/>
  <c r="F9" i="2"/>
  <c r="G9" i="2" s="1"/>
  <c r="H9" i="2" s="1"/>
  <c r="F5" i="2"/>
  <c r="G5" i="2" s="1"/>
  <c r="H5" i="2" s="1"/>
  <c r="J3" i="7"/>
  <c r="P3" i="7"/>
  <c r="Q3" i="7" s="1"/>
  <c r="Q5" i="5"/>
  <c r="R5" i="5" s="1"/>
  <c r="S5" i="5" s="1"/>
  <c r="Q8" i="5"/>
  <c r="R8" i="5" s="1"/>
  <c r="S8" i="5" s="1"/>
  <c r="J4" i="7"/>
  <c r="F3" i="2"/>
  <c r="G3" i="2" s="1"/>
  <c r="H3" i="2" s="1"/>
  <c r="M10" i="2"/>
  <c r="M6" i="2"/>
  <c r="D11" i="5"/>
  <c r="E11" i="5" s="1"/>
  <c r="F11" i="5" s="1"/>
  <c r="K1" i="2" l="1"/>
  <c r="J14" i="7"/>
  <c r="K11" i="7" s="1"/>
  <c r="L11" i="7" s="1"/>
  <c r="K2" i="7"/>
  <c r="K5" i="7"/>
  <c r="L5" i="7" s="1"/>
  <c r="P13" i="7"/>
  <c r="Q13" i="7" s="1"/>
  <c r="Q2" i="7"/>
  <c r="E2" i="5"/>
  <c r="F2" i="5" s="1"/>
  <c r="G12" i="5" s="1"/>
  <c r="H12" i="5" s="1"/>
  <c r="D15" i="5"/>
  <c r="K9" i="7"/>
  <c r="L9" i="7" s="1"/>
  <c r="K12" i="7"/>
  <c r="L12" i="7" s="1"/>
  <c r="K6" i="7"/>
  <c r="L6" i="7" s="1"/>
  <c r="P5" i="7"/>
  <c r="Q5" i="7" s="1"/>
  <c r="P8" i="7"/>
  <c r="Q8" i="7" s="1"/>
  <c r="P10" i="7"/>
  <c r="Q10" i="7" s="1"/>
  <c r="P11" i="7"/>
  <c r="Q11" i="7" s="1"/>
  <c r="K8" i="7"/>
  <c r="L8" i="7" s="1"/>
  <c r="K13" i="7"/>
  <c r="L13" i="7" s="1"/>
  <c r="P4" i="7"/>
  <c r="Q4" i="7" s="1"/>
  <c r="P9" i="7"/>
  <c r="Q9" i="7" s="1"/>
  <c r="P12" i="7"/>
  <c r="Q12" i="7" s="1"/>
  <c r="K12" i="5" l="1"/>
  <c r="T12" i="5"/>
  <c r="J12" i="5"/>
  <c r="M11" i="7"/>
  <c r="N11" i="7" s="1"/>
  <c r="O11" i="7"/>
  <c r="M5" i="7"/>
  <c r="N5" i="7" s="1"/>
  <c r="O5" i="7"/>
  <c r="M8" i="7"/>
  <c r="N8" i="7" s="1"/>
  <c r="O8" i="7"/>
  <c r="K4" i="7"/>
  <c r="L4" i="7" s="1"/>
  <c r="K10" i="7"/>
  <c r="L10" i="7" s="1"/>
  <c r="G5" i="5"/>
  <c r="H5" i="5" s="1"/>
  <c r="G2" i="5"/>
  <c r="H2" i="5" s="1"/>
  <c r="G8" i="5"/>
  <c r="H8" i="5" s="1"/>
  <c r="G9" i="5"/>
  <c r="H9" i="5" s="1"/>
  <c r="G13" i="5"/>
  <c r="H13" i="5" s="1"/>
  <c r="G3" i="5"/>
  <c r="H3" i="5" s="1"/>
  <c r="G7" i="5"/>
  <c r="H7" i="5" s="1"/>
  <c r="G6" i="5"/>
  <c r="H6" i="5" s="1"/>
  <c r="G10" i="5"/>
  <c r="H10" i="5" s="1"/>
  <c r="M6" i="7"/>
  <c r="N6" i="7" s="1"/>
  <c r="O6" i="7"/>
  <c r="M13" i="7"/>
  <c r="N13" i="7" s="1"/>
  <c r="O13" i="7"/>
  <c r="L2" i="7"/>
  <c r="K3" i="7"/>
  <c r="L3" i="7" s="1"/>
  <c r="K7" i="7"/>
  <c r="L7" i="7" s="1"/>
  <c r="M12" i="7"/>
  <c r="N12" i="7" s="1"/>
  <c r="O12" i="7"/>
  <c r="M9" i="7"/>
  <c r="N9" i="7" s="1"/>
  <c r="O9" i="7"/>
  <c r="Q14" i="7"/>
  <c r="R2" i="7"/>
  <c r="S2" i="7" s="1"/>
  <c r="G11" i="5"/>
  <c r="H11" i="5" s="1"/>
  <c r="P14" i="7"/>
  <c r="G4" i="5"/>
  <c r="H4" i="5" s="1"/>
  <c r="R12" i="7" l="1"/>
  <c r="S12" i="7" s="1"/>
  <c r="R4" i="7"/>
  <c r="S4" i="7" s="1"/>
  <c r="J9" i="5"/>
  <c r="T9" i="5"/>
  <c r="K9" i="5"/>
  <c r="J13" i="5"/>
  <c r="T13" i="5"/>
  <c r="K13" i="5"/>
  <c r="J8" i="5"/>
  <c r="T8" i="5"/>
  <c r="K8" i="5"/>
  <c r="T4" i="5"/>
  <c r="J4" i="5"/>
  <c r="K4" i="5"/>
  <c r="T2" i="5"/>
  <c r="K2" i="5"/>
  <c r="J2" i="5"/>
  <c r="M7" i="7"/>
  <c r="N7" i="7" s="1"/>
  <c r="O7" i="7"/>
  <c r="K10" i="5"/>
  <c r="J10" i="5"/>
  <c r="T10" i="5"/>
  <c r="T5" i="5"/>
  <c r="K5" i="5"/>
  <c r="J5" i="5"/>
  <c r="K11" i="5"/>
  <c r="J11" i="5"/>
  <c r="T11" i="5"/>
  <c r="M3" i="7"/>
  <c r="N3" i="7" s="1"/>
  <c r="O3" i="7"/>
  <c r="K6" i="5"/>
  <c r="J6" i="5"/>
  <c r="T6" i="5"/>
  <c r="M10" i="7"/>
  <c r="N10" i="7" s="1"/>
  <c r="O10" i="7"/>
  <c r="T4" i="7"/>
  <c r="U4" i="7" s="1"/>
  <c r="V4" i="7"/>
  <c r="T2" i="7"/>
  <c r="U2" i="7" s="1"/>
  <c r="V2" i="7"/>
  <c r="K14" i="7"/>
  <c r="K7" i="5"/>
  <c r="T7" i="5"/>
  <c r="J7" i="5"/>
  <c r="M4" i="7"/>
  <c r="N4" i="7" s="1"/>
  <c r="O4" i="7"/>
  <c r="T12" i="7"/>
  <c r="U12" i="7" s="1"/>
  <c r="V12" i="7"/>
  <c r="R6" i="7"/>
  <c r="S6" i="7" s="1"/>
  <c r="R9" i="7"/>
  <c r="S9" i="7" s="1"/>
  <c r="R5" i="7"/>
  <c r="S5" i="7" s="1"/>
  <c r="R3" i="7"/>
  <c r="S3" i="7" s="1"/>
  <c r="R11" i="7"/>
  <c r="S11" i="7" s="1"/>
  <c r="R7" i="7"/>
  <c r="S7" i="7" s="1"/>
  <c r="R10" i="7"/>
  <c r="S10" i="7" s="1"/>
  <c r="R8" i="7"/>
  <c r="S8" i="7" s="1"/>
  <c r="M2" i="7"/>
  <c r="N2" i="7" s="1"/>
  <c r="O2" i="7"/>
  <c r="O14" i="7" s="1"/>
  <c r="K3" i="5"/>
  <c r="T3" i="5"/>
  <c r="J3" i="5"/>
  <c r="R13" i="7"/>
  <c r="S13" i="7" s="1"/>
  <c r="T10" i="7" l="1"/>
  <c r="U10" i="7" s="1"/>
  <c r="V10" i="7"/>
  <c r="W2" i="7"/>
  <c r="T5" i="7"/>
  <c r="U5" i="7" s="1"/>
  <c r="V5" i="7"/>
  <c r="N14" i="7"/>
  <c r="T8" i="7"/>
  <c r="U8" i="7" s="1"/>
  <c r="V8" i="7"/>
  <c r="T9" i="7"/>
  <c r="U9" i="7" s="1"/>
  <c r="V9" i="7"/>
  <c r="T6" i="7"/>
  <c r="U6" i="7" s="1"/>
  <c r="V6" i="7"/>
  <c r="N1" i="5"/>
  <c r="W12" i="7"/>
  <c r="T13" i="7"/>
  <c r="U13" i="7" s="1"/>
  <c r="V13" i="7"/>
  <c r="T7" i="7"/>
  <c r="U7" i="7" s="1"/>
  <c r="V7" i="7"/>
  <c r="T11" i="7"/>
  <c r="U11" i="7" s="1"/>
  <c r="V11" i="7"/>
  <c r="W4" i="7"/>
  <c r="T3" i="7"/>
  <c r="U3" i="7" s="1"/>
  <c r="V3" i="7"/>
  <c r="W13" i="7" l="1"/>
  <c r="W8" i="7"/>
  <c r="W3" i="7"/>
  <c r="W5" i="7"/>
  <c r="W11" i="7"/>
  <c r="W6" i="7"/>
  <c r="W7" i="7"/>
  <c r="W9" i="7"/>
  <c r="W10" i="7"/>
  <c r="W14" i="7" l="1"/>
  <c r="X12" i="7" s="1"/>
  <c r="Y12" i="7" s="1"/>
  <c r="Z12" i="7" s="1"/>
  <c r="X8" i="7"/>
  <c r="Y8" i="7" s="1"/>
  <c r="Z8" i="7" s="1"/>
  <c r="X2" i="7"/>
  <c r="Y2" i="7" s="1"/>
  <c r="Z2" i="7" s="1"/>
  <c r="X13" i="7"/>
  <c r="Y13" i="7" s="1"/>
  <c r="Z13" i="7" s="1"/>
  <c r="X6" i="7"/>
  <c r="Y6" i="7" s="1"/>
  <c r="Z6" i="7" s="1"/>
  <c r="X11" i="7"/>
  <c r="Y11" i="7" s="1"/>
  <c r="Z11" i="7" s="1"/>
  <c r="X5" i="7"/>
  <c r="Y5" i="7" s="1"/>
  <c r="Z5" i="7" s="1"/>
  <c r="X10" i="7"/>
  <c r="Y10" i="7" s="1"/>
  <c r="Z10" i="7" s="1"/>
  <c r="X4" i="7"/>
  <c r="Y4" i="7" s="1"/>
  <c r="Z4" i="7" s="1"/>
  <c r="X9" i="7"/>
  <c r="Y9" i="7" s="1"/>
  <c r="Z9" i="7" s="1"/>
  <c r="X7" i="7"/>
  <c r="Y7" i="7" s="1"/>
  <c r="Z7" i="7" s="1"/>
  <c r="X3" i="7"/>
  <c r="Y3" i="7" s="1"/>
  <c r="Z3" i="7" s="1"/>
  <c r="Z14" i="7" l="1"/>
  <c r="O1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tc={88A2795D-F75F-4C10-A2CF-52DB722FF6AB}</author>
    <author>tc={1F16F6E9-F4E2-49D3-A93C-3AD694FA41FA}</author>
    <author>tc={0C8EFE11-6304-4EA0-ABB1-B5605C5BB2CF}</author>
    <author>tc={B76F7DB0-D5CB-43F7-85DB-252834C7424B}</author>
    <author>tc={94AF8682-816C-45F1-B68F-2CFBE352D064}</author>
    <author>tc={9076A343-651E-4F65-AA54-CEA313198E68}</author>
    <author>tc={6BE704B4-51FE-4F5C-9702-B5F7083B744F}</author>
    <author>tc={D3F9B52D-4BF5-41C6-8ED0-AC08DC0AC37B}</author>
    <author>tc={FB5B3F01-D1DB-4236-B3AD-6A18F4BE15FF}</author>
    <author>tc={E883E2E9-E346-425D-BEB6-E7D51578ADF5}</author>
    <author>tc={6ACF043B-340C-4681-A8A8-505E9CD0FF1F}</author>
    <author>tc={1E9FB194-521D-46E1-BDED-20B9A346DED6}</author>
    <author>tc={D9B97311-5A6C-46F5-839B-F87B6BE4F304}</author>
  </authors>
  <commentList>
    <comment ref="C1" authorId="0" shapeId="0" xr:uid="{88A2795D-F75F-4C10-A2CF-52DB722FF6A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STABW.N of monthly rainfall from 1862-2020</t>
      </text>
    </comment>
    <comment ref="G1" authorId="1" shapeId="0" xr:uid="{1F16F6E9-F4E2-49D3-A93C-3AD694FA41F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Year 2020</t>
      </text>
    </comment>
    <comment ref="M1" authorId="2" shapeId="0" xr:uid="{0C8EFE11-6304-4EA0-ABB1-B5605C5BB2C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Population 2020</t>
      </text>
    </comment>
    <comment ref="P1" authorId="3" shapeId="0" xr:uid="{B76F7DB0-D5CB-43F7-85DB-252834C7424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Average full-time weekly wage in the UK 2022</t>
      </text>
    </comment>
    <comment ref="C12" authorId="4" shapeId="0" xr:uid="{94AF8682-816C-45F1-B68F-2CFBE352D06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Aggregated from east, north, west Scotland</t>
      </text>
    </comment>
    <comment ref="C15" authorId="5" shapeId="0" xr:uid="{9076A343-651E-4F65-AA54-CEA313198E6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Area = admin_region|all
Collection = land-obs_admin_region
DataFormat = csv
JobLabel = None
TemporalAverage = mall
TimeSlice = 1862|2020
Variable = rainfall</t>
      </text>
    </comment>
    <comment ref="G15" authorId="6" shapeId="0" xr:uid="{6BE704B4-51FE-4F5C-9702-B5F7083B744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Excel doc, Table 5</t>
      </text>
    </comment>
    <comment ref="J15" authorId="7" shapeId="0" xr:uid="{D3F9B52D-4BF5-41C6-8ED0-AC08DC0AC37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Calculations can be found in Port_Data in OneDrive</t>
      </text>
    </comment>
    <comment ref="L15" authorId="8" shapeId="0" xr:uid="{FB5B3F01-D1DB-4236-B3AD-6A18F4BE15F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Data calculations can be found in OneDrice in Agriculture_Data</t>
      </text>
    </comment>
    <comment ref="M15" authorId="9" shapeId="0" xr:uid="{E883E2E9-E346-425D-BEB6-E7D51578ADF5}">
      <text>
        <t>[Kommentartråd]
Din versjon av Excel lar deg lese denne kommentartråden. Eventuelle endringer i den vil imidlertid bli fjernet hvis filen åpnes i en nyere versjon av Excel. Finn ut mer: https://go.microsoft.com/fwlink/?linkid=870924
Kommentar:
    Excel doc, Table 6</t>
      </text>
    </comment>
    <comment ref="H18" authorId="10" shapeId="0" xr:uid="{6ACF043B-340C-4681-A8A8-505E9CD0FF1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Public sector expenditure on national and local roads in pounds</t>
      </text>
    </comment>
    <comment ref="O18" authorId="11" shapeId="0" xr:uid="{1E9FB194-521D-46E1-BDED-20B9A346DED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GBP wage per year on average</t>
      </text>
    </comment>
    <comment ref="H21" authorId="12" shapeId="0" xr:uid="{D9B97311-5A6C-46F5-839B-F87B6BE4F30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https://www.bbc.com/news/magazine-13924687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tc={D2879EE5-89B9-4483-8528-254EC0E87793}</author>
  </authors>
  <commentList>
    <comment ref="B3" authorId="0" shapeId="0" xr:uid="{D2879EE5-89B9-4483-8528-254EC0E8779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Average full-time weekly wage in the UK 2022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tc={C8F60A17-6D59-4E6D-B548-6E6BE572E27D}</author>
  </authors>
  <commentList>
    <comment ref="B2" authorId="0" shapeId="0" xr:uid="{C8F60A17-6D59-4E6D-B548-6E6BE572E27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Average full-time weekly wage in the UK 2022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tc={FCC6B41C-71FD-41D6-ABB1-10FCBB5F30B1}</author>
    <author>tc={EB91CC7D-2CEA-4494-86C0-1F6B6B036CF6}</author>
    <author>tc={AF6BDDC8-D063-43B2-BC1B-685B804D7289}</author>
    <author>tc={B7C98DF6-BA70-4FC1-91E1-8F78DB5B5B09}</author>
    <author>tc={DB5E3C96-B399-46B5-8C69-E1304538D822}</author>
    <author>tc={C299CB7E-AB8A-4AD2-A432-29948AD48A81}</author>
    <author>tc={A3B3FE2B-226F-471A-B77F-D439480D6FEF}</author>
    <author>tc={97F639E9-7031-4E8A-A49A-8392F20DBFFE}</author>
    <author>tc={B74C39AC-2256-4BEA-93A8-500590B9F144}</author>
    <author>tc={E87B9DA5-2F57-430A-9A7E-842965F938CF}</author>
    <author>tc={959A76E7-93FB-4772-A927-AB15AFFA1149}</author>
    <author>tc={6E2E733E-DAA6-49F9-A9DB-22F4C9A890BC}</author>
    <author>tc={FFB392E1-9A1D-49CB-AA18-866AE0FA2F30}</author>
    <author>tc={16DB75BA-118C-43DC-AC8E-271A31A29B02}</author>
    <author>tc={898EEF2F-E841-45FC-BC2E-4CA7AE394967}</author>
    <author>tc={1AA890A7-674A-4220-8A19-65BBC6E00DF2}</author>
  </authors>
  <commentList>
    <comment ref="C1" authorId="0" shapeId="0" xr:uid="{FCC6B41C-71FD-41D6-ABB1-10FCBB5F30B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STABW.N of monthly rainfall from 1862-2020</t>
      </text>
    </comment>
    <comment ref="G1" authorId="1" shapeId="0" xr:uid="{EB91CC7D-2CEA-4494-86C0-1F6B6B036CF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Year 2020</t>
      </text>
    </comment>
    <comment ref="M1" authorId="2" shapeId="0" xr:uid="{AF6BDDC8-D063-43B2-BC1B-685B804D728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Population 2020</t>
      </text>
    </comment>
    <comment ref="P1" authorId="3" shapeId="0" xr:uid="{B7C98DF6-BA70-4FC1-91E1-8F78DB5B5B0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Average full-time weekly wage in the UK 2022</t>
      </text>
    </comment>
    <comment ref="C12" authorId="4" shapeId="0" xr:uid="{DB5E3C96-B399-46B5-8C69-E1304538D82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Aggregated from east, north, west Scotland</t>
      </text>
    </comment>
    <comment ref="C15" authorId="5" shapeId="0" xr:uid="{C299CB7E-AB8A-4AD2-A432-29948AD48A8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Area = admin_region|all
Collection = land-obs_admin_region
DataFormat = csv
JobLabel = None
TemporalAverage = mall
TimeSlice = 1862|2020
Variable = rainfall</t>
      </text>
    </comment>
    <comment ref="G15" authorId="6" shapeId="0" xr:uid="{A3B3FE2B-226F-471A-B77F-D439480D6FE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Excel doc, Table 5</t>
      </text>
    </comment>
    <comment ref="J15" authorId="7" shapeId="0" xr:uid="{97F639E9-7031-4E8A-A49A-8392F20DBFF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Calculations can be found in Port_Data in OneDrive</t>
      </text>
    </comment>
    <comment ref="L15" authorId="8" shapeId="0" xr:uid="{B74C39AC-2256-4BEA-93A8-500590B9F14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Data calculations can be found in OneDrice in Agriculture_Data</t>
      </text>
    </comment>
    <comment ref="M15" authorId="9" shapeId="0" xr:uid="{E87B9DA5-2F57-430A-9A7E-842965F938C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Excel doc, Table 6</t>
      </text>
    </comment>
    <comment ref="H18" authorId="10" shapeId="0" xr:uid="{959A76E7-93FB-4772-A927-AB15AFFA114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Public sector expenditure on national and local roads in pounds</t>
      </text>
    </comment>
    <comment ref="O18" authorId="11" shapeId="0" xr:uid="{6E2E733E-DAA6-49F9-A9DB-22F4C9A890B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GBP wage per year on average</t>
      </text>
    </comment>
    <comment ref="H21" authorId="12" shapeId="0" xr:uid="{FFB392E1-9A1D-49CB-AA18-866AE0FA2F3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https://www.bbc.com/news/magazine-13924687</t>
      </text>
    </comment>
    <comment ref="C24" authorId="13" shapeId="0" xr:uid="{16DB75BA-118C-43DC-AC8E-271A31A29B0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STABW.N of monthly rainfall from 1862-2020</t>
      </text>
    </comment>
    <comment ref="C35" authorId="14" shapeId="0" xr:uid="{898EEF2F-E841-45FC-BC2E-4CA7AE39496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Aggregated from east, north, west Scotland</t>
      </text>
    </comment>
    <comment ref="C41" authorId="15" shapeId="0" xr:uid="{1AA890A7-674A-4220-8A19-65BBC6E00DF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STABW.N of monthly rainfall from 1862-2020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tc={2AFA5AD4-7A0E-4A08-8D3C-F51EB670D827}</author>
  </authors>
  <commentList>
    <comment ref="G2" authorId="0" shapeId="0" xr:uid="{2AFA5AD4-7A0E-4A08-8D3C-F51EB670D82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Average full-time weekly wage in the UK 2022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tc={CB4AC2E9-99DF-456A-BEB1-088013BA779B}</author>
    <author>tc={C7F2DD44-A2F7-43D6-843F-D3F430D29C93}</author>
  </authors>
  <commentList>
    <comment ref="D2" authorId="0" shapeId="0" xr:uid="{CB4AC2E9-99DF-456A-BEB1-088013BA779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STABW.N of monthly rainfall from 1862-2020</t>
      </text>
    </comment>
    <comment ref="D13" authorId="1" shapeId="0" xr:uid="{C7F2DD44-A2F7-43D6-843F-D3F430D29C9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Aggregated from east, north, west Scotland</t>
      </text>
    </comment>
  </commentList>
</comments>
</file>

<file path=xl/sharedStrings.xml><?xml version="1.0" encoding="utf-8"?>
<sst xmlns="http://schemas.openxmlformats.org/spreadsheetml/2006/main" count="1463" uniqueCount="834">
  <si>
    <t>Region</t>
  </si>
  <si>
    <t>Temperature increase</t>
  </si>
  <si>
    <t>Rain</t>
  </si>
  <si>
    <t>Flood risk</t>
  </si>
  <si>
    <t>CO2 emissions</t>
  </si>
  <si>
    <t>Fire risk</t>
  </si>
  <si>
    <t>GDP</t>
  </si>
  <si>
    <t>miles of motorways</t>
  </si>
  <si>
    <t>Road/Rail infrastructure</t>
  </si>
  <si>
    <t>Ports</t>
  </si>
  <si>
    <t>Energy generation</t>
  </si>
  <si>
    <t>Land use of agriculture</t>
  </si>
  <si>
    <t>Population</t>
  </si>
  <si>
    <t>Area</t>
  </si>
  <si>
    <t>Population density</t>
  </si>
  <si>
    <t>Wage</t>
  </si>
  <si>
    <t>Value of money scale</t>
  </si>
  <si>
    <t>Productivity</t>
  </si>
  <si>
    <t>Value of Ports/year</t>
  </si>
  <si>
    <t>Value of motorway infrastructure</t>
  </si>
  <si>
    <t>Value of agricultural land</t>
  </si>
  <si>
    <t>Energy generation (euro)</t>
  </si>
  <si>
    <t>(pound)</t>
  </si>
  <si>
    <t>private wealth</t>
  </si>
  <si>
    <t>co2 cost</t>
  </si>
  <si>
    <t>North East England</t>
  </si>
  <si>
    <t>North West England</t>
  </si>
  <si>
    <t>Yorkshire and the Humber</t>
  </si>
  <si>
    <t>East Midlands</t>
  </si>
  <si>
    <t>West Midlands</t>
  </si>
  <si>
    <t>East of England</t>
  </si>
  <si>
    <t>London</t>
  </si>
  <si>
    <t>South East England</t>
  </si>
  <si>
    <t>South West England</t>
  </si>
  <si>
    <t>Wales</t>
  </si>
  <si>
    <t>Scotland</t>
  </si>
  <si>
    <t>Northern Ireland</t>
  </si>
  <si>
    <t>Units</t>
  </si>
  <si>
    <t>°C</t>
  </si>
  <si>
    <t>mm, Standard deviation</t>
  </si>
  <si>
    <t>kt CO2-e</t>
  </si>
  <si>
    <t>pound millions</t>
  </si>
  <si>
    <t>miles of road per region</t>
  </si>
  <si>
    <t>total travel time (min) to work by region of workplace</t>
  </si>
  <si>
    <t>https://www.gov.uk/government/statistical-data-sets/port-and-domestic-waterborne-freight-statistics-port#ship-information-vessels-arrival-flags</t>
  </si>
  <si>
    <t>Electricity generated (GWh)</t>
  </si>
  <si>
    <t>Fram land in hectars</t>
  </si>
  <si>
    <t>absolute number</t>
  </si>
  <si>
    <t>km^2</t>
  </si>
  <si>
    <t>inhabitants per km^2</t>
  </si>
  <si>
    <t>median weekly earning in GDP</t>
  </si>
  <si>
    <t>Source</t>
  </si>
  <si>
    <t>https://ukclimateprojections-ui.metoffice.gov.uk/products/form/LS6_Subset_01</t>
  </si>
  <si>
    <t>https://www.gov.uk/government/statistics/uk-local-authority-and-regional-greenhouse-gas-emissions-national-statistics-2005-to-2020</t>
  </si>
  <si>
    <t>https://www.ons.gov.uk/economy/grossdomesticproductgdp/datasets/regionalgrossdomesticproductallnutslevelregions</t>
  </si>
  <si>
    <t>https://www.gov.uk/government/collections/road-network-size-and-condition</t>
  </si>
  <si>
    <t>https://www.gov.uk/government/publications/energy-trends-december-2020-special-feature-articles</t>
  </si>
  <si>
    <t>https://ec.europa.eu/eurostat/databrowser/view/EF_LUS_MAIN__custom_3940915/default/table?lang=en</t>
  </si>
  <si>
    <t>https://www.statista.com/statistics/800644/full-time-weekly-wage-uk-by-region/</t>
  </si>
  <si>
    <t>co2 price</t>
  </si>
  <si>
    <t>Roads in Northern Ireland - Wikipedia</t>
  </si>
  <si>
    <t>total gdp</t>
  </si>
  <si>
    <t>expenditure government UK</t>
  </si>
  <si>
    <t>total exports UK</t>
  </si>
  <si>
    <t>Energy generation eg.kWH price</t>
  </si>
  <si>
    <t>Gross Value add by agriculture</t>
  </si>
  <si>
    <t>avergage wage for a year</t>
  </si>
  <si>
    <t>wealth to gdp ratio</t>
  </si>
  <si>
    <t>source</t>
  </si>
  <si>
    <t>Monetary value</t>
  </si>
  <si>
    <t>https://home.kpmg/uk/en/home/insights/2022/04/uk-sets-out-future-for-carbon-pricing.html</t>
  </si>
  <si>
    <t>Sami</t>
  </si>
  <si>
    <t>Nils</t>
  </si>
  <si>
    <t>Ane</t>
  </si>
  <si>
    <t>JP</t>
  </si>
  <si>
    <t>https://en.wikipedia.org/wiki/List_of_countries_by_total_wealth</t>
  </si>
  <si>
    <t>avergage cost per mile of motorway</t>
  </si>
  <si>
    <t>total imports UK</t>
  </si>
  <si>
    <t>euro cents per kWh</t>
  </si>
  <si>
    <t>euro per kWh</t>
  </si>
  <si>
    <t>https://www.bbc.com/news/magazine-13924687</t>
  </si>
  <si>
    <t>UK: household electricity prices 2020 | Statista</t>
  </si>
  <si>
    <t>https://www.gov.uk/government/statistics/total-income-from-farming-in-the-uk/total-income-from-farming-of-the-united-kingdom-2021-provisional-estimate</t>
  </si>
  <si>
    <t>UK government: https://www.gov.uk/government/statistics/uk-trade-in-numbers/uk-trade-in-numbers-web-version</t>
  </si>
  <si>
    <t>multiplier (billion)</t>
  </si>
  <si>
    <t>value through UK ports in 2014</t>
  </si>
  <si>
    <t>share of gdp in 2014</t>
  </si>
  <si>
    <t>risk</t>
  </si>
  <si>
    <t>transfer payment by value of money</t>
  </si>
  <si>
    <t>v_i</t>
  </si>
  <si>
    <t>PI_i</t>
  </si>
  <si>
    <t>H_i</t>
  </si>
  <si>
    <t>A_i</t>
  </si>
  <si>
    <t>total welfare w</t>
  </si>
  <si>
    <t>PI_i_curr</t>
  </si>
  <si>
    <t>Annahme PI_i == PI_curr</t>
  </si>
  <si>
    <t>value of money</t>
  </si>
  <si>
    <t>Risk factor</t>
  </si>
  <si>
    <t>lambda_1</t>
  </si>
  <si>
    <t>lambda_2</t>
  </si>
  <si>
    <t>lambda_3</t>
  </si>
  <si>
    <t>transfer payment SUM=0</t>
  </si>
  <si>
    <t>current pop H_i</t>
  </si>
  <si>
    <t>normalized v_i</t>
  </si>
  <si>
    <t>normalized PI_i</t>
  </si>
  <si>
    <t>normalized H_i</t>
  </si>
  <si>
    <t>difference normalized vs. actual</t>
  </si>
  <si>
    <t>difference transfer vs. Normalized</t>
  </si>
  <si>
    <t>wages as function of prod</t>
  </si>
  <si>
    <t>Wage vs Density</t>
  </si>
  <si>
    <t>Simulated wage t=0</t>
  </si>
  <si>
    <t>Deviation</t>
  </si>
  <si>
    <t>Population t =0</t>
  </si>
  <si>
    <t>Population density t=0</t>
  </si>
  <si>
    <t>productivity by region</t>
  </si>
  <si>
    <t>area</t>
  </si>
  <si>
    <t>ri_total</t>
  </si>
  <si>
    <t>rpki,0</t>
  </si>
  <si>
    <t>wi0</t>
  </si>
  <si>
    <t>bi</t>
  </si>
  <si>
    <t>vi,b</t>
  </si>
  <si>
    <t>PI,b</t>
  </si>
  <si>
    <t>H_i,b</t>
  </si>
  <si>
    <t>H_i,0-pop t=b</t>
  </si>
  <si>
    <t>Squared</t>
  </si>
  <si>
    <t>Ai,b</t>
  </si>
  <si>
    <t>ti,0</t>
  </si>
  <si>
    <t>vi,0</t>
  </si>
  <si>
    <t>PI,0</t>
  </si>
  <si>
    <t>H_i,0</t>
  </si>
  <si>
    <t>pd_i,0</t>
  </si>
  <si>
    <t>wi,1</t>
  </si>
  <si>
    <t>rpki,1</t>
  </si>
  <si>
    <t>vi,1</t>
  </si>
  <si>
    <t>PI,1</t>
  </si>
  <si>
    <t>H_i,1</t>
  </si>
  <si>
    <t>A_i,1</t>
  </si>
  <si>
    <t>Productivity density</t>
  </si>
  <si>
    <t xml:space="preserve">No use of this since productivity is probably rather independent </t>
  </si>
  <si>
    <t>mm, Standartabweichung</t>
  </si>
  <si>
    <t>Million Gross Tonnage</t>
  </si>
  <si>
    <t>Scaled Risk data</t>
  </si>
  <si>
    <t>Moneary risk</t>
  </si>
  <si>
    <t>Influences</t>
  </si>
  <si>
    <t>Assets</t>
  </si>
  <si>
    <t>risk factors</t>
  </si>
  <si>
    <t>SUM Assets</t>
  </si>
  <si>
    <t>past</t>
  </si>
  <si>
    <t>present</t>
  </si>
  <si>
    <t>future</t>
  </si>
  <si>
    <t>dont use it?</t>
  </si>
  <si>
    <t>Population Density</t>
  </si>
  <si>
    <t>Average Housing price as multiple of income</t>
  </si>
  <si>
    <t>Usually paid over 20 years: Per year</t>
  </si>
  <si>
    <t>North East</t>
  </si>
  <si>
    <t>E09000001</t>
  </si>
  <si>
    <t>City of London</t>
  </si>
  <si>
    <t>North West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</si>
  <si>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</si>
  <si>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</si>
  <si>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</si>
  <si>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</si>
  <si>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</si>
  <si>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</si>
  <si>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</si>
  <si>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</si>
  <si>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</si>
  <si>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</si>
  <si>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</si>
  <si>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</si>
  <si>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South East</t>
  </si>
  <si>
    <t>E09000008</t>
  </si>
  <si>
    <t>Croydon</t>
  </si>
  <si>
    <t>South West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</si>
  <si>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</si>
  <si>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</si>
  <si>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</si>
  <si>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</si>
  <si>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</si>
  <si>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</si>
  <si>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</si>
  <si>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</si>
  <si>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</si>
  <si>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</si>
  <si>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https://www.ons.gov.uk/peoplepopulationandcommunity/housing/bulletins/housingaffordabilityinenglandandwales/2020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</si>
  <si>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</si>
  <si>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</si>
  <si>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</si>
  <si>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</si>
  <si>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</si>
  <si>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</si>
  <si>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</si>
  <si>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</si>
  <si>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x</t>
  </si>
  <si>
    <t>+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</si>
  <si>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</si>
  <si>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</si>
  <si>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</si>
  <si>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</si>
  <si>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</si>
  <si>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</si>
  <si>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</si>
  <si>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</si>
  <si>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</si>
  <si>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</si>
  <si>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</si>
  <si>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</si>
  <si>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</si>
  <si>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</si>
  <si>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</si>
  <si>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</si>
  <si>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</si>
  <si>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</si>
  <si>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</si>
  <si>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</si>
  <si>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</si>
  <si>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</si>
  <si>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</si>
  <si>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</si>
  <si>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</si>
  <si>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</si>
  <si>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</si>
  <si>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</si>
  <si>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</si>
  <si>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</si>
  <si>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</si>
  <si>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</si>
  <si>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</si>
  <si>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</si>
  <si>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</si>
  <si>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</si>
  <si>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</si>
  <si>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</si>
  <si>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</si>
  <si>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</si>
  <si>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</si>
  <si>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</si>
  <si>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</si>
  <si>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</si>
  <si>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</si>
  <si>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</si>
  <si>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</si>
  <si>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</si>
  <si>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</si>
  <si>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</si>
  <si>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</si>
  <si>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</si>
  <si>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</si>
  <si>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</si>
  <si>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</si>
  <si>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</si>
  <si>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E06000060</t>
  </si>
  <si>
    <t>Buckinghamshire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</si>
  <si>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</si>
  <si>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</si>
  <si>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</si>
  <si>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</si>
  <si>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</si>
  <si>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</si>
  <si>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</si>
  <si>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</si>
  <si>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</si>
  <si>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</si>
  <si>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</si>
  <si>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</si>
  <si>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</si>
  <si>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</si>
  <si>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</si>
  <si>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</si>
  <si>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</si>
  <si>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</si>
  <si>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</si>
  <si>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</si>
  <si>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</si>
  <si>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</si>
  <si>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</si>
  <si>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</si>
  <si>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</si>
  <si>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</si>
  <si>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</si>
  <si>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</si>
  <si>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</si>
  <si>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</si>
  <si>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</si>
  <si>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</si>
  <si>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</si>
  <si>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</si>
  <si>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</si>
  <si>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</si>
  <si>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</si>
  <si>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</si>
  <si>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</si>
  <si>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</si>
  <si>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</si>
  <si>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</si>
  <si>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</si>
  <si>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</si>
  <si>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</si>
  <si>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</si>
  <si>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</si>
  <si>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</si>
  <si>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</si>
  <si>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</si>
  <si>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</si>
  <si>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</si>
  <si>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</si>
  <si>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</si>
  <si>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</si>
  <si>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</si>
  <si>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</si>
  <si>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</si>
  <si>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</si>
  <si>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</si>
  <si>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</si>
  <si>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</si>
  <si>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</si>
  <si>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</si>
  <si>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</si>
  <si>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</si>
  <si>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</si>
  <si>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</si>
  <si>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</si>
  <si>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</si>
  <si>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</si>
  <si>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</si>
  <si>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</si>
  <si>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</si>
  <si>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</si>
  <si>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</si>
  <si>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</si>
  <si>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</si>
  <si>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</si>
  <si>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</si>
  <si>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</si>
  <si>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</si>
  <si>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</si>
  <si>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</si>
  <si>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</si>
  <si>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</si>
  <si>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</si>
  <si>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</si>
  <si>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</si>
  <si>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</si>
  <si>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</si>
  <si>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</si>
  <si>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</si>
  <si>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</si>
  <si>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</si>
  <si>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</si>
  <si>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</si>
  <si>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</si>
  <si>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</si>
  <si>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</si>
  <si>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</si>
  <si>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</si>
  <si>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</si>
  <si>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</si>
  <si>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</si>
  <si>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</si>
  <si>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</si>
  <si>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</si>
  <si>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</si>
  <si>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</si>
  <si>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E06000055</t>
  </si>
  <si>
    <t>Bedford</t>
  </si>
  <si>
    <t>E06000056</t>
  </si>
  <si>
    <t>Central Bedfordshire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</si>
  <si>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</si>
  <si>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</si>
  <si>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</si>
  <si>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</si>
  <si>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</si>
  <si>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</si>
  <si>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</si>
  <si>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</si>
  <si>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</si>
  <si>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</si>
  <si>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</si>
  <si>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</si>
  <si>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</si>
  <si>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</si>
  <si>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</si>
  <si>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</si>
  <si>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</si>
  <si>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</si>
  <si>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</si>
  <si>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</si>
  <si>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</si>
  <si>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</si>
  <si>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</si>
  <si>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</si>
  <si>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</si>
  <si>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</si>
  <si>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</si>
  <si>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</si>
  <si>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</si>
  <si>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</si>
  <si>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</si>
  <si>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</si>
  <si>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</si>
  <si>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</si>
  <si>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E07000095</t>
  </si>
  <si>
    <t>Broxbourne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</si>
  <si>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</si>
  <si>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</si>
  <si>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</si>
  <si>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</si>
  <si>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</si>
  <si>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</si>
  <si>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</si>
  <si>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</si>
  <si>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</si>
  <si>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</si>
  <si>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</si>
  <si>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</si>
  <si>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</si>
  <si>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</si>
  <si>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</si>
  <si>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</si>
  <si>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</si>
  <si>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</si>
  <si>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</si>
  <si>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</si>
  <si>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</si>
  <si>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</si>
  <si>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</si>
  <si>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</si>
  <si>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E07000200</t>
  </si>
  <si>
    <t>Babergh</t>
  </si>
  <si>
    <t>E07000202</t>
  </si>
  <si>
    <t>Ipswich</t>
  </si>
  <si>
    <t>E07000203</t>
  </si>
  <si>
    <t>Mid Suffolk</t>
  </si>
  <si>
    <t>E07000240</t>
  </si>
  <si>
    <t>St Albans</t>
  </si>
  <si>
    <t>E07000241</t>
  </si>
  <si>
    <t>Welwyn Hatfield</t>
  </si>
  <si>
    <t>E07000242</t>
  </si>
  <si>
    <t>East Hertfordshire</t>
  </si>
  <si>
    <t>E07000243</t>
  </si>
  <si>
    <t>Stevenage</t>
  </si>
  <si>
    <t>E07000244</t>
  </si>
  <si>
    <t>East Suffolk</t>
  </si>
  <si>
    <t>E07000245</t>
  </si>
  <si>
    <t>West Suffolk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</si>
  <si>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</si>
  <si>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</si>
  <si>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</si>
  <si>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</si>
  <si>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</si>
  <si>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</si>
  <si>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</si>
  <si>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</si>
  <si>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</si>
  <si>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</si>
  <si>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</si>
  <si>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</si>
  <si>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</si>
  <si>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</si>
  <si>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E06000052</t>
  </si>
  <si>
    <t>Cornwall</t>
  </si>
  <si>
    <t>E06000053</t>
  </si>
  <si>
    <t>Isles of Scilly</t>
  </si>
  <si>
    <t>E06000054</t>
  </si>
  <si>
    <t>Wiltshire</t>
  </si>
  <si>
    <t>E06000058</t>
  </si>
  <si>
    <t>Bournemouth, Christchurch and Poole</t>
  </si>
  <si>
    <t>E06000059</t>
  </si>
  <si>
    <t>Dorset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</si>
  <si>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</si>
  <si>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</si>
  <si>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</si>
  <si>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</si>
  <si>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</si>
  <si>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</si>
  <si>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</si>
  <si>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</si>
  <si>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</si>
  <si>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</si>
  <si>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</si>
  <si>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</si>
  <si>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</si>
  <si>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</si>
  <si>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</si>
  <si>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</si>
  <si>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</si>
  <si>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</si>
  <si>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</si>
  <si>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</si>
  <si>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</si>
  <si>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</si>
  <si>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</si>
  <si>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</si>
  <si>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</si>
  <si>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</si>
  <si>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</si>
  <si>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</si>
  <si>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E07000187</t>
  </si>
  <si>
    <t>Mendip</t>
  </si>
  <si>
    <t>E07000188</t>
  </si>
  <si>
    <t>Sedgemoor</t>
  </si>
  <si>
    <t>E07000189</t>
  </si>
  <si>
    <t>South Somerset</t>
  </si>
  <si>
    <t>E07000246</t>
  </si>
  <si>
    <t>Somerset West and Taunton</t>
  </si>
  <si>
    <t>E06000019</t>
  </si>
  <si>
    <t>Herefordshire, County of</t>
  </si>
  <si>
    <t>E06000020</t>
  </si>
  <si>
    <t>Telford and Wrekin</t>
  </si>
  <si>
    <t>E06000021</t>
  </si>
  <si>
    <t>Stoke-on-Trent</t>
  </si>
  <si>
    <t>E06000051</t>
  </si>
  <si>
    <t>Shropshire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</si>
  <si>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</si>
  <si>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</si>
  <si>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</si>
  <si>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</si>
  <si>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</si>
  <si>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</si>
  <si>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</si>
  <si>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</si>
  <si>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</si>
  <si>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</si>
  <si>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</si>
  <si>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</si>
  <si>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</si>
  <si>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</si>
  <si>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</si>
  <si>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</si>
  <si>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</si>
  <si>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</si>
  <si>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</si>
  <si>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</si>
  <si>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</si>
  <si>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</si>
  <si>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</si>
  <si>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</si>
  <si>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</si>
  <si>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</si>
  <si>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</si>
  <si>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</si>
  <si>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</si>
  <si>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</si>
  <si>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</si>
  <si>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</si>
  <si>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</si>
  <si>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</si>
  <si>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</si>
  <si>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</si>
  <si>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</si>
  <si>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</si>
  <si>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</si>
  <si>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</si>
  <si>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</si>
  <si>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</si>
  <si>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</si>
  <si>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</si>
  <si>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</si>
  <si>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</si>
  <si>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</si>
  <si>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</si>
  <si>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</si>
  <si>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</si>
  <si>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</si>
  <si>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</si>
  <si>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</si>
  <si>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</si>
  <si>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</si>
  <si>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</si>
  <si>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</si>
  <si>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</si>
  <si>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</si>
  <si>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</si>
  <si>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E06000049</t>
  </si>
  <si>
    <t>Cheshire East</t>
  </si>
  <si>
    <t>E06000050</t>
  </si>
  <si>
    <t>Cheshire West and Chester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</si>
  <si>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</si>
  <si>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</si>
  <si>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</si>
  <si>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</si>
  <si>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</si>
  <si>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</si>
  <si>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</si>
  <si>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</si>
  <si>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</si>
  <si>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</si>
  <si>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</si>
  <si>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</si>
  <si>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</si>
  <si>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</si>
  <si>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</si>
  <si>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</si>
  <si>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</si>
  <si>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</si>
  <si>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</si>
  <si>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</si>
  <si>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</si>
  <si>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</si>
  <si>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</si>
  <si>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</si>
  <si>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</si>
  <si>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</si>
  <si>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</si>
  <si>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</si>
  <si>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</si>
  <si>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</si>
  <si>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</si>
  <si>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</si>
  <si>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</si>
  <si>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</si>
  <si>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</si>
  <si>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</si>
  <si>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</si>
  <si>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</si>
  <si>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</si>
  <si>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</si>
  <si>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</si>
  <si>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</si>
  <si>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</si>
  <si>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</si>
  <si>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</si>
  <si>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</si>
  <si>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</si>
  <si>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</si>
  <si>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</si>
  <si>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</si>
  <si>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</si>
  <si>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</si>
  <si>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</si>
  <si>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</si>
  <si>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</si>
  <si>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</si>
  <si>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</si>
  <si>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</si>
  <si>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</si>
  <si>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</si>
  <si>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</si>
  <si>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</si>
  <si>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</si>
  <si>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</si>
  <si>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</si>
  <si>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</si>
  <si>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</si>
  <si>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</si>
  <si>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</si>
  <si>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</si>
  <si>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</si>
  <si>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</si>
  <si>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</si>
  <si>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</si>
  <si>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</si>
  <si>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</si>
  <si>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</si>
  <si>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</si>
  <si>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</si>
  <si>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</si>
  <si>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</si>
  <si>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</si>
  <si>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</si>
  <si>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</si>
  <si>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</si>
  <si>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</si>
  <si>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</si>
  <si>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</si>
  <si>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</si>
  <si>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</si>
  <si>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</si>
  <si>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</si>
  <si>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</si>
  <si>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</si>
  <si>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</si>
  <si>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</si>
  <si>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</si>
  <si>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</si>
  <si>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</si>
  <si>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</si>
  <si>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</si>
  <si>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</si>
  <si>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</si>
  <si>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</si>
  <si>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</si>
  <si>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</si>
  <si>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</si>
  <si>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</si>
  <si>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</si>
  <si>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</si>
  <si>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</si>
  <si>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</si>
  <si>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</si>
  <si>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</si>
  <si>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</si>
  <si>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</si>
  <si>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</si>
  <si>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</si>
  <si>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</si>
  <si>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</si>
  <si>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</si>
  <si>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</si>
  <si>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</si>
  <si>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</si>
  <si>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</si>
  <si>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</si>
  <si>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</si>
  <si>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</si>
  <si>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</si>
  <si>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</si>
  <si>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</si>
  <si>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</si>
  <si>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</si>
  <si>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</si>
  <si>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</si>
  <si>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</si>
  <si>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</si>
  <si>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</si>
  <si>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</si>
  <si>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</si>
  <si>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</si>
  <si>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</si>
  <si>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</si>
  <si>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</si>
  <si>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</si>
  <si>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</si>
  <si>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Yorkshire and The Humber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</si>
  <si>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</si>
  <si>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</si>
  <si>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</si>
  <si>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</si>
  <si>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</si>
  <si>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</si>
  <si>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</si>
  <si>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</si>
  <si>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</si>
  <si>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</si>
  <si>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</si>
  <si>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</si>
  <si>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</si>
  <si>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</si>
  <si>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</si>
  <si>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</si>
  <si>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</si>
  <si>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</si>
  <si>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</si>
  <si>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</si>
  <si>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</si>
  <si>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</si>
  <si>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</si>
  <si>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</si>
  <si>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</si>
  <si>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</si>
  <si>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</si>
  <si>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</si>
  <si>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</si>
  <si>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</si>
  <si>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</si>
  <si>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</si>
  <si>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</si>
  <si>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</si>
  <si>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</si>
  <si>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</si>
  <si>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</si>
  <si>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</si>
  <si>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</si>
  <si>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</si>
  <si>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</si>
  <si>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</si>
  <si>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</si>
  <si>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</si>
  <si>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</si>
  <si>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</si>
  <si>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</si>
  <si>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</si>
  <si>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</si>
  <si>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</si>
  <si>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</si>
  <si>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</si>
  <si>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</si>
  <si>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</si>
  <si>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W06000023</t>
  </si>
  <si>
    <t>Powys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</si>
  <si>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</si>
  <si>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</si>
  <si>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</si>
  <si>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</si>
  <si>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</si>
  <si>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</si>
  <si>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</si>
  <si>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</si>
  <si>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</si>
  <si>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</si>
  <si>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</si>
  <si>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</si>
  <si>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</si>
  <si>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</si>
  <si>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</si>
  <si>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</si>
  <si>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</si>
  <si>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</si>
  <si>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W06000024</t>
  </si>
  <si>
    <t>Merthyr Tydfil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</si>
  <si>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</si>
  <si>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</si>
  <si>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</si>
  <si>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</si>
  <si>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</si>
  <si>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</si>
  <si>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</si>
  <si>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</si>
  <si>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</si>
  <si>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</si>
  <si>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</si>
  <si>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</si>
  <si>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</si>
  <si>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</si>
  <si>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</si>
  <si>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</si>
  <si>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</si>
  <si>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</si>
  <si>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</si>
  <si>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</si>
  <si>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E06000047</t>
  </si>
  <si>
    <t>County Durham</t>
  </si>
  <si>
    <t>E06000057</t>
  </si>
  <si>
    <t>Northumberland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</si>
  <si>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</si>
  <si>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</si>
  <si>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</si>
  <si>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</si>
  <si>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</si>
  <si>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</si>
  <si>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</si>
  <si>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</si>
  <si>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E08000037</t>
  </si>
  <si>
    <t>Gateshead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</si>
</sst>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A9D08E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ont="0" applyBorder="0" applyProtection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0" borderId="3" xfId="0" applyBorder="1"/>
    <xf numFmtId="0" fontId="0" fillId="0" borderId="7" xfId="0" applyBorder="1"/>
    <xf numFmtId="0" fontId="0" fillId="4" borderId="4" xfId="0" applyFill="1" applyBorder="1"/>
    <xf numFmtId="0" fontId="0" fillId="4" borderId="9" xfId="0" applyFill="1" applyBorder="1"/>
    <xf numFmtId="0" fontId="0" fillId="0" borderId="10" xfId="0" applyBorder="1"/>
    <xf numFmtId="0" fontId="0" fillId="4" borderId="3" xfId="0" applyFill="1" applyBorder="1"/>
    <xf numFmtId="0" fontId="1" fillId="0" borderId="0" xfId="1"/>
    <xf numFmtId="0" fontId="0" fillId="0" borderId="11" xfId="0" applyBorder="1"/>
    <xf numFmtId="0" fontId="0" fillId="0" borderId="6" xfId="0" applyBorder="1"/>
    <xf numFmtId="0" fontId="0" fillId="2" borderId="0" xfId="0" applyFill="1"/>
    <xf numFmtId="0" fontId="4" fillId="6" borderId="12" xfId="0" applyFont="1" applyFill="1" applyBorder="1"/>
    <xf numFmtId="0" fontId="1" fillId="0" borderId="7" xfId="1" applyBorder="1"/>
    <xf numFmtId="0" fontId="1" fillId="0" borderId="1" xfId="1" applyBorder="1"/>
    <xf numFmtId="0" fontId="0" fillId="0" borderId="0" xfId="0" applyAlignment="1">
      <alignment wrapText="1"/>
    </xf>
    <xf numFmtId="4" fontId="0" fillId="0" borderId="0" xfId="0" applyNumberFormat="1" applyAlignment="1">
      <alignment horizontal="right" vertical="center"/>
    </xf>
    <xf numFmtId="4" fontId="0" fillId="0" borderId="0" xfId="0" applyNumberFormat="1"/>
    <xf numFmtId="43" fontId="0" fillId="0" borderId="0" xfId="2" applyNumberFormat="1" applyFont="1"/>
    <xf numFmtId="0" fontId="0" fillId="4" borderId="13" xfId="0" applyFill="1" applyBorder="1"/>
    <xf numFmtId="0" fontId="0" fillId="0" borderId="14" xfId="0" applyBorder="1"/>
    <xf numFmtId="0" fontId="0" fillId="0" borderId="15" xfId="0" applyBorder="1"/>
    <xf numFmtId="43" fontId="0" fillId="0" borderId="0" xfId="0" applyNumberFormat="1"/>
    <xf numFmtId="0" fontId="5" fillId="0" borderId="0" xfId="0" applyFont="1"/>
    <xf numFmtId="0" fontId="0" fillId="7" borderId="0" xfId="0" applyFill="1"/>
    <xf numFmtId="0" fontId="0" fillId="3" borderId="6" xfId="0" applyFill="1" applyBorder="1"/>
    <xf numFmtId="10" fontId="6" fillId="0" borderId="3" xfId="0" applyNumberFormat="1" applyFont="1" applyBorder="1"/>
    <xf numFmtId="10" fontId="0" fillId="0" borderId="3" xfId="0" applyNumberFormat="1" applyBorder="1"/>
    <xf numFmtId="0" fontId="0" fillId="0" borderId="16" xfId="0" applyBorder="1"/>
    <xf numFmtId="0" fontId="0" fillId="0" borderId="17" xfId="0" applyBorder="1"/>
    <xf numFmtId="10" fontId="6" fillId="0" borderId="14" xfId="0" applyNumberFormat="1" applyFont="1" applyBorder="1"/>
    <xf numFmtId="0" fontId="1" fillId="0" borderId="8" xfId="1" applyBorder="1"/>
    <xf numFmtId="0" fontId="6" fillId="0" borderId="0" xfId="0" applyFont="1"/>
    <xf numFmtId="164" fontId="0" fillId="0" borderId="0" xfId="0" applyNumberFormat="1"/>
    <xf numFmtId="0" fontId="0" fillId="4" borderId="18" xfId="0" applyFill="1" applyBorder="1"/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0" borderId="19" xfId="0" applyFont="1" applyBorder="1"/>
    <xf numFmtId="0" fontId="10" fillId="0" borderId="19" xfId="0" applyFont="1" applyBorder="1"/>
    <xf numFmtId="0" fontId="3" fillId="0" borderId="0" xfId="0" applyFont="1"/>
    <xf numFmtId="3" fontId="3" fillId="5" borderId="3" xfId="3" applyNumberFormat="1" applyFont="1" applyFill="1" applyBorder="1"/>
    <xf numFmtId="3" fontId="3" fillId="0" borderId="0" xfId="0" applyNumberFormat="1" applyFont="1"/>
    <xf numFmtId="0" fontId="12" fillId="0" borderId="0" xfId="0" applyFont="1"/>
    <xf numFmtId="0" fontId="1" fillId="0" borderId="3" xfId="1" applyBorder="1"/>
    <xf numFmtId="0" fontId="1" fillId="0" borderId="5" xfId="1" applyBorder="1"/>
    <xf numFmtId="0" fontId="1" fillId="0" borderId="1" xfId="4" applyBorder="1"/>
  </cellXfs>
  <cellStyles count="5">
    <cellStyle name="Hyperkobling" xfId="1" builtinId="8"/>
    <cellStyle name="Hyperlink" xfId="4" xr:uid="{00000000-000B-0000-0000-000008000000}"/>
    <cellStyle name="Komma" xfId="2" builtinId="3"/>
    <cellStyle name="Normal" xfId="0" builtinId="0"/>
    <cellStyle name="Normal 3" xfId="3" xr:uid="{27367CDB-13E5-4A72-8FA8-3EA35006D6E2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Wage - population density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'Wage density'!$C$3</c:f>
              <c:strCache>
                <c:ptCount val="1"/>
                <c:pt idx="0">
                  <c:v>Population 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553222222222228"/>
                  <c:y val="0.16852760518373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'Wage density'!$C$4:$C$15</c:f>
              <c:numCache>
                <c:formatCode>General</c:formatCode>
                <c:ptCount val="12"/>
                <c:pt idx="0">
                  <c:v>312.00686685288639</c:v>
                </c:pt>
                <c:pt idx="1">
                  <c:v>520.11683727497348</c:v>
                </c:pt>
                <c:pt idx="2">
                  <c:v>358.38845654993514</c:v>
                </c:pt>
                <c:pt idx="3">
                  <c:v>311.35745824534462</c:v>
                </c:pt>
                <c:pt idx="4">
                  <c:v>458.68048930604709</c:v>
                </c:pt>
                <c:pt idx="5">
                  <c:v>327.88498953974897</c:v>
                </c:pt>
                <c:pt idx="6">
                  <c:v>5737.7233906947104</c:v>
                </c:pt>
                <c:pt idx="7">
                  <c:v>482.70568211573709</c:v>
                </c:pt>
                <c:pt idx="8">
                  <c:v>237.77911764705883</c:v>
                </c:pt>
                <c:pt idx="9">
                  <c:v>152.5379469656865</c:v>
                </c:pt>
                <c:pt idx="10">
                  <c:v>70.137169106796861</c:v>
                </c:pt>
                <c:pt idx="11">
                  <c:v>134.14791224345365</c:v>
                </c:pt>
              </c:numCache>
            </c:numRef>
          </c:xVal>
          <c:yVal>
            <c:numRef>
              <c:f>'Wage density'!$B$4:$B$15</c:f>
              <c:numCache>
                <c:formatCode>General</c:formatCode>
                <c:ptCount val="12"/>
                <c:pt idx="0">
                  <c:v>575.20000000000005</c:v>
                </c:pt>
                <c:pt idx="1">
                  <c:v>602.29999999999995</c:v>
                </c:pt>
                <c:pt idx="2">
                  <c:v>579.1</c:v>
                </c:pt>
                <c:pt idx="3">
                  <c:v>594.1</c:v>
                </c:pt>
                <c:pt idx="4">
                  <c:v>617.5</c:v>
                </c:pt>
                <c:pt idx="5">
                  <c:v>632.4</c:v>
                </c:pt>
                <c:pt idx="6">
                  <c:v>804.9</c:v>
                </c:pt>
                <c:pt idx="7">
                  <c:v>664.3</c:v>
                </c:pt>
                <c:pt idx="8">
                  <c:v>611.29999999999995</c:v>
                </c:pt>
                <c:pt idx="9">
                  <c:v>598.1</c:v>
                </c:pt>
                <c:pt idx="10">
                  <c:v>640.5</c:v>
                </c:pt>
                <c:pt idx="11">
                  <c:v>591.6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F-4196-94F9-221A3B06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14608"/>
        <c:axId val="939513952"/>
      </c:scatterChart>
      <c:valAx>
        <c:axId val="939514608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100"/>
                  <a:t>population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39513952"/>
        <c:crosses val="autoZero"/>
        <c:crossBetween val="midCat"/>
      </c:valAx>
      <c:valAx>
        <c:axId val="9395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100"/>
                  <a:t>weekly wage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3951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'Productivity density'!$C$3:$C$14</c:f>
              <c:numCache>
                <c:formatCode>General</c:formatCode>
                <c:ptCount val="12"/>
                <c:pt idx="0">
                  <c:v>312.00686685288639</c:v>
                </c:pt>
                <c:pt idx="1">
                  <c:v>520.11683727497348</c:v>
                </c:pt>
                <c:pt idx="2">
                  <c:v>358.38845654993514</c:v>
                </c:pt>
                <c:pt idx="3">
                  <c:v>311.35745824534462</c:v>
                </c:pt>
                <c:pt idx="4">
                  <c:v>458.68048930604709</c:v>
                </c:pt>
                <c:pt idx="5">
                  <c:v>327.88498953974897</c:v>
                </c:pt>
                <c:pt idx="6">
                  <c:v>5737.7233906947104</c:v>
                </c:pt>
                <c:pt idx="7">
                  <c:v>482.70568211573709</c:v>
                </c:pt>
                <c:pt idx="8">
                  <c:v>237.77911764705883</c:v>
                </c:pt>
                <c:pt idx="9">
                  <c:v>152.5379469656865</c:v>
                </c:pt>
                <c:pt idx="10">
                  <c:v>70.137169106796861</c:v>
                </c:pt>
                <c:pt idx="11">
                  <c:v>134.14791224345365</c:v>
                </c:pt>
              </c:numCache>
            </c:numRef>
          </c:xVal>
          <c:yVal>
            <c:numRef>
              <c:f>'Productivity density'!$B$3:$B$14</c:f>
              <c:numCache>
                <c:formatCode>General</c:formatCode>
                <c:ptCount val="12"/>
                <c:pt idx="0">
                  <c:v>98.4</c:v>
                </c:pt>
                <c:pt idx="1">
                  <c:v>103.2</c:v>
                </c:pt>
                <c:pt idx="2">
                  <c:v>96.7</c:v>
                </c:pt>
                <c:pt idx="3">
                  <c:v>98.6</c:v>
                </c:pt>
                <c:pt idx="4">
                  <c:v>99.1</c:v>
                </c:pt>
                <c:pt idx="5">
                  <c:v>105.7</c:v>
                </c:pt>
                <c:pt idx="6">
                  <c:v>153.1</c:v>
                </c:pt>
                <c:pt idx="7">
                  <c:v>124.4</c:v>
                </c:pt>
                <c:pt idx="8">
                  <c:v>100.9</c:v>
                </c:pt>
                <c:pt idx="9">
                  <c:v>95.6</c:v>
                </c:pt>
                <c:pt idx="10">
                  <c:v>111.2</c:v>
                </c:pt>
                <c:pt idx="11">
                  <c:v>94.8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6-4534-ACDE-CAD37765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758080"/>
        <c:axId val="931749880"/>
      </c:scatterChart>
      <c:valAx>
        <c:axId val="9317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31749880"/>
        <c:crosses val="autoZero"/>
        <c:crossBetween val="midCat"/>
      </c:valAx>
      <c:valAx>
        <c:axId val="9317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317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'Wage Asset link'!$F$3:$F$14</c:f>
              <c:numCache>
                <c:formatCode>General</c:formatCode>
                <c:ptCount val="12"/>
                <c:pt idx="0">
                  <c:v>21222709663.116035</c:v>
                </c:pt>
                <c:pt idx="1">
                  <c:v>65302678073.517296</c:v>
                </c:pt>
                <c:pt idx="2">
                  <c:v>65599593012.695763</c:v>
                </c:pt>
                <c:pt idx="3">
                  <c:v>9029984050.6282539</c:v>
                </c:pt>
                <c:pt idx="4">
                  <c:v>13902485539.984524</c:v>
                </c:pt>
                <c:pt idx="5">
                  <c:v>60009046367.237679</c:v>
                </c:pt>
                <c:pt idx="6">
                  <c:v>55307672937.98391</c:v>
                </c:pt>
                <c:pt idx="7">
                  <c:v>258636296668.16028</c:v>
                </c:pt>
                <c:pt idx="8">
                  <c:v>26749511269.18824</c:v>
                </c:pt>
                <c:pt idx="9">
                  <c:v>64486743242.316696</c:v>
                </c:pt>
                <c:pt idx="10">
                  <c:v>76748221326.414886</c:v>
                </c:pt>
                <c:pt idx="11">
                  <c:v>57445382707.583206</c:v>
                </c:pt>
              </c:numCache>
            </c:numRef>
          </c:xVal>
          <c:yVal>
            <c:numRef>
              <c:f>'Wage Asset link'!$G$3:$G$14</c:f>
              <c:numCache>
                <c:formatCode>General</c:formatCode>
                <c:ptCount val="12"/>
                <c:pt idx="0">
                  <c:v>575.20000000000005</c:v>
                </c:pt>
                <c:pt idx="1">
                  <c:v>602.29999999999995</c:v>
                </c:pt>
                <c:pt idx="2">
                  <c:v>579.1</c:v>
                </c:pt>
                <c:pt idx="3">
                  <c:v>594.1</c:v>
                </c:pt>
                <c:pt idx="4">
                  <c:v>617.5</c:v>
                </c:pt>
                <c:pt idx="5">
                  <c:v>632.4</c:v>
                </c:pt>
                <c:pt idx="6">
                  <c:v>804.9</c:v>
                </c:pt>
                <c:pt idx="7">
                  <c:v>664.3</c:v>
                </c:pt>
                <c:pt idx="8">
                  <c:v>611.29999999999995</c:v>
                </c:pt>
                <c:pt idx="9">
                  <c:v>598.1</c:v>
                </c:pt>
                <c:pt idx="10">
                  <c:v>640.5</c:v>
                </c:pt>
                <c:pt idx="11">
                  <c:v>591.6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E-4D8C-A5BC-BBFF5F8D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14608"/>
        <c:axId val="939513952"/>
      </c:scatterChart>
      <c:valAx>
        <c:axId val="93951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39513952"/>
        <c:crosses val="autoZero"/>
        <c:crossBetween val="midCat"/>
      </c:valAx>
      <c:valAx>
        <c:axId val="9395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3951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Housing</a:t>
            </a:r>
            <a:r>
              <a:rPr lang="de-AT" baseline="0"/>
              <a:t> - population density correlation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82736111111106"/>
                  <c:y val="0.26770279797057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'Density Housing Prices Link'!$C$3:$C$12</c:f>
              <c:numCache>
                <c:formatCode>General</c:formatCode>
                <c:ptCount val="10"/>
                <c:pt idx="0">
                  <c:v>312.00689999999997</c:v>
                </c:pt>
                <c:pt idx="1">
                  <c:v>520.11680000000001</c:v>
                </c:pt>
                <c:pt idx="2">
                  <c:v>358.38850000000002</c:v>
                </c:pt>
                <c:pt idx="3">
                  <c:v>311.35750000000002</c:v>
                </c:pt>
                <c:pt idx="4">
                  <c:v>458.68049999999999</c:v>
                </c:pt>
                <c:pt idx="5">
                  <c:v>327.88499999999999</c:v>
                </c:pt>
                <c:pt idx="6">
                  <c:v>5737.723</c:v>
                </c:pt>
                <c:pt idx="7">
                  <c:v>482.70569999999998</c:v>
                </c:pt>
                <c:pt idx="8">
                  <c:v>237.7791</c:v>
                </c:pt>
                <c:pt idx="9">
                  <c:v>152.53790000000001</c:v>
                </c:pt>
              </c:numCache>
            </c:numRef>
          </c:xVal>
          <c:yVal>
            <c:numRef>
              <c:f>'Density Housing Prices Link'!$D$3:$D$12</c:f>
              <c:numCache>
                <c:formatCode>General</c:formatCode>
                <c:ptCount val="10"/>
                <c:pt idx="0">
                  <c:v>5.13</c:v>
                </c:pt>
                <c:pt idx="1">
                  <c:v>5.7671794871794884</c:v>
                </c:pt>
                <c:pt idx="2">
                  <c:v>6.4614285714285717</c:v>
                </c:pt>
                <c:pt idx="3">
                  <c:v>7.214999999999999</c:v>
                </c:pt>
                <c:pt idx="4">
                  <c:v>7.4973333333333345</c:v>
                </c:pt>
                <c:pt idx="5">
                  <c:v>10.202222222222224</c:v>
                </c:pt>
                <c:pt idx="6">
                  <c:v>14.841212121212122</c:v>
                </c:pt>
                <c:pt idx="7">
                  <c:v>10.731562499999997</c:v>
                </c:pt>
                <c:pt idx="8">
                  <c:v>8.8066666666666666</c:v>
                </c:pt>
                <c:pt idx="9">
                  <c:v>5.8777272727272729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D-0E46-9109-5532EEFB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63535"/>
        <c:axId val="889921279"/>
      </c:scatterChart>
      <c:valAx>
        <c:axId val="762363535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100"/>
                  <a:t>population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9921279"/>
        <c:crosses val="autoZero"/>
        <c:crossBetween val="midCat"/>
      </c:valAx>
      <c:valAx>
        <c:axId val="8899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100"/>
                  <a:t>Average Housing price as multiple of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236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166685</xdr:rowOff>
    </xdr:from>
    <xdr:to>
      <xdr:col>22</xdr:col>
      <xdr:colOff>303900</xdr:colOff>
      <xdr:row>35</xdr:row>
      <xdr:rowOff>105185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39C37-1F9B-B54D-C39C-D909A219A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68112-67C5-2C13-249E-C4C71393D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21</xdr:col>
      <xdr:colOff>276667</xdr:colOff>
      <xdr:row>28</xdr:row>
      <xdr:rowOff>19874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8822B-6B6C-410F-BA71-F60F7FA30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234949</xdr:colOff>
      <xdr:row>3</xdr:row>
      <xdr:rowOff>6350</xdr:rowOff>
    </xdr:from>
    <xdr:to>
      <xdr:col>17</xdr:col>
      <xdr:colOff>5449</xdr:colOff>
      <xdr:row>25</xdr:row>
      <xdr:rowOff>141700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20BE74-D0A4-BFF9-221E-92F50C723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rdmann  Jan-Philip" id="{A43CF43C-0345-4E90-872E-98DBC59DF2F9}" userId="Erdmann  Jan-Philip" providerId="None"/>
  <person displayName="Luther  Samuel" id="{8263B581-9F92-47A4-9A6F-D1D567FF635A}" userId="S::sluther@ethz.ch::623d8c79-2471-4f2c-8cb2-07cee41267e1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1-22T13:03:54.46" personId="{8263B581-9F92-47A4-9A6F-D1D567FF635A}" id="{88A2795D-F75F-4C10-A2CF-52DB722FF6AB}">
    <text>STABW.N of monthly rainfall from 1862-2020</text>
  </threadedComment>
  <threadedComment ref="G1" dT="2022-11-22T13:13:05.48" personId="{8263B581-9F92-47A4-9A6F-D1D567FF635A}" id="{1F16F6E9-F4E2-49D3-A93C-3AD694FA41FA}">
    <text>Year 2020</text>
  </threadedComment>
  <threadedComment ref="M1" dT="2022-11-22T13:10:18.24" personId="{8263B581-9F92-47A4-9A6F-D1D567FF635A}" id="{0C8EFE11-6304-4EA0-ABB1-B5605C5BB2CF}">
    <text>Population 2020</text>
  </threadedComment>
  <threadedComment ref="P1" dT="2022-11-29T08:15:04.71" personId="{8263B581-9F92-47A4-9A6F-D1D567FF635A}" id="{B76F7DB0-D5CB-43F7-85DB-252834C7424B}">
    <text>Average full-time weekly wage in the UK 2022</text>
  </threadedComment>
  <threadedComment ref="C12" dT="2022-11-22T13:05:44.42" personId="{8263B581-9F92-47A4-9A6F-D1D567FF635A}" id="{94AF8682-816C-45F1-B68F-2CFBE352D064}">
    <text>Aggregated from east, north, west Scotland</text>
  </threadedComment>
  <threadedComment ref="C15" dT="2022-11-23T18:19:27.25" personId="{8263B581-9F92-47A4-9A6F-D1D567FF635A}" id="{9076A343-651E-4F65-AA54-CEA313198E68}">
    <text>Area = admin_region|all
Collection = land-obs_admin_region
DataFormat = csv
JobLabel = None
TemporalAverage = mall
TimeSlice = 1862|2020
Variable = rainfall</text>
  </threadedComment>
  <threadedComment ref="G15" dT="2022-11-23T18:15:45.31" personId="{8263B581-9F92-47A4-9A6F-D1D567FF635A}" id="{6BE704B4-51FE-4F5C-9702-B5F7083B744F}">
    <text>Excel doc, Table 5</text>
  </threadedComment>
  <threadedComment ref="J15" dT="2022-11-23T20:39:34.97" personId="{A43CF43C-0345-4E90-872E-98DBC59DF2F9}" id="{D3F9B52D-4BF5-41C6-8ED0-AC08DC0AC37B}">
    <text>Calculations can be found in Port_Data in OneDrive</text>
  </threadedComment>
  <threadedComment ref="L15" dT="2022-11-23T20:41:22.81" personId="{A43CF43C-0345-4E90-872E-98DBC59DF2F9}" id="{FB5B3F01-D1DB-4236-B3AD-6A18F4BE15FF}">
    <text>Data calculations can be found in OneDrice in Agriculture_Data</text>
  </threadedComment>
  <threadedComment ref="M15" dT="2022-11-23T18:15:45.31" personId="{8263B581-9F92-47A4-9A6F-D1D567FF635A}" id="{E883E2E9-E346-425D-BEB6-E7D51578ADF5}">
    <text>Excel doc, Table 6</text>
  </threadedComment>
  <threadedComment ref="H18" dT="2022-11-29T09:04:30.11" personId="{8263B581-9F92-47A4-9A6F-D1D567FF635A}" id="{6ACF043B-340C-4681-A8A8-505E9CD0FF1F}">
    <text>Public sector expenditure on national and local roads in pounds</text>
  </threadedComment>
  <threadedComment ref="O18" dT="2022-11-29T09:09:40.69" personId="{8263B581-9F92-47A4-9A6F-D1D567FF635A}" id="{1E9FB194-521D-46E1-BDED-20B9A346DED6}">
    <text>GBP wage per year on average</text>
  </threadedComment>
  <threadedComment ref="H21" dT="2022-11-29T09:53:17.86" personId="{8263B581-9F92-47A4-9A6F-D1D567FF635A}" id="{D9B97311-5A6C-46F5-839B-F87B6BE4F304}">
    <text>https://www.bbc.com/news/magazine-13924687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22-11-29T08:15:04.71" personId="{8263B581-9F92-47A4-9A6F-D1D567FF635A}" id="{D2879EE5-89B9-4483-8528-254EC0E87793}">
    <text>Average full-time weekly wage in the UK 2022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11-29T08:15:04.71" personId="{8263B581-9F92-47A4-9A6F-D1D567FF635A}" id="{C8F60A17-6D59-4E6D-B548-6E6BE572E27D}">
    <text>Average full-time weekly wage in the UK 2022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2-11-22T13:03:54.46" personId="{8263B581-9F92-47A4-9A6F-D1D567FF635A}" id="{FCC6B41C-71FD-41D6-ABB1-10FCBB5F30B1}">
    <text>STABW.N of monthly rainfall from 1862-2020</text>
  </threadedComment>
  <threadedComment ref="G1" dT="2022-11-22T13:13:05.48" personId="{8263B581-9F92-47A4-9A6F-D1D567FF635A}" id="{EB91CC7D-2CEA-4494-86C0-1F6B6B036CF6}">
    <text>Year 2020</text>
  </threadedComment>
  <threadedComment ref="M1" dT="2022-11-22T13:10:18.24" personId="{8263B581-9F92-47A4-9A6F-D1D567FF635A}" id="{AF6BDDC8-D063-43B2-BC1B-685B804D7289}">
    <text>Population 2020</text>
  </threadedComment>
  <threadedComment ref="P1" dT="2022-11-29T08:15:04.71" personId="{8263B581-9F92-47A4-9A6F-D1D567FF635A}" id="{B7C98DF6-BA70-4FC1-91E1-8F78DB5B5B09}">
    <text>Average full-time weekly wage in the UK 2022</text>
  </threadedComment>
  <threadedComment ref="C12" dT="2022-11-22T13:05:44.42" personId="{8263B581-9F92-47A4-9A6F-D1D567FF635A}" id="{DB5E3C96-B399-46B5-8C69-E1304538D822}">
    <text>Aggregated from east, north, west Scotland</text>
  </threadedComment>
  <threadedComment ref="C15" dT="2022-11-23T18:19:27.25" personId="{8263B581-9F92-47A4-9A6F-D1D567FF635A}" id="{C299CB7E-AB8A-4AD2-A432-29948AD48A81}">
    <text>Area = admin_region|all
Collection = land-obs_admin_region
DataFormat = csv
JobLabel = None
TemporalAverage = mall
TimeSlice = 1862|2020
Variable = rainfall</text>
  </threadedComment>
  <threadedComment ref="G15" dT="2022-11-23T18:15:45.31" personId="{8263B581-9F92-47A4-9A6F-D1D567FF635A}" id="{A3B3FE2B-226F-471A-B77F-D439480D6FEF}">
    <text>Excel doc, Table 5</text>
  </threadedComment>
  <threadedComment ref="J15" dT="2022-11-23T20:39:34.97" personId="{A43CF43C-0345-4E90-872E-98DBC59DF2F9}" id="{97F639E9-7031-4E8A-A49A-8392F20DBFFE}">
    <text>Calculations can be found in Port_Data in OneDrive</text>
  </threadedComment>
  <threadedComment ref="L15" dT="2022-11-23T20:41:22.81" personId="{A43CF43C-0345-4E90-872E-98DBC59DF2F9}" id="{B74C39AC-2256-4BEA-93A8-500590B9F144}">
    <text>Data calculations can be found in OneDrice in Agriculture_Data</text>
  </threadedComment>
  <threadedComment ref="M15" dT="2022-11-23T18:15:45.31" personId="{8263B581-9F92-47A4-9A6F-D1D567FF635A}" id="{E87B9DA5-2F57-430A-9A7E-842965F938CF}">
    <text>Excel doc, Table 6</text>
  </threadedComment>
  <threadedComment ref="H18" dT="2022-11-29T09:04:30.11" personId="{8263B581-9F92-47A4-9A6F-D1D567FF635A}" id="{959A76E7-93FB-4772-A927-AB15AFFA1149}">
    <text>Public sector expenditure on national and local roads in pounds</text>
  </threadedComment>
  <threadedComment ref="O18" dT="2022-11-29T09:09:40.69" personId="{8263B581-9F92-47A4-9A6F-D1D567FF635A}" id="{6E2E733E-DAA6-49F9-A9DB-22F4C9A890BC}">
    <text>GBP wage per year on average</text>
  </threadedComment>
  <threadedComment ref="H21" dT="2022-11-29T09:53:17.86" personId="{8263B581-9F92-47A4-9A6F-D1D567FF635A}" id="{FFB392E1-9A1D-49CB-AA18-866AE0FA2F30}">
    <text>https://www.bbc.com/news/magazine-13924687</text>
  </threadedComment>
  <threadedComment ref="C24" dT="2022-11-22T13:03:54.46" personId="{8263B581-9F92-47A4-9A6F-D1D567FF635A}" id="{16DB75BA-118C-43DC-AC8E-271A31A29B02}">
    <text>STABW.N of monthly rainfall from 1862-2020</text>
  </threadedComment>
  <threadedComment ref="C35" dT="2022-11-22T13:05:44.42" personId="{8263B581-9F92-47A4-9A6F-D1D567FF635A}" id="{898EEF2F-E841-45FC-BC2E-4CA7AE394967}">
    <text>Aggregated from east, north, west Scotland</text>
  </threadedComment>
  <threadedComment ref="C41" dT="2022-11-22T13:03:54.46" personId="{8263B581-9F92-47A4-9A6F-D1D567FF635A}" id="{1AA890A7-674A-4220-8A19-65BBC6E00DF2}">
    <text>STABW.N of monthly rainfall from 1862-2020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G2" dT="2022-11-29T08:15:04.71" personId="{8263B581-9F92-47A4-9A6F-D1D567FF635A}" id="{2AFA5AD4-7A0E-4A08-8D3C-F51EB670D827}">
    <text>Average full-time weekly wage in the UK 2022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2" dT="2022-11-22T13:03:54.46" personId="{8263B581-9F92-47A4-9A6F-D1D567FF635A}" id="{CB4AC2E9-99DF-456A-BEB1-088013BA779B}">
    <text>STABW.N of monthly rainfall from 1862-2020</text>
  </threadedComment>
  <threadedComment ref="D13" dT="2022-11-22T13:05:44.42" personId="{8263B581-9F92-47A4-9A6F-D1D567FF635A}" id="{C7F2DD44-A2F7-43D6-843F-D3F430D29C93}">
    <text>Aggregated from east, north, west Scotland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ist_of_countries_by_total_wealth" TargetMode="External"/><Relationship Id="rId13" Type="http://schemas.openxmlformats.org/officeDocument/2006/relationships/hyperlink" Target="https://ec.europa.eu/eurostat/databrowser/view/EF_LUS_MAIN__custom_3940915/default/table?lang=en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www.gov.uk/government/statistics/total-income-from-farming-in-the-uk/total-income-from-farming-of-the-united-kingdom-2021-provisional-estimate" TargetMode="External"/><Relationship Id="rId7" Type="http://schemas.openxmlformats.org/officeDocument/2006/relationships/hyperlink" Target="https://www.gov.uk/government/publications/energy-trends-december-2020-special-feature-articles" TargetMode="External"/><Relationship Id="rId12" Type="http://schemas.openxmlformats.org/officeDocument/2006/relationships/hyperlink" Target="https://www.gov.uk/government/statistical-data-sets/port-and-domestic-waterborne-freight-statistics-port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en.wikipedia.org/wiki/Roads_in_Northern_Ireland" TargetMode="External"/><Relationship Id="rId16" Type="http://schemas.openxmlformats.org/officeDocument/2006/relationships/hyperlink" Target="https://www.bbc.com/news/magazine-13924687" TargetMode="External"/><Relationship Id="rId1" Type="http://schemas.openxmlformats.org/officeDocument/2006/relationships/hyperlink" Target="https://www.gov.uk/government/statistical-data-sets/port-and-domestic-waterborne-freight-statistics-port" TargetMode="External"/><Relationship Id="rId6" Type="http://schemas.openxmlformats.org/officeDocument/2006/relationships/hyperlink" Target="https://www.statista.com/statistics/418126/electricity-prices-for-households-in-the-uk/" TargetMode="External"/><Relationship Id="rId11" Type="http://schemas.openxmlformats.org/officeDocument/2006/relationships/hyperlink" Target="https://www.ons.gov.uk/economy/grossdomesticproductgdp/datasets/regionalgrossdomesticproductallnutslevelregions" TargetMode="External"/><Relationship Id="rId5" Type="http://schemas.openxmlformats.org/officeDocument/2006/relationships/hyperlink" Target="https://www.gov.uk/government/statistics/uk-local-authority-and-regional-greenhouse-gas-emissions-national-statistics-2005-to-2020" TargetMode="External"/><Relationship Id="rId15" Type="http://schemas.openxmlformats.org/officeDocument/2006/relationships/hyperlink" Target="https://www.statista.com/statistics/800644/full-time-weekly-wage-uk-by-region/" TargetMode="External"/><Relationship Id="rId10" Type="http://schemas.openxmlformats.org/officeDocument/2006/relationships/hyperlink" Target="https://ukclimateprojections-ui.metoffice.gov.uk/products/form/LS6_Subset_01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gov.uk/government/collections/road-network-size-and-condition" TargetMode="External"/><Relationship Id="rId9" Type="http://schemas.openxmlformats.org/officeDocument/2006/relationships/hyperlink" Target="https://home.kpmg/uk/en/home/insights/2022/04/uk-sets-out-future-for-carbon-pricing.html" TargetMode="External"/><Relationship Id="rId14" Type="http://schemas.openxmlformats.org/officeDocument/2006/relationships/hyperlink" Target="https://www.ons.gov.uk/economy/grossdomesticproductgdp/datasets/regionalgrossdomesticproductallnutslevelregion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ons.gov.uk/peoplepopulationandcommunity/housing/bulletins/housingaffordabilityinenglandandwales/202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home.kpmg/uk/en/home/insights/2022/04/uk-sets-out-future-for-carbon-pricing.html" TargetMode="External"/><Relationship Id="rId3" Type="http://schemas.openxmlformats.org/officeDocument/2006/relationships/hyperlink" Target="https://www.gov.uk/government/statistics/total-income-from-farming-in-the-uk/total-income-from-farming-of-the-united-kingdom-2021-provisional-estimate" TargetMode="External"/><Relationship Id="rId7" Type="http://schemas.openxmlformats.org/officeDocument/2006/relationships/hyperlink" Target="https://www.gov.uk/government/publications/energy-trends-december-2020-special-feature-articles" TargetMode="External"/><Relationship Id="rId12" Type="http://schemas.microsoft.com/office/2017/10/relationships/threadedComment" Target="../threadedComments/threadedComment4.xml"/><Relationship Id="rId2" Type="http://schemas.openxmlformats.org/officeDocument/2006/relationships/hyperlink" Target="https://en.wikipedia.org/wiki/Roads_in_Northern_Ireland" TargetMode="External"/><Relationship Id="rId1" Type="http://schemas.openxmlformats.org/officeDocument/2006/relationships/hyperlink" Target="https://www.gov.uk/government/statistical-data-sets/port-and-domestic-waterborne-freight-statistics-port" TargetMode="External"/><Relationship Id="rId6" Type="http://schemas.openxmlformats.org/officeDocument/2006/relationships/hyperlink" Target="https://www.statista.com/statistics/418126/electricity-prices-for-households-in-the-uk/" TargetMode="External"/><Relationship Id="rId11" Type="http://schemas.openxmlformats.org/officeDocument/2006/relationships/comments" Target="../comments4.xml"/><Relationship Id="rId5" Type="http://schemas.openxmlformats.org/officeDocument/2006/relationships/hyperlink" Target="https://www.gov.uk/government/statistics/uk-local-authority-and-regional-greenhouse-gas-emissions-national-statistics-2005-to-2020" TargetMode="External"/><Relationship Id="rId10" Type="http://schemas.openxmlformats.org/officeDocument/2006/relationships/vmlDrawing" Target="../drawings/vmlDrawing4.vml"/><Relationship Id="rId4" Type="http://schemas.openxmlformats.org/officeDocument/2006/relationships/hyperlink" Target="https://www.gov.uk/government/collections/road-network-size-and-condition" TargetMode="External"/><Relationship Id="rId9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5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"/>
  <sheetViews>
    <sheetView tabSelected="1" topLeftCell="C8" zoomScaleNormal="70" workbookViewId="0">
      <selection activeCell="J14" sqref="J14"/>
    </sheetView>
  </sheetViews>
  <sheetFormatPr baseColWidth="10" defaultColWidth="8.54296875" defaultRowHeight="15" customHeight="1" x14ac:dyDescent="0.35"/>
  <cols>
    <col min="1" max="1" width="22.81640625" bestFit="1" customWidth="1"/>
    <col min="2" max="2" width="19.1796875" bestFit="1" customWidth="1"/>
    <col min="3" max="3" width="10.81640625" customWidth="1"/>
    <col min="4" max="4" width="9.453125" customWidth="1"/>
    <col min="5" max="5" width="14" customWidth="1"/>
    <col min="6" max="6" width="8" customWidth="1"/>
    <col min="7" max="7" width="13.453125" customWidth="1"/>
    <col min="8" max="8" width="22.453125" bestFit="1" customWidth="1"/>
    <col min="9" max="9" width="21.453125" customWidth="1"/>
    <col min="10" max="10" width="20.54296875" bestFit="1" customWidth="1"/>
    <col min="11" max="11" width="17.453125" customWidth="1"/>
    <col min="12" max="12" width="21.453125" bestFit="1" customWidth="1"/>
    <col min="13" max="13" width="9.81640625" bestFit="1" customWidth="1"/>
    <col min="15" max="15" width="16.453125" customWidth="1"/>
    <col min="17" max="17" width="15.1796875" bestFit="1" customWidth="1"/>
    <col min="18" max="18" width="11.54296875" bestFit="1" customWidth="1"/>
    <col min="19" max="19" width="18.453125" customWidth="1"/>
    <col min="20" max="20" width="26" bestFit="1" customWidth="1"/>
    <col min="21" max="21" width="31.453125" customWidth="1"/>
    <col min="22" max="23" width="18.54296875" bestFit="1" customWidth="1"/>
    <col min="24" max="24" width="17.453125" customWidth="1"/>
  </cols>
  <sheetData>
    <row r="1" spans="1:26" ht="14.5" x14ac:dyDescent="0.35">
      <c r="A1" s="2" t="s">
        <v>0</v>
      </c>
      <c r="B1" s="3" t="s">
        <v>1</v>
      </c>
      <c r="C1" s="3" t="s">
        <v>2</v>
      </c>
      <c r="D1" s="32" t="s">
        <v>3</v>
      </c>
      <c r="E1" s="3" t="s">
        <v>4</v>
      </c>
      <c r="F1" s="3" t="s">
        <v>5</v>
      </c>
      <c r="G1" s="11" t="s">
        <v>6</v>
      </c>
      <c r="H1" s="14" t="s">
        <v>7</v>
      </c>
      <c r="I1" s="12" t="s">
        <v>8</v>
      </c>
      <c r="J1" s="26" t="s">
        <v>9</v>
      </c>
      <c r="K1" s="14" t="s">
        <v>10</v>
      </c>
      <c r="L1" s="12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41" t="s">
        <v>16</v>
      </c>
      <c r="R1" s="41" t="s">
        <v>17</v>
      </c>
      <c r="S1" s="50" t="s">
        <v>18</v>
      </c>
      <c r="T1" t="s">
        <v>19</v>
      </c>
      <c r="U1" t="s">
        <v>20</v>
      </c>
      <c r="V1" s="8" t="s">
        <v>21</v>
      </c>
      <c r="W1" t="s">
        <v>22</v>
      </c>
      <c r="X1" t="s">
        <v>23</v>
      </c>
      <c r="Z1" t="s">
        <v>24</v>
      </c>
    </row>
    <row r="2" spans="1:26" ht="15.5" x14ac:dyDescent="0.35">
      <c r="A2" s="2" t="s">
        <v>25</v>
      </c>
      <c r="B2" s="19">
        <v>1.3102166180000001</v>
      </c>
      <c r="C2" s="6">
        <v>34.645431889999998</v>
      </c>
      <c r="D2" s="33">
        <v>1.6000000000000001E-3</v>
      </c>
      <c r="E2" s="16">
        <v>14821.2</v>
      </c>
      <c r="F2" s="1"/>
      <c r="G2" s="6">
        <v>61951</v>
      </c>
      <c r="H2" s="51">
        <v>36</v>
      </c>
      <c r="I2" s="13">
        <v>61657549</v>
      </c>
      <c r="J2" s="27">
        <v>58.694167</v>
      </c>
      <c r="K2" s="9">
        <v>11225.234524281652</v>
      </c>
      <c r="L2" s="13">
        <v>641820</v>
      </c>
      <c r="M2" s="7">
        <v>2680763</v>
      </c>
      <c r="N2" s="1">
        <v>8592</v>
      </c>
      <c r="O2" s="1">
        <f>M2/N2</f>
        <v>312.00686685288639</v>
      </c>
      <c r="P2" s="1">
        <v>575.20000000000005</v>
      </c>
      <c r="Q2">
        <f t="shared" ref="Q2:Q13" si="0">1/(P2/(MAX($P$2:$P$13)))</f>
        <v>1.399339360222531</v>
      </c>
      <c r="R2">
        <f t="shared" ref="R2:R13" si="1">P2/MAX($P$2:$P$13)</f>
        <v>0.71462293452602821</v>
      </c>
      <c r="S2" s="52">
        <v>17494388777</v>
      </c>
      <c r="T2" s="52">
        <f>$H$22*H2</f>
        <v>1080000000</v>
      </c>
      <c r="U2" s="24">
        <f>L2*$L$18/SUM($L$2:$L$13)</f>
        <v>393698856.21049005</v>
      </c>
      <c r="V2" s="25">
        <v>2621653523.1459799</v>
      </c>
      <c r="W2" s="29">
        <f t="shared" ref="W2:W13" si="2">V2*0.86</f>
        <v>2254622029.9055429</v>
      </c>
      <c r="X2">
        <f>G2*$X$18*1000000</f>
        <v>314029619000</v>
      </c>
      <c r="Z2">
        <f t="shared" ref="Z2:Z13" si="3">$Z$16*1000*E2</f>
        <v>1067126400</v>
      </c>
    </row>
    <row r="3" spans="1:26" ht="15.5" x14ac:dyDescent="0.35">
      <c r="A3" s="2" t="s">
        <v>26</v>
      </c>
      <c r="B3" s="19">
        <v>1.2341320579999999</v>
      </c>
      <c r="C3" s="6">
        <v>47.902948199999997</v>
      </c>
      <c r="D3" s="33">
        <v>1.1000000000000001E-3</v>
      </c>
      <c r="E3" s="16">
        <v>41921.9</v>
      </c>
      <c r="F3" s="1"/>
      <c r="G3" s="6">
        <v>208183</v>
      </c>
      <c r="H3" s="51">
        <v>408</v>
      </c>
      <c r="I3" s="13">
        <v>7367456</v>
      </c>
      <c r="J3" s="27">
        <v>155.04226999999997</v>
      </c>
      <c r="K3" s="9">
        <v>30849.952130080681</v>
      </c>
      <c r="L3" s="13">
        <v>1066920</v>
      </c>
      <c r="M3" s="7">
        <v>7367455</v>
      </c>
      <c r="N3" s="1">
        <v>14165</v>
      </c>
      <c r="O3" s="1">
        <f>M3/N3</f>
        <v>520.11683727497348</v>
      </c>
      <c r="P3" s="1">
        <v>602.29999999999995</v>
      </c>
      <c r="Q3">
        <f t="shared" si="0"/>
        <v>1.3363772206541591</v>
      </c>
      <c r="R3">
        <f t="shared" si="1"/>
        <v>0.74829171325630506</v>
      </c>
      <c r="S3" s="52">
        <v>46211913158</v>
      </c>
      <c r="T3" s="52">
        <f t="shared" ref="T3:T13" si="4">$H$22*H3</f>
        <v>12240000000</v>
      </c>
      <c r="U3" s="24">
        <f t="shared" ref="U3:U13" si="5">L3*$L$18/SUM($L$2:$L$13)</f>
        <v>654459480.33419967</v>
      </c>
      <c r="V3" s="25">
        <v>7205006319.9803429</v>
      </c>
      <c r="W3" s="29">
        <f t="shared" si="2"/>
        <v>6196305435.183095</v>
      </c>
      <c r="X3">
        <f t="shared" ref="X3:X13" si="6">G3*$X$18*1000000</f>
        <v>1055279627000.0001</v>
      </c>
      <c r="Z3">
        <f t="shared" si="3"/>
        <v>3018376800</v>
      </c>
    </row>
    <row r="4" spans="1:26" ht="15.5" x14ac:dyDescent="0.35">
      <c r="A4" s="2" t="s">
        <v>27</v>
      </c>
      <c r="B4" s="19">
        <v>1.5631266720000001</v>
      </c>
      <c r="C4" s="6">
        <v>33.814793280000004</v>
      </c>
      <c r="D4" s="33">
        <v>6.8999999999999999E-3</v>
      </c>
      <c r="E4" s="16">
        <v>36938.699999999997</v>
      </c>
      <c r="F4" s="1"/>
      <c r="G4" s="6">
        <v>142008</v>
      </c>
      <c r="H4" s="51">
        <v>277</v>
      </c>
      <c r="I4" s="13">
        <v>143685100</v>
      </c>
      <c r="J4" s="27">
        <v>174.13553999999996</v>
      </c>
      <c r="K4" s="9">
        <v>23140.641232837032</v>
      </c>
      <c r="L4" s="13">
        <v>1204530</v>
      </c>
      <c r="M4" s="7">
        <v>5526350</v>
      </c>
      <c r="N4" s="1">
        <v>15420</v>
      </c>
      <c r="O4" s="1">
        <f t="shared" ref="O4:O13" si="7">M4/N4</f>
        <v>358.38845654993514</v>
      </c>
      <c r="P4" s="1">
        <v>579.1</v>
      </c>
      <c r="Q4">
        <f t="shared" si="0"/>
        <v>1.3899153859437057</v>
      </c>
      <c r="R4">
        <f t="shared" si="1"/>
        <v>0.71946825692632632</v>
      </c>
      <c r="S4" s="52">
        <v>51902854958</v>
      </c>
      <c r="T4" s="52">
        <f t="shared" si="4"/>
        <v>8310000000</v>
      </c>
      <c r="U4" s="24">
        <f t="shared" si="5"/>
        <v>738870841.15674424</v>
      </c>
      <c r="V4" s="25">
        <v>5404496759.9290895</v>
      </c>
      <c r="W4" s="29">
        <f t="shared" si="2"/>
        <v>4647867213.5390167</v>
      </c>
      <c r="X4">
        <f t="shared" si="6"/>
        <v>719838552000</v>
      </c>
      <c r="Z4">
        <f t="shared" si="3"/>
        <v>2659586400</v>
      </c>
    </row>
    <row r="5" spans="1:26" ht="15.5" x14ac:dyDescent="0.35">
      <c r="A5" s="2" t="s">
        <v>28</v>
      </c>
      <c r="B5" s="19">
        <v>1.0596758500000001</v>
      </c>
      <c r="C5" s="6">
        <v>28.587058500000001</v>
      </c>
      <c r="D5" s="33">
        <v>2.2000000000000001E-3</v>
      </c>
      <c r="E5" s="16">
        <v>30197.7</v>
      </c>
      <c r="F5" s="1"/>
      <c r="G5" s="6">
        <v>126289</v>
      </c>
      <c r="H5" s="51">
        <v>124</v>
      </c>
      <c r="I5" s="13">
        <v>111908409</v>
      </c>
      <c r="J5" s="27">
        <v>1.606792</v>
      </c>
      <c r="K5" s="9">
        <v>20373.792935950656</v>
      </c>
      <c r="L5" s="13">
        <v>1204620</v>
      </c>
      <c r="M5" s="7">
        <v>4865583</v>
      </c>
      <c r="N5" s="1">
        <v>15627</v>
      </c>
      <c r="O5" s="1">
        <f t="shared" si="7"/>
        <v>311.35745824534462</v>
      </c>
      <c r="P5" s="1">
        <v>594.1</v>
      </c>
      <c r="Q5">
        <f t="shared" si="0"/>
        <v>1.3548224204679347</v>
      </c>
      <c r="R5">
        <f t="shared" si="1"/>
        <v>0.7381041123120885</v>
      </c>
      <c r="S5" s="52">
        <v>478920570</v>
      </c>
      <c r="T5" s="52">
        <f t="shared" si="4"/>
        <v>3720000000</v>
      </c>
      <c r="U5" s="24">
        <f t="shared" si="5"/>
        <v>738926048.06375706</v>
      </c>
      <c r="V5" s="25">
        <v>4758299340.1912756</v>
      </c>
      <c r="W5" s="29">
        <f t="shared" si="2"/>
        <v>4092137432.564497</v>
      </c>
      <c r="X5">
        <f t="shared" si="6"/>
        <v>640158941000</v>
      </c>
      <c r="Z5">
        <f t="shared" si="3"/>
        <v>2174234400</v>
      </c>
    </row>
    <row r="6" spans="1:26" ht="15.5" x14ac:dyDescent="0.35">
      <c r="A6" s="2" t="s">
        <v>29</v>
      </c>
      <c r="B6" s="19">
        <v>0.93162238799999997</v>
      </c>
      <c r="C6" s="6">
        <v>31.715924359999999</v>
      </c>
      <c r="D6" s="33">
        <v>6.9999999999999999E-4</v>
      </c>
      <c r="E6" s="16">
        <v>31551.8</v>
      </c>
      <c r="F6" s="1"/>
      <c r="G6" s="6">
        <v>156685</v>
      </c>
      <c r="H6" s="51">
        <v>277</v>
      </c>
      <c r="I6" s="13">
        <v>155010154</v>
      </c>
      <c r="J6" s="27">
        <v>0</v>
      </c>
      <c r="K6" s="9">
        <v>24964.55346560512</v>
      </c>
      <c r="L6" s="13">
        <v>942730</v>
      </c>
      <c r="M6" s="7">
        <v>5961929</v>
      </c>
      <c r="N6" s="1">
        <v>12998</v>
      </c>
      <c r="O6" s="1">
        <f t="shared" si="7"/>
        <v>458.68048930604709</v>
      </c>
      <c r="P6" s="1">
        <v>617.5</v>
      </c>
      <c r="Q6">
        <f t="shared" si="0"/>
        <v>1.3034817813765183</v>
      </c>
      <c r="R6">
        <f t="shared" si="1"/>
        <v>0.76717604671387751</v>
      </c>
      <c r="S6" s="50">
        <v>0</v>
      </c>
      <c r="T6" s="52">
        <f t="shared" si="4"/>
        <v>8310000000</v>
      </c>
      <c r="U6" s="24">
        <f t="shared" si="5"/>
        <v>578280082.757339</v>
      </c>
      <c r="V6" s="25">
        <v>5830471461.8920765</v>
      </c>
      <c r="W6" s="29">
        <f t="shared" si="2"/>
        <v>5014205457.2271852</v>
      </c>
      <c r="X6">
        <f t="shared" si="6"/>
        <v>794236265000</v>
      </c>
      <c r="Z6">
        <f t="shared" si="3"/>
        <v>2271729600</v>
      </c>
    </row>
    <row r="7" spans="1:26" ht="15.5" x14ac:dyDescent="0.35">
      <c r="A7" s="2" t="s">
        <v>30</v>
      </c>
      <c r="B7" s="19">
        <v>1.5867529570000001</v>
      </c>
      <c r="C7" s="6">
        <v>26.11977272</v>
      </c>
      <c r="D7" s="33">
        <v>8.0000000000000004E-4</v>
      </c>
      <c r="E7" s="35">
        <v>36562.199999999997</v>
      </c>
      <c r="F7" s="1"/>
      <c r="G7" s="6">
        <v>182910</v>
      </c>
      <c r="H7" s="51">
        <v>165</v>
      </c>
      <c r="I7" s="13">
        <v>156729025</v>
      </c>
      <c r="J7" s="27">
        <v>164.12869599999996</v>
      </c>
      <c r="K7" s="9">
        <v>26251.034685080362</v>
      </c>
      <c r="L7" s="13">
        <v>1412160</v>
      </c>
      <c r="M7" s="7">
        <v>6269161</v>
      </c>
      <c r="N7" s="1">
        <v>19120</v>
      </c>
      <c r="O7" s="1">
        <f t="shared" si="7"/>
        <v>327.88498953974897</v>
      </c>
      <c r="P7" s="1">
        <v>632.4</v>
      </c>
      <c r="Q7">
        <f t="shared" si="0"/>
        <v>1.2727703984819734</v>
      </c>
      <c r="R7">
        <f t="shared" si="1"/>
        <v>0.78568766306373461</v>
      </c>
      <c r="S7" s="52">
        <v>48920214122</v>
      </c>
      <c r="T7" s="52">
        <f t="shared" si="4"/>
        <v>4950000000</v>
      </c>
      <c r="U7" s="24">
        <f t="shared" si="5"/>
        <v>866233175.63523364</v>
      </c>
      <c r="V7" s="25">
        <v>6130929150.7005186</v>
      </c>
      <c r="W7" s="29">
        <f t="shared" si="2"/>
        <v>5272599069.6024456</v>
      </c>
      <c r="X7">
        <f t="shared" si="6"/>
        <v>927170790000</v>
      </c>
      <c r="Z7">
        <f t="shared" si="3"/>
        <v>2632478400</v>
      </c>
    </row>
    <row r="8" spans="1:26" ht="15.5" x14ac:dyDescent="0.35">
      <c r="A8" s="2" t="s">
        <v>31</v>
      </c>
      <c r="B8" s="19">
        <v>1.703314869</v>
      </c>
      <c r="C8" s="6">
        <v>29.982496210000001</v>
      </c>
      <c r="D8" s="37">
        <v>1E-3</v>
      </c>
      <c r="E8" s="9">
        <v>28369.3</v>
      </c>
      <c r="G8" s="6">
        <v>503904</v>
      </c>
      <c r="H8" s="51">
        <v>37</v>
      </c>
      <c r="I8" s="13">
        <v>414114448</v>
      </c>
      <c r="J8" s="27">
        <v>156.40624400000002</v>
      </c>
      <c r="K8" s="9">
        <v>37696.371929197499</v>
      </c>
      <c r="L8" s="13">
        <v>12690</v>
      </c>
      <c r="M8" s="7">
        <v>9002488</v>
      </c>
      <c r="N8" s="1">
        <v>1569</v>
      </c>
      <c r="O8" s="1">
        <f t="shared" si="7"/>
        <v>5737.7233906947104</v>
      </c>
      <c r="P8" s="1">
        <v>804.9</v>
      </c>
      <c r="Q8">
        <f t="shared" si="0"/>
        <v>1</v>
      </c>
      <c r="R8">
        <f t="shared" si="1"/>
        <v>1</v>
      </c>
      <c r="S8" s="52">
        <v>46618459373</v>
      </c>
      <c r="T8" s="52">
        <f t="shared" si="4"/>
        <v>1110000000</v>
      </c>
      <c r="U8" s="24">
        <f t="shared" si="5"/>
        <v>7784173.8888023421</v>
      </c>
      <c r="V8" s="25">
        <v>8803987664.0640774</v>
      </c>
      <c r="W8" s="29">
        <f t="shared" si="2"/>
        <v>7571429391.0951061</v>
      </c>
      <c r="X8">
        <f t="shared" si="6"/>
        <v>2554289376000</v>
      </c>
      <c r="Z8">
        <f t="shared" si="3"/>
        <v>2042589600</v>
      </c>
    </row>
    <row r="9" spans="1:26" ht="15.5" x14ac:dyDescent="0.35">
      <c r="A9" s="2" t="s">
        <v>32</v>
      </c>
      <c r="B9" s="19">
        <v>1.370755049</v>
      </c>
      <c r="C9" s="6">
        <v>35.482145760000002</v>
      </c>
      <c r="D9" s="33">
        <v>1.4E-3</v>
      </c>
      <c r="E9" s="36">
        <v>40399.599999999999</v>
      </c>
      <c r="F9" s="17"/>
      <c r="G9" s="6">
        <v>318142</v>
      </c>
      <c r="H9" s="51">
        <v>410</v>
      </c>
      <c r="I9" s="13">
        <v>239648890</v>
      </c>
      <c r="J9" s="27">
        <v>798.04050900000027</v>
      </c>
      <c r="K9" s="9">
        <v>38595.713719360094</v>
      </c>
      <c r="L9" s="13">
        <v>1174100</v>
      </c>
      <c r="M9" s="7">
        <v>9217265</v>
      </c>
      <c r="N9" s="1">
        <v>19095</v>
      </c>
      <c r="O9" s="1">
        <f t="shared" si="7"/>
        <v>482.70568211573709</v>
      </c>
      <c r="P9" s="1">
        <v>664.3</v>
      </c>
      <c r="Q9">
        <f t="shared" si="0"/>
        <v>1.2116513623362939</v>
      </c>
      <c r="R9">
        <f t="shared" si="1"/>
        <v>0.82531991551745554</v>
      </c>
      <c r="S9" s="52">
        <v>237864027008</v>
      </c>
      <c r="T9" s="52">
        <f t="shared" si="4"/>
        <v>12300000000</v>
      </c>
      <c r="U9" s="24">
        <f t="shared" si="5"/>
        <v>720204772.48564458</v>
      </c>
      <c r="V9" s="25">
        <v>9014028939.1565495</v>
      </c>
      <c r="W9" s="29">
        <f t="shared" si="2"/>
        <v>7752064887.6746321</v>
      </c>
      <c r="X9">
        <f>G9*$X$18*1000000</f>
        <v>1612661798000</v>
      </c>
      <c r="Z9">
        <f t="shared" si="3"/>
        <v>2908771200</v>
      </c>
    </row>
    <row r="10" spans="1:26" ht="15.5" x14ac:dyDescent="0.35">
      <c r="A10" s="2" t="s">
        <v>33</v>
      </c>
      <c r="B10" s="19">
        <v>0.71819934600000002</v>
      </c>
      <c r="C10" s="6">
        <v>45.665820549999999</v>
      </c>
      <c r="D10" s="33">
        <v>1.6999999999999999E-3</v>
      </c>
      <c r="E10" s="16">
        <v>30372.1</v>
      </c>
      <c r="F10" s="9"/>
      <c r="G10" s="16">
        <v>158524</v>
      </c>
      <c r="H10" s="51">
        <v>204</v>
      </c>
      <c r="I10" s="13">
        <v>130160289</v>
      </c>
      <c r="J10" s="27">
        <v>49.429954000000009</v>
      </c>
      <c r="K10" s="9">
        <v>23696.689107335053</v>
      </c>
      <c r="L10" s="13">
        <v>1853350</v>
      </c>
      <c r="M10" s="7">
        <v>5659143</v>
      </c>
      <c r="N10" s="1">
        <v>23800</v>
      </c>
      <c r="O10" s="1">
        <f t="shared" si="7"/>
        <v>237.77911764705883</v>
      </c>
      <c r="P10" s="1">
        <v>611.29999999999995</v>
      </c>
      <c r="Q10">
        <f t="shared" si="0"/>
        <v>1.3167021102568299</v>
      </c>
      <c r="R10">
        <f t="shared" si="1"/>
        <v>0.75947322648776239</v>
      </c>
      <c r="S10" s="52">
        <v>14733096604</v>
      </c>
      <c r="T10" s="52">
        <f>$H$22*H10</f>
        <v>6120000000</v>
      </c>
      <c r="U10" s="24">
        <f t="shared" si="5"/>
        <v>1136863567.912673</v>
      </c>
      <c r="V10" s="25">
        <v>5534361741.0181017</v>
      </c>
      <c r="W10" s="29">
        <f t="shared" si="2"/>
        <v>4759551097.2755671</v>
      </c>
      <c r="X10">
        <f t="shared" si="6"/>
        <v>803558156000</v>
      </c>
      <c r="Z10">
        <f t="shared" si="3"/>
        <v>2186791200</v>
      </c>
    </row>
    <row r="11" spans="1:26" ht="15.5" x14ac:dyDescent="0.35">
      <c r="A11" s="2" t="s">
        <v>34</v>
      </c>
      <c r="B11" s="19">
        <v>0.71009312300000005</v>
      </c>
      <c r="C11" s="6">
        <v>58.769755340000003</v>
      </c>
      <c r="D11" s="33">
        <v>1.1000000000000001E-3</v>
      </c>
      <c r="E11" s="16">
        <v>27303</v>
      </c>
      <c r="F11" s="9"/>
      <c r="G11" s="16">
        <v>75695</v>
      </c>
      <c r="H11" s="51">
        <v>88</v>
      </c>
      <c r="I11" s="13">
        <v>69730892</v>
      </c>
      <c r="J11" s="27">
        <v>184.635805</v>
      </c>
      <c r="K11" s="9">
        <v>28608.344944004115</v>
      </c>
      <c r="L11" s="13">
        <v>1741260</v>
      </c>
      <c r="M11" s="7">
        <v>3169586</v>
      </c>
      <c r="N11" s="1">
        <v>20779</v>
      </c>
      <c r="O11" s="1">
        <f t="shared" si="7"/>
        <v>152.5379469656865</v>
      </c>
      <c r="P11" s="1">
        <v>598.1</v>
      </c>
      <c r="Q11">
        <f t="shared" si="0"/>
        <v>1.3457615783313825</v>
      </c>
      <c r="R11">
        <f t="shared" si="1"/>
        <v>0.74307367374829181</v>
      </c>
      <c r="S11" s="52">
        <v>55032564903</v>
      </c>
      <c r="T11" s="52">
        <f t="shared" si="4"/>
        <v>2640000000</v>
      </c>
      <c r="U11" s="24">
        <f t="shared" si="5"/>
        <v>1068106432.2786419</v>
      </c>
      <c r="V11" s="25">
        <v>6681478961.6721611</v>
      </c>
      <c r="W11" s="29">
        <f t="shared" si="2"/>
        <v>5746071907.0380583</v>
      </c>
      <c r="X11">
        <f t="shared" si="6"/>
        <v>383697955000</v>
      </c>
      <c r="Z11">
        <f t="shared" si="3"/>
        <v>1965816000</v>
      </c>
    </row>
    <row r="12" spans="1:26" ht="15.5" x14ac:dyDescent="0.35">
      <c r="A12" s="2" t="s">
        <v>35</v>
      </c>
      <c r="B12" s="39">
        <v>0.83530936</v>
      </c>
      <c r="C12" s="6">
        <v>54.744718396666663</v>
      </c>
      <c r="D12" s="33">
        <v>6.9999999999999999E-4</v>
      </c>
      <c r="E12" s="16">
        <v>37944.699999999997</v>
      </c>
      <c r="F12" s="10"/>
      <c r="G12" s="6">
        <v>161954</v>
      </c>
      <c r="H12" s="51">
        <v>295</v>
      </c>
      <c r="I12" s="13">
        <v>142116000</v>
      </c>
      <c r="J12" s="9">
        <v>181.81082099999998</v>
      </c>
      <c r="K12" s="28">
        <v>49969.431582686353</v>
      </c>
      <c r="L12" s="9">
        <v>5984840</v>
      </c>
      <c r="M12" s="7">
        <v>5466000</v>
      </c>
      <c r="N12" s="1">
        <v>77933</v>
      </c>
      <c r="O12" s="1">
        <f t="shared" si="7"/>
        <v>70.137169106796861</v>
      </c>
      <c r="P12" s="1">
        <v>640.5</v>
      </c>
      <c r="Q12">
        <f t="shared" si="0"/>
        <v>1.2566744730679158</v>
      </c>
      <c r="R12">
        <f t="shared" si="1"/>
        <v>0.79575102497204619</v>
      </c>
      <c r="S12" s="52">
        <v>54190549914</v>
      </c>
      <c r="T12" s="52">
        <f t="shared" si="4"/>
        <v>8850000000</v>
      </c>
      <c r="U12" s="24">
        <f t="shared" si="5"/>
        <v>3671161170.7375736</v>
      </c>
      <c r="V12" s="25">
        <v>11670360746.1364</v>
      </c>
      <c r="W12" s="29">
        <f t="shared" si="2"/>
        <v>10036510241.677303</v>
      </c>
      <c r="X12">
        <f t="shared" si="6"/>
        <v>820944826000</v>
      </c>
      <c r="Z12">
        <f t="shared" si="3"/>
        <v>2732018400</v>
      </c>
    </row>
    <row r="13" spans="1:26" ht="15.5" x14ac:dyDescent="0.35">
      <c r="A13" s="2" t="s">
        <v>36</v>
      </c>
      <c r="B13" s="19">
        <v>0.49093467699999999</v>
      </c>
      <c r="C13" s="6">
        <v>39.673127600000001</v>
      </c>
      <c r="D13" s="34">
        <v>6.9999999999999999E-4</v>
      </c>
      <c r="E13" s="16">
        <v>21145.7</v>
      </c>
      <c r="F13" s="1"/>
      <c r="G13" s="6">
        <v>48478</v>
      </c>
      <c r="H13" s="9">
        <v>70</v>
      </c>
      <c r="I13" s="13">
        <v>53074280</v>
      </c>
      <c r="J13" s="9">
        <v>177.186172</v>
      </c>
      <c r="K13" s="9">
        <v>9389.1786433077941</v>
      </c>
      <c r="L13" s="9">
        <v>1055430</v>
      </c>
      <c r="M13" s="7">
        <v>1895510</v>
      </c>
      <c r="N13" s="1">
        <v>14130</v>
      </c>
      <c r="O13" s="1">
        <f t="shared" si="7"/>
        <v>134.14791224345365</v>
      </c>
      <c r="P13" s="1">
        <v>591.6</v>
      </c>
      <c r="Q13">
        <f t="shared" si="0"/>
        <v>1.3605476673427992</v>
      </c>
      <c r="R13">
        <f t="shared" si="1"/>
        <v>0.73499813641446143</v>
      </c>
      <c r="S13" s="52">
        <v>52812126611</v>
      </c>
      <c r="T13" s="52">
        <f t="shared" si="4"/>
        <v>2100000000</v>
      </c>
      <c r="U13" s="24">
        <f t="shared" si="5"/>
        <v>647411398.53890109</v>
      </c>
      <c r="V13" s="25">
        <v>2192842672.1445355</v>
      </c>
      <c r="W13" s="29">
        <f t="shared" si="2"/>
        <v>1885844698.0443006</v>
      </c>
      <c r="X13">
        <f t="shared" si="6"/>
        <v>245734982000</v>
      </c>
      <c r="Z13">
        <f t="shared" si="3"/>
        <v>1522490400</v>
      </c>
    </row>
    <row r="14" spans="1:26" ht="14.5" x14ac:dyDescent="0.35">
      <c r="A14" s="2" t="s">
        <v>37</v>
      </c>
      <c r="B14" s="1" t="s">
        <v>38</v>
      </c>
      <c r="C14" s="1" t="s">
        <v>39</v>
      </c>
      <c r="D14" s="10"/>
      <c r="E14" s="1" t="s">
        <v>40</v>
      </c>
      <c r="F14" s="1"/>
      <c r="G14" s="6" t="s">
        <v>41</v>
      </c>
      <c r="H14" s="9" t="s">
        <v>42</v>
      </c>
      <c r="I14" s="13" t="s">
        <v>43</v>
      </c>
      <c r="J14" s="54" t="s">
        <v>44</v>
      </c>
      <c r="K14" s="9" t="s">
        <v>45</v>
      </c>
      <c r="L14" s="9" t="s">
        <v>46</v>
      </c>
      <c r="M14" s="7" t="s">
        <v>47</v>
      </c>
      <c r="N14" s="1" t="s">
        <v>48</v>
      </c>
      <c r="O14" s="1" t="s">
        <v>49</v>
      </c>
      <c r="P14" s="1" t="s">
        <v>50</v>
      </c>
    </row>
    <row r="15" spans="1:26" ht="14.5" x14ac:dyDescent="0.35">
      <c r="A15" s="2" t="s">
        <v>51</v>
      </c>
      <c r="B15" s="1"/>
      <c r="C15" s="21" t="s">
        <v>52</v>
      </c>
      <c r="D15" s="1"/>
      <c r="E15" s="21" t="s">
        <v>53</v>
      </c>
      <c r="F15" s="1"/>
      <c r="G15" s="21" t="s">
        <v>54</v>
      </c>
      <c r="H15" s="20" t="s">
        <v>55</v>
      </c>
      <c r="I15" s="10"/>
      <c r="J15" s="20" t="s">
        <v>44</v>
      </c>
      <c r="K15" s="38" t="s">
        <v>56</v>
      </c>
      <c r="L15" s="54" t="s">
        <v>57</v>
      </c>
      <c r="M15" s="55" t="s">
        <v>54</v>
      </c>
      <c r="N15" s="1"/>
      <c r="O15" s="1"/>
      <c r="P15" s="56" t="s">
        <v>58</v>
      </c>
      <c r="Z15" t="s">
        <v>59</v>
      </c>
    </row>
    <row r="16" spans="1:26" ht="15" customHeight="1" x14ac:dyDescent="0.35">
      <c r="H16" s="15" t="s">
        <v>60</v>
      </c>
      <c r="Z16">
        <v>72</v>
      </c>
    </row>
    <row r="17" spans="1:26" ht="15" customHeight="1" x14ac:dyDescent="0.35">
      <c r="G17" s="50" t="s">
        <v>61</v>
      </c>
      <c r="H17" t="s">
        <v>62</v>
      </c>
      <c r="J17" s="50" t="s">
        <v>63</v>
      </c>
      <c r="K17" t="s">
        <v>64</v>
      </c>
      <c r="L17" s="22" t="s">
        <v>65</v>
      </c>
      <c r="O17" t="s">
        <v>66</v>
      </c>
      <c r="X17" t="s">
        <v>67</v>
      </c>
      <c r="Z17" t="s">
        <v>68</v>
      </c>
    </row>
    <row r="18" spans="1:26" ht="14.5" x14ac:dyDescent="0.35">
      <c r="A18" s="18" t="s">
        <v>69</v>
      </c>
      <c r="G18" s="50">
        <v>2144723</v>
      </c>
      <c r="H18">
        <v>12170000000</v>
      </c>
      <c r="J18" s="50"/>
      <c r="L18">
        <v>11222000000</v>
      </c>
      <c r="O18">
        <f>AVERAGE(P2:P13)*54</f>
        <v>33800.850000000006</v>
      </c>
      <c r="X18">
        <v>5.069</v>
      </c>
      <c r="Z18" s="15" t="s">
        <v>70</v>
      </c>
    </row>
    <row r="19" spans="1:26" ht="14.5" x14ac:dyDescent="0.35">
      <c r="H19" t="s">
        <v>71</v>
      </c>
      <c r="J19" s="50" t="s">
        <v>72</v>
      </c>
      <c r="K19" t="s">
        <v>73</v>
      </c>
      <c r="L19" t="s">
        <v>74</v>
      </c>
      <c r="X19" t="s">
        <v>68</v>
      </c>
    </row>
    <row r="20" spans="1:26" ht="14.5" x14ac:dyDescent="0.35">
      <c r="J20" s="50" t="s">
        <v>63</v>
      </c>
      <c r="X20" s="15" t="s">
        <v>75</v>
      </c>
    </row>
    <row r="21" spans="1:26" ht="14.5" x14ac:dyDescent="0.35">
      <c r="H21" t="s">
        <v>76</v>
      </c>
      <c r="J21" s="50">
        <v>747.9</v>
      </c>
      <c r="K21" s="23">
        <v>24.61</v>
      </c>
      <c r="L21" s="23">
        <v>22.1</v>
      </c>
    </row>
    <row r="22" spans="1:26" ht="14.5" x14ac:dyDescent="0.35">
      <c r="H22" s="52">
        <v>30000000</v>
      </c>
      <c r="J22" s="50" t="s">
        <v>77</v>
      </c>
      <c r="K22">
        <f>(K21+L21)/2</f>
        <v>23.355</v>
      </c>
      <c r="L22" t="s">
        <v>78</v>
      </c>
    </row>
    <row r="23" spans="1:26" ht="14.5" x14ac:dyDescent="0.35">
      <c r="J23" s="50">
        <v>819.9</v>
      </c>
      <c r="K23">
        <f>0.23355</f>
        <v>0.23355000000000001</v>
      </c>
      <c r="L23" t="s">
        <v>79</v>
      </c>
    </row>
    <row r="24" spans="1:26" ht="14.5" x14ac:dyDescent="0.35">
      <c r="H24" s="15" t="s">
        <v>80</v>
      </c>
      <c r="J24" s="50" t="s">
        <v>68</v>
      </c>
      <c r="K24" s="15" t="s">
        <v>81</v>
      </c>
      <c r="L24" s="15" t="s">
        <v>82</v>
      </c>
    </row>
    <row r="25" spans="1:26" ht="14.5" x14ac:dyDescent="0.35">
      <c r="J25" s="50" t="s">
        <v>83</v>
      </c>
    </row>
    <row r="26" spans="1:26" ht="14.5" x14ac:dyDescent="0.35">
      <c r="J26" s="50" t="s">
        <v>84</v>
      </c>
    </row>
    <row r="27" spans="1:26" ht="14.5" x14ac:dyDescent="0.35">
      <c r="J27" s="50">
        <v>1000000000</v>
      </c>
    </row>
    <row r="28" spans="1:26" ht="14.5" x14ac:dyDescent="0.35">
      <c r="J28" s="50"/>
    </row>
    <row r="29" spans="1:26" ht="14.5" x14ac:dyDescent="0.35">
      <c r="J29" s="50" t="s">
        <v>85</v>
      </c>
    </row>
    <row r="30" spans="1:26" ht="15" customHeight="1" x14ac:dyDescent="0.35">
      <c r="J30" s="50">
        <v>511</v>
      </c>
    </row>
    <row r="31" spans="1:26" ht="15" customHeight="1" x14ac:dyDescent="0.35">
      <c r="J31" s="50" t="s">
        <v>86</v>
      </c>
    </row>
    <row r="32" spans="1:26" ht="15" customHeight="1" x14ac:dyDescent="0.35">
      <c r="J32" s="50">
        <v>0.29199999999999998</v>
      </c>
    </row>
    <row r="34" spans="10:11" ht="15" customHeight="1" x14ac:dyDescent="0.35">
      <c r="J34">
        <f>SUM(J2:J13)</f>
        <v>2101.1169700000005</v>
      </c>
    </row>
    <row r="36" spans="10:11" ht="15" customHeight="1" x14ac:dyDescent="0.35">
      <c r="J36">
        <f t="shared" ref="J36:J47" si="8">J2/$J$34</f>
        <v>2.7934745108455332E-2</v>
      </c>
      <c r="K36">
        <f>SUM(G2:G13)*J32*J36</f>
        <v>17494.388777306558</v>
      </c>
    </row>
    <row r="37" spans="10:11" ht="15" customHeight="1" x14ac:dyDescent="0.35">
      <c r="J37">
        <f t="shared" si="8"/>
        <v>7.3790403967847598E-2</v>
      </c>
      <c r="K37">
        <f t="shared" ref="K37:K47" si="9">G3*J37*$J$32</f>
        <v>4485.6770394176174</v>
      </c>
    </row>
    <row r="38" spans="10:11" ht="15" customHeight="1" x14ac:dyDescent="0.35">
      <c r="J38">
        <f t="shared" si="8"/>
        <v>8.2877603906078554E-2</v>
      </c>
      <c r="K38">
        <f t="shared" si="9"/>
        <v>3436.6305704443653</v>
      </c>
    </row>
    <row r="39" spans="10:11" ht="15" customHeight="1" x14ac:dyDescent="0.35">
      <c r="J39">
        <f t="shared" si="8"/>
        <v>7.6473229379514247E-4</v>
      </c>
      <c r="K39">
        <f t="shared" si="9"/>
        <v>28.200564782119663</v>
      </c>
    </row>
    <row r="40" spans="10:11" ht="15" customHeight="1" x14ac:dyDescent="0.35">
      <c r="J40">
        <f t="shared" si="8"/>
        <v>0</v>
      </c>
      <c r="K40">
        <f t="shared" si="9"/>
        <v>0</v>
      </c>
    </row>
    <row r="41" spans="10:11" ht="15" customHeight="1" x14ac:dyDescent="0.35">
      <c r="J41">
        <f t="shared" si="8"/>
        <v>7.8114973294418688E-2</v>
      </c>
      <c r="K41">
        <f t="shared" si="9"/>
        <v>4172.0988514623796</v>
      </c>
    </row>
    <row r="42" spans="10:11" ht="15" customHeight="1" x14ac:dyDescent="0.35">
      <c r="J42">
        <f t="shared" si="8"/>
        <v>7.4439570111129977E-2</v>
      </c>
      <c r="K42">
        <f t="shared" si="9"/>
        <v>10953.03596408542</v>
      </c>
    </row>
    <row r="43" spans="10:11" ht="15" customHeight="1" x14ac:dyDescent="0.35">
      <c r="J43">
        <f t="shared" si="8"/>
        <v>0.37981726881202627</v>
      </c>
      <c r="K43">
        <f t="shared" si="9"/>
        <v>35284.061056043531</v>
      </c>
    </row>
    <row r="44" spans="10:11" ht="15" customHeight="1" x14ac:dyDescent="0.35">
      <c r="J44">
        <f t="shared" si="8"/>
        <v>2.352556031185641E-2</v>
      </c>
      <c r="K44">
        <f t="shared" si="9"/>
        <v>1088.9748494800037</v>
      </c>
    </row>
    <row r="45" spans="10:11" ht="15" customHeight="1" x14ac:dyDescent="0.35">
      <c r="J45">
        <f t="shared" si="8"/>
        <v>8.7875071990875381E-2</v>
      </c>
      <c r="K45">
        <f t="shared" si="9"/>
        <v>1942.2974437099988</v>
      </c>
    </row>
    <row r="46" spans="10:11" ht="15" customHeight="1" x14ac:dyDescent="0.35">
      <c r="J46">
        <f t="shared" si="8"/>
        <v>8.6530556649590015E-2</v>
      </c>
      <c r="K46">
        <f t="shared" si="9"/>
        <v>4092.0791733152882</v>
      </c>
    </row>
    <row r="47" spans="10:11" ht="15" customHeight="1" x14ac:dyDescent="0.35">
      <c r="J47">
        <f t="shared" si="8"/>
        <v>8.4329513553926483E-2</v>
      </c>
      <c r="K47">
        <f t="shared" si="9"/>
        <v>1193.7328381556363</v>
      </c>
    </row>
  </sheetData>
  <hyperlinks>
    <hyperlink ref="J15" r:id="rId1" location="ship-information-vessels-arrival-flags" xr:uid="{2D57674D-5E17-4787-8DAE-F5DE8161796F}"/>
    <hyperlink ref="H16" r:id="rId2" xr:uid="{2E0550A8-6725-43F4-8B65-769F6D400526}"/>
    <hyperlink ref="L24" r:id="rId3" xr:uid="{8D4A7C02-E4CA-468A-8C7E-D7F4C952ABD4}"/>
    <hyperlink ref="H15" r:id="rId4" xr:uid="{5EE785F4-E706-46F9-8C00-BA6E7E416519}"/>
    <hyperlink ref="E15" r:id="rId5" xr:uid="{75AC7C8D-1D51-42EC-97FD-5D3DA482ECF6}"/>
    <hyperlink ref="K24" r:id="rId6" xr:uid="{4A7039D4-9835-4AD0-B954-D0D146D3214C}"/>
    <hyperlink ref="K15" r:id="rId7" xr:uid="{737F3BCB-06F7-4A86-8266-A3E187BA7C20}"/>
    <hyperlink ref="X20" r:id="rId8" xr:uid="{82997D10-81A4-46B0-A564-4B76C5C3E7D1}"/>
    <hyperlink ref="Z18" r:id="rId9" xr:uid="{0025FA3A-FFE5-4874-A416-DB46FB0C394C}"/>
    <hyperlink ref="C15" r:id="rId10" xr:uid="{31C4171C-FFC2-48D8-8976-0466E77FF9A3}"/>
    <hyperlink ref="G15" r:id="rId11" xr:uid="{41A2F7D2-B396-4974-8222-E3E178F24CE5}"/>
    <hyperlink ref="J14" r:id="rId12" location="ship-information-vessels-arrival-flags" xr:uid="{866EE8B2-0E48-42BA-92C0-4B3B86DD548D}"/>
    <hyperlink ref="L15" r:id="rId13" xr:uid="{0E44040B-5250-4B1B-B940-9612278DCD7D}"/>
    <hyperlink ref="M15" r:id="rId14" xr:uid="{3A52D7F6-CC8B-42E2-9AC5-41CC8BBADED2}"/>
    <hyperlink ref="P15" r:id="rId15" xr:uid="{9AC51764-3A88-42C8-99D0-3E306FC0E605}"/>
    <hyperlink ref="H24" r:id="rId16" xr:uid="{DD62A7E1-723D-46A3-9D67-81F11241BA98}"/>
  </hyperlinks>
  <pageMargins left="0.7" right="0.7" top="0.75" bottom="0.75" header="0.3" footer="0.3"/>
  <legacy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4F8C-4E8B-44A9-8203-0F316521363C}">
  <dimension ref="B2:L338"/>
  <sheetViews>
    <sheetView workbookViewId="0">
      <selection activeCell="R16" sqref="R16"/>
    </sheetView>
  </sheetViews>
  <sheetFormatPr baseColWidth="10" defaultColWidth="8.81640625" defaultRowHeight="14.5" x14ac:dyDescent="0.35"/>
  <cols>
    <col min="2" max="2" width="40.81640625" customWidth="1"/>
  </cols>
  <sheetData>
    <row r="2" spans="2:12" x14ac:dyDescent="0.35">
      <c r="B2" s="2" t="s">
        <v>0</v>
      </c>
      <c r="C2" t="s">
        <v>151</v>
      </c>
      <c r="D2" s="3" t="s">
        <v>152</v>
      </c>
      <c r="E2" t="s">
        <v>153</v>
      </c>
    </row>
    <row r="3" spans="2:12" ht="15.5" x14ac:dyDescent="0.35">
      <c r="B3" s="2" t="s">
        <v>154</v>
      </c>
      <c r="C3" s="53">
        <v>312.00689999999997</v>
      </c>
      <c r="D3" s="19">
        <f>SUMIF(I$3:I$338,B3,L$3:L$338)/COUNTIF(I$3:I$338,B3)</f>
        <v>5.13</v>
      </c>
      <c r="E3">
        <f>D3/20</f>
        <v>0.25650000000000001</v>
      </c>
      <c r="I3" s="44" t="s">
        <v>31</v>
      </c>
      <c r="J3" s="44" t="s">
        <v>155</v>
      </c>
      <c r="K3" s="44" t="s">
        <v>156</v>
      </c>
      <c r="L3" s="45">
        <v>12.72</v>
      </c>
    </row>
    <row r="4" spans="2:12" ht="15.5" x14ac:dyDescent="0.35">
      <c r="B4" s="2" t="s">
        <v>157</v>
      </c>
      <c r="C4" s="53">
        <v>520.11680000000001</v>
      </c>
      <c r="D4" s="19">
        <f>SUMIF(I$3:I$338,B4,L$3:L$338)/COUNTIF(I$3:I$338,B4)</f>
        <v>5.7671794871794884</v>
      </c>
      <c r="E4">
        <f t="shared" ref="E4:E14" si="0">D4/20</f>
        <v>0.2883589743589744</v>
      </c>
      <c r="I4" s="44" t="s">
        <v>31</v>
      </c>
      <c r="J4" s="44" t="s">
        <v>158</v>
      </c>
      <c r="K4" s="44" t="s">
        <v>159</v>
      </c>
      <c r="L4" s="45">
        <v>9.75</v>
      </c>
    </row>
    <row r="5" spans="2:12" ht="15.5" x14ac:dyDescent="0.35">
      <c r="B5" s="2" t="s">
        <v>27</v>
      </c>
      <c r="C5" s="53">
        <v>358.38850000000002</v>
      </c>
      <c r="D5" s="19">
        <f t="shared" ref="D5:D14" si="1">SUMIF(I$3:I$338,B5,L$3:L$338)/COUNTIF(I$3:I$338,B5)</f>
        <v>6.4614285714285717</v>
      </c>
      <c r="E5">
        <f t="shared" si="0"/>
        <v>0.32307142857142856</v>
      </c>
      <c r="I5" s="44" t="s">
        <v>31</v>
      </c>
      <c r="J5" s="44" t="s">
        <v>160</v>
      </c>
      <c r="K5" s="44" t="s">
        <v>161</v>
      </c>
      <c r="L5" s="45">
        <v>17.41</v>
      </c>
    </row>
    <row r="6" spans="2:12" ht="15.5" x14ac:dyDescent="0.35">
      <c r="B6" s="2" t="s">
        <v>28</v>
      </c>
      <c r="C6" s="53">
        <v>311.35750000000002</v>
      </c>
      <c r="D6" s="19">
        <f t="shared" si="1"/>
        <v>7.214999999999999</v>
      </c>
      <c r="E6">
        <f t="shared" si="0"/>
        <v>0.36074999999999996</v>
      </c>
      <c r="I6" s="44" t="s">
        <v>31</v>
      </c>
      <c r="J6" s="44" t="s">
        <v>162</v>
      </c>
      <c r="K6" s="44" t="s">
        <v>163</v>
      </c>
      <c r="L6" s="45">
        <v>11.97</v>
      </c>
    </row>
    <row r="7" spans="2:12" ht="15.5" x14ac:dyDescent="0.35">
      <c r="B7" s="2" t="s">
        <v>29</v>
      </c>
      <c r="C7" s="53">
        <v>458.68049999999999</v>
      </c>
      <c r="D7" s="19">
        <f t="shared" si="1"/>
        <v>7.4973333333333345</v>
      </c>
      <c r="E7">
        <f t="shared" si="0"/>
        <v>0.37486666666666674</v>
      </c>
      <c r="I7" s="44" t="s">
        <v>31</v>
      </c>
      <c r="J7" s="44" t="s">
        <v>164</v>
      </c>
      <c r="K7" s="44" t="s">
        <v>165</v>
      </c>
      <c r="L7" s="45">
        <v>14.66</v>
      </c>
    </row>
    <row r="8" spans="2:12" ht="15.5" x14ac:dyDescent="0.35">
      <c r="B8" s="2" t="s">
        <v>30</v>
      </c>
      <c r="C8" s="53">
        <v>327.88499999999999</v>
      </c>
      <c r="D8" s="19">
        <f t="shared" si="1"/>
        <v>10.202222222222224</v>
      </c>
      <c r="E8">
        <f t="shared" si="0"/>
        <v>0.51011111111111118</v>
      </c>
      <c r="I8" s="44" t="s">
        <v>31</v>
      </c>
      <c r="J8" s="44" t="s">
        <v>166</v>
      </c>
      <c r="K8" s="44" t="s">
        <v>167</v>
      </c>
      <c r="L8" s="45">
        <v>13.3</v>
      </c>
    </row>
    <row r="9" spans="2:12" ht="15.5" x14ac:dyDescent="0.35">
      <c r="B9" s="2" t="s">
        <v>31</v>
      </c>
      <c r="C9" s="53">
        <v>5737.723</v>
      </c>
      <c r="D9" s="19">
        <f t="shared" si="1"/>
        <v>14.841212121212122</v>
      </c>
      <c r="E9">
        <f t="shared" si="0"/>
        <v>0.74206060606060609</v>
      </c>
      <c r="I9" s="44" t="s">
        <v>31</v>
      </c>
      <c r="J9" s="44" t="s">
        <v>168</v>
      </c>
      <c r="K9" s="44" t="s">
        <v>169</v>
      </c>
      <c r="L9" s="45">
        <v>19.62</v>
      </c>
    </row>
    <row r="10" spans="2:12" ht="15.5" x14ac:dyDescent="0.35">
      <c r="B10" s="2" t="s">
        <v>170</v>
      </c>
      <c r="C10" s="53">
        <v>482.70569999999998</v>
      </c>
      <c r="D10" s="19">
        <f t="shared" si="1"/>
        <v>10.731562499999997</v>
      </c>
      <c r="E10">
        <f t="shared" si="0"/>
        <v>0.53657812499999991</v>
      </c>
      <c r="I10" s="44" t="s">
        <v>31</v>
      </c>
      <c r="J10" s="44" t="s">
        <v>171</v>
      </c>
      <c r="K10" s="44" t="s">
        <v>172</v>
      </c>
      <c r="L10" s="45">
        <v>11.34</v>
      </c>
    </row>
    <row r="11" spans="2:12" ht="15.5" x14ac:dyDescent="0.35">
      <c r="B11" s="2" t="s">
        <v>173</v>
      </c>
      <c r="C11" s="53">
        <v>237.7791</v>
      </c>
      <c r="D11" s="19">
        <f t="shared" si="1"/>
        <v>8.8066666666666666</v>
      </c>
      <c r="E11">
        <f t="shared" si="0"/>
        <v>0.44033333333333335</v>
      </c>
      <c r="I11" s="44" t="s">
        <v>31</v>
      </c>
      <c r="J11" s="44" t="s">
        <v>174</v>
      </c>
      <c r="K11" s="44" t="s">
        <v>175</v>
      </c>
      <c r="L11" s="45">
        <v>14.66</v>
      </c>
    </row>
    <row r="12" spans="2:12" ht="15.5" x14ac:dyDescent="0.35">
      <c r="B12" s="2" t="s">
        <v>34</v>
      </c>
      <c r="C12" s="53">
        <v>152.53790000000001</v>
      </c>
      <c r="D12" s="19">
        <f t="shared" si="1"/>
        <v>5.8777272727272729</v>
      </c>
      <c r="E12">
        <f t="shared" si="0"/>
        <v>0.29388636363636367</v>
      </c>
      <c r="I12" s="44" t="s">
        <v>31</v>
      </c>
      <c r="J12" s="44" t="s">
        <v>176</v>
      </c>
      <c r="K12" s="44" t="s">
        <v>177</v>
      </c>
      <c r="L12" s="45">
        <v>13.68</v>
      </c>
    </row>
    <row r="13" spans="2:12" ht="15.5" x14ac:dyDescent="0.35">
      <c r="B13" s="2" t="s">
        <v>35</v>
      </c>
      <c r="C13" s="53">
        <v>70.137169999999998</v>
      </c>
      <c r="D13" s="19" t="e">
        <f t="shared" si="1"/>
        <v>#DIV/0!</v>
      </c>
      <c r="E13" t="e">
        <f t="shared" si="0"/>
        <v>#DIV/0!</v>
      </c>
      <c r="I13" s="44" t="s">
        <v>31</v>
      </c>
      <c r="J13" s="44" t="s">
        <v>178</v>
      </c>
      <c r="K13" s="44" t="s">
        <v>179</v>
      </c>
      <c r="L13" s="45">
        <v>12.73</v>
      </c>
    </row>
    <row r="14" spans="2:12" ht="15.5" x14ac:dyDescent="0.35">
      <c r="B14" s="2" t="s">
        <v>36</v>
      </c>
      <c r="C14" s="53">
        <v>134.14789999999999</v>
      </c>
      <c r="D14" s="19" t="e">
        <f t="shared" si="1"/>
        <v>#DIV/0!</v>
      </c>
      <c r="E14" t="e">
        <f t="shared" si="0"/>
        <v>#DIV/0!</v>
      </c>
      <c r="I14" s="44" t="s">
        <v>31</v>
      </c>
      <c r="J14" s="44" t="s">
        <v>180</v>
      </c>
      <c r="K14" s="44" t="s">
        <v>181</v>
      </c>
      <c r="L14" s="45">
        <v>17.100000000000001</v>
      </c>
    </row>
    <row r="15" spans="2:12" x14ac:dyDescent="0.35">
      <c r="I15" s="44" t="s">
        <v>31</v>
      </c>
      <c r="J15" s="44" t="s">
        <v>182</v>
      </c>
      <c r="K15" s="44" t="s">
        <v>183</v>
      </c>
      <c r="L15" s="45">
        <v>18.22</v>
      </c>
    </row>
    <row r="16" spans="2:12" x14ac:dyDescent="0.35">
      <c r="B16" s="15" t="s">
        <v>184</v>
      </c>
      <c r="I16" s="44" t="s">
        <v>31</v>
      </c>
      <c r="J16" s="44" t="s">
        <v>185</v>
      </c>
      <c r="K16" s="44" t="s">
        <v>186</v>
      </c>
      <c r="L16" s="45">
        <v>15.39</v>
      </c>
    </row>
    <row r="17" spans="4:12" x14ac:dyDescent="0.35">
      <c r="I17" s="44" t="s">
        <v>31</v>
      </c>
      <c r="J17" s="44" t="s">
        <v>187</v>
      </c>
      <c r="K17" s="44" t="s">
        <v>188</v>
      </c>
      <c r="L17" s="45">
        <v>15.88</v>
      </c>
    </row>
    <row r="18" spans="4:12" x14ac:dyDescent="0.35">
      <c r="I18" s="44" t="s">
        <v>31</v>
      </c>
      <c r="J18" s="44" t="s">
        <v>189</v>
      </c>
      <c r="K18" s="44" t="s">
        <v>190</v>
      </c>
      <c r="L18" s="45">
        <v>11.08</v>
      </c>
    </row>
    <row r="19" spans="4:12" x14ac:dyDescent="0.35">
      <c r="I19" s="44" t="s">
        <v>31</v>
      </c>
      <c r="J19" s="44" t="s">
        <v>191</v>
      </c>
      <c r="K19" s="44" t="s">
        <v>192</v>
      </c>
      <c r="L19" s="46">
        <v>11.26</v>
      </c>
    </row>
    <row r="20" spans="4:12" x14ac:dyDescent="0.35">
      <c r="D20">
        <v>1.4E-3</v>
      </c>
      <c r="E20" t="s">
        <v>193</v>
      </c>
      <c r="F20" t="s">
        <v>194</v>
      </c>
      <c r="G20">
        <v>7.0373000000000001</v>
      </c>
      <c r="I20" s="44" t="s">
        <v>31</v>
      </c>
      <c r="J20" s="44" t="s">
        <v>195</v>
      </c>
      <c r="K20" s="44" t="s">
        <v>196</v>
      </c>
      <c r="L20" s="45">
        <v>11.41</v>
      </c>
    </row>
    <row r="21" spans="4:12" x14ac:dyDescent="0.35">
      <c r="I21" s="44" t="s">
        <v>31</v>
      </c>
      <c r="J21" s="44" t="s">
        <v>197</v>
      </c>
      <c r="K21" s="44" t="s">
        <v>198</v>
      </c>
      <c r="L21" s="45">
        <v>15.62</v>
      </c>
    </row>
    <row r="22" spans="4:12" x14ac:dyDescent="0.35">
      <c r="I22" s="44" t="s">
        <v>31</v>
      </c>
      <c r="J22" s="44" t="s">
        <v>199</v>
      </c>
      <c r="K22" s="44" t="s">
        <v>200</v>
      </c>
      <c r="L22" s="45">
        <v>36.44</v>
      </c>
    </row>
    <row r="23" spans="4:12" x14ac:dyDescent="0.35">
      <c r="I23" s="44" t="s">
        <v>31</v>
      </c>
      <c r="J23" s="44" t="s">
        <v>201</v>
      </c>
      <c r="K23" s="44" t="s">
        <v>202</v>
      </c>
      <c r="L23" s="45">
        <v>13.95</v>
      </c>
    </row>
    <row r="24" spans="4:12" x14ac:dyDescent="0.35">
      <c r="I24" s="44" t="s">
        <v>31</v>
      </c>
      <c r="J24" s="44" t="s">
        <v>203</v>
      </c>
      <c r="K24" s="44" t="s">
        <v>204</v>
      </c>
      <c r="L24" s="45">
        <v>14.21</v>
      </c>
    </row>
    <row r="25" spans="4:12" x14ac:dyDescent="0.35">
      <c r="I25" s="44" t="s">
        <v>31</v>
      </c>
      <c r="J25" s="44" t="s">
        <v>205</v>
      </c>
      <c r="K25" s="44" t="s">
        <v>206</v>
      </c>
      <c r="L25" s="45">
        <v>12.33</v>
      </c>
    </row>
    <row r="26" spans="4:12" x14ac:dyDescent="0.35">
      <c r="I26" s="44" t="s">
        <v>31</v>
      </c>
      <c r="J26" s="44" t="s">
        <v>207</v>
      </c>
      <c r="K26" s="44" t="s">
        <v>208</v>
      </c>
      <c r="L26" s="45">
        <v>14.19</v>
      </c>
    </row>
    <row r="27" spans="4:12" x14ac:dyDescent="0.35">
      <c r="I27" s="44" t="s">
        <v>31</v>
      </c>
      <c r="J27" s="44" t="s">
        <v>209</v>
      </c>
      <c r="K27" s="44" t="s">
        <v>210</v>
      </c>
      <c r="L27" s="45">
        <v>11.98</v>
      </c>
    </row>
    <row r="28" spans="4:12" x14ac:dyDescent="0.35">
      <c r="I28" s="44" t="s">
        <v>31</v>
      </c>
      <c r="J28" s="44" t="s">
        <v>211</v>
      </c>
      <c r="K28" s="44" t="s">
        <v>212</v>
      </c>
      <c r="L28" s="45">
        <v>13.22</v>
      </c>
    </row>
    <row r="29" spans="4:12" x14ac:dyDescent="0.35">
      <c r="I29" s="44" t="s">
        <v>31</v>
      </c>
      <c r="J29" s="44" t="s">
        <v>213</v>
      </c>
      <c r="K29" s="44" t="s">
        <v>214</v>
      </c>
      <c r="L29" s="45">
        <v>18.66</v>
      </c>
    </row>
    <row r="30" spans="4:12" x14ac:dyDescent="0.35">
      <c r="I30" s="44" t="s">
        <v>31</v>
      </c>
      <c r="J30" s="44" t="s">
        <v>215</v>
      </c>
      <c r="K30" s="44" t="s">
        <v>216</v>
      </c>
      <c r="L30" s="46">
        <v>12.12</v>
      </c>
    </row>
    <row r="31" spans="4:12" x14ac:dyDescent="0.35">
      <c r="I31" s="44" t="s">
        <v>31</v>
      </c>
      <c r="J31" s="44" t="s">
        <v>217</v>
      </c>
      <c r="K31" s="44" t="s">
        <v>218</v>
      </c>
      <c r="L31" s="45">
        <v>11.51</v>
      </c>
    </row>
    <row r="32" spans="4:12" x14ac:dyDescent="0.35">
      <c r="I32" s="44" t="s">
        <v>31</v>
      </c>
      <c r="J32" s="44" t="s">
        <v>219</v>
      </c>
      <c r="K32" s="44" t="s">
        <v>220</v>
      </c>
      <c r="L32" s="46">
        <v>9.98</v>
      </c>
    </row>
    <row r="33" spans="9:12" x14ac:dyDescent="0.35">
      <c r="I33" s="44" t="s">
        <v>31</v>
      </c>
      <c r="J33" s="44" t="s">
        <v>221</v>
      </c>
      <c r="K33" s="44" t="s">
        <v>222</v>
      </c>
      <c r="L33" s="45">
        <v>13.36</v>
      </c>
    </row>
    <row r="34" spans="9:12" x14ac:dyDescent="0.35">
      <c r="I34" s="44" t="s">
        <v>31</v>
      </c>
      <c r="J34" s="44" t="s">
        <v>223</v>
      </c>
      <c r="K34" s="44" t="s">
        <v>224</v>
      </c>
      <c r="L34" s="45">
        <v>18.71</v>
      </c>
    </row>
    <row r="35" spans="9:12" x14ac:dyDescent="0.35">
      <c r="I35" s="44" t="s">
        <v>31</v>
      </c>
      <c r="J35" s="44" t="s">
        <v>225</v>
      </c>
      <c r="K35" s="44" t="s">
        <v>226</v>
      </c>
      <c r="L35" s="45">
        <v>21.3</v>
      </c>
    </row>
    <row r="36" spans="9:12" x14ac:dyDescent="0.35">
      <c r="I36" s="44" t="s">
        <v>170</v>
      </c>
      <c r="J36" s="44" t="s">
        <v>227</v>
      </c>
      <c r="K36" s="44" t="s">
        <v>228</v>
      </c>
      <c r="L36" s="45">
        <v>7.57</v>
      </c>
    </row>
    <row r="37" spans="9:12" x14ac:dyDescent="0.35">
      <c r="I37" s="44" t="s">
        <v>170</v>
      </c>
      <c r="J37" s="44" t="s">
        <v>229</v>
      </c>
      <c r="K37" s="44" t="s">
        <v>230</v>
      </c>
      <c r="L37" s="45">
        <v>8.26</v>
      </c>
    </row>
    <row r="38" spans="9:12" x14ac:dyDescent="0.35">
      <c r="I38" s="44" t="s">
        <v>170</v>
      </c>
      <c r="J38" s="44" t="s">
        <v>231</v>
      </c>
      <c r="K38" s="44" t="s">
        <v>232</v>
      </c>
      <c r="L38" s="45">
        <v>9.43</v>
      </c>
    </row>
    <row r="39" spans="9:12" x14ac:dyDescent="0.35">
      <c r="I39" s="44" t="s">
        <v>170</v>
      </c>
      <c r="J39" s="44" t="s">
        <v>233</v>
      </c>
      <c r="K39" s="44" t="s">
        <v>234</v>
      </c>
      <c r="L39" s="45">
        <v>8.85</v>
      </c>
    </row>
    <row r="40" spans="9:12" x14ac:dyDescent="0.35">
      <c r="I40" s="44" t="s">
        <v>170</v>
      </c>
      <c r="J40" s="44" t="s">
        <v>235</v>
      </c>
      <c r="K40" s="44" t="s">
        <v>236</v>
      </c>
      <c r="L40" s="45">
        <v>9.2100000000000009</v>
      </c>
    </row>
    <row r="41" spans="9:12" x14ac:dyDescent="0.35">
      <c r="I41" s="44" t="s">
        <v>170</v>
      </c>
      <c r="J41" s="44" t="s">
        <v>237</v>
      </c>
      <c r="K41" s="44" t="s">
        <v>238</v>
      </c>
      <c r="L41" s="45">
        <v>14.42</v>
      </c>
    </row>
    <row r="42" spans="9:12" x14ac:dyDescent="0.35">
      <c r="I42" s="44" t="s">
        <v>170</v>
      </c>
      <c r="J42" s="44" t="s">
        <v>239</v>
      </c>
      <c r="K42" s="44" t="s">
        <v>240</v>
      </c>
      <c r="L42" s="45">
        <v>11.01</v>
      </c>
    </row>
    <row r="43" spans="9:12" x14ac:dyDescent="0.35">
      <c r="I43" s="44" t="s">
        <v>170</v>
      </c>
      <c r="J43" s="44" t="s">
        <v>241</v>
      </c>
      <c r="K43" s="44" t="s">
        <v>242</v>
      </c>
      <c r="L43" s="45">
        <v>8.8699999999999992</v>
      </c>
    </row>
    <row r="44" spans="9:12" x14ac:dyDescent="0.35">
      <c r="I44" s="44" t="s">
        <v>170</v>
      </c>
      <c r="J44" s="44" t="s">
        <v>243</v>
      </c>
      <c r="K44" s="44" t="s">
        <v>244</v>
      </c>
      <c r="L44" s="45">
        <v>10.96</v>
      </c>
    </row>
    <row r="45" spans="9:12" x14ac:dyDescent="0.35">
      <c r="I45" s="44" t="s">
        <v>170</v>
      </c>
      <c r="J45" s="44" t="s">
        <v>245</v>
      </c>
      <c r="K45" s="44" t="s">
        <v>246</v>
      </c>
      <c r="L45" s="45">
        <v>7.01</v>
      </c>
    </row>
    <row r="46" spans="9:12" x14ac:dyDescent="0.35">
      <c r="I46" s="44" t="s">
        <v>170</v>
      </c>
      <c r="J46" s="44" t="s">
        <v>247</v>
      </c>
      <c r="K46" s="44" t="s">
        <v>248</v>
      </c>
      <c r="L46" s="45">
        <v>6.78</v>
      </c>
    </row>
    <row r="47" spans="9:12" x14ac:dyDescent="0.35">
      <c r="I47" s="44" t="s">
        <v>170</v>
      </c>
      <c r="J47" s="44" t="s">
        <v>249</v>
      </c>
      <c r="K47" s="44" t="s">
        <v>250</v>
      </c>
      <c r="L47" s="45">
        <v>8.0500000000000007</v>
      </c>
    </row>
    <row r="48" spans="9:12" x14ac:dyDescent="0.35">
      <c r="I48" s="44" t="s">
        <v>170</v>
      </c>
      <c r="J48" s="44" t="s">
        <v>251</v>
      </c>
      <c r="K48" s="44" t="s">
        <v>252</v>
      </c>
      <c r="L48" s="45">
        <v>11.38</v>
      </c>
    </row>
    <row r="49" spans="9:12" x14ac:dyDescent="0.35">
      <c r="I49" s="44" t="s">
        <v>170</v>
      </c>
      <c r="J49" s="44" t="s">
        <v>253</v>
      </c>
      <c r="K49" s="44" t="s">
        <v>254</v>
      </c>
      <c r="L49" s="45">
        <v>8.4</v>
      </c>
    </row>
    <row r="50" spans="9:12" x14ac:dyDescent="0.35">
      <c r="I50" s="44" t="s">
        <v>170</v>
      </c>
      <c r="J50" s="44" t="s">
        <v>255</v>
      </c>
      <c r="K50" s="44" t="s">
        <v>256</v>
      </c>
      <c r="L50" s="45">
        <v>9.31</v>
      </c>
    </row>
    <row r="51" spans="9:12" x14ac:dyDescent="0.35">
      <c r="I51" s="44" t="s">
        <v>170</v>
      </c>
      <c r="J51" s="44" t="s">
        <v>257</v>
      </c>
      <c r="K51" s="44" t="s">
        <v>258</v>
      </c>
      <c r="L51" s="45">
        <v>11.5</v>
      </c>
    </row>
    <row r="52" spans="9:12" x14ac:dyDescent="0.35">
      <c r="I52" s="44" t="s">
        <v>170</v>
      </c>
      <c r="J52" s="44" t="s">
        <v>259</v>
      </c>
      <c r="K52" s="44" t="s">
        <v>260</v>
      </c>
      <c r="L52" s="45">
        <v>12.75</v>
      </c>
    </row>
    <row r="53" spans="9:12" x14ac:dyDescent="0.35">
      <c r="I53" s="44" t="s">
        <v>170</v>
      </c>
      <c r="J53" s="44" t="s">
        <v>261</v>
      </c>
      <c r="K53" s="44" t="s">
        <v>262</v>
      </c>
      <c r="L53" s="45">
        <v>11.57</v>
      </c>
    </row>
    <row r="54" spans="9:12" x14ac:dyDescent="0.35">
      <c r="I54" s="44" t="s">
        <v>170</v>
      </c>
      <c r="J54" s="44" t="s">
        <v>263</v>
      </c>
      <c r="K54" s="44" t="s">
        <v>264</v>
      </c>
      <c r="L54" s="45">
        <v>8.76</v>
      </c>
    </row>
    <row r="55" spans="9:12" x14ac:dyDescent="0.35">
      <c r="I55" s="44" t="s">
        <v>170</v>
      </c>
      <c r="J55" s="44" t="s">
        <v>265</v>
      </c>
      <c r="K55" s="44" t="s">
        <v>266</v>
      </c>
      <c r="L55" s="45">
        <v>12.58</v>
      </c>
    </row>
    <row r="56" spans="9:12" x14ac:dyDescent="0.35">
      <c r="I56" s="44" t="s">
        <v>170</v>
      </c>
      <c r="J56" s="44" t="s">
        <v>267</v>
      </c>
      <c r="K56" s="44" t="s">
        <v>268</v>
      </c>
      <c r="L56" s="45">
        <v>9.56</v>
      </c>
    </row>
    <row r="57" spans="9:12" x14ac:dyDescent="0.35">
      <c r="I57" s="44" t="s">
        <v>170</v>
      </c>
      <c r="J57" s="44" t="s">
        <v>269</v>
      </c>
      <c r="K57" s="44" t="s">
        <v>270</v>
      </c>
      <c r="L57" s="45">
        <v>10.44</v>
      </c>
    </row>
    <row r="58" spans="9:12" x14ac:dyDescent="0.35">
      <c r="I58" s="44" t="s">
        <v>170</v>
      </c>
      <c r="J58" s="44" t="s">
        <v>271</v>
      </c>
      <c r="K58" s="44" t="s">
        <v>272</v>
      </c>
      <c r="L58" s="45">
        <v>6.64</v>
      </c>
    </row>
    <row r="59" spans="9:12" x14ac:dyDescent="0.35">
      <c r="I59" s="44" t="s">
        <v>170</v>
      </c>
      <c r="J59" s="44" t="s">
        <v>273</v>
      </c>
      <c r="K59" s="44" t="s">
        <v>274</v>
      </c>
      <c r="L59" s="45">
        <v>10.72</v>
      </c>
    </row>
    <row r="60" spans="9:12" x14ac:dyDescent="0.35">
      <c r="I60" s="44" t="s">
        <v>170</v>
      </c>
      <c r="J60" s="44" t="s">
        <v>275</v>
      </c>
      <c r="K60" s="44" t="s">
        <v>276</v>
      </c>
      <c r="L60" s="45">
        <v>9.8800000000000008</v>
      </c>
    </row>
    <row r="61" spans="9:12" x14ac:dyDescent="0.35">
      <c r="I61" s="44" t="s">
        <v>170</v>
      </c>
      <c r="J61" s="44" t="s">
        <v>277</v>
      </c>
      <c r="K61" s="44" t="s">
        <v>278</v>
      </c>
      <c r="L61" s="45">
        <v>10.130000000000001</v>
      </c>
    </row>
    <row r="62" spans="9:12" x14ac:dyDescent="0.35">
      <c r="I62" s="44" t="s">
        <v>170</v>
      </c>
      <c r="J62" s="44" t="s">
        <v>279</v>
      </c>
      <c r="K62" s="44" t="s">
        <v>280</v>
      </c>
      <c r="L62" s="45">
        <v>8.19</v>
      </c>
    </row>
    <row r="63" spans="9:12" x14ac:dyDescent="0.35">
      <c r="I63" s="44" t="s">
        <v>170</v>
      </c>
      <c r="J63" s="44" t="s">
        <v>281</v>
      </c>
      <c r="K63" s="44" t="s">
        <v>282</v>
      </c>
      <c r="L63" s="45">
        <v>9.76</v>
      </c>
    </row>
    <row r="64" spans="9:12" x14ac:dyDescent="0.35">
      <c r="I64" s="44" t="s">
        <v>170</v>
      </c>
      <c r="J64" s="44" t="s">
        <v>283</v>
      </c>
      <c r="K64" s="44" t="s">
        <v>284</v>
      </c>
      <c r="L64" s="45">
        <v>12.28</v>
      </c>
    </row>
    <row r="65" spans="9:12" x14ac:dyDescent="0.35">
      <c r="I65" s="44" t="s">
        <v>170</v>
      </c>
      <c r="J65" s="44" t="s">
        <v>285</v>
      </c>
      <c r="K65" s="44" t="s">
        <v>286</v>
      </c>
      <c r="L65" s="45">
        <v>10.09</v>
      </c>
    </row>
    <row r="66" spans="9:12" x14ac:dyDescent="0.35">
      <c r="I66" s="44" t="s">
        <v>170</v>
      </c>
      <c r="J66" s="44" t="s">
        <v>287</v>
      </c>
      <c r="K66" s="44" t="s">
        <v>288</v>
      </c>
      <c r="L66" s="45">
        <v>11.19</v>
      </c>
    </row>
    <row r="67" spans="9:12" x14ac:dyDescent="0.35">
      <c r="I67" s="44" t="s">
        <v>170</v>
      </c>
      <c r="J67" s="44" t="s">
        <v>289</v>
      </c>
      <c r="K67" s="44" t="s">
        <v>290</v>
      </c>
      <c r="L67" s="45">
        <v>8.57</v>
      </c>
    </row>
    <row r="68" spans="9:12" x14ac:dyDescent="0.35">
      <c r="I68" s="44" t="s">
        <v>170</v>
      </c>
      <c r="J68" s="44" t="s">
        <v>291</v>
      </c>
      <c r="K68" s="44" t="s">
        <v>292</v>
      </c>
      <c r="L68" s="45">
        <v>7.03</v>
      </c>
    </row>
    <row r="69" spans="9:12" x14ac:dyDescent="0.35">
      <c r="I69" s="44" t="s">
        <v>170</v>
      </c>
      <c r="J69" s="44" t="s">
        <v>293</v>
      </c>
      <c r="K69" s="44" t="s">
        <v>294</v>
      </c>
      <c r="L69" s="45">
        <v>8.4</v>
      </c>
    </row>
    <row r="70" spans="9:12" x14ac:dyDescent="0.35">
      <c r="I70" s="44" t="s">
        <v>170</v>
      </c>
      <c r="J70" s="44" t="s">
        <v>295</v>
      </c>
      <c r="K70" s="44" t="s">
        <v>296</v>
      </c>
      <c r="L70" s="45">
        <v>10</v>
      </c>
    </row>
    <row r="71" spans="9:12" x14ac:dyDescent="0.35">
      <c r="I71" s="44" t="s">
        <v>170</v>
      </c>
      <c r="J71" s="44" t="s">
        <v>297</v>
      </c>
      <c r="K71" s="44" t="s">
        <v>298</v>
      </c>
      <c r="L71" s="45">
        <v>12.59</v>
      </c>
    </row>
    <row r="72" spans="9:12" x14ac:dyDescent="0.35">
      <c r="I72" s="44" t="s">
        <v>170</v>
      </c>
      <c r="J72" s="44" t="s">
        <v>299</v>
      </c>
      <c r="K72" s="44" t="s">
        <v>300</v>
      </c>
      <c r="L72" s="45">
        <v>10.83</v>
      </c>
    </row>
    <row r="73" spans="9:12" x14ac:dyDescent="0.35">
      <c r="I73" s="44" t="s">
        <v>170</v>
      </c>
      <c r="J73" s="44" t="s">
        <v>301</v>
      </c>
      <c r="K73" s="44" t="s">
        <v>302</v>
      </c>
      <c r="L73" s="45">
        <v>9.32</v>
      </c>
    </row>
    <row r="74" spans="9:12" x14ac:dyDescent="0.35">
      <c r="I74" s="44" t="s">
        <v>170</v>
      </c>
      <c r="J74" s="44" t="s">
        <v>303</v>
      </c>
      <c r="K74" s="44" t="s">
        <v>304</v>
      </c>
      <c r="L74" s="45">
        <v>10.130000000000001</v>
      </c>
    </row>
    <row r="75" spans="9:12" x14ac:dyDescent="0.35">
      <c r="I75" s="44" t="s">
        <v>170</v>
      </c>
      <c r="J75" s="44" t="s">
        <v>305</v>
      </c>
      <c r="K75" s="44" t="s">
        <v>306</v>
      </c>
      <c r="L75" s="45">
        <v>11.79</v>
      </c>
    </row>
    <row r="76" spans="9:12" x14ac:dyDescent="0.35">
      <c r="I76" s="44" t="s">
        <v>170</v>
      </c>
      <c r="J76" s="44" t="s">
        <v>307</v>
      </c>
      <c r="K76" s="44" t="s">
        <v>308</v>
      </c>
      <c r="L76" s="45">
        <v>13.27</v>
      </c>
    </row>
    <row r="77" spans="9:12" x14ac:dyDescent="0.35">
      <c r="I77" s="44" t="s">
        <v>170</v>
      </c>
      <c r="J77" s="44" t="s">
        <v>309</v>
      </c>
      <c r="K77" s="44" t="s">
        <v>310</v>
      </c>
      <c r="L77" s="45">
        <v>9.3000000000000007</v>
      </c>
    </row>
    <row r="78" spans="9:12" x14ac:dyDescent="0.35">
      <c r="I78" s="44" t="s">
        <v>170</v>
      </c>
      <c r="J78" s="44" t="s">
        <v>311</v>
      </c>
      <c r="K78" s="44" t="s">
        <v>312</v>
      </c>
      <c r="L78" s="45">
        <v>11.42</v>
      </c>
    </row>
    <row r="79" spans="9:12" x14ac:dyDescent="0.35">
      <c r="I79" s="44" t="s">
        <v>170</v>
      </c>
      <c r="J79" s="44" t="s">
        <v>313</v>
      </c>
      <c r="K79" s="44" t="s">
        <v>314</v>
      </c>
      <c r="L79" s="45">
        <v>12.07</v>
      </c>
    </row>
    <row r="80" spans="9:12" x14ac:dyDescent="0.35">
      <c r="I80" s="44" t="s">
        <v>170</v>
      </c>
      <c r="J80" s="44" t="s">
        <v>315</v>
      </c>
      <c r="K80" s="44" t="s">
        <v>316</v>
      </c>
      <c r="L80" s="45">
        <v>8.94</v>
      </c>
    </row>
    <row r="81" spans="9:12" x14ac:dyDescent="0.35">
      <c r="I81" s="44" t="s">
        <v>170</v>
      </c>
      <c r="J81" s="44" t="s">
        <v>317</v>
      </c>
      <c r="K81" s="44" t="s">
        <v>318</v>
      </c>
      <c r="L81" s="45">
        <v>10.81</v>
      </c>
    </row>
    <row r="82" spans="9:12" x14ac:dyDescent="0.35">
      <c r="I82" s="44" t="s">
        <v>170</v>
      </c>
      <c r="J82" s="44" t="s">
        <v>319</v>
      </c>
      <c r="K82" s="44" t="s">
        <v>320</v>
      </c>
      <c r="L82" s="45">
        <v>16.38</v>
      </c>
    </row>
    <row r="83" spans="9:12" x14ac:dyDescent="0.35">
      <c r="I83" s="44" t="s">
        <v>170</v>
      </c>
      <c r="J83" s="44" t="s">
        <v>321</v>
      </c>
      <c r="K83" s="44" t="s">
        <v>322</v>
      </c>
      <c r="L83" s="45">
        <v>17.38</v>
      </c>
    </row>
    <row r="84" spans="9:12" x14ac:dyDescent="0.35">
      <c r="I84" s="44" t="s">
        <v>170</v>
      </c>
      <c r="J84" s="44" t="s">
        <v>323</v>
      </c>
      <c r="K84" s="44" t="s">
        <v>324</v>
      </c>
      <c r="L84" s="45">
        <v>12.21</v>
      </c>
    </row>
    <row r="85" spans="9:12" x14ac:dyDescent="0.35">
      <c r="I85" s="44" t="s">
        <v>170</v>
      </c>
      <c r="J85" s="44" t="s">
        <v>325</v>
      </c>
      <c r="K85" s="44" t="s">
        <v>326</v>
      </c>
      <c r="L85" s="45">
        <v>14.74</v>
      </c>
    </row>
    <row r="86" spans="9:12" x14ac:dyDescent="0.35">
      <c r="I86" s="44" t="s">
        <v>170</v>
      </c>
      <c r="J86" s="44" t="s">
        <v>327</v>
      </c>
      <c r="K86" s="44" t="s">
        <v>328</v>
      </c>
      <c r="L86" s="45">
        <v>12.26</v>
      </c>
    </row>
    <row r="87" spans="9:12" x14ac:dyDescent="0.35">
      <c r="I87" s="44" t="s">
        <v>170</v>
      </c>
      <c r="J87" s="44" t="s">
        <v>329</v>
      </c>
      <c r="K87" s="44" t="s">
        <v>330</v>
      </c>
      <c r="L87" s="45">
        <v>9.86</v>
      </c>
    </row>
    <row r="88" spans="9:12" x14ac:dyDescent="0.35">
      <c r="I88" s="44" t="s">
        <v>170</v>
      </c>
      <c r="J88" s="44" t="s">
        <v>331</v>
      </c>
      <c r="K88" s="44" t="s">
        <v>332</v>
      </c>
      <c r="L88" s="45">
        <v>12.44</v>
      </c>
    </row>
    <row r="89" spans="9:12" x14ac:dyDescent="0.35">
      <c r="I89" s="44" t="s">
        <v>170</v>
      </c>
      <c r="J89" s="44" t="s">
        <v>333</v>
      </c>
      <c r="K89" s="44" t="s">
        <v>334</v>
      </c>
      <c r="L89" s="45">
        <v>11.03</v>
      </c>
    </row>
    <row r="90" spans="9:12" x14ac:dyDescent="0.35">
      <c r="I90" s="44" t="s">
        <v>170</v>
      </c>
      <c r="J90" s="44" t="s">
        <v>335</v>
      </c>
      <c r="K90" s="44" t="s">
        <v>336</v>
      </c>
      <c r="L90" s="45">
        <v>13.94</v>
      </c>
    </row>
    <row r="91" spans="9:12" x14ac:dyDescent="0.35">
      <c r="I91" s="44" t="s">
        <v>170</v>
      </c>
      <c r="J91" s="44" t="s">
        <v>337</v>
      </c>
      <c r="K91" s="44" t="s">
        <v>338</v>
      </c>
      <c r="L91" s="45">
        <v>16.670000000000002</v>
      </c>
    </row>
    <row r="92" spans="9:12" x14ac:dyDescent="0.35">
      <c r="I92" s="44" t="s">
        <v>170</v>
      </c>
      <c r="J92" s="44" t="s">
        <v>339</v>
      </c>
      <c r="K92" s="44" t="s">
        <v>340</v>
      </c>
      <c r="L92" s="45">
        <v>10.17</v>
      </c>
    </row>
    <row r="93" spans="9:12" x14ac:dyDescent="0.35">
      <c r="I93" s="44" t="s">
        <v>170</v>
      </c>
      <c r="J93" s="44" t="s">
        <v>341</v>
      </c>
      <c r="K93" s="44" t="s">
        <v>342</v>
      </c>
      <c r="L93" s="45">
        <v>11.58</v>
      </c>
    </row>
    <row r="94" spans="9:12" x14ac:dyDescent="0.35">
      <c r="I94" s="44" t="s">
        <v>170</v>
      </c>
      <c r="J94" s="44" t="s">
        <v>343</v>
      </c>
      <c r="K94" s="44" t="s">
        <v>344</v>
      </c>
      <c r="L94" s="45">
        <v>11.41</v>
      </c>
    </row>
    <row r="95" spans="9:12" x14ac:dyDescent="0.35">
      <c r="I95" s="44" t="s">
        <v>170</v>
      </c>
      <c r="J95" s="44" t="s">
        <v>345</v>
      </c>
      <c r="K95" s="44" t="s">
        <v>346</v>
      </c>
      <c r="L95" s="45">
        <v>14.09</v>
      </c>
    </row>
    <row r="96" spans="9:12" x14ac:dyDescent="0.35">
      <c r="I96" s="44" t="s">
        <v>170</v>
      </c>
      <c r="J96" s="44" t="s">
        <v>347</v>
      </c>
      <c r="K96" s="44" t="s">
        <v>348</v>
      </c>
      <c r="L96" s="45">
        <v>8.16</v>
      </c>
    </row>
    <row r="97" spans="9:12" x14ac:dyDescent="0.35">
      <c r="I97" s="44" t="s">
        <v>170</v>
      </c>
      <c r="J97" s="44" t="s">
        <v>349</v>
      </c>
      <c r="K97" s="44" t="s">
        <v>350</v>
      </c>
      <c r="L97" s="45">
        <v>12.39</v>
      </c>
    </row>
    <row r="98" spans="9:12" x14ac:dyDescent="0.35">
      <c r="I98" s="44" t="s">
        <v>170</v>
      </c>
      <c r="J98" s="44" t="s">
        <v>351</v>
      </c>
      <c r="K98" s="44" t="s">
        <v>352</v>
      </c>
      <c r="L98" s="45">
        <v>12.62</v>
      </c>
    </row>
    <row r="99" spans="9:12" x14ac:dyDescent="0.35">
      <c r="I99" s="44" t="s">
        <v>170</v>
      </c>
      <c r="J99" s="44" t="s">
        <v>353</v>
      </c>
      <c r="K99" s="44" t="s">
        <v>354</v>
      </c>
      <c r="L99" s="45">
        <v>9.4700000000000006</v>
      </c>
    </row>
    <row r="100" spans="9:12" x14ac:dyDescent="0.35">
      <c r="I100" s="44" t="s">
        <v>30</v>
      </c>
      <c r="J100" s="44" t="s">
        <v>355</v>
      </c>
      <c r="K100" s="44" t="s">
        <v>356</v>
      </c>
      <c r="L100" s="45">
        <v>6.85</v>
      </c>
    </row>
    <row r="101" spans="9:12" x14ac:dyDescent="0.35">
      <c r="I101" s="44" t="s">
        <v>30</v>
      </c>
      <c r="J101" s="44" t="s">
        <v>357</v>
      </c>
      <c r="K101" s="44" t="s">
        <v>358</v>
      </c>
      <c r="L101" s="45">
        <v>7.43</v>
      </c>
    </row>
    <row r="102" spans="9:12" x14ac:dyDescent="0.35">
      <c r="I102" s="44" t="s">
        <v>30</v>
      </c>
      <c r="J102" s="44" t="s">
        <v>359</v>
      </c>
      <c r="K102" s="44" t="s">
        <v>360</v>
      </c>
      <c r="L102" s="45">
        <v>10.62</v>
      </c>
    </row>
    <row r="103" spans="9:12" x14ac:dyDescent="0.35">
      <c r="I103" s="44" t="s">
        <v>30</v>
      </c>
      <c r="J103" s="44" t="s">
        <v>361</v>
      </c>
      <c r="K103" s="44" t="s">
        <v>362</v>
      </c>
      <c r="L103" s="45">
        <v>9.42</v>
      </c>
    </row>
    <row r="104" spans="9:12" x14ac:dyDescent="0.35">
      <c r="I104" s="44" t="s">
        <v>30</v>
      </c>
      <c r="J104" s="44" t="s">
        <v>363</v>
      </c>
      <c r="K104" s="44" t="s">
        <v>364</v>
      </c>
      <c r="L104" s="45">
        <v>8.8000000000000007</v>
      </c>
    </row>
    <row r="105" spans="9:12" x14ac:dyDescent="0.35">
      <c r="I105" s="44" t="s">
        <v>30</v>
      </c>
      <c r="J105" s="44" t="s">
        <v>365</v>
      </c>
      <c r="K105" s="44" t="s">
        <v>366</v>
      </c>
      <c r="L105" s="45">
        <v>10.19</v>
      </c>
    </row>
    <row r="106" spans="9:12" x14ac:dyDescent="0.35">
      <c r="I106" s="44" t="s">
        <v>30</v>
      </c>
      <c r="J106" s="44" t="s">
        <v>367</v>
      </c>
      <c r="K106" s="44" t="s">
        <v>368</v>
      </c>
      <c r="L106" s="45">
        <v>12.42</v>
      </c>
    </row>
    <row r="107" spans="9:12" x14ac:dyDescent="0.35">
      <c r="I107" s="44" t="s">
        <v>30</v>
      </c>
      <c r="J107" s="44" t="s">
        <v>369</v>
      </c>
      <c r="K107" s="44" t="s">
        <v>370</v>
      </c>
      <c r="L107" s="45">
        <v>11.12</v>
      </c>
    </row>
    <row r="108" spans="9:12" x14ac:dyDescent="0.35">
      <c r="I108" s="44" t="s">
        <v>30</v>
      </c>
      <c r="J108" s="44" t="s">
        <v>371</v>
      </c>
      <c r="K108" s="44" t="s">
        <v>372</v>
      </c>
      <c r="L108" s="45">
        <v>7.41</v>
      </c>
    </row>
    <row r="109" spans="9:12" x14ac:dyDescent="0.35">
      <c r="I109" s="44" t="s">
        <v>30</v>
      </c>
      <c r="J109" s="44" t="s">
        <v>373</v>
      </c>
      <c r="K109" s="44" t="s">
        <v>374</v>
      </c>
      <c r="L109" s="45">
        <v>9.18</v>
      </c>
    </row>
    <row r="110" spans="9:12" x14ac:dyDescent="0.35">
      <c r="I110" s="44" t="s">
        <v>30</v>
      </c>
      <c r="J110" s="44" t="s">
        <v>375</v>
      </c>
      <c r="K110" s="44" t="s">
        <v>376</v>
      </c>
      <c r="L110" s="45">
        <v>10.130000000000001</v>
      </c>
    </row>
    <row r="111" spans="9:12" x14ac:dyDescent="0.35">
      <c r="I111" s="44" t="s">
        <v>30</v>
      </c>
      <c r="J111" s="44" t="s">
        <v>377</v>
      </c>
      <c r="K111" s="44" t="s">
        <v>378</v>
      </c>
      <c r="L111" s="45">
        <v>9.5500000000000007</v>
      </c>
    </row>
    <row r="112" spans="9:12" x14ac:dyDescent="0.35">
      <c r="I112" s="44" t="s">
        <v>30</v>
      </c>
      <c r="J112" s="44" t="s">
        <v>379</v>
      </c>
      <c r="K112" s="44" t="s">
        <v>380</v>
      </c>
      <c r="L112" s="45">
        <v>9.77</v>
      </c>
    </row>
    <row r="113" spans="9:12" x14ac:dyDescent="0.35">
      <c r="I113" s="44" t="s">
        <v>30</v>
      </c>
      <c r="J113" s="44" t="s">
        <v>381</v>
      </c>
      <c r="K113" s="44" t="s">
        <v>382</v>
      </c>
      <c r="L113" s="45">
        <v>13.22</v>
      </c>
    </row>
    <row r="114" spans="9:12" x14ac:dyDescent="0.35">
      <c r="I114" s="44" t="s">
        <v>30</v>
      </c>
      <c r="J114" s="44" t="s">
        <v>383</v>
      </c>
      <c r="K114" s="44" t="s">
        <v>384</v>
      </c>
      <c r="L114" s="45">
        <v>11.17</v>
      </c>
    </row>
    <row r="115" spans="9:12" x14ac:dyDescent="0.35">
      <c r="I115" s="44" t="s">
        <v>30</v>
      </c>
      <c r="J115" s="44" t="s">
        <v>385</v>
      </c>
      <c r="K115" s="44" t="s">
        <v>386</v>
      </c>
      <c r="L115" s="45">
        <v>10.8</v>
      </c>
    </row>
    <row r="116" spans="9:12" x14ac:dyDescent="0.35">
      <c r="I116" s="44" t="s">
        <v>30</v>
      </c>
      <c r="J116" s="44" t="s">
        <v>387</v>
      </c>
      <c r="K116" s="44" t="s">
        <v>388</v>
      </c>
      <c r="L116" s="46">
        <v>9.4499999999999993</v>
      </c>
    </row>
    <row r="117" spans="9:12" x14ac:dyDescent="0.35">
      <c r="I117" s="44" t="s">
        <v>30</v>
      </c>
      <c r="J117" s="44" t="s">
        <v>389</v>
      </c>
      <c r="K117" s="44" t="s">
        <v>390</v>
      </c>
      <c r="L117" s="45">
        <v>14.38</v>
      </c>
    </row>
    <row r="118" spans="9:12" x14ac:dyDescent="0.35">
      <c r="I118" s="44" t="s">
        <v>30</v>
      </c>
      <c r="J118" s="44" t="s">
        <v>391</v>
      </c>
      <c r="K118" s="44" t="s">
        <v>392</v>
      </c>
      <c r="L118" s="45">
        <v>9.09</v>
      </c>
    </row>
    <row r="119" spans="9:12" x14ac:dyDescent="0.35">
      <c r="I119" s="44" t="s">
        <v>30</v>
      </c>
      <c r="J119" s="44" t="s">
        <v>393</v>
      </c>
      <c r="K119" s="44" t="s">
        <v>394</v>
      </c>
      <c r="L119" s="45">
        <v>11.64</v>
      </c>
    </row>
    <row r="120" spans="9:12" x14ac:dyDescent="0.35">
      <c r="I120" s="44" t="s">
        <v>30</v>
      </c>
      <c r="J120" s="44" t="s">
        <v>395</v>
      </c>
      <c r="K120" s="44" t="s">
        <v>396</v>
      </c>
      <c r="L120" s="45">
        <v>11.57</v>
      </c>
    </row>
    <row r="121" spans="9:12" x14ac:dyDescent="0.35">
      <c r="I121" s="44" t="s">
        <v>30</v>
      </c>
      <c r="J121" s="44" t="s">
        <v>397</v>
      </c>
      <c r="K121" s="44" t="s">
        <v>398</v>
      </c>
      <c r="L121" s="45">
        <v>8.49</v>
      </c>
    </row>
    <row r="122" spans="9:12" x14ac:dyDescent="0.35">
      <c r="I122" s="44" t="s">
        <v>30</v>
      </c>
      <c r="J122" s="44" t="s">
        <v>399</v>
      </c>
      <c r="K122" s="44" t="s">
        <v>400</v>
      </c>
      <c r="L122" s="45">
        <v>12.6</v>
      </c>
    </row>
    <row r="123" spans="9:12" x14ac:dyDescent="0.35">
      <c r="I123" s="44" t="s">
        <v>30</v>
      </c>
      <c r="J123" s="44" t="s">
        <v>401</v>
      </c>
      <c r="K123" s="44" t="s">
        <v>402</v>
      </c>
      <c r="L123" s="45">
        <v>12.21</v>
      </c>
    </row>
    <row r="124" spans="9:12" x14ac:dyDescent="0.35">
      <c r="I124" s="44" t="s">
        <v>30</v>
      </c>
      <c r="J124" s="44" t="s">
        <v>403</v>
      </c>
      <c r="K124" s="44" t="s">
        <v>404</v>
      </c>
      <c r="L124" s="45">
        <v>12.72</v>
      </c>
    </row>
    <row r="125" spans="9:12" x14ac:dyDescent="0.35">
      <c r="I125" s="44" t="s">
        <v>30</v>
      </c>
      <c r="J125" s="44" t="s">
        <v>405</v>
      </c>
      <c r="K125" s="44" t="s">
        <v>406</v>
      </c>
      <c r="L125" s="45">
        <v>14.41</v>
      </c>
    </row>
    <row r="126" spans="9:12" x14ac:dyDescent="0.35">
      <c r="I126" s="44" t="s">
        <v>30</v>
      </c>
      <c r="J126" s="44" t="s">
        <v>407</v>
      </c>
      <c r="K126" s="44" t="s">
        <v>408</v>
      </c>
      <c r="L126" s="45">
        <v>10.93</v>
      </c>
    </row>
    <row r="127" spans="9:12" x14ac:dyDescent="0.35">
      <c r="I127" s="44" t="s">
        <v>30</v>
      </c>
      <c r="J127" s="44" t="s">
        <v>409</v>
      </c>
      <c r="K127" s="44" t="s">
        <v>410</v>
      </c>
      <c r="L127" s="45">
        <v>16.34</v>
      </c>
    </row>
    <row r="128" spans="9:12" x14ac:dyDescent="0.35">
      <c r="I128" s="44" t="s">
        <v>30</v>
      </c>
      <c r="J128" s="44" t="s">
        <v>411</v>
      </c>
      <c r="K128" s="44" t="s">
        <v>412</v>
      </c>
      <c r="L128" s="45">
        <v>11.14</v>
      </c>
    </row>
    <row r="129" spans="9:12" x14ac:dyDescent="0.35">
      <c r="I129" s="44" t="s">
        <v>30</v>
      </c>
      <c r="J129" s="44" t="s">
        <v>413</v>
      </c>
      <c r="K129" s="44" t="s">
        <v>414</v>
      </c>
      <c r="L129" s="45">
        <v>8.27</v>
      </c>
    </row>
    <row r="130" spans="9:12" x14ac:dyDescent="0.35">
      <c r="I130" s="44" t="s">
        <v>30</v>
      </c>
      <c r="J130" s="44" t="s">
        <v>415</v>
      </c>
      <c r="K130" s="44" t="s">
        <v>416</v>
      </c>
      <c r="L130" s="45">
        <v>8.5399999999999991</v>
      </c>
    </row>
    <row r="131" spans="9:12" x14ac:dyDescent="0.35">
      <c r="I131" s="44" t="s">
        <v>30</v>
      </c>
      <c r="J131" s="44" t="s">
        <v>417</v>
      </c>
      <c r="K131" s="44" t="s">
        <v>418</v>
      </c>
      <c r="L131" s="45">
        <v>6.3</v>
      </c>
    </row>
    <row r="132" spans="9:12" x14ac:dyDescent="0.35">
      <c r="I132" s="44" t="s">
        <v>30</v>
      </c>
      <c r="J132" s="44" t="s">
        <v>419</v>
      </c>
      <c r="K132" s="44" t="s">
        <v>420</v>
      </c>
      <c r="L132" s="45">
        <v>7.76</v>
      </c>
    </row>
    <row r="133" spans="9:12" x14ac:dyDescent="0.35">
      <c r="I133" s="44" t="s">
        <v>30</v>
      </c>
      <c r="J133" s="44" t="s">
        <v>421</v>
      </c>
      <c r="K133" s="44" t="s">
        <v>422</v>
      </c>
      <c r="L133" s="45">
        <v>9.07</v>
      </c>
    </row>
    <row r="134" spans="9:12" x14ac:dyDescent="0.35">
      <c r="I134" s="44" t="s">
        <v>30</v>
      </c>
      <c r="J134" s="44" t="s">
        <v>423</v>
      </c>
      <c r="K134" s="44" t="s">
        <v>424</v>
      </c>
      <c r="L134" s="45">
        <v>6.95</v>
      </c>
    </row>
    <row r="135" spans="9:12" x14ac:dyDescent="0.35">
      <c r="I135" s="44" t="s">
        <v>30</v>
      </c>
      <c r="J135" s="44" t="s">
        <v>425</v>
      </c>
      <c r="K135" s="44" t="s">
        <v>426</v>
      </c>
      <c r="L135" s="45">
        <v>8.85</v>
      </c>
    </row>
    <row r="136" spans="9:12" x14ac:dyDescent="0.35">
      <c r="I136" s="44" t="s">
        <v>30</v>
      </c>
      <c r="J136" s="44" t="s">
        <v>427</v>
      </c>
      <c r="K136" s="44" t="s">
        <v>428</v>
      </c>
      <c r="L136" s="45">
        <v>10.52</v>
      </c>
    </row>
    <row r="137" spans="9:12" x14ac:dyDescent="0.35">
      <c r="I137" s="44" t="s">
        <v>30</v>
      </c>
      <c r="J137" s="44" t="s">
        <v>429</v>
      </c>
      <c r="K137" s="44" t="s">
        <v>430</v>
      </c>
      <c r="L137" s="45">
        <v>7.22</v>
      </c>
    </row>
    <row r="138" spans="9:12" x14ac:dyDescent="0.35">
      <c r="I138" s="44" t="s">
        <v>30</v>
      </c>
      <c r="J138" s="44" t="s">
        <v>431</v>
      </c>
      <c r="K138" s="44" t="s">
        <v>432</v>
      </c>
      <c r="L138" s="45">
        <v>8.4700000000000006</v>
      </c>
    </row>
    <row r="139" spans="9:12" x14ac:dyDescent="0.35">
      <c r="I139" s="44" t="s">
        <v>30</v>
      </c>
      <c r="J139" s="44" t="s">
        <v>433</v>
      </c>
      <c r="K139" s="44" t="s">
        <v>434</v>
      </c>
      <c r="L139" s="45">
        <v>16.12</v>
      </c>
    </row>
    <row r="140" spans="9:12" x14ac:dyDescent="0.35">
      <c r="I140" s="44" t="s">
        <v>30</v>
      </c>
      <c r="J140" s="44" t="s">
        <v>435</v>
      </c>
      <c r="K140" s="44" t="s">
        <v>436</v>
      </c>
      <c r="L140" s="45">
        <v>10.36</v>
      </c>
    </row>
    <row r="141" spans="9:12" x14ac:dyDescent="0.35">
      <c r="I141" s="44" t="s">
        <v>30</v>
      </c>
      <c r="J141" s="44" t="s">
        <v>437</v>
      </c>
      <c r="K141" s="44" t="s">
        <v>438</v>
      </c>
      <c r="L141" s="45">
        <v>12.7</v>
      </c>
    </row>
    <row r="142" spans="9:12" x14ac:dyDescent="0.35">
      <c r="I142" s="44" t="s">
        <v>30</v>
      </c>
      <c r="J142" s="44" t="s">
        <v>439</v>
      </c>
      <c r="K142" s="44" t="s">
        <v>440</v>
      </c>
      <c r="L142" s="45">
        <v>7.79</v>
      </c>
    </row>
    <row r="143" spans="9:12" x14ac:dyDescent="0.35">
      <c r="I143" s="44" t="s">
        <v>30</v>
      </c>
      <c r="J143" s="44" t="s">
        <v>441</v>
      </c>
      <c r="K143" s="44" t="s">
        <v>442</v>
      </c>
      <c r="L143" s="45">
        <v>8.39</v>
      </c>
    </row>
    <row r="144" spans="9:12" x14ac:dyDescent="0.35">
      <c r="I144" s="44" t="s">
        <v>30</v>
      </c>
      <c r="J144" s="44" t="s">
        <v>443</v>
      </c>
      <c r="K144" s="44" t="s">
        <v>444</v>
      </c>
      <c r="L144" s="45">
        <v>8.74</v>
      </c>
    </row>
    <row r="145" spans="9:12" x14ac:dyDescent="0.35">
      <c r="I145" s="44" t="s">
        <v>173</v>
      </c>
      <c r="J145" s="44" t="s">
        <v>445</v>
      </c>
      <c r="K145" s="44" t="s">
        <v>446</v>
      </c>
      <c r="L145" s="45">
        <v>10.66</v>
      </c>
    </row>
    <row r="146" spans="9:12" x14ac:dyDescent="0.35">
      <c r="I146" s="44" t="s">
        <v>173</v>
      </c>
      <c r="J146" s="44" t="s">
        <v>447</v>
      </c>
      <c r="K146" s="44" t="s">
        <v>448</v>
      </c>
      <c r="L146" s="45">
        <v>8.49</v>
      </c>
    </row>
    <row r="147" spans="9:12" x14ac:dyDescent="0.35">
      <c r="I147" s="44" t="s">
        <v>173</v>
      </c>
      <c r="J147" s="44" t="s">
        <v>449</v>
      </c>
      <c r="K147" s="44" t="s">
        <v>450</v>
      </c>
      <c r="L147" s="45">
        <v>9.4700000000000006</v>
      </c>
    </row>
    <row r="148" spans="9:12" x14ac:dyDescent="0.35">
      <c r="I148" s="44" t="s">
        <v>173</v>
      </c>
      <c r="J148" s="44" t="s">
        <v>451</v>
      </c>
      <c r="K148" s="44" t="s">
        <v>452</v>
      </c>
      <c r="L148" s="45">
        <v>8.09</v>
      </c>
    </row>
    <row r="149" spans="9:12" x14ac:dyDescent="0.35">
      <c r="I149" s="44" t="s">
        <v>173</v>
      </c>
      <c r="J149" s="44" t="s">
        <v>453</v>
      </c>
      <c r="K149" s="44" t="s">
        <v>454</v>
      </c>
      <c r="L149" s="45">
        <v>6.25</v>
      </c>
    </row>
    <row r="150" spans="9:12" x14ac:dyDescent="0.35">
      <c r="I150" s="44" t="s">
        <v>173</v>
      </c>
      <c r="J150" s="44" t="s">
        <v>455</v>
      </c>
      <c r="K150" s="44" t="s">
        <v>456</v>
      </c>
      <c r="L150" s="45">
        <v>7.23</v>
      </c>
    </row>
    <row r="151" spans="9:12" x14ac:dyDescent="0.35">
      <c r="I151" s="44" t="s">
        <v>173</v>
      </c>
      <c r="J151" s="44" t="s">
        <v>457</v>
      </c>
      <c r="K151" s="44" t="s">
        <v>458</v>
      </c>
      <c r="L151" s="46">
        <v>7.18</v>
      </c>
    </row>
    <row r="152" spans="9:12" x14ac:dyDescent="0.35">
      <c r="I152" s="44" t="s">
        <v>173</v>
      </c>
      <c r="J152" s="44" t="s">
        <v>459</v>
      </c>
      <c r="K152" s="44" t="s">
        <v>460</v>
      </c>
      <c r="L152" s="45">
        <v>9.2100000000000009</v>
      </c>
    </row>
    <row r="153" spans="9:12" x14ac:dyDescent="0.35">
      <c r="I153" s="44" t="s">
        <v>173</v>
      </c>
      <c r="J153" s="44" t="s">
        <v>461</v>
      </c>
      <c r="K153" s="44" t="s">
        <v>462</v>
      </c>
      <c r="L153" s="45">
        <v>0</v>
      </c>
    </row>
    <row r="154" spans="9:12" x14ac:dyDescent="0.35">
      <c r="I154" s="44" t="s">
        <v>173</v>
      </c>
      <c r="J154" s="44" t="s">
        <v>463</v>
      </c>
      <c r="K154" s="44" t="s">
        <v>464</v>
      </c>
      <c r="L154" s="45">
        <v>9.4600000000000009</v>
      </c>
    </row>
    <row r="155" spans="9:12" x14ac:dyDescent="0.35">
      <c r="I155" s="44" t="s">
        <v>173</v>
      </c>
      <c r="J155" s="44" t="s">
        <v>465</v>
      </c>
      <c r="K155" s="44" t="s">
        <v>466</v>
      </c>
      <c r="L155" s="46">
        <v>9.76</v>
      </c>
    </row>
    <row r="156" spans="9:12" x14ac:dyDescent="0.35">
      <c r="I156" s="44" t="s">
        <v>173</v>
      </c>
      <c r="J156" s="44" t="s">
        <v>467</v>
      </c>
      <c r="K156" s="44" t="s">
        <v>468</v>
      </c>
      <c r="L156" s="45">
        <v>9.84</v>
      </c>
    </row>
    <row r="157" spans="9:12" x14ac:dyDescent="0.35">
      <c r="I157" s="44" t="s">
        <v>173</v>
      </c>
      <c r="J157" s="44" t="s">
        <v>469</v>
      </c>
      <c r="K157" s="44" t="s">
        <v>470</v>
      </c>
      <c r="L157" s="45">
        <v>10.130000000000001</v>
      </c>
    </row>
    <row r="158" spans="9:12" x14ac:dyDescent="0.35">
      <c r="I158" s="44" t="s">
        <v>173</v>
      </c>
      <c r="J158" s="44" t="s">
        <v>471</v>
      </c>
      <c r="K158" s="44" t="s">
        <v>472</v>
      </c>
      <c r="L158" s="45">
        <v>8.57</v>
      </c>
    </row>
    <row r="159" spans="9:12" x14ac:dyDescent="0.35">
      <c r="I159" s="44" t="s">
        <v>173</v>
      </c>
      <c r="J159" s="44" t="s">
        <v>473</v>
      </c>
      <c r="K159" s="44" t="s">
        <v>474</v>
      </c>
      <c r="L159" s="45">
        <v>9.36</v>
      </c>
    </row>
    <row r="160" spans="9:12" x14ac:dyDescent="0.35">
      <c r="I160" s="44" t="s">
        <v>173</v>
      </c>
      <c r="J160" s="44" t="s">
        <v>475</v>
      </c>
      <c r="K160" s="44" t="s">
        <v>476</v>
      </c>
      <c r="L160" s="45">
        <v>10.029999999999999</v>
      </c>
    </row>
    <row r="161" spans="9:12" x14ac:dyDescent="0.35">
      <c r="I161" s="44" t="s">
        <v>173</v>
      </c>
      <c r="J161" s="44" t="s">
        <v>477</v>
      </c>
      <c r="K161" s="44" t="s">
        <v>478</v>
      </c>
      <c r="L161" s="45">
        <v>11.74</v>
      </c>
    </row>
    <row r="162" spans="9:12" x14ac:dyDescent="0.35">
      <c r="I162" s="44" t="s">
        <v>173</v>
      </c>
      <c r="J162" s="44" t="s">
        <v>479</v>
      </c>
      <c r="K162" s="44" t="s">
        <v>480</v>
      </c>
      <c r="L162" s="45">
        <v>10.32</v>
      </c>
    </row>
    <row r="163" spans="9:12" x14ac:dyDescent="0.35">
      <c r="I163" s="44" t="s">
        <v>173</v>
      </c>
      <c r="J163" s="44" t="s">
        <v>481</v>
      </c>
      <c r="K163" s="44" t="s">
        <v>482</v>
      </c>
      <c r="L163" s="45">
        <v>9.11</v>
      </c>
    </row>
    <row r="164" spans="9:12" x14ac:dyDescent="0.35">
      <c r="I164" s="44" t="s">
        <v>173</v>
      </c>
      <c r="J164" s="44" t="s">
        <v>483</v>
      </c>
      <c r="K164" s="44" t="s">
        <v>484</v>
      </c>
      <c r="L164" s="45">
        <v>8.7200000000000006</v>
      </c>
    </row>
    <row r="165" spans="9:12" x14ac:dyDescent="0.35">
      <c r="I165" s="44" t="s">
        <v>173</v>
      </c>
      <c r="J165" s="44" t="s">
        <v>485</v>
      </c>
      <c r="K165" s="44" t="s">
        <v>486</v>
      </c>
      <c r="L165" s="45">
        <v>9.02</v>
      </c>
    </row>
    <row r="166" spans="9:12" x14ac:dyDescent="0.35">
      <c r="I166" s="44" t="s">
        <v>173</v>
      </c>
      <c r="J166" s="44" t="s">
        <v>487</v>
      </c>
      <c r="K166" s="44" t="s">
        <v>488</v>
      </c>
      <c r="L166" s="45">
        <v>14.3</v>
      </c>
    </row>
    <row r="167" spans="9:12" x14ac:dyDescent="0.35">
      <c r="I167" s="44" t="s">
        <v>173</v>
      </c>
      <c r="J167" s="44" t="s">
        <v>489</v>
      </c>
      <c r="K167" s="44" t="s">
        <v>490</v>
      </c>
      <c r="L167" s="45">
        <v>9.17</v>
      </c>
    </row>
    <row r="168" spans="9:12" x14ac:dyDescent="0.35">
      <c r="I168" s="44" t="s">
        <v>173</v>
      </c>
      <c r="J168" s="44" t="s">
        <v>491</v>
      </c>
      <c r="K168" s="44" t="s">
        <v>492</v>
      </c>
      <c r="L168" s="46">
        <v>7.16</v>
      </c>
    </row>
    <row r="169" spans="9:12" x14ac:dyDescent="0.35">
      <c r="I169" s="44" t="s">
        <v>173</v>
      </c>
      <c r="J169" s="44" t="s">
        <v>493</v>
      </c>
      <c r="K169" s="44" t="s">
        <v>494</v>
      </c>
      <c r="L169" s="45">
        <v>8.65</v>
      </c>
    </row>
    <row r="170" spans="9:12" x14ac:dyDescent="0.35">
      <c r="I170" s="44" t="s">
        <v>173</v>
      </c>
      <c r="J170" s="44" t="s">
        <v>495</v>
      </c>
      <c r="K170" s="44" t="s">
        <v>496</v>
      </c>
      <c r="L170" s="45">
        <v>8.08</v>
      </c>
    </row>
    <row r="171" spans="9:12" x14ac:dyDescent="0.35">
      <c r="I171" s="44" t="s">
        <v>173</v>
      </c>
      <c r="J171" s="44" t="s">
        <v>497</v>
      </c>
      <c r="K171" s="44" t="s">
        <v>498</v>
      </c>
      <c r="L171" s="45">
        <v>9.5</v>
      </c>
    </row>
    <row r="172" spans="9:12" x14ac:dyDescent="0.35">
      <c r="I172" s="44" t="s">
        <v>173</v>
      </c>
      <c r="J172" s="44" t="s">
        <v>499</v>
      </c>
      <c r="K172" s="44" t="s">
        <v>500</v>
      </c>
      <c r="L172" s="45">
        <v>8.73</v>
      </c>
    </row>
    <row r="173" spans="9:12" x14ac:dyDescent="0.35">
      <c r="I173" s="44" t="s">
        <v>173</v>
      </c>
      <c r="J173" s="44" t="s">
        <v>501</v>
      </c>
      <c r="K173" s="44" t="s">
        <v>502</v>
      </c>
      <c r="L173" s="45">
        <v>7.89</v>
      </c>
    </row>
    <row r="174" spans="9:12" x14ac:dyDescent="0.35">
      <c r="I174" s="44" t="s">
        <v>173</v>
      </c>
      <c r="J174" s="44" t="s">
        <v>503</v>
      </c>
      <c r="K174" s="44" t="s">
        <v>504</v>
      </c>
      <c r="L174" s="45">
        <v>8.08</v>
      </c>
    </row>
    <row r="175" spans="9:12" x14ac:dyDescent="0.35">
      <c r="I175" s="44" t="s">
        <v>29</v>
      </c>
      <c r="J175" s="44" t="s">
        <v>505</v>
      </c>
      <c r="K175" s="44" t="s">
        <v>506</v>
      </c>
      <c r="L175" s="45">
        <v>8.9499999999999993</v>
      </c>
    </row>
    <row r="176" spans="9:12" x14ac:dyDescent="0.35">
      <c r="I176" s="44" t="s">
        <v>29</v>
      </c>
      <c r="J176" s="44" t="s">
        <v>507</v>
      </c>
      <c r="K176" s="44" t="s">
        <v>508</v>
      </c>
      <c r="L176" s="45">
        <v>5.89</v>
      </c>
    </row>
    <row r="177" spans="9:12" x14ac:dyDescent="0.35">
      <c r="I177" s="44" t="s">
        <v>29</v>
      </c>
      <c r="J177" s="44" t="s">
        <v>509</v>
      </c>
      <c r="K177" s="44" t="s">
        <v>510</v>
      </c>
      <c r="L177" s="45">
        <v>4.37</v>
      </c>
    </row>
    <row r="178" spans="9:12" x14ac:dyDescent="0.35">
      <c r="I178" s="44" t="s">
        <v>29</v>
      </c>
      <c r="J178" s="44" t="s">
        <v>511</v>
      </c>
      <c r="K178" s="44" t="s">
        <v>512</v>
      </c>
      <c r="L178" s="45">
        <v>7.92</v>
      </c>
    </row>
    <row r="179" spans="9:12" x14ac:dyDescent="0.35">
      <c r="I179" s="44" t="s">
        <v>29</v>
      </c>
      <c r="J179" s="44" t="s">
        <v>513</v>
      </c>
      <c r="K179" s="44" t="s">
        <v>514</v>
      </c>
      <c r="L179" s="45">
        <v>6.72</v>
      </c>
    </row>
    <row r="180" spans="9:12" x14ac:dyDescent="0.35">
      <c r="I180" s="44" t="s">
        <v>29</v>
      </c>
      <c r="J180" s="44" t="s">
        <v>515</v>
      </c>
      <c r="K180" s="44" t="s">
        <v>516</v>
      </c>
      <c r="L180" s="45">
        <v>6.79</v>
      </c>
    </row>
    <row r="181" spans="9:12" x14ac:dyDescent="0.35">
      <c r="I181" s="44" t="s">
        <v>29</v>
      </c>
      <c r="J181" s="44" t="s">
        <v>517</v>
      </c>
      <c r="K181" s="44" t="s">
        <v>518</v>
      </c>
      <c r="L181" s="45">
        <v>9.27</v>
      </c>
    </row>
    <row r="182" spans="9:12" x14ac:dyDescent="0.35">
      <c r="I182" s="44" t="s">
        <v>29</v>
      </c>
      <c r="J182" s="44" t="s">
        <v>519</v>
      </c>
      <c r="K182" s="44" t="s">
        <v>520</v>
      </c>
      <c r="L182" s="45">
        <v>5.93</v>
      </c>
    </row>
    <row r="183" spans="9:12" x14ac:dyDescent="0.35">
      <c r="I183" s="44" t="s">
        <v>29</v>
      </c>
      <c r="J183" s="44" t="s">
        <v>521</v>
      </c>
      <c r="K183" s="44" t="s">
        <v>522</v>
      </c>
      <c r="L183" s="45">
        <v>7.88</v>
      </c>
    </row>
    <row r="184" spans="9:12" x14ac:dyDescent="0.35">
      <c r="I184" s="44" t="s">
        <v>29</v>
      </c>
      <c r="J184" s="44" t="s">
        <v>523</v>
      </c>
      <c r="K184" s="44" t="s">
        <v>524</v>
      </c>
      <c r="L184" s="45">
        <v>7.15</v>
      </c>
    </row>
    <row r="185" spans="9:12" x14ac:dyDescent="0.35">
      <c r="I185" s="44" t="s">
        <v>29</v>
      </c>
      <c r="J185" s="44" t="s">
        <v>525</v>
      </c>
      <c r="K185" s="44" t="s">
        <v>526</v>
      </c>
      <c r="L185" s="45">
        <v>6.31</v>
      </c>
    </row>
    <row r="186" spans="9:12" x14ac:dyDescent="0.35">
      <c r="I186" s="44" t="s">
        <v>29</v>
      </c>
      <c r="J186" s="44" t="s">
        <v>527</v>
      </c>
      <c r="K186" s="44" t="s">
        <v>528</v>
      </c>
      <c r="L186" s="45">
        <v>8.4499999999999993</v>
      </c>
    </row>
    <row r="187" spans="9:12" x14ac:dyDescent="0.35">
      <c r="I187" s="44" t="s">
        <v>29</v>
      </c>
      <c r="J187" s="44" t="s">
        <v>529</v>
      </c>
      <c r="K187" s="44" t="s">
        <v>530</v>
      </c>
      <c r="L187" s="45">
        <v>7.18</v>
      </c>
    </row>
    <row r="188" spans="9:12" x14ac:dyDescent="0.35">
      <c r="I188" s="44" t="s">
        <v>29</v>
      </c>
      <c r="J188" s="44" t="s">
        <v>531</v>
      </c>
      <c r="K188" s="44" t="s">
        <v>532</v>
      </c>
      <c r="L188" s="45">
        <v>7.39</v>
      </c>
    </row>
    <row r="189" spans="9:12" x14ac:dyDescent="0.35">
      <c r="I189" s="44" t="s">
        <v>29</v>
      </c>
      <c r="J189" s="44" t="s">
        <v>533</v>
      </c>
      <c r="K189" s="44" t="s">
        <v>534</v>
      </c>
      <c r="L189" s="45">
        <v>7.15</v>
      </c>
    </row>
    <row r="190" spans="9:12" x14ac:dyDescent="0.35">
      <c r="I190" s="44" t="s">
        <v>29</v>
      </c>
      <c r="J190" s="44" t="s">
        <v>535</v>
      </c>
      <c r="K190" s="44" t="s">
        <v>536</v>
      </c>
      <c r="L190" s="45">
        <v>10.23</v>
      </c>
    </row>
    <row r="191" spans="9:12" x14ac:dyDescent="0.35">
      <c r="I191" s="44" t="s">
        <v>29</v>
      </c>
      <c r="J191" s="44" t="s">
        <v>537</v>
      </c>
      <c r="K191" s="44" t="s">
        <v>538</v>
      </c>
      <c r="L191" s="45">
        <v>9.1</v>
      </c>
    </row>
    <row r="192" spans="9:12" x14ac:dyDescent="0.35">
      <c r="I192" s="44" t="s">
        <v>29</v>
      </c>
      <c r="J192" s="44" t="s">
        <v>539</v>
      </c>
      <c r="K192" s="44" t="s">
        <v>540</v>
      </c>
      <c r="L192" s="45">
        <v>10.130000000000001</v>
      </c>
    </row>
    <row r="193" spans="9:12" x14ac:dyDescent="0.35">
      <c r="I193" s="44" t="s">
        <v>29</v>
      </c>
      <c r="J193" s="44" t="s">
        <v>541</v>
      </c>
      <c r="K193" s="44" t="s">
        <v>542</v>
      </c>
      <c r="L193" s="45">
        <v>11.74</v>
      </c>
    </row>
    <row r="194" spans="9:12" x14ac:dyDescent="0.35">
      <c r="I194" s="44" t="s">
        <v>29</v>
      </c>
      <c r="J194" s="44" t="s">
        <v>543</v>
      </c>
      <c r="K194" s="44" t="s">
        <v>544</v>
      </c>
      <c r="L194" s="45">
        <v>8.08</v>
      </c>
    </row>
    <row r="195" spans="9:12" x14ac:dyDescent="0.35">
      <c r="I195" s="44" t="s">
        <v>29</v>
      </c>
      <c r="J195" s="44" t="s">
        <v>545</v>
      </c>
      <c r="K195" s="44" t="s">
        <v>546</v>
      </c>
      <c r="L195" s="45">
        <v>7.55</v>
      </c>
    </row>
    <row r="196" spans="9:12" x14ac:dyDescent="0.35">
      <c r="I196" s="44" t="s">
        <v>29</v>
      </c>
      <c r="J196" s="44" t="s">
        <v>547</v>
      </c>
      <c r="K196" s="44" t="s">
        <v>548</v>
      </c>
      <c r="L196" s="45">
        <v>9.94</v>
      </c>
    </row>
    <row r="197" spans="9:12" x14ac:dyDescent="0.35">
      <c r="I197" s="44" t="s">
        <v>29</v>
      </c>
      <c r="J197" s="44" t="s">
        <v>549</v>
      </c>
      <c r="K197" s="44" t="s">
        <v>550</v>
      </c>
      <c r="L197" s="45">
        <v>7.24</v>
      </c>
    </row>
    <row r="198" spans="9:12" x14ac:dyDescent="0.35">
      <c r="I198" s="44" t="s">
        <v>29</v>
      </c>
      <c r="J198" s="44" t="s">
        <v>551</v>
      </c>
      <c r="K198" s="44" t="s">
        <v>552</v>
      </c>
      <c r="L198" s="45">
        <v>5.58</v>
      </c>
    </row>
    <row r="199" spans="9:12" x14ac:dyDescent="0.35">
      <c r="I199" s="44" t="s">
        <v>29</v>
      </c>
      <c r="J199" s="44" t="s">
        <v>553</v>
      </c>
      <c r="K199" s="44" t="s">
        <v>554</v>
      </c>
      <c r="L199" s="45">
        <v>5.69</v>
      </c>
    </row>
    <row r="200" spans="9:12" x14ac:dyDescent="0.35">
      <c r="I200" s="44" t="s">
        <v>29</v>
      </c>
      <c r="J200" s="44" t="s">
        <v>555</v>
      </c>
      <c r="K200" s="44" t="s">
        <v>556</v>
      </c>
      <c r="L200" s="45">
        <v>6.23</v>
      </c>
    </row>
    <row r="201" spans="9:12" x14ac:dyDescent="0.35">
      <c r="I201" s="44" t="s">
        <v>29</v>
      </c>
      <c r="J201" s="44" t="s">
        <v>557</v>
      </c>
      <c r="K201" s="44" t="s">
        <v>558</v>
      </c>
      <c r="L201" s="45">
        <v>5.57</v>
      </c>
    </row>
    <row r="202" spans="9:12" x14ac:dyDescent="0.35">
      <c r="I202" s="44" t="s">
        <v>29</v>
      </c>
      <c r="J202" s="44" t="s">
        <v>559</v>
      </c>
      <c r="K202" s="44" t="s">
        <v>560</v>
      </c>
      <c r="L202" s="45">
        <v>9.31</v>
      </c>
    </row>
    <row r="203" spans="9:12" x14ac:dyDescent="0.35">
      <c r="I203" s="44" t="s">
        <v>29</v>
      </c>
      <c r="J203" s="44" t="s">
        <v>561</v>
      </c>
      <c r="K203" s="44" t="s">
        <v>562</v>
      </c>
      <c r="L203" s="45">
        <v>5.53</v>
      </c>
    </row>
    <row r="204" spans="9:12" x14ac:dyDescent="0.35">
      <c r="I204" s="44" t="s">
        <v>29</v>
      </c>
      <c r="J204" s="44" t="s">
        <v>563</v>
      </c>
      <c r="K204" s="44" t="s">
        <v>564</v>
      </c>
      <c r="L204" s="45">
        <v>5.65</v>
      </c>
    </row>
    <row r="205" spans="9:12" x14ac:dyDescent="0.35">
      <c r="I205" s="44" t="s">
        <v>157</v>
      </c>
      <c r="J205" s="44" t="s">
        <v>565</v>
      </c>
      <c r="K205" s="44" t="s">
        <v>566</v>
      </c>
      <c r="L205" s="45">
        <v>4.84</v>
      </c>
    </row>
    <row r="206" spans="9:12" x14ac:dyDescent="0.35">
      <c r="I206" s="44" t="s">
        <v>157</v>
      </c>
      <c r="J206" s="44" t="s">
        <v>567</v>
      </c>
      <c r="K206" s="44" t="s">
        <v>568</v>
      </c>
      <c r="L206" s="45">
        <v>6.27</v>
      </c>
    </row>
    <row r="207" spans="9:12" x14ac:dyDescent="0.35">
      <c r="I207" s="44" t="s">
        <v>157</v>
      </c>
      <c r="J207" s="44" t="s">
        <v>569</v>
      </c>
      <c r="K207" s="44" t="s">
        <v>570</v>
      </c>
      <c r="L207" s="45">
        <v>4.8499999999999996</v>
      </c>
    </row>
    <row r="208" spans="9:12" x14ac:dyDescent="0.35">
      <c r="I208" s="44" t="s">
        <v>157</v>
      </c>
      <c r="J208" s="44" t="s">
        <v>571</v>
      </c>
      <c r="K208" s="44" t="s">
        <v>572</v>
      </c>
      <c r="L208" s="45">
        <v>4.76</v>
      </c>
    </row>
    <row r="209" spans="9:12" x14ac:dyDescent="0.35">
      <c r="I209" s="44" t="s">
        <v>157</v>
      </c>
      <c r="J209" s="44" t="s">
        <v>573</v>
      </c>
      <c r="K209" s="44" t="s">
        <v>574</v>
      </c>
      <c r="L209" s="45">
        <v>7.77</v>
      </c>
    </row>
    <row r="210" spans="9:12" x14ac:dyDescent="0.35">
      <c r="I210" s="44" t="s">
        <v>157</v>
      </c>
      <c r="J210" s="44" t="s">
        <v>575</v>
      </c>
      <c r="K210" s="44" t="s">
        <v>576</v>
      </c>
      <c r="L210" s="45">
        <v>7.32</v>
      </c>
    </row>
    <row r="211" spans="9:12" x14ac:dyDescent="0.35">
      <c r="I211" s="44" t="s">
        <v>157</v>
      </c>
      <c r="J211" s="44" t="s">
        <v>577</v>
      </c>
      <c r="K211" s="44" t="s">
        <v>578</v>
      </c>
      <c r="L211" s="45">
        <v>6.06</v>
      </c>
    </row>
    <row r="212" spans="9:12" x14ac:dyDescent="0.35">
      <c r="I212" s="44" t="s">
        <v>157</v>
      </c>
      <c r="J212" s="44" t="s">
        <v>579</v>
      </c>
      <c r="K212" s="44" t="s">
        <v>580</v>
      </c>
      <c r="L212" s="46">
        <v>3.47</v>
      </c>
    </row>
    <row r="213" spans="9:12" x14ac:dyDescent="0.35">
      <c r="I213" s="44" t="s">
        <v>157</v>
      </c>
      <c r="J213" s="44" t="s">
        <v>581</v>
      </c>
      <c r="K213" s="44" t="s">
        <v>582</v>
      </c>
      <c r="L213" s="45">
        <v>4.78</v>
      </c>
    </row>
    <row r="214" spans="9:12" x14ac:dyDescent="0.35">
      <c r="I214" s="44" t="s">
        <v>157</v>
      </c>
      <c r="J214" s="44" t="s">
        <v>583</v>
      </c>
      <c r="K214" s="44" t="s">
        <v>584</v>
      </c>
      <c r="L214" s="45">
        <v>2.62</v>
      </c>
    </row>
    <row r="215" spans="9:12" x14ac:dyDescent="0.35">
      <c r="I215" s="44" t="s">
        <v>157</v>
      </c>
      <c r="J215" s="44" t="s">
        <v>585</v>
      </c>
      <c r="K215" s="44" t="s">
        <v>586</v>
      </c>
      <c r="L215" s="45">
        <v>7.16</v>
      </c>
    </row>
    <row r="216" spans="9:12" x14ac:dyDescent="0.35">
      <c r="I216" s="44" t="s">
        <v>157</v>
      </c>
      <c r="J216" s="44" t="s">
        <v>587</v>
      </c>
      <c r="K216" s="44" t="s">
        <v>588</v>
      </c>
      <c r="L216" s="45">
        <v>9.89</v>
      </c>
    </row>
    <row r="217" spans="9:12" x14ac:dyDescent="0.35">
      <c r="I217" s="44" t="s">
        <v>157</v>
      </c>
      <c r="J217" s="44" t="s">
        <v>589</v>
      </c>
      <c r="K217" s="44" t="s">
        <v>590</v>
      </c>
      <c r="L217" s="45">
        <v>3.98</v>
      </c>
    </row>
    <row r="218" spans="9:12" x14ac:dyDescent="0.35">
      <c r="I218" s="44" t="s">
        <v>157</v>
      </c>
      <c r="J218" s="44" t="s">
        <v>591</v>
      </c>
      <c r="K218" s="44" t="s">
        <v>592</v>
      </c>
      <c r="L218" s="45">
        <v>6.28</v>
      </c>
    </row>
    <row r="219" spans="9:12" x14ac:dyDescent="0.35">
      <c r="I219" s="44" t="s">
        <v>157</v>
      </c>
      <c r="J219" s="44" t="s">
        <v>593</v>
      </c>
      <c r="K219" s="44" t="s">
        <v>594</v>
      </c>
      <c r="L219" s="45">
        <v>5.83</v>
      </c>
    </row>
    <row r="220" spans="9:12" x14ac:dyDescent="0.35">
      <c r="I220" s="44" t="s">
        <v>157</v>
      </c>
      <c r="J220" s="44" t="s">
        <v>595</v>
      </c>
      <c r="K220" s="44" t="s">
        <v>596</v>
      </c>
      <c r="L220" s="45">
        <v>3.66</v>
      </c>
    </row>
    <row r="221" spans="9:12" x14ac:dyDescent="0.35">
      <c r="I221" s="44" t="s">
        <v>157</v>
      </c>
      <c r="J221" s="44" t="s">
        <v>597</v>
      </c>
      <c r="K221" s="44" t="s">
        <v>598</v>
      </c>
      <c r="L221" s="45">
        <v>5.48</v>
      </c>
    </row>
    <row r="222" spans="9:12" x14ac:dyDescent="0.35">
      <c r="I222" s="44" t="s">
        <v>157</v>
      </c>
      <c r="J222" s="44" t="s">
        <v>599</v>
      </c>
      <c r="K222" s="44" t="s">
        <v>600</v>
      </c>
      <c r="L222" s="45">
        <v>4.82</v>
      </c>
    </row>
    <row r="223" spans="9:12" x14ac:dyDescent="0.35">
      <c r="I223" s="44" t="s">
        <v>157</v>
      </c>
      <c r="J223" s="44" t="s">
        <v>601</v>
      </c>
      <c r="K223" s="44" t="s">
        <v>602</v>
      </c>
      <c r="L223" s="45">
        <v>5.57</v>
      </c>
    </row>
    <row r="224" spans="9:12" x14ac:dyDescent="0.35">
      <c r="I224" s="44" t="s">
        <v>157</v>
      </c>
      <c r="J224" s="44" t="s">
        <v>603</v>
      </c>
      <c r="K224" s="44" t="s">
        <v>604</v>
      </c>
      <c r="L224" s="45">
        <v>6.03</v>
      </c>
    </row>
    <row r="225" spans="9:12" x14ac:dyDescent="0.35">
      <c r="I225" s="44" t="s">
        <v>157</v>
      </c>
      <c r="J225" s="44" t="s">
        <v>605</v>
      </c>
      <c r="K225" s="44" t="s">
        <v>606</v>
      </c>
      <c r="L225" s="45">
        <v>5.35</v>
      </c>
    </row>
    <row r="226" spans="9:12" x14ac:dyDescent="0.35">
      <c r="I226" s="44" t="s">
        <v>157</v>
      </c>
      <c r="J226" s="44" t="s">
        <v>607</v>
      </c>
      <c r="K226" s="44" t="s">
        <v>608</v>
      </c>
      <c r="L226" s="45">
        <v>5.43</v>
      </c>
    </row>
    <row r="227" spans="9:12" x14ac:dyDescent="0.35">
      <c r="I227" s="44" t="s">
        <v>157</v>
      </c>
      <c r="J227" s="44" t="s">
        <v>609</v>
      </c>
      <c r="K227" s="44" t="s">
        <v>610</v>
      </c>
      <c r="L227" s="45">
        <v>6.22</v>
      </c>
    </row>
    <row r="228" spans="9:12" x14ac:dyDescent="0.35">
      <c r="I228" s="44" t="s">
        <v>157</v>
      </c>
      <c r="J228" s="44" t="s">
        <v>611</v>
      </c>
      <c r="K228" s="44" t="s">
        <v>612</v>
      </c>
      <c r="L228" s="45">
        <v>6.29</v>
      </c>
    </row>
    <row r="229" spans="9:12" x14ac:dyDescent="0.35">
      <c r="I229" s="44" t="s">
        <v>157</v>
      </c>
      <c r="J229" s="44" t="s">
        <v>613</v>
      </c>
      <c r="K229" s="44" t="s">
        <v>614</v>
      </c>
      <c r="L229" s="45">
        <v>5.71</v>
      </c>
    </row>
    <row r="230" spans="9:12" x14ac:dyDescent="0.35">
      <c r="I230" s="44" t="s">
        <v>157</v>
      </c>
      <c r="J230" s="44" t="s">
        <v>615</v>
      </c>
      <c r="K230" s="44" t="s">
        <v>616</v>
      </c>
      <c r="L230" s="45">
        <v>6.65</v>
      </c>
    </row>
    <row r="231" spans="9:12" x14ac:dyDescent="0.35">
      <c r="I231" s="44" t="s">
        <v>157</v>
      </c>
      <c r="J231" s="44" t="s">
        <v>617</v>
      </c>
      <c r="K231" s="44" t="s">
        <v>618</v>
      </c>
      <c r="L231" s="45">
        <v>5.91</v>
      </c>
    </row>
    <row r="232" spans="9:12" x14ac:dyDescent="0.35">
      <c r="I232" s="44" t="s">
        <v>157</v>
      </c>
      <c r="J232" s="44" t="s">
        <v>619</v>
      </c>
      <c r="K232" s="44" t="s">
        <v>620</v>
      </c>
      <c r="L232" s="46">
        <v>5.1100000000000003</v>
      </c>
    </row>
    <row r="233" spans="9:12" x14ac:dyDescent="0.35">
      <c r="I233" s="44" t="s">
        <v>157</v>
      </c>
      <c r="J233" s="44" t="s">
        <v>621</v>
      </c>
      <c r="K233" s="44" t="s">
        <v>622</v>
      </c>
      <c r="L233" s="45">
        <v>5.58</v>
      </c>
    </row>
    <row r="234" spans="9:12" x14ac:dyDescent="0.35">
      <c r="I234" s="44" t="s">
        <v>157</v>
      </c>
      <c r="J234" s="44" t="s">
        <v>623</v>
      </c>
      <c r="K234" s="44" t="s">
        <v>624</v>
      </c>
      <c r="L234" s="45">
        <v>5.47</v>
      </c>
    </row>
    <row r="235" spans="9:12" x14ac:dyDescent="0.35">
      <c r="I235" s="44" t="s">
        <v>157</v>
      </c>
      <c r="J235" s="44" t="s">
        <v>625</v>
      </c>
      <c r="K235" s="44" t="s">
        <v>626</v>
      </c>
      <c r="L235" s="45">
        <v>8.02</v>
      </c>
    </row>
    <row r="236" spans="9:12" x14ac:dyDescent="0.35">
      <c r="I236" s="44" t="s">
        <v>157</v>
      </c>
      <c r="J236" s="44" t="s">
        <v>627</v>
      </c>
      <c r="K236" s="44" t="s">
        <v>628</v>
      </c>
      <c r="L236" s="45">
        <v>6.34</v>
      </c>
    </row>
    <row r="237" spans="9:12" x14ac:dyDescent="0.35">
      <c r="I237" s="44" t="s">
        <v>157</v>
      </c>
      <c r="J237" s="44" t="s">
        <v>629</v>
      </c>
      <c r="K237" s="44" t="s">
        <v>630</v>
      </c>
      <c r="L237" s="46">
        <v>9.7200000000000006</v>
      </c>
    </row>
    <row r="238" spans="9:12" x14ac:dyDescent="0.35">
      <c r="I238" s="44" t="s">
        <v>157</v>
      </c>
      <c r="J238" s="44" t="s">
        <v>631</v>
      </c>
      <c r="K238" s="44" t="s">
        <v>632</v>
      </c>
      <c r="L238" s="45">
        <v>5.61</v>
      </c>
    </row>
    <row r="239" spans="9:12" x14ac:dyDescent="0.35">
      <c r="I239" s="44" t="s">
        <v>157</v>
      </c>
      <c r="J239" s="44" t="s">
        <v>633</v>
      </c>
      <c r="K239" s="44" t="s">
        <v>634</v>
      </c>
      <c r="L239" s="45">
        <v>4.2</v>
      </c>
    </row>
    <row r="240" spans="9:12" x14ac:dyDescent="0.35">
      <c r="I240" s="44" t="s">
        <v>157</v>
      </c>
      <c r="J240" s="44" t="s">
        <v>635</v>
      </c>
      <c r="K240" s="44" t="s">
        <v>636</v>
      </c>
      <c r="L240" s="45">
        <v>4.0599999999999996</v>
      </c>
    </row>
    <row r="241" spans="9:12" x14ac:dyDescent="0.35">
      <c r="I241" s="44" t="s">
        <v>157</v>
      </c>
      <c r="J241" s="44" t="s">
        <v>637</v>
      </c>
      <c r="K241" s="44" t="s">
        <v>638</v>
      </c>
      <c r="L241" s="45">
        <v>5.16</v>
      </c>
    </row>
    <row r="242" spans="9:12" x14ac:dyDescent="0.35">
      <c r="I242" s="44" t="s">
        <v>157</v>
      </c>
      <c r="J242" s="44" t="s">
        <v>639</v>
      </c>
      <c r="K242" s="44" t="s">
        <v>640</v>
      </c>
      <c r="L242" s="45">
        <v>6.46</v>
      </c>
    </row>
    <row r="243" spans="9:12" x14ac:dyDescent="0.35">
      <c r="I243" s="44" t="s">
        <v>157</v>
      </c>
      <c r="J243" s="44" t="s">
        <v>641</v>
      </c>
      <c r="K243" s="44" t="s">
        <v>642</v>
      </c>
      <c r="L243" s="45">
        <v>6.19</v>
      </c>
    </row>
    <row r="244" spans="9:12" x14ac:dyDescent="0.35">
      <c r="I244" s="44" t="s">
        <v>28</v>
      </c>
      <c r="J244" s="44" t="s">
        <v>643</v>
      </c>
      <c r="K244" s="44" t="s">
        <v>644</v>
      </c>
      <c r="L244" s="45">
        <v>4.17</v>
      </c>
    </row>
    <row r="245" spans="9:12" x14ac:dyDescent="0.35">
      <c r="I245" s="44" t="s">
        <v>28</v>
      </c>
      <c r="J245" s="44" t="s">
        <v>645</v>
      </c>
      <c r="K245" s="44" t="s">
        <v>646</v>
      </c>
      <c r="L245" s="45">
        <v>6.37</v>
      </c>
    </row>
    <row r="246" spans="9:12" x14ac:dyDescent="0.35">
      <c r="I246" s="44" t="s">
        <v>28</v>
      </c>
      <c r="J246" s="44" t="s">
        <v>647</v>
      </c>
      <c r="K246" s="44" t="s">
        <v>648</v>
      </c>
      <c r="L246" s="45">
        <v>10.029999999999999</v>
      </c>
    </row>
    <row r="247" spans="9:12" x14ac:dyDescent="0.35">
      <c r="I247" s="44" t="s">
        <v>28</v>
      </c>
      <c r="J247" s="44" t="s">
        <v>649</v>
      </c>
      <c r="K247" s="44" t="s">
        <v>650</v>
      </c>
      <c r="L247" s="45">
        <v>5.16</v>
      </c>
    </row>
    <row r="248" spans="9:12" x14ac:dyDescent="0.35">
      <c r="I248" s="44" t="s">
        <v>28</v>
      </c>
      <c r="J248" s="44" t="s">
        <v>651</v>
      </c>
      <c r="K248" s="44" t="s">
        <v>652</v>
      </c>
      <c r="L248" s="46">
        <v>6.19</v>
      </c>
    </row>
    <row r="249" spans="9:12" x14ac:dyDescent="0.35">
      <c r="I249" s="44" t="s">
        <v>28</v>
      </c>
      <c r="J249" s="44" t="s">
        <v>653</v>
      </c>
      <c r="K249" s="44" t="s">
        <v>654</v>
      </c>
      <c r="L249" s="45">
        <v>4.9000000000000004</v>
      </c>
    </row>
    <row r="250" spans="9:12" x14ac:dyDescent="0.35">
      <c r="I250" s="44" t="s">
        <v>28</v>
      </c>
      <c r="J250" s="44" t="s">
        <v>655</v>
      </c>
      <c r="K250" s="44" t="s">
        <v>656</v>
      </c>
      <c r="L250" s="45">
        <v>5.86</v>
      </c>
    </row>
    <row r="251" spans="9:12" x14ac:dyDescent="0.35">
      <c r="I251" s="44" t="s">
        <v>28</v>
      </c>
      <c r="J251" s="44" t="s">
        <v>657</v>
      </c>
      <c r="K251" s="44" t="s">
        <v>658</v>
      </c>
      <c r="L251" s="46">
        <v>10.19</v>
      </c>
    </row>
    <row r="252" spans="9:12" x14ac:dyDescent="0.35">
      <c r="I252" s="44" t="s">
        <v>28</v>
      </c>
      <c r="J252" s="44" t="s">
        <v>659</v>
      </c>
      <c r="K252" s="44" t="s">
        <v>660</v>
      </c>
      <c r="L252" s="45">
        <v>6.13</v>
      </c>
    </row>
    <row r="253" spans="9:12" x14ac:dyDescent="0.35">
      <c r="I253" s="44" t="s">
        <v>28</v>
      </c>
      <c r="J253" s="44" t="s">
        <v>661</v>
      </c>
      <c r="K253" s="44" t="s">
        <v>662</v>
      </c>
      <c r="L253" s="45">
        <v>7.25</v>
      </c>
    </row>
    <row r="254" spans="9:12" x14ac:dyDescent="0.35">
      <c r="I254" s="44" t="s">
        <v>28</v>
      </c>
      <c r="J254" s="44" t="s">
        <v>663</v>
      </c>
      <c r="K254" s="44" t="s">
        <v>664</v>
      </c>
      <c r="L254" s="45">
        <v>7.41</v>
      </c>
    </row>
    <row r="255" spans="9:12" x14ac:dyDescent="0.35">
      <c r="I255" s="44" t="s">
        <v>28</v>
      </c>
      <c r="J255" s="44" t="s">
        <v>665</v>
      </c>
      <c r="K255" s="44" t="s">
        <v>666</v>
      </c>
      <c r="L255" s="45">
        <v>6.95</v>
      </c>
    </row>
    <row r="256" spans="9:12" x14ac:dyDescent="0.35">
      <c r="I256" s="44" t="s">
        <v>28</v>
      </c>
      <c r="J256" s="44" t="s">
        <v>667</v>
      </c>
      <c r="K256" s="44" t="s">
        <v>668</v>
      </c>
      <c r="L256" s="45">
        <v>7.25</v>
      </c>
    </row>
    <row r="257" spans="9:12" x14ac:dyDescent="0.35">
      <c r="I257" s="44" t="s">
        <v>28</v>
      </c>
      <c r="J257" s="44" t="s">
        <v>669</v>
      </c>
      <c r="K257" s="44" t="s">
        <v>670</v>
      </c>
      <c r="L257" s="45">
        <v>7.68</v>
      </c>
    </row>
    <row r="258" spans="9:12" x14ac:dyDescent="0.35">
      <c r="I258" s="44" t="s">
        <v>28</v>
      </c>
      <c r="J258" s="44" t="s">
        <v>671</v>
      </c>
      <c r="K258" s="44" t="s">
        <v>672</v>
      </c>
      <c r="L258" s="45">
        <v>9.67</v>
      </c>
    </row>
    <row r="259" spans="9:12" x14ac:dyDescent="0.35">
      <c r="I259" s="44" t="s">
        <v>28</v>
      </c>
      <c r="J259" s="44" t="s">
        <v>673</v>
      </c>
      <c r="K259" s="44" t="s">
        <v>674</v>
      </c>
      <c r="L259" s="45">
        <v>7.05</v>
      </c>
    </row>
    <row r="260" spans="9:12" x14ac:dyDescent="0.35">
      <c r="I260" s="44" t="s">
        <v>28</v>
      </c>
      <c r="J260" s="44" t="s">
        <v>675</v>
      </c>
      <c r="K260" s="44" t="s">
        <v>676</v>
      </c>
      <c r="L260" s="45">
        <v>8.84</v>
      </c>
    </row>
    <row r="261" spans="9:12" x14ac:dyDescent="0.35">
      <c r="I261" s="44" t="s">
        <v>28</v>
      </c>
      <c r="J261" s="44" t="s">
        <v>677</v>
      </c>
      <c r="K261" s="44" t="s">
        <v>678</v>
      </c>
      <c r="L261" s="45">
        <v>7.68</v>
      </c>
    </row>
    <row r="262" spans="9:12" x14ac:dyDescent="0.35">
      <c r="I262" s="44" t="s">
        <v>28</v>
      </c>
      <c r="J262" s="44" t="s">
        <v>679</v>
      </c>
      <c r="K262" s="44" t="s">
        <v>680</v>
      </c>
      <c r="L262" s="45">
        <v>9.35</v>
      </c>
    </row>
    <row r="263" spans="9:12" x14ac:dyDescent="0.35">
      <c r="I263" s="44" t="s">
        <v>28</v>
      </c>
      <c r="J263" s="44" t="s">
        <v>681</v>
      </c>
      <c r="K263" s="44" t="s">
        <v>682</v>
      </c>
      <c r="L263" s="45">
        <v>6.82</v>
      </c>
    </row>
    <row r="264" spans="9:12" x14ac:dyDescent="0.35">
      <c r="I264" s="44" t="s">
        <v>28</v>
      </c>
      <c r="J264" s="44" t="s">
        <v>683</v>
      </c>
      <c r="K264" s="44" t="s">
        <v>684</v>
      </c>
      <c r="L264" s="45">
        <v>6.6</v>
      </c>
    </row>
    <row r="265" spans="9:12" x14ac:dyDescent="0.35">
      <c r="I265" s="44" t="s">
        <v>28</v>
      </c>
      <c r="J265" s="44" t="s">
        <v>685</v>
      </c>
      <c r="K265" s="44" t="s">
        <v>686</v>
      </c>
      <c r="L265" s="45">
        <v>5.55</v>
      </c>
    </row>
    <row r="266" spans="9:12" x14ac:dyDescent="0.35">
      <c r="I266" s="44" t="s">
        <v>28</v>
      </c>
      <c r="J266" s="44" t="s">
        <v>687</v>
      </c>
      <c r="K266" s="44" t="s">
        <v>688</v>
      </c>
      <c r="L266" s="45">
        <v>6.91</v>
      </c>
    </row>
    <row r="267" spans="9:12" x14ac:dyDescent="0.35">
      <c r="I267" s="44" t="s">
        <v>28</v>
      </c>
      <c r="J267" s="44" t="s">
        <v>689</v>
      </c>
      <c r="K267" s="44" t="s">
        <v>690</v>
      </c>
      <c r="L267" s="45">
        <v>7.26</v>
      </c>
    </row>
    <row r="268" spans="9:12" x14ac:dyDescent="0.35">
      <c r="I268" s="44" t="s">
        <v>28</v>
      </c>
      <c r="J268" s="44" t="s">
        <v>691</v>
      </c>
      <c r="K268" s="44" t="s">
        <v>692</v>
      </c>
      <c r="L268" s="45">
        <v>7.93</v>
      </c>
    </row>
    <row r="269" spans="9:12" x14ac:dyDescent="0.35">
      <c r="I269" s="44" t="s">
        <v>28</v>
      </c>
      <c r="J269" s="44" t="s">
        <v>693</v>
      </c>
      <c r="K269" s="44" t="s">
        <v>694</v>
      </c>
      <c r="L269" s="45">
        <v>6.25</v>
      </c>
    </row>
    <row r="270" spans="9:12" x14ac:dyDescent="0.35">
      <c r="I270" s="44" t="s">
        <v>28</v>
      </c>
      <c r="J270" s="44" t="s">
        <v>695</v>
      </c>
      <c r="K270" s="44" t="s">
        <v>696</v>
      </c>
      <c r="L270" s="45">
        <v>6.18</v>
      </c>
    </row>
    <row r="271" spans="9:12" x14ac:dyDescent="0.35">
      <c r="I271" s="44" t="s">
        <v>28</v>
      </c>
      <c r="J271" s="44" t="s">
        <v>697</v>
      </c>
      <c r="K271" s="44" t="s">
        <v>698</v>
      </c>
      <c r="L271" s="45">
        <v>9.2100000000000009</v>
      </c>
    </row>
    <row r="272" spans="9:12" x14ac:dyDescent="0.35">
      <c r="I272" s="44" t="s">
        <v>28</v>
      </c>
      <c r="J272" s="44" t="s">
        <v>699</v>
      </c>
      <c r="K272" s="44" t="s">
        <v>700</v>
      </c>
      <c r="L272" s="45">
        <v>7.66</v>
      </c>
    </row>
    <row r="273" spans="9:12" x14ac:dyDescent="0.35">
      <c r="I273" s="44" t="s">
        <v>28</v>
      </c>
      <c r="J273" s="44" t="s">
        <v>701</v>
      </c>
      <c r="K273" s="44" t="s">
        <v>702</v>
      </c>
      <c r="L273" s="45">
        <v>7.14</v>
      </c>
    </row>
    <row r="274" spans="9:12" x14ac:dyDescent="0.35">
      <c r="I274" s="44" t="s">
        <v>28</v>
      </c>
      <c r="J274" s="44" t="s">
        <v>703</v>
      </c>
      <c r="K274" s="44" t="s">
        <v>704</v>
      </c>
      <c r="L274" s="45">
        <v>7</v>
      </c>
    </row>
    <row r="275" spans="9:12" x14ac:dyDescent="0.35">
      <c r="I275" s="44" t="s">
        <v>28</v>
      </c>
      <c r="J275" s="44" t="s">
        <v>705</v>
      </c>
      <c r="K275" s="44" t="s">
        <v>706</v>
      </c>
      <c r="L275" s="45">
        <v>10.33</v>
      </c>
    </row>
    <row r="276" spans="9:12" x14ac:dyDescent="0.35">
      <c r="I276" s="44" t="s">
        <v>28</v>
      </c>
      <c r="J276" s="44" t="s">
        <v>707</v>
      </c>
      <c r="K276" s="44" t="s">
        <v>708</v>
      </c>
      <c r="L276" s="45">
        <v>7.48</v>
      </c>
    </row>
    <row r="277" spans="9:12" x14ac:dyDescent="0.35">
      <c r="I277" s="44" t="s">
        <v>28</v>
      </c>
      <c r="J277" s="44" t="s">
        <v>709</v>
      </c>
      <c r="K277" s="44" t="s">
        <v>710</v>
      </c>
      <c r="L277" s="45">
        <v>5.3</v>
      </c>
    </row>
    <row r="278" spans="9:12" x14ac:dyDescent="0.35">
      <c r="I278" s="44" t="s">
        <v>28</v>
      </c>
      <c r="J278" s="44" t="s">
        <v>711</v>
      </c>
      <c r="K278" s="44" t="s">
        <v>712</v>
      </c>
      <c r="L278" s="45">
        <v>6.35</v>
      </c>
    </row>
    <row r="279" spans="9:12" x14ac:dyDescent="0.35">
      <c r="I279" s="44" t="s">
        <v>28</v>
      </c>
      <c r="J279" s="44" t="s">
        <v>713</v>
      </c>
      <c r="K279" s="44" t="s">
        <v>714</v>
      </c>
      <c r="L279" s="45">
        <v>7.76</v>
      </c>
    </row>
    <row r="280" spans="9:12" x14ac:dyDescent="0.35">
      <c r="I280" s="44" t="s">
        <v>28</v>
      </c>
      <c r="J280" s="44" t="s">
        <v>715</v>
      </c>
      <c r="K280" s="44" t="s">
        <v>716</v>
      </c>
      <c r="L280" s="45">
        <v>6.59</v>
      </c>
    </row>
    <row r="281" spans="9:12" x14ac:dyDescent="0.35">
      <c r="I281" s="44" t="s">
        <v>28</v>
      </c>
      <c r="J281" s="44" t="s">
        <v>717</v>
      </c>
      <c r="K281" s="44" t="s">
        <v>718</v>
      </c>
      <c r="L281" s="45">
        <v>5.83</v>
      </c>
    </row>
    <row r="282" spans="9:12" x14ac:dyDescent="0.35">
      <c r="I282" s="44" t="s">
        <v>28</v>
      </c>
      <c r="J282" s="44" t="s">
        <v>719</v>
      </c>
      <c r="K282" s="44" t="s">
        <v>720</v>
      </c>
      <c r="L282" s="45">
        <v>7.03</v>
      </c>
    </row>
    <row r="283" spans="9:12" x14ac:dyDescent="0.35">
      <c r="I283" s="44" t="s">
        <v>28</v>
      </c>
      <c r="J283" s="44" t="s">
        <v>721</v>
      </c>
      <c r="K283" s="44" t="s">
        <v>722</v>
      </c>
      <c r="L283" s="45">
        <v>9.2899999999999991</v>
      </c>
    </row>
    <row r="284" spans="9:12" x14ac:dyDescent="0.35">
      <c r="I284" s="44" t="s">
        <v>723</v>
      </c>
      <c r="J284" s="44" t="s">
        <v>724</v>
      </c>
      <c r="K284" s="44" t="s">
        <v>725</v>
      </c>
      <c r="L284" s="45">
        <v>4.2</v>
      </c>
    </row>
    <row r="285" spans="9:12" x14ac:dyDescent="0.35">
      <c r="I285" s="44" t="s">
        <v>723</v>
      </c>
      <c r="J285" s="44" t="s">
        <v>726</v>
      </c>
      <c r="K285" s="44" t="s">
        <v>727</v>
      </c>
      <c r="L285" s="45">
        <v>6.37</v>
      </c>
    </row>
    <row r="286" spans="9:12" x14ac:dyDescent="0.35">
      <c r="I286" s="44" t="s">
        <v>723</v>
      </c>
      <c r="J286" s="44" t="s">
        <v>728</v>
      </c>
      <c r="K286" s="44" t="s">
        <v>729</v>
      </c>
      <c r="L286" s="45">
        <v>5.15</v>
      </c>
    </row>
    <row r="287" spans="9:12" x14ac:dyDescent="0.35">
      <c r="I287" s="44" t="s">
        <v>723</v>
      </c>
      <c r="J287" s="44" t="s">
        <v>730</v>
      </c>
      <c r="K287" s="44" t="s">
        <v>731</v>
      </c>
      <c r="L287" s="45">
        <v>4.7699999999999996</v>
      </c>
    </row>
    <row r="288" spans="9:12" x14ac:dyDescent="0.35">
      <c r="I288" s="44" t="s">
        <v>723</v>
      </c>
      <c r="J288" s="44" t="s">
        <v>732</v>
      </c>
      <c r="K288" s="44" t="s">
        <v>733</v>
      </c>
      <c r="L288" s="45">
        <v>8.0399999999999991</v>
      </c>
    </row>
    <row r="289" spans="9:12" x14ac:dyDescent="0.35">
      <c r="I289" s="44" t="s">
        <v>723</v>
      </c>
      <c r="J289" s="45" t="s">
        <v>734</v>
      </c>
      <c r="K289" s="45" t="s">
        <v>735</v>
      </c>
      <c r="L289" s="45">
        <v>8.3000000000000007</v>
      </c>
    </row>
    <row r="290" spans="9:12" x14ac:dyDescent="0.35">
      <c r="I290" s="44" t="s">
        <v>723</v>
      </c>
      <c r="J290" s="45" t="s">
        <v>736</v>
      </c>
      <c r="K290" s="45" t="s">
        <v>737</v>
      </c>
      <c r="L290" s="45">
        <v>9.0500000000000007</v>
      </c>
    </row>
    <row r="291" spans="9:12" x14ac:dyDescent="0.35">
      <c r="I291" s="44" t="s">
        <v>723</v>
      </c>
      <c r="J291" s="45" t="s">
        <v>738</v>
      </c>
      <c r="K291" s="45" t="s">
        <v>739</v>
      </c>
      <c r="L291" s="45">
        <v>10.19</v>
      </c>
    </row>
    <row r="292" spans="9:12" x14ac:dyDescent="0.35">
      <c r="I292" s="44" t="s">
        <v>723</v>
      </c>
      <c r="J292" s="45" t="s">
        <v>740</v>
      </c>
      <c r="K292" s="45" t="s">
        <v>741</v>
      </c>
      <c r="L292" s="45">
        <v>7.83</v>
      </c>
    </row>
    <row r="293" spans="9:12" x14ac:dyDescent="0.35">
      <c r="I293" s="44" t="s">
        <v>723</v>
      </c>
      <c r="J293" s="45" t="s">
        <v>742</v>
      </c>
      <c r="K293" s="45" t="s">
        <v>743</v>
      </c>
      <c r="L293" s="45">
        <v>9.24</v>
      </c>
    </row>
    <row r="294" spans="9:12" x14ac:dyDescent="0.35">
      <c r="I294" s="44" t="s">
        <v>723</v>
      </c>
      <c r="J294" s="45" t="s">
        <v>744</v>
      </c>
      <c r="K294" s="45" t="s">
        <v>745</v>
      </c>
      <c r="L294" s="45">
        <v>6.37</v>
      </c>
    </row>
    <row r="295" spans="9:12" x14ac:dyDescent="0.35">
      <c r="I295" s="44" t="s">
        <v>723</v>
      </c>
      <c r="J295" s="45" t="s">
        <v>746</v>
      </c>
      <c r="K295" s="45" t="s">
        <v>747</v>
      </c>
      <c r="L295" s="45">
        <v>7.17</v>
      </c>
    </row>
    <row r="296" spans="9:12" x14ac:dyDescent="0.35">
      <c r="I296" s="44" t="s">
        <v>723</v>
      </c>
      <c r="J296" s="45" t="s">
        <v>748</v>
      </c>
      <c r="K296" s="45" t="s">
        <v>749</v>
      </c>
      <c r="L296" s="45">
        <v>4.99</v>
      </c>
    </row>
    <row r="297" spans="9:12" x14ac:dyDescent="0.35">
      <c r="I297" s="44" t="s">
        <v>723</v>
      </c>
      <c r="J297" s="45" t="s">
        <v>750</v>
      </c>
      <c r="K297" s="45" t="s">
        <v>751</v>
      </c>
      <c r="L297" s="47">
        <v>4.92</v>
      </c>
    </row>
    <row r="298" spans="9:12" x14ac:dyDescent="0.35">
      <c r="I298" s="44" t="s">
        <v>723</v>
      </c>
      <c r="J298" s="45" t="s">
        <v>752</v>
      </c>
      <c r="K298" s="45" t="s">
        <v>753</v>
      </c>
      <c r="L298" s="45">
        <v>5.2</v>
      </c>
    </row>
    <row r="299" spans="9:12" x14ac:dyDescent="0.35">
      <c r="I299" s="44" t="s">
        <v>723</v>
      </c>
      <c r="J299" s="45" t="s">
        <v>754</v>
      </c>
      <c r="K299" s="45" t="s">
        <v>755</v>
      </c>
      <c r="L299" s="45">
        <v>5.79</v>
      </c>
    </row>
    <row r="300" spans="9:12" x14ac:dyDescent="0.35">
      <c r="I300" s="44" t="s">
        <v>723</v>
      </c>
      <c r="J300" s="45" t="s">
        <v>756</v>
      </c>
      <c r="K300" s="45" t="s">
        <v>757</v>
      </c>
      <c r="L300" s="45">
        <v>5.01</v>
      </c>
    </row>
    <row r="301" spans="9:12" x14ac:dyDescent="0.35">
      <c r="I301" s="44" t="s">
        <v>723</v>
      </c>
      <c r="J301" s="45" t="s">
        <v>758</v>
      </c>
      <c r="K301" s="45" t="s">
        <v>759</v>
      </c>
      <c r="L301" s="45">
        <v>5.35</v>
      </c>
    </row>
    <row r="302" spans="9:12" x14ac:dyDescent="0.35">
      <c r="I302" s="44" t="s">
        <v>723</v>
      </c>
      <c r="J302" s="45" t="s">
        <v>760</v>
      </c>
      <c r="K302" s="45" t="s">
        <v>761</v>
      </c>
      <c r="L302" s="45">
        <v>5.8</v>
      </c>
    </row>
    <row r="303" spans="9:12" x14ac:dyDescent="0.35">
      <c r="I303" s="44" t="s">
        <v>723</v>
      </c>
      <c r="J303" s="45" t="s">
        <v>762</v>
      </c>
      <c r="K303" s="45" t="s">
        <v>763</v>
      </c>
      <c r="L303" s="45">
        <v>6.34</v>
      </c>
    </row>
    <row r="304" spans="9:12" x14ac:dyDescent="0.35">
      <c r="I304" s="44" t="s">
        <v>723</v>
      </c>
      <c r="J304" s="45" t="s">
        <v>764</v>
      </c>
      <c r="K304" s="45" t="s">
        <v>765</v>
      </c>
      <c r="L304" s="45">
        <v>5.61</v>
      </c>
    </row>
    <row r="305" spans="9:12" x14ac:dyDescent="0.35">
      <c r="I305" s="44" t="s">
        <v>34</v>
      </c>
      <c r="J305" s="45" t="s">
        <v>766</v>
      </c>
      <c r="K305" s="45" t="s">
        <v>767</v>
      </c>
      <c r="L305" s="45">
        <v>6.75</v>
      </c>
    </row>
    <row r="306" spans="9:12" x14ac:dyDescent="0.35">
      <c r="I306" s="44" t="s">
        <v>34</v>
      </c>
      <c r="J306" s="45" t="s">
        <v>768</v>
      </c>
      <c r="K306" s="45" t="s">
        <v>769</v>
      </c>
      <c r="L306" s="45">
        <v>6.08</v>
      </c>
    </row>
    <row r="307" spans="9:12" x14ac:dyDescent="0.35">
      <c r="I307" s="44" t="s">
        <v>34</v>
      </c>
      <c r="J307" s="45" t="s">
        <v>770</v>
      </c>
      <c r="K307" s="45" t="s">
        <v>771</v>
      </c>
      <c r="L307" s="45">
        <v>6.38</v>
      </c>
    </row>
    <row r="308" spans="9:12" x14ac:dyDescent="0.35">
      <c r="I308" s="44" t="s">
        <v>34</v>
      </c>
      <c r="J308" s="45" t="s">
        <v>772</v>
      </c>
      <c r="K308" s="45" t="s">
        <v>773</v>
      </c>
      <c r="L308" s="45">
        <v>5.74</v>
      </c>
    </row>
    <row r="309" spans="9:12" x14ac:dyDescent="0.35">
      <c r="I309" s="44" t="s">
        <v>34</v>
      </c>
      <c r="J309" s="44" t="s">
        <v>774</v>
      </c>
      <c r="K309" s="44" t="s">
        <v>775</v>
      </c>
      <c r="L309" s="46">
        <v>5.36</v>
      </c>
    </row>
    <row r="310" spans="9:12" x14ac:dyDescent="0.35">
      <c r="I310" s="44" t="s">
        <v>34</v>
      </c>
      <c r="J310" s="44" t="s">
        <v>776</v>
      </c>
      <c r="K310" s="44" t="s">
        <v>777</v>
      </c>
      <c r="L310" s="45">
        <v>5.38</v>
      </c>
    </row>
    <row r="311" spans="9:12" x14ac:dyDescent="0.35">
      <c r="I311" s="44" t="s">
        <v>34</v>
      </c>
      <c r="J311" s="44" t="s">
        <v>778</v>
      </c>
      <c r="K311" s="44" t="s">
        <v>779</v>
      </c>
      <c r="L311" s="45">
        <v>6.13</v>
      </c>
    </row>
    <row r="312" spans="9:12" x14ac:dyDescent="0.35">
      <c r="I312" s="44" t="s">
        <v>34</v>
      </c>
      <c r="J312" s="44" t="s">
        <v>780</v>
      </c>
      <c r="K312" s="44" t="s">
        <v>781</v>
      </c>
      <c r="L312" s="45">
        <v>6.97</v>
      </c>
    </row>
    <row r="313" spans="9:12" x14ac:dyDescent="0.35">
      <c r="I313" s="44" t="s">
        <v>34</v>
      </c>
      <c r="J313" s="44" t="s">
        <v>782</v>
      </c>
      <c r="K313" s="44" t="s">
        <v>783</v>
      </c>
      <c r="L313" s="45">
        <v>6.49</v>
      </c>
    </row>
    <row r="314" spans="9:12" x14ac:dyDescent="0.35">
      <c r="I314" s="44" t="s">
        <v>34</v>
      </c>
      <c r="J314" s="44" t="s">
        <v>784</v>
      </c>
      <c r="K314" s="44" t="s">
        <v>785</v>
      </c>
      <c r="L314" s="45">
        <v>5.03</v>
      </c>
    </row>
    <row r="315" spans="9:12" x14ac:dyDescent="0.35">
      <c r="I315" s="44" t="s">
        <v>34</v>
      </c>
      <c r="J315" s="44" t="s">
        <v>786</v>
      </c>
      <c r="K315" s="44" t="s">
        <v>787</v>
      </c>
      <c r="L315" s="45">
        <v>5.73</v>
      </c>
    </row>
    <row r="316" spans="9:12" x14ac:dyDescent="0.35">
      <c r="I316" s="44" t="s">
        <v>34</v>
      </c>
      <c r="J316" s="44" t="s">
        <v>788</v>
      </c>
      <c r="K316" s="44" t="s">
        <v>789</v>
      </c>
      <c r="L316" s="45">
        <v>4.24</v>
      </c>
    </row>
    <row r="317" spans="9:12" x14ac:dyDescent="0.35">
      <c r="I317" s="44" t="s">
        <v>34</v>
      </c>
      <c r="J317" s="44" t="s">
        <v>790</v>
      </c>
      <c r="K317" s="44" t="s">
        <v>791</v>
      </c>
      <c r="L317" s="45">
        <v>6.33</v>
      </c>
    </row>
    <row r="318" spans="9:12" x14ac:dyDescent="0.35">
      <c r="I318" s="44" t="s">
        <v>34</v>
      </c>
      <c r="J318" s="44" t="s">
        <v>792</v>
      </c>
      <c r="K318" s="44" t="s">
        <v>793</v>
      </c>
      <c r="L318" s="45">
        <v>8.7799999999999994</v>
      </c>
    </row>
    <row r="319" spans="9:12" x14ac:dyDescent="0.35">
      <c r="I319" s="44" t="s">
        <v>34</v>
      </c>
      <c r="J319" s="44" t="s">
        <v>794</v>
      </c>
      <c r="K319" s="44" t="s">
        <v>795</v>
      </c>
      <c r="L319" s="45">
        <v>7.36</v>
      </c>
    </row>
    <row r="320" spans="9:12" x14ac:dyDescent="0.35">
      <c r="I320" s="44" t="s">
        <v>34</v>
      </c>
      <c r="J320" s="44" t="s">
        <v>796</v>
      </c>
      <c r="K320" s="44" t="s">
        <v>797</v>
      </c>
      <c r="L320" s="45">
        <v>4.1500000000000004</v>
      </c>
    </row>
    <row r="321" spans="9:12" x14ac:dyDescent="0.35">
      <c r="I321" s="44" t="s">
        <v>34</v>
      </c>
      <c r="J321" s="44" t="s">
        <v>798</v>
      </c>
      <c r="K321" s="44" t="s">
        <v>799</v>
      </c>
      <c r="L321" s="45">
        <v>4.58</v>
      </c>
    </row>
    <row r="322" spans="9:12" x14ac:dyDescent="0.35">
      <c r="I322" s="44" t="s">
        <v>34</v>
      </c>
      <c r="J322" s="44" t="s">
        <v>800</v>
      </c>
      <c r="K322" s="44" t="s">
        <v>801</v>
      </c>
      <c r="L322" s="45">
        <v>4.99</v>
      </c>
    </row>
    <row r="323" spans="9:12" x14ac:dyDescent="0.35">
      <c r="I323" s="44" t="s">
        <v>34</v>
      </c>
      <c r="J323" s="44" t="s">
        <v>802</v>
      </c>
      <c r="K323" s="44" t="s">
        <v>803</v>
      </c>
      <c r="L323" s="45">
        <v>3.03</v>
      </c>
    </row>
    <row r="324" spans="9:12" x14ac:dyDescent="0.35">
      <c r="I324" s="44" t="s">
        <v>34</v>
      </c>
      <c r="J324" s="44" t="s">
        <v>804</v>
      </c>
      <c r="K324" s="44" t="s">
        <v>805</v>
      </c>
      <c r="L324" s="46">
        <v>5.4</v>
      </c>
    </row>
    <row r="325" spans="9:12" x14ac:dyDescent="0.35">
      <c r="I325" s="44" t="s">
        <v>34</v>
      </c>
      <c r="J325" s="44" t="s">
        <v>806</v>
      </c>
      <c r="K325" s="44" t="s">
        <v>807</v>
      </c>
      <c r="L325" s="45">
        <v>8.23</v>
      </c>
    </row>
    <row r="326" spans="9:12" x14ac:dyDescent="0.35">
      <c r="I326" s="44" t="s">
        <v>34</v>
      </c>
      <c r="J326" s="44" t="s">
        <v>808</v>
      </c>
      <c r="K326" s="44" t="s">
        <v>809</v>
      </c>
      <c r="L326" s="45">
        <v>6.18</v>
      </c>
    </row>
    <row r="327" spans="9:12" x14ac:dyDescent="0.35">
      <c r="I327" s="44" t="s">
        <v>154</v>
      </c>
      <c r="J327" s="44" t="s">
        <v>810</v>
      </c>
      <c r="K327" s="44" t="s">
        <v>811</v>
      </c>
      <c r="L327" s="45">
        <v>4.57</v>
      </c>
    </row>
    <row r="328" spans="9:12" x14ac:dyDescent="0.35">
      <c r="I328" s="44" t="s">
        <v>154</v>
      </c>
      <c r="J328" s="44" t="s">
        <v>812</v>
      </c>
      <c r="K328" s="44" t="s">
        <v>813</v>
      </c>
      <c r="L328" s="45">
        <v>4.96</v>
      </c>
    </row>
    <row r="329" spans="9:12" x14ac:dyDescent="0.35">
      <c r="I329" s="44" t="s">
        <v>154</v>
      </c>
      <c r="J329" s="44" t="s">
        <v>814</v>
      </c>
      <c r="K329" s="44" t="s">
        <v>815</v>
      </c>
      <c r="L329" s="45">
        <v>5.1100000000000003</v>
      </c>
    </row>
    <row r="330" spans="9:12" x14ac:dyDescent="0.35">
      <c r="I330" s="44" t="s">
        <v>154</v>
      </c>
      <c r="J330" s="44" t="s">
        <v>816</v>
      </c>
      <c r="K330" s="44" t="s">
        <v>817</v>
      </c>
      <c r="L330" s="45">
        <v>4.8499999999999996</v>
      </c>
    </row>
    <row r="331" spans="9:12" x14ac:dyDescent="0.35">
      <c r="I331" s="44" t="s">
        <v>154</v>
      </c>
      <c r="J331" s="44" t="s">
        <v>818</v>
      </c>
      <c r="K331" s="44" t="s">
        <v>819</v>
      </c>
      <c r="L331" s="45">
        <v>5.18</v>
      </c>
    </row>
    <row r="332" spans="9:12" x14ac:dyDescent="0.35">
      <c r="I332" s="44" t="s">
        <v>154</v>
      </c>
      <c r="J332" s="44" t="s">
        <v>820</v>
      </c>
      <c r="K332" s="44" t="s">
        <v>821</v>
      </c>
      <c r="L332" s="45">
        <v>4.42</v>
      </c>
    </row>
    <row r="333" spans="9:12" x14ac:dyDescent="0.35">
      <c r="I333" s="44" t="s">
        <v>154</v>
      </c>
      <c r="J333" s="44" t="s">
        <v>822</v>
      </c>
      <c r="K333" s="44" t="s">
        <v>823</v>
      </c>
      <c r="L333" s="45">
        <v>6.01</v>
      </c>
    </row>
    <row r="334" spans="9:12" x14ac:dyDescent="0.35">
      <c r="I334" s="44" t="s">
        <v>154</v>
      </c>
      <c r="J334" s="44" t="s">
        <v>824</v>
      </c>
      <c r="K334" s="44" t="s">
        <v>825</v>
      </c>
      <c r="L334" s="45">
        <v>5.52</v>
      </c>
    </row>
    <row r="335" spans="9:12" x14ac:dyDescent="0.35">
      <c r="I335" s="44" t="s">
        <v>154</v>
      </c>
      <c r="J335" s="44" t="s">
        <v>826</v>
      </c>
      <c r="K335" s="44" t="s">
        <v>827</v>
      </c>
      <c r="L335" s="45">
        <v>6.22</v>
      </c>
    </row>
    <row r="336" spans="9:12" x14ac:dyDescent="0.35">
      <c r="I336" s="44" t="s">
        <v>154</v>
      </c>
      <c r="J336" s="44" t="s">
        <v>828</v>
      </c>
      <c r="K336" s="44" t="s">
        <v>829</v>
      </c>
      <c r="L336" s="45">
        <v>4.92</v>
      </c>
    </row>
    <row r="337" spans="9:12" x14ac:dyDescent="0.35">
      <c r="I337" s="44" t="s">
        <v>154</v>
      </c>
      <c r="J337" s="44" t="s">
        <v>830</v>
      </c>
      <c r="K337" s="44" t="s">
        <v>831</v>
      </c>
      <c r="L337" s="45">
        <v>4.3899999999999997</v>
      </c>
    </row>
    <row r="338" spans="9:12" x14ac:dyDescent="0.35">
      <c r="I338" s="48" t="s">
        <v>154</v>
      </c>
      <c r="J338" s="48" t="s">
        <v>832</v>
      </c>
      <c r="K338" s="48" t="s">
        <v>833</v>
      </c>
      <c r="L338" s="49">
        <v>5.41</v>
      </c>
    </row>
  </sheetData>
  <hyperlinks>
    <hyperlink ref="B16" r:id="rId1" xr:uid="{808AF58A-1F4C-40DB-A1F6-5E9EBCED085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943D-B27D-4F54-B687-F62BFCC0A637}">
  <dimension ref="A1:O34"/>
  <sheetViews>
    <sheetView workbookViewId="0">
      <selection activeCell="D9" sqref="D9"/>
    </sheetView>
  </sheetViews>
  <sheetFormatPr baseColWidth="10" defaultColWidth="8.81640625" defaultRowHeight="14.5" x14ac:dyDescent="0.35"/>
  <cols>
    <col min="1" max="1" width="24.453125" bestFit="1" customWidth="1"/>
    <col min="2" max="2" width="18.54296875" bestFit="1" customWidth="1"/>
    <col min="3" max="3" width="17.453125" bestFit="1" customWidth="1"/>
    <col min="4" max="4" width="16.453125" bestFit="1" customWidth="1"/>
    <col min="5" max="5" width="34.54296875" bestFit="1" customWidth="1"/>
    <col min="10" max="10" width="14.453125" bestFit="1" customWidth="1"/>
  </cols>
  <sheetData>
    <row r="1" spans="1:15" x14ac:dyDescent="0.35">
      <c r="A1" s="30" t="s">
        <v>0</v>
      </c>
      <c r="B1" s="30" t="s">
        <v>87</v>
      </c>
      <c r="C1" s="30" t="s">
        <v>6</v>
      </c>
      <c r="D1" s="30" t="s">
        <v>88</v>
      </c>
      <c r="E1" s="30" t="s">
        <v>89</v>
      </c>
      <c r="F1" s="30" t="s">
        <v>90</v>
      </c>
      <c r="G1" s="30" t="s">
        <v>91</v>
      </c>
      <c r="H1" s="30" t="s">
        <v>92</v>
      </c>
      <c r="J1" s="30" t="s">
        <v>93</v>
      </c>
      <c r="K1" s="31">
        <f>SUM(H2:H13)</f>
        <v>56317910.021472842</v>
      </c>
      <c r="L1" s="30" t="s">
        <v>89</v>
      </c>
      <c r="M1" s="30" t="s">
        <v>90</v>
      </c>
      <c r="N1" s="30" t="s">
        <v>94</v>
      </c>
      <c r="O1" s="30" t="s">
        <v>95</v>
      </c>
    </row>
    <row r="2" spans="1:15" x14ac:dyDescent="0.35">
      <c r="A2" t="s">
        <v>25</v>
      </c>
      <c r="B2" s="24">
        <f>SUM('The Coolest Model'!B42:F42)</f>
        <v>16962677495.301579</v>
      </c>
      <c r="C2" s="24">
        <f>Tabelle1!G2*1000000</f>
        <v>61951000000</v>
      </c>
      <c r="D2" s="24"/>
      <c r="E2" s="24">
        <f t="shared" ref="E2:E13" si="0">C2+D2-B2</f>
        <v>44988322504.698425</v>
      </c>
      <c r="F2">
        <f t="shared" ref="F2:F13" si="1">E2/SUM($E$2:$E$13)</f>
        <v>3.0878696307354347E-2</v>
      </c>
      <c r="G2">
        <f>F2*SUM(Tabelle1!$M$2:$M$13)</f>
        <v>2071381.0217298765</v>
      </c>
      <c r="H2">
        <f>G2*Tabelle1!R2</f>
        <v>1480256.3842701269</v>
      </c>
      <c r="L2">
        <f t="shared" ref="L2:L13" si="2">C2^lambda_1-(risk_factor*B2)^lambda_2+D2^lambda_3</f>
        <v>1917.5157136531777</v>
      </c>
      <c r="M2">
        <f>L2/SUM($L$2:$L$13)</f>
        <v>6.1961715756542177E-2</v>
      </c>
      <c r="N2">
        <f>Tabelle1!M2/SUM(Tabelle1!$M$2:$M$13)</f>
        <v>3.9962935684262096E-2</v>
      </c>
    </row>
    <row r="3" spans="1:15" x14ac:dyDescent="0.35">
      <c r="A3" t="s">
        <v>26</v>
      </c>
      <c r="B3" s="24">
        <f>SUM('The Coolest Model'!B43:F43)</f>
        <v>60261564304.458</v>
      </c>
      <c r="C3" s="24">
        <f>Tabelle1!G3*1000000</f>
        <v>208183000000</v>
      </c>
      <c r="D3" s="24"/>
      <c r="E3" s="24">
        <f t="shared" si="0"/>
        <v>147921435695.54199</v>
      </c>
      <c r="F3">
        <f t="shared" si="1"/>
        <v>0.10152903766779611</v>
      </c>
      <c r="G3">
        <f>F3*SUM(Tabelle1!$M$2:$M$13)</f>
        <v>6810693.0320592076</v>
      </c>
      <c r="H3">
        <f>G3*Tabelle1!R3</f>
        <v>5096385.1574223638</v>
      </c>
      <c r="L3">
        <f t="shared" si="2"/>
        <v>2814.9880564136788</v>
      </c>
      <c r="M3">
        <f>L3/SUM($L$2:$L$13)</f>
        <v>9.0962221883055305E-2</v>
      </c>
      <c r="N3">
        <f>Tabelle1!M3/SUM(Tabelle1!$M$2:$M$13)</f>
        <v>0.10982885481547425</v>
      </c>
    </row>
    <row r="4" spans="1:15" x14ac:dyDescent="0.35">
      <c r="A4" t="s">
        <v>27</v>
      </c>
      <c r="B4" s="24">
        <f>SUM('The Coolest Model'!B44:F44)</f>
        <v>105517580019.57057</v>
      </c>
      <c r="C4" s="24">
        <f>Tabelle1!G4*1000000</f>
        <v>142008000000</v>
      </c>
      <c r="D4" s="24"/>
      <c r="E4" s="24">
        <f t="shared" si="0"/>
        <v>36490419980.429428</v>
      </c>
      <c r="F4">
        <f t="shared" si="1"/>
        <v>2.504597935577213E-2</v>
      </c>
      <c r="G4">
        <f>F4*SUM(Tabelle1!$M$2:$M$13)</f>
        <v>1680115.1768777401</v>
      </c>
      <c r="H4">
        <f>G4*Tabelle1!R4</f>
        <v>1208789.5377436941</v>
      </c>
      <c r="L4">
        <f t="shared" si="2"/>
        <v>1466.6227813421956</v>
      </c>
      <c r="M4">
        <f t="shared" ref="M4:M13" si="3">L4/SUM($L$2:$L$13)</f>
        <v>4.7391770118255704E-2</v>
      </c>
      <c r="N4">
        <f>Tabelle1!M4/SUM(Tabelle1!$M$2:$M$13)</f>
        <v>8.2382952024748865E-2</v>
      </c>
    </row>
    <row r="5" spans="1:15" x14ac:dyDescent="0.35">
      <c r="A5" t="s">
        <v>28</v>
      </c>
      <c r="B5" s="24">
        <f>SUM('The Coolest Model'!B45:F45)</f>
        <v>9007256382.5114079</v>
      </c>
      <c r="C5" s="24">
        <f>Tabelle1!G5*1000000</f>
        <v>126289000000</v>
      </c>
      <c r="D5" s="24"/>
      <c r="E5" s="24">
        <f t="shared" si="0"/>
        <v>117281743617.48859</v>
      </c>
      <c r="F5">
        <f t="shared" si="1"/>
        <v>8.0498830406117203E-2</v>
      </c>
      <c r="G5">
        <f>F5*SUM(Tabelle1!$M$2:$M$13)</f>
        <v>5399960.798700233</v>
      </c>
      <c r="H5">
        <f>G5*Tabelle1!R5</f>
        <v>3985733.2718447121</v>
      </c>
      <c r="L5">
        <f t="shared" si="2"/>
        <v>3365.7207166671574</v>
      </c>
      <c r="M5">
        <f t="shared" si="3"/>
        <v>0.10875834230569213</v>
      </c>
      <c r="N5">
        <f>Tabelle1!M5/SUM(Tabelle1!$M$2:$M$13)</f>
        <v>7.2532700762968985E-2</v>
      </c>
    </row>
    <row r="6" spans="1:15" x14ac:dyDescent="0.35">
      <c r="A6" t="s">
        <v>29</v>
      </c>
      <c r="B6" s="24">
        <f>SUM('The Coolest Model'!B46:F46)</f>
        <v>10890750703.687317</v>
      </c>
      <c r="C6" s="24">
        <f>Tabelle1!G6*1000000</f>
        <v>156685000000</v>
      </c>
      <c r="D6" s="24"/>
      <c r="E6" s="24">
        <f t="shared" si="0"/>
        <v>145794249296.31268</v>
      </c>
      <c r="F6">
        <f t="shared" si="1"/>
        <v>0.10006899783625813</v>
      </c>
      <c r="G6">
        <f>F6*SUM(Tabelle1!$M$2:$M$13)</f>
        <v>6712751.7599305268</v>
      </c>
      <c r="H6">
        <f>G6*Tabelle1!R6</f>
        <v>5149862.3577551255</v>
      </c>
      <c r="L6">
        <f t="shared" si="2"/>
        <v>3631.7694270196935</v>
      </c>
      <c r="M6">
        <f t="shared" si="3"/>
        <v>0.11735531726182022</v>
      </c>
      <c r="N6">
        <f>Tabelle1!M6/SUM(Tabelle1!$M$2:$M$13)</f>
        <v>8.8876258431326086E-2</v>
      </c>
    </row>
    <row r="7" spans="1:15" x14ac:dyDescent="0.35">
      <c r="A7" t="s">
        <v>30</v>
      </c>
      <c r="B7" s="24">
        <f>SUM('The Coolest Model'!B47:F47)</f>
        <v>45873505066.769028</v>
      </c>
      <c r="C7" s="24">
        <f>Tabelle1!G7*1000000</f>
        <v>182910000000</v>
      </c>
      <c r="D7" s="24"/>
      <c r="E7" s="24">
        <f t="shared" si="0"/>
        <v>137036494933.23097</v>
      </c>
      <c r="F7">
        <f t="shared" si="1"/>
        <v>9.4057926023483493E-2</v>
      </c>
      <c r="G7">
        <f>F7*SUM(Tabelle1!$M$2:$M$13)</f>
        <v>6309521.6510780593</v>
      </c>
      <c r="H7">
        <f>G7*Tabelle1!R7</f>
        <v>4957313.3210855564</v>
      </c>
      <c r="L7">
        <f t="shared" si="2"/>
        <v>2835.2226819531984</v>
      </c>
      <c r="M7">
        <f t="shared" si="3"/>
        <v>9.161607421250044E-2</v>
      </c>
      <c r="N7">
        <f>Tabelle1!M7/SUM(Tabelle1!$M$2:$M$13)</f>
        <v>9.3456257728596018E-2</v>
      </c>
    </row>
    <row r="8" spans="1:15" x14ac:dyDescent="0.35">
      <c r="A8" t="s">
        <v>31</v>
      </c>
      <c r="B8" s="24">
        <f>SUM('The Coolest Model'!B48:F48)</f>
        <v>45040677846.022629</v>
      </c>
      <c r="C8" s="24">
        <f>Tabelle1!G8*1000000</f>
        <v>503904000000</v>
      </c>
      <c r="D8" s="24"/>
      <c r="E8" s="24">
        <f t="shared" si="0"/>
        <v>458863322153.97736</v>
      </c>
      <c r="F8">
        <f t="shared" si="1"/>
        <v>0.31495064457885924</v>
      </c>
      <c r="G8">
        <f>F8*SUM(Tabelle1!$M$2:$M$13)</f>
        <v>21127277.572494645</v>
      </c>
      <c r="H8">
        <f>G8*Tabelle1!R8</f>
        <v>21127277.572494645</v>
      </c>
      <c r="L8">
        <f t="shared" si="2"/>
        <v>5133.6506246205736</v>
      </c>
      <c r="M8">
        <f t="shared" si="3"/>
        <v>0.16588641153303649</v>
      </c>
      <c r="N8">
        <f>Tabelle1!M8/SUM(Tabelle1!$M$2:$M$13)</f>
        <v>0.13420278067935931</v>
      </c>
    </row>
    <row r="9" spans="1:15" x14ac:dyDescent="0.35">
      <c r="A9" t="s">
        <v>32</v>
      </c>
      <c r="B9" s="24">
        <f>SUM('The Coolest Model'!B49:F49)</f>
        <v>218500565251.87234</v>
      </c>
      <c r="C9" s="24">
        <f>Tabelle1!G9*1000000</f>
        <v>318142000000</v>
      </c>
      <c r="D9" s="24"/>
      <c r="E9" s="24">
        <f t="shared" si="0"/>
        <v>99641434748.127655</v>
      </c>
      <c r="F9">
        <f t="shared" si="1"/>
        <v>6.8391027535982668E-2</v>
      </c>
      <c r="G9">
        <f>F9*SUM(Tabelle1!$M$2:$M$13)</f>
        <v>4587754.4532506689</v>
      </c>
      <c r="H9">
        <f>G9*Tabelle1!R9</f>
        <v>3786365.1177716726</v>
      </c>
      <c r="L9">
        <f t="shared" si="2"/>
        <v>2046.1304732186763</v>
      </c>
      <c r="M9">
        <f t="shared" si="3"/>
        <v>6.6117713601853617E-2</v>
      </c>
      <c r="N9">
        <f>Tabelle1!M9/SUM(Tabelle1!$M$2:$M$13)</f>
        <v>0.13740452564430353</v>
      </c>
    </row>
    <row r="10" spans="1:15" x14ac:dyDescent="0.35">
      <c r="A10" t="s">
        <v>33</v>
      </c>
      <c r="B10" s="24">
        <f>SUM('The Coolest Model'!B50:F50)</f>
        <v>23937603230.58881</v>
      </c>
      <c r="C10" s="24">
        <f>Tabelle1!G10*1000000</f>
        <v>158524000000</v>
      </c>
      <c r="D10" s="24"/>
      <c r="E10" s="24">
        <f t="shared" si="0"/>
        <v>134586396769.41119</v>
      </c>
      <c r="F10">
        <f t="shared" si="1"/>
        <v>9.2376248803447192E-2</v>
      </c>
      <c r="G10">
        <f>F10*SUM(Tabelle1!$M$2:$M$13)</f>
        <v>6196712.6696500126</v>
      </c>
      <c r="H10">
        <f>G10*Tabelle1!R10</f>
        <v>4706237.3648366909</v>
      </c>
      <c r="L10">
        <f t="shared" si="2"/>
        <v>3124.6472725538447</v>
      </c>
      <c r="M10">
        <f t="shared" si="3"/>
        <v>0.10096840654962903</v>
      </c>
      <c r="N10">
        <f>Tabelle1!M10/SUM(Tabelle1!$M$2:$M$13)</f>
        <v>8.4362536985567935E-2</v>
      </c>
    </row>
    <row r="11" spans="1:15" x14ac:dyDescent="0.35">
      <c r="A11" t="s">
        <v>34</v>
      </c>
      <c r="B11" s="24">
        <f>SUM('The Coolest Model'!B51:F51)</f>
        <v>53207881610.097267</v>
      </c>
      <c r="C11" s="24">
        <f>Tabelle1!G11*1000000</f>
        <v>75695000000</v>
      </c>
      <c r="D11" s="24"/>
      <c r="E11" s="24">
        <f t="shared" si="0"/>
        <v>22487118389.902733</v>
      </c>
      <c r="F11">
        <f t="shared" si="1"/>
        <v>1.5434514134569291E-2</v>
      </c>
      <c r="G11">
        <f>F11*SUM(Tabelle1!$M$2:$M$13)</f>
        <v>1035366.238902836</v>
      </c>
      <c r="H11">
        <f>G11*Tabelle1!R11</f>
        <v>769353.39481648186</v>
      </c>
      <c r="L11">
        <f t="shared" si="2"/>
        <v>1244.8908188879891</v>
      </c>
      <c r="M11">
        <f t="shared" si="3"/>
        <v>4.0226826053441231E-2</v>
      </c>
      <c r="N11">
        <f>Tabelle1!M11/SUM(Tabelle1!$M$2:$M$13)</f>
        <v>4.7249966320684657E-2</v>
      </c>
    </row>
    <row r="12" spans="1:15" x14ac:dyDescent="0.35">
      <c r="A12" t="s">
        <v>35</v>
      </c>
      <c r="B12" s="24">
        <f>SUM('The Coolest Model'!B52:F52)</f>
        <v>67103633125.006485</v>
      </c>
      <c r="C12" s="24">
        <f>Tabelle1!G12*1000000</f>
        <v>161954000000</v>
      </c>
      <c r="D12" s="24"/>
      <c r="E12" s="24">
        <f t="shared" si="0"/>
        <v>94850366874.993515</v>
      </c>
      <c r="F12">
        <f t="shared" si="1"/>
        <v>6.5102575742142593E-2</v>
      </c>
      <c r="G12">
        <f>F12*SUM(Tabelle1!$M$2:$M$13)</f>
        <v>4367161.0522588156</v>
      </c>
      <c r="H12">
        <f>G12*Tabelle1!R12</f>
        <v>3475172.8835529522</v>
      </c>
      <c r="L12">
        <f t="shared" si="2"/>
        <v>2225.5316739921254</v>
      </c>
      <c r="M12">
        <f t="shared" si="3"/>
        <v>7.1914801015301205E-2</v>
      </c>
      <c r="N12">
        <f>Tabelle1!M12/SUM(Tabelle1!$M$2:$M$13)</f>
        <v>8.1483296527957383E-2</v>
      </c>
    </row>
    <row r="13" spans="1:15" x14ac:dyDescent="0.35">
      <c r="A13" t="s">
        <v>36</v>
      </c>
      <c r="B13" s="24">
        <f>SUM('The Coolest Model'!B53:F53)</f>
        <v>31482067170.704018</v>
      </c>
      <c r="C13" s="24">
        <f>Tabelle1!G13*1000000</f>
        <v>48478000000</v>
      </c>
      <c r="D13" s="24"/>
      <c r="E13" s="24">
        <f t="shared" si="0"/>
        <v>16995932829.295982</v>
      </c>
      <c r="F13">
        <f t="shared" si="1"/>
        <v>1.1665521608217662E-2</v>
      </c>
      <c r="G13">
        <f>F13*SUM(Tabelle1!$M$2:$M$13)</f>
        <v>782537.57306738372</v>
      </c>
      <c r="H13">
        <f>G13*Tabelle1!R13</f>
        <v>575163.65787882253</v>
      </c>
      <c r="L13">
        <f t="shared" si="2"/>
        <v>1140.0918208364501</v>
      </c>
      <c r="M13">
        <f t="shared" si="3"/>
        <v>3.6840399708872373E-2</v>
      </c>
      <c r="N13">
        <f>Tabelle1!M13/SUM(Tabelle1!$M$2:$M$13)</f>
        <v>2.8256934394750913E-2</v>
      </c>
    </row>
    <row r="14" spans="1:15" x14ac:dyDescent="0.35">
      <c r="D14" s="24"/>
      <c r="N14">
        <f>SUM(N2:N13)</f>
        <v>1</v>
      </c>
    </row>
    <row r="15" spans="1:15" x14ac:dyDescent="0.35">
      <c r="C15" s="24">
        <f>SUM(C2:C13)*0.2</f>
        <v>428944600000</v>
      </c>
      <c r="D15">
        <f>SUM(D2:D14)</f>
        <v>0</v>
      </c>
      <c r="L15">
        <f>SUM(L2:L13)</f>
        <v>30946.782061158763</v>
      </c>
    </row>
    <row r="16" spans="1:15" x14ac:dyDescent="0.35">
      <c r="L16">
        <v>30946.78</v>
      </c>
    </row>
    <row r="17" spans="1:5" x14ac:dyDescent="0.35">
      <c r="A17" s="30" t="s">
        <v>0</v>
      </c>
      <c r="B17" t="s">
        <v>6</v>
      </c>
      <c r="E17" t="s">
        <v>96</v>
      </c>
    </row>
    <row r="18" spans="1:5" x14ac:dyDescent="0.35">
      <c r="A18" t="s">
        <v>25</v>
      </c>
      <c r="B18">
        <v>61951000000</v>
      </c>
      <c r="C18">
        <f t="shared" ref="C18:C29" si="4">B18-AVERAGE($B$18:$B$29)</f>
        <v>-116775916666.66666</v>
      </c>
      <c r="E18">
        <f>Tabelle1!Q2</f>
        <v>1.399339360222531</v>
      </c>
    </row>
    <row r="19" spans="1:5" x14ac:dyDescent="0.35">
      <c r="A19" t="s">
        <v>26</v>
      </c>
      <c r="B19">
        <v>208183000000</v>
      </c>
      <c r="C19">
        <f t="shared" si="4"/>
        <v>29456083333.333344</v>
      </c>
      <c r="E19">
        <f>Tabelle1!Q3</f>
        <v>1.3363772206541591</v>
      </c>
    </row>
    <row r="20" spans="1:5" x14ac:dyDescent="0.35">
      <c r="A20" t="s">
        <v>27</v>
      </c>
      <c r="B20">
        <v>142008000000</v>
      </c>
      <c r="C20">
        <f t="shared" si="4"/>
        <v>-36718916666.666656</v>
      </c>
      <c r="E20">
        <f>Tabelle1!Q4</f>
        <v>1.3899153859437057</v>
      </c>
    </row>
    <row r="21" spans="1:5" x14ac:dyDescent="0.35">
      <c r="A21" t="s">
        <v>28</v>
      </c>
      <c r="B21">
        <v>126289000000</v>
      </c>
      <c r="C21">
        <f t="shared" si="4"/>
        <v>-52437916666.666656</v>
      </c>
      <c r="E21">
        <f>Tabelle1!Q5</f>
        <v>1.3548224204679347</v>
      </c>
    </row>
    <row r="22" spans="1:5" x14ac:dyDescent="0.35">
      <c r="A22" t="s">
        <v>29</v>
      </c>
      <c r="B22">
        <v>156685000000</v>
      </c>
      <c r="C22">
        <f t="shared" si="4"/>
        <v>-22041916666.666656</v>
      </c>
      <c r="E22">
        <f>Tabelle1!Q6</f>
        <v>1.3034817813765183</v>
      </c>
    </row>
    <row r="23" spans="1:5" x14ac:dyDescent="0.35">
      <c r="A23" t="s">
        <v>30</v>
      </c>
      <c r="B23">
        <v>182910000000</v>
      </c>
      <c r="C23">
        <f t="shared" si="4"/>
        <v>4183083333.3333435</v>
      </c>
      <c r="E23">
        <f>Tabelle1!Q7</f>
        <v>1.2727703984819734</v>
      </c>
    </row>
    <row r="24" spans="1:5" x14ac:dyDescent="0.35">
      <c r="A24" t="s">
        <v>31</v>
      </c>
      <c r="B24">
        <v>503904000000</v>
      </c>
      <c r="C24">
        <f t="shared" si="4"/>
        <v>325177083333.33337</v>
      </c>
      <c r="E24">
        <f>Tabelle1!Q8</f>
        <v>1</v>
      </c>
    </row>
    <row r="25" spans="1:5" x14ac:dyDescent="0.35">
      <c r="A25" t="s">
        <v>32</v>
      </c>
      <c r="B25">
        <v>318142000000</v>
      </c>
      <c r="C25">
        <f t="shared" si="4"/>
        <v>139415083333.33334</v>
      </c>
      <c r="E25">
        <f>Tabelle1!Q9</f>
        <v>1.2116513623362939</v>
      </c>
    </row>
    <row r="26" spans="1:5" x14ac:dyDescent="0.35">
      <c r="A26" t="s">
        <v>33</v>
      </c>
      <c r="B26">
        <v>158524000000</v>
      </c>
      <c r="C26">
        <f t="shared" si="4"/>
        <v>-20202916666.666656</v>
      </c>
      <c r="E26">
        <f>Tabelle1!Q10</f>
        <v>1.3167021102568299</v>
      </c>
    </row>
    <row r="27" spans="1:5" x14ac:dyDescent="0.35">
      <c r="A27" t="s">
        <v>34</v>
      </c>
      <c r="B27">
        <v>75695000000</v>
      </c>
      <c r="C27">
        <f t="shared" si="4"/>
        <v>-103031916666.66666</v>
      </c>
      <c r="E27">
        <f>Tabelle1!Q11</f>
        <v>1.3457615783313825</v>
      </c>
    </row>
    <row r="28" spans="1:5" x14ac:dyDescent="0.35">
      <c r="A28" t="s">
        <v>35</v>
      </c>
      <c r="B28">
        <v>161954000000</v>
      </c>
      <c r="C28">
        <f t="shared" si="4"/>
        <v>-16772916666.666656</v>
      </c>
      <c r="E28">
        <f>Tabelle1!Q12</f>
        <v>1.2566744730679158</v>
      </c>
    </row>
    <row r="29" spans="1:5" x14ac:dyDescent="0.35">
      <c r="A29" t="s">
        <v>36</v>
      </c>
      <c r="B29">
        <v>48478000000</v>
      </c>
      <c r="C29">
        <f t="shared" si="4"/>
        <v>-130248916666.66666</v>
      </c>
      <c r="E29">
        <f>Tabelle1!Q13</f>
        <v>1.3605476673427992</v>
      </c>
    </row>
    <row r="31" spans="1:5" x14ac:dyDescent="0.35">
      <c r="A31" t="s">
        <v>97</v>
      </c>
      <c r="B31">
        <v>0.5</v>
      </c>
    </row>
    <row r="32" spans="1:5" x14ac:dyDescent="0.35">
      <c r="A32" t="s">
        <v>98</v>
      </c>
      <c r="B32" s="42">
        <f>1/3</f>
        <v>0.33333333333333331</v>
      </c>
    </row>
    <row r="33" spans="1:2" x14ac:dyDescent="0.35">
      <c r="A33" t="s">
        <v>99</v>
      </c>
      <c r="B33">
        <f>1/3</f>
        <v>0.33333333333333331</v>
      </c>
    </row>
    <row r="34" spans="1:2" x14ac:dyDescent="0.35">
      <c r="A34" t="s">
        <v>100</v>
      </c>
      <c r="B34">
        <f>1/3</f>
        <v>0.33333333333333331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463C-5136-4954-AAA0-83906373BBFA}">
  <dimension ref="A1:U32"/>
  <sheetViews>
    <sheetView workbookViewId="0">
      <selection activeCell="J30" sqref="J30"/>
    </sheetView>
  </sheetViews>
  <sheetFormatPr baseColWidth="10" defaultColWidth="8.81640625" defaultRowHeight="14.5" x14ac:dyDescent="0.35"/>
  <cols>
    <col min="1" max="1" width="24.453125" bestFit="1" customWidth="1"/>
    <col min="2" max="2" width="18.54296875" bestFit="1" customWidth="1"/>
    <col min="3" max="3" width="17.453125" bestFit="1" customWidth="1"/>
    <col min="4" max="4" width="23.453125" bestFit="1" customWidth="1"/>
    <col min="5" max="5" width="33.81640625" bestFit="1" customWidth="1"/>
    <col min="6" max="6" width="34.54296875" bestFit="1" customWidth="1"/>
    <col min="7" max="8" width="8.54296875" bestFit="1" customWidth="1"/>
    <col min="9" max="9" width="14.54296875" bestFit="1" customWidth="1"/>
    <col min="10" max="10" width="14.54296875" customWidth="1"/>
    <col min="11" max="12" width="8.54296875" bestFit="1" customWidth="1"/>
    <col min="13" max="13" width="14.453125" bestFit="1" customWidth="1"/>
    <col min="16" max="16" width="17.453125" bestFit="1" customWidth="1"/>
    <col min="21" max="21" width="12" bestFit="1" customWidth="1"/>
  </cols>
  <sheetData>
    <row r="1" spans="1:21" x14ac:dyDescent="0.35">
      <c r="A1" s="30" t="s">
        <v>0</v>
      </c>
      <c r="B1" s="30" t="s">
        <v>87</v>
      </c>
      <c r="C1" s="30" t="s">
        <v>6</v>
      </c>
      <c r="D1" s="30" t="s">
        <v>101</v>
      </c>
      <c r="E1" s="30" t="s">
        <v>88</v>
      </c>
      <c r="F1" s="30" t="s">
        <v>89</v>
      </c>
      <c r="G1" s="30" t="s">
        <v>90</v>
      </c>
      <c r="H1" s="30" t="s">
        <v>91</v>
      </c>
      <c r="I1" s="30" t="s">
        <v>102</v>
      </c>
      <c r="J1" s="30"/>
      <c r="K1" s="30" t="s">
        <v>92</v>
      </c>
      <c r="M1" s="30" t="s">
        <v>93</v>
      </c>
      <c r="N1" s="31">
        <f>SUM(K2:K13)</f>
        <v>55622399.759343527</v>
      </c>
      <c r="O1" s="30"/>
      <c r="P1" s="30" t="s">
        <v>103</v>
      </c>
      <c r="Q1" s="30" t="s">
        <v>104</v>
      </c>
      <c r="R1" s="30" t="s">
        <v>105</v>
      </c>
      <c r="S1" s="30" t="s">
        <v>106</v>
      </c>
      <c r="T1" s="30" t="s">
        <v>107</v>
      </c>
      <c r="U1" s="30"/>
    </row>
    <row r="2" spans="1:21" x14ac:dyDescent="0.35">
      <c r="A2" t="s">
        <v>25</v>
      </c>
      <c r="B2" s="24">
        <f>SUM('The Coolest Model'!B42:E42)</f>
        <v>16962677495.301579</v>
      </c>
      <c r="C2" s="24">
        <f>Tabelle1!G2*1000000</f>
        <v>61951000000</v>
      </c>
      <c r="D2" s="24">
        <f t="shared" ref="D2:D13" si="0">($C$15*B2/$B$15)-0.2*C2</f>
        <v>-1811253309.0889435</v>
      </c>
      <c r="E2" s="24">
        <f>D2*Tabelle1!Q2</f>
        <v>-2534558046.7414646</v>
      </c>
      <c r="F2" s="24">
        <f t="shared" ref="F2:F13" si="1">C2+E2-B2</f>
        <v>42453764457.956955</v>
      </c>
      <c r="G2">
        <f t="shared" ref="G2:G13" si="2">F2/SUM($F$2:$F$13)</f>
        <v>2.8779189236921122E-2</v>
      </c>
      <c r="H2">
        <f>G2*SUM(Tabelle1!$M$2:$M$13)</f>
        <v>1930543.498752998</v>
      </c>
      <c r="I2">
        <f>Tabelle1!M2</f>
        <v>2680763</v>
      </c>
      <c r="J2">
        <f t="shared" ref="J2:J13" si="3">H2-I2</f>
        <v>-750219.50124700204</v>
      </c>
      <c r="K2">
        <f>H2*Tabelle1!R2</f>
        <v>1379610.660309013</v>
      </c>
      <c r="P2" s="24">
        <f>C2-B2</f>
        <v>44988322504.698425</v>
      </c>
      <c r="Q2">
        <f>P2/SUM($P$2:$P$13)</f>
        <v>3.0878696307354347E-2</v>
      </c>
      <c r="R2">
        <f>Q2*SUM(Tabelle1!$M$2:$M$13)</f>
        <v>2071381.0217298765</v>
      </c>
      <c r="S2">
        <f>R2-Tabelle1!M2</f>
        <v>-609381.97827012348</v>
      </c>
      <c r="T2">
        <f>H2-R2</f>
        <v>-140837.52297687856</v>
      </c>
    </row>
    <row r="3" spans="1:21" x14ac:dyDescent="0.35">
      <c r="A3" t="s">
        <v>26</v>
      </c>
      <c r="B3" s="24">
        <f>SUM('The Coolest Model'!B43:E43)</f>
        <v>60261564304.458</v>
      </c>
      <c r="C3" s="24">
        <f>Tabelle1!G3*1000000</f>
        <v>208183000000</v>
      </c>
      <c r="D3" s="24">
        <f t="shared" si="0"/>
        <v>-4053861280.5761719</v>
      </c>
      <c r="E3" s="24">
        <f>D3*Tabelle1!Q3</f>
        <v>-5417487871.053895</v>
      </c>
      <c r="F3" s="24">
        <f t="shared" si="1"/>
        <v>142503947824.4881</v>
      </c>
      <c r="G3">
        <f t="shared" si="2"/>
        <v>9.6602695516218556E-2</v>
      </c>
      <c r="H3">
        <f>G3*SUM(Tabelle1!$M$2:$M$13)</f>
        <v>6480227.9263515119</v>
      </c>
      <c r="I3">
        <f>Tabelle1!M3</f>
        <v>7367455</v>
      </c>
      <c r="J3">
        <f t="shared" si="3"/>
        <v>-887227.07364848815</v>
      </c>
      <c r="K3">
        <f>H3*Tabelle1!R3</f>
        <v>4849100.857300926</v>
      </c>
      <c r="P3" s="24">
        <f>C3-B3</f>
        <v>147921435695.54199</v>
      </c>
      <c r="Q3">
        <f t="shared" ref="Q3:Q13" si="4">P3/SUM($P$2:$P$13)</f>
        <v>0.10152903766779611</v>
      </c>
      <c r="R3">
        <f>Q3*SUM(Tabelle1!$M$2:$M$13)</f>
        <v>6810693.0320592076</v>
      </c>
      <c r="S3">
        <f>R3-Tabelle1!M3</f>
        <v>-556761.96794079244</v>
      </c>
      <c r="T3">
        <f t="shared" ref="T3:T13" si="5">H3-R3</f>
        <v>-330465.10570769571</v>
      </c>
    </row>
    <row r="4" spans="1:21" x14ac:dyDescent="0.35">
      <c r="A4" t="s">
        <v>27</v>
      </c>
      <c r="B4" s="24">
        <f>SUM('The Coolest Model'!B44:E44)</f>
        <v>105517580019.57057</v>
      </c>
      <c r="C4" s="24">
        <f>Tabelle1!G4*1000000</f>
        <v>142008000000</v>
      </c>
      <c r="D4" s="24">
        <f t="shared" si="0"/>
        <v>37405514135.735252</v>
      </c>
      <c r="E4" s="24">
        <f>D4*Tabelle1!Q4</f>
        <v>51990499616.393204</v>
      </c>
      <c r="F4" s="24">
        <f t="shared" si="1"/>
        <v>88480919596.822617</v>
      </c>
      <c r="G4">
        <f t="shared" si="2"/>
        <v>5.9980761693242408E-2</v>
      </c>
      <c r="H4">
        <f>G4*SUM(Tabelle1!$M$2:$M$13)</f>
        <v>4023583.4506618683</v>
      </c>
      <c r="I4">
        <f>Tabelle1!M4</f>
        <v>5526350</v>
      </c>
      <c r="J4">
        <f t="shared" si="3"/>
        <v>-1502766.5493381317</v>
      </c>
      <c r="K4">
        <f>H4*Tabelle1!R4</f>
        <v>2894840.5718453075</v>
      </c>
      <c r="P4" s="24">
        <f t="shared" ref="P4:P13" si="6">C4-B4</f>
        <v>36490419980.429428</v>
      </c>
      <c r="Q4">
        <f t="shared" si="4"/>
        <v>2.504597935577213E-2</v>
      </c>
      <c r="R4">
        <f>Q4*SUM(Tabelle1!$M$2:$M$13)</f>
        <v>1680115.1768777401</v>
      </c>
      <c r="S4">
        <f>R4-Tabelle1!M4</f>
        <v>-3846234.8231222602</v>
      </c>
      <c r="T4">
        <f t="shared" si="5"/>
        <v>2343468.273784128</v>
      </c>
    </row>
    <row r="5" spans="1:21" x14ac:dyDescent="0.35">
      <c r="A5" t="s">
        <v>28</v>
      </c>
      <c r="B5" s="24">
        <f>SUM('The Coolest Model'!B45:E45)</f>
        <v>9007256382.5114079</v>
      </c>
      <c r="C5" s="24">
        <f>Tabelle1!G5*1000000</f>
        <v>126289000000</v>
      </c>
      <c r="D5" s="24">
        <f t="shared" si="0"/>
        <v>-19640332761.803093</v>
      </c>
      <c r="E5" s="24">
        <f>D5*Tabelle1!Q5</f>
        <v>-26609163171.141743</v>
      </c>
      <c r="F5" s="24">
        <f t="shared" si="1"/>
        <v>90672580446.346848</v>
      </c>
      <c r="G5">
        <f t="shared" si="2"/>
        <v>6.1466477345009242E-2</v>
      </c>
      <c r="H5">
        <f>G5*SUM(Tabelle1!$M$2:$M$13)</f>
        <v>4123247.0884697866</v>
      </c>
      <c r="I5">
        <f>Tabelle1!M5</f>
        <v>4865583</v>
      </c>
      <c r="J5">
        <f t="shared" si="3"/>
        <v>-742335.91153021343</v>
      </c>
      <c r="K5">
        <f>H5*Tabelle1!R5</f>
        <v>3043385.6320783952</v>
      </c>
      <c r="P5" s="24">
        <f t="shared" si="6"/>
        <v>117281743617.48859</v>
      </c>
      <c r="Q5">
        <f t="shared" si="4"/>
        <v>8.0498830406117203E-2</v>
      </c>
      <c r="R5">
        <f>Q5*SUM(Tabelle1!$M$2:$M$13)</f>
        <v>5399960.798700233</v>
      </c>
      <c r="S5">
        <f>R5-Tabelle1!M5</f>
        <v>534377.79870023299</v>
      </c>
      <c r="T5">
        <f t="shared" si="5"/>
        <v>-1276713.7102304464</v>
      </c>
    </row>
    <row r="6" spans="1:21" x14ac:dyDescent="0.35">
      <c r="A6" t="s">
        <v>29</v>
      </c>
      <c r="B6" s="24">
        <f>SUM('The Coolest Model'!B46:E46)</f>
        <v>10890750703.687317</v>
      </c>
      <c r="C6" s="24">
        <f>Tabelle1!G6*1000000</f>
        <v>156685000000</v>
      </c>
      <c r="D6" s="24">
        <f t="shared" si="0"/>
        <v>-24544872333.231445</v>
      </c>
      <c r="E6" s="24">
        <f>D6*Tabelle1!Q6</f>
        <v>-31993793912.579742</v>
      </c>
      <c r="F6" s="24">
        <f t="shared" si="1"/>
        <v>113800455383.73294</v>
      </c>
      <c r="G6">
        <f t="shared" si="2"/>
        <v>7.7144745172825588E-2</v>
      </c>
      <c r="H6">
        <f>G6*SUM(Tabelle1!$M$2:$M$13)</f>
        <v>5174964.6256639389</v>
      </c>
      <c r="I6">
        <f>Tabelle1!M6</f>
        <v>5961929</v>
      </c>
      <c r="J6">
        <f t="shared" si="3"/>
        <v>-786964.37433606107</v>
      </c>
      <c r="K6">
        <f>H6*Tabelle1!R6</f>
        <v>3970108.9034010218</v>
      </c>
      <c r="P6" s="24">
        <f t="shared" si="6"/>
        <v>145794249296.31268</v>
      </c>
      <c r="Q6">
        <f t="shared" si="4"/>
        <v>0.10006899783625813</v>
      </c>
      <c r="R6">
        <f>Q6*SUM(Tabelle1!$M$2:$M$13)</f>
        <v>6712751.7599305268</v>
      </c>
      <c r="S6">
        <f>R6-Tabelle1!M6</f>
        <v>750822.75993052684</v>
      </c>
      <c r="T6">
        <f t="shared" si="5"/>
        <v>-1537787.1342665879</v>
      </c>
    </row>
    <row r="7" spans="1:21" x14ac:dyDescent="0.35">
      <c r="A7" t="s">
        <v>30</v>
      </c>
      <c r="B7" s="24">
        <f>SUM('The Coolest Model'!B47:E47)</f>
        <v>45873505066.769028</v>
      </c>
      <c r="C7" s="24">
        <f>Tabelle1!G7*1000000</f>
        <v>182910000000</v>
      </c>
      <c r="D7" s="24">
        <f t="shared" si="0"/>
        <v>-7972521056.5367889</v>
      </c>
      <c r="E7" s="24">
        <f>D7*Tabelle1!Q7</f>
        <v>-10147188802.034252</v>
      </c>
      <c r="F7" s="24">
        <f t="shared" si="1"/>
        <v>126889306131.19673</v>
      </c>
      <c r="G7">
        <f t="shared" si="2"/>
        <v>8.601760997915199E-2</v>
      </c>
      <c r="H7">
        <f>G7*SUM(Tabelle1!$M$2:$M$13)</f>
        <v>5770167.33711462</v>
      </c>
      <c r="I7">
        <f>Tabelle1!M7</f>
        <v>6269161</v>
      </c>
      <c r="J7">
        <f t="shared" si="3"/>
        <v>-498993.66288537998</v>
      </c>
      <c r="K7">
        <f>H7*Tabelle1!R7</f>
        <v>4533549.2905842783</v>
      </c>
      <c r="P7" s="24">
        <f t="shared" si="6"/>
        <v>137036494933.23097</v>
      </c>
      <c r="Q7">
        <f t="shared" si="4"/>
        <v>9.4057926023483493E-2</v>
      </c>
      <c r="R7">
        <f>Q7*SUM(Tabelle1!$M$2:$M$13)</f>
        <v>6309521.6510780593</v>
      </c>
      <c r="S7">
        <f>R7-Tabelle1!M7</f>
        <v>40360.651078059338</v>
      </c>
      <c r="T7">
        <f t="shared" si="5"/>
        <v>-539354.31396343932</v>
      </c>
    </row>
    <row r="8" spans="1:21" x14ac:dyDescent="0.35">
      <c r="A8" t="s">
        <v>31</v>
      </c>
      <c r="B8" s="24">
        <f>SUM('The Coolest Model'!B48:E48)</f>
        <v>45040677846.022629</v>
      </c>
      <c r="C8" s="24">
        <f>Tabelle1!G8*1000000</f>
        <v>503904000000</v>
      </c>
      <c r="D8" s="24">
        <f t="shared" si="0"/>
        <v>-72690722240.30957</v>
      </c>
      <c r="E8" s="24">
        <f>D8*Tabelle1!Q8</f>
        <v>-72690722240.30957</v>
      </c>
      <c r="F8" s="24">
        <f t="shared" si="1"/>
        <v>386172599913.66779</v>
      </c>
      <c r="G8">
        <f t="shared" si="2"/>
        <v>0.261784425313696</v>
      </c>
      <c r="H8">
        <f>G8*SUM(Tabelle1!$M$2:$M$13)</f>
        <v>17560822.030239139</v>
      </c>
      <c r="I8">
        <f>Tabelle1!M8</f>
        <v>9002488</v>
      </c>
      <c r="J8">
        <f t="shared" si="3"/>
        <v>8558334.0302391388</v>
      </c>
      <c r="K8">
        <f>H8*Tabelle1!R8</f>
        <v>17560822.030239139</v>
      </c>
      <c r="P8" s="24">
        <f t="shared" si="6"/>
        <v>458863322153.97736</v>
      </c>
      <c r="Q8">
        <f t="shared" si="4"/>
        <v>0.31495064457885924</v>
      </c>
      <c r="R8">
        <f>Q8*SUM(Tabelle1!$M$2:$M$13)</f>
        <v>21127277.572494645</v>
      </c>
      <c r="S8">
        <f>R8-Tabelle1!M8</f>
        <v>12124789.572494645</v>
      </c>
      <c r="T8">
        <f t="shared" si="5"/>
        <v>-3566455.5422555059</v>
      </c>
    </row>
    <row r="9" spans="1:21" x14ac:dyDescent="0.35">
      <c r="A9" t="s">
        <v>32</v>
      </c>
      <c r="B9" s="24">
        <f>SUM('The Coolest Model'!B49:E49)</f>
        <v>218500565251.87234</v>
      </c>
      <c r="C9" s="24">
        <f>Tabelle1!G9*1000000</f>
        <v>318142000000</v>
      </c>
      <c r="D9" s="24">
        <f t="shared" si="0"/>
        <v>72641704314.236053</v>
      </c>
      <c r="E9" s="24">
        <f>D9*Tabelle1!Q9</f>
        <v>88016419994.774353</v>
      </c>
      <c r="F9" s="24">
        <f t="shared" si="1"/>
        <v>187657854742.90201</v>
      </c>
      <c r="G9">
        <f t="shared" si="2"/>
        <v>0.1272122974816291</v>
      </c>
      <c r="H9">
        <f>G9*SUM(Tabelle1!$M$2:$M$13)</f>
        <v>8533557.7678304743</v>
      </c>
      <c r="I9">
        <f>Tabelle1!M9</f>
        <v>9217265</v>
      </c>
      <c r="J9">
        <f t="shared" si="3"/>
        <v>-683707.2321695257</v>
      </c>
      <c r="K9">
        <f>H9*Tabelle1!R9</f>
        <v>7042915.1760091735</v>
      </c>
      <c r="P9" s="24">
        <f t="shared" si="6"/>
        <v>99641434748.127655</v>
      </c>
      <c r="Q9">
        <f t="shared" si="4"/>
        <v>6.8391027535982668E-2</v>
      </c>
      <c r="R9">
        <f>Q9*SUM(Tabelle1!$M$2:$M$13)</f>
        <v>4587754.4532506689</v>
      </c>
      <c r="S9">
        <f>R9-Tabelle1!M9</f>
        <v>-4629510.5467493311</v>
      </c>
      <c r="T9">
        <f t="shared" si="5"/>
        <v>3945803.3145798054</v>
      </c>
    </row>
    <row r="10" spans="1:21" x14ac:dyDescent="0.35">
      <c r="A10" t="s">
        <v>33</v>
      </c>
      <c r="B10" s="24">
        <f>SUM('The Coolest Model'!B50:E50)</f>
        <v>23937603230.58881</v>
      </c>
      <c r="C10" s="24">
        <f>Tabelle1!G10*1000000</f>
        <v>158524000000</v>
      </c>
      <c r="D10" s="24">
        <f t="shared" si="0"/>
        <v>-16775869791.032595</v>
      </c>
      <c r="E10" s="24">
        <f>D10*Tabelle1!Q10</f>
        <v>-22088823155.246422</v>
      </c>
      <c r="F10" s="24">
        <f t="shared" si="1"/>
        <v>112497573614.16476</v>
      </c>
      <c r="G10">
        <f t="shared" si="2"/>
        <v>7.6261528301990247E-2</v>
      </c>
      <c r="H10">
        <f>G10*SUM(Tabelle1!$M$2:$M$13)</f>
        <v>5115717.3489619019</v>
      </c>
      <c r="I10">
        <f>Tabelle1!M10</f>
        <v>5659143</v>
      </c>
      <c r="J10">
        <f t="shared" si="3"/>
        <v>-543425.65103809815</v>
      </c>
      <c r="K10">
        <f>H10*Tabelle1!R10</f>
        <v>3885250.3608155181</v>
      </c>
      <c r="P10" s="24">
        <f t="shared" si="6"/>
        <v>134586396769.41119</v>
      </c>
      <c r="Q10">
        <f t="shared" si="4"/>
        <v>9.2376248803447192E-2</v>
      </c>
      <c r="R10">
        <f>Q10*SUM(Tabelle1!$M$2:$M$13)</f>
        <v>6196712.6696500126</v>
      </c>
      <c r="S10">
        <f>R10-Tabelle1!M10</f>
        <v>537569.66965001263</v>
      </c>
      <c r="T10">
        <f t="shared" si="5"/>
        <v>-1080995.3206881108</v>
      </c>
    </row>
    <row r="11" spans="1:21" x14ac:dyDescent="0.35">
      <c r="A11" t="s">
        <v>34</v>
      </c>
      <c r="B11" s="24">
        <f>SUM('The Coolest Model'!B51:E51)</f>
        <v>53207881610.097267</v>
      </c>
      <c r="C11" s="24">
        <f>Tabelle1!G11*1000000</f>
        <v>75695000000</v>
      </c>
      <c r="D11" s="24">
        <f t="shared" si="0"/>
        <v>18044637621.209061</v>
      </c>
      <c r="E11" s="24">
        <f>D11*Tabelle1!Q11</f>
        <v>24283780005.536148</v>
      </c>
      <c r="F11" s="24">
        <f t="shared" si="1"/>
        <v>46770898395.438881</v>
      </c>
      <c r="G11">
        <f t="shared" si="2"/>
        <v>3.1705752196278199E-2</v>
      </c>
      <c r="H11">
        <f>G11*SUM(Tabelle1!$M$2:$M$13)</f>
        <v>2126860.9505187995</v>
      </c>
      <c r="I11">
        <f>Tabelle1!M11</f>
        <v>3169586</v>
      </c>
      <c r="J11">
        <f t="shared" si="3"/>
        <v>-1042725.0494812005</v>
      </c>
      <c r="K11">
        <f>H11*Tabelle1!R11</f>
        <v>1580414.3800537882</v>
      </c>
      <c r="P11" s="24">
        <f t="shared" si="6"/>
        <v>22487118389.902733</v>
      </c>
      <c r="Q11">
        <f t="shared" si="4"/>
        <v>1.5434514134569291E-2</v>
      </c>
      <c r="R11">
        <f>Q11*SUM(Tabelle1!$M$2:$M$13)</f>
        <v>1035366.238902836</v>
      </c>
      <c r="S11">
        <f>R11-Tabelle1!M11</f>
        <v>-2134219.7610971639</v>
      </c>
      <c r="T11">
        <f t="shared" si="5"/>
        <v>1091494.7116159634</v>
      </c>
    </row>
    <row r="12" spans="1:21" x14ac:dyDescent="0.35">
      <c r="A12" t="s">
        <v>35</v>
      </c>
      <c r="B12" s="24">
        <f>SUM('The Coolest Model'!B52:E52)</f>
        <v>67103633125.006485</v>
      </c>
      <c r="C12" s="24">
        <f>Tabelle1!G12*1000000</f>
        <v>161954000000</v>
      </c>
      <c r="D12" s="24">
        <f t="shared" si="0"/>
        <v>9459064668.6247101</v>
      </c>
      <c r="E12" s="24">
        <f>D12*Tabelle1!Q12</f>
        <v>11886965108.159298</v>
      </c>
      <c r="F12" s="24">
        <f t="shared" si="1"/>
        <v>106737331983.15282</v>
      </c>
      <c r="G12">
        <f t="shared" si="2"/>
        <v>7.2356690036977145E-2</v>
      </c>
      <c r="H12">
        <f>G12*SUM(Tabelle1!$M$2:$M$13)</f>
        <v>4853775.9834792428</v>
      </c>
      <c r="I12">
        <f>Tabelle1!M12</f>
        <v>5466000</v>
      </c>
      <c r="J12">
        <f t="shared" si="3"/>
        <v>-612224.01652075723</v>
      </c>
      <c r="K12">
        <f>H12*Tabelle1!R12</f>
        <v>3862397.213838309</v>
      </c>
      <c r="P12" s="24">
        <f t="shared" si="6"/>
        <v>94850366874.993515</v>
      </c>
      <c r="Q12">
        <f t="shared" si="4"/>
        <v>6.5102575742142593E-2</v>
      </c>
      <c r="R12">
        <f>Q12*SUM(Tabelle1!$M$2:$M$13)</f>
        <v>4367161.0522588156</v>
      </c>
      <c r="S12">
        <f>R12-Tabelle1!M12</f>
        <v>-1098838.9477411844</v>
      </c>
      <c r="T12">
        <f t="shared" si="5"/>
        <v>486614.93122042716</v>
      </c>
    </row>
    <row r="13" spans="1:21" x14ac:dyDescent="0.35">
      <c r="A13" t="s">
        <v>36</v>
      </c>
      <c r="B13" s="24">
        <f>SUM('The Coolest Model'!B53:E53)</f>
        <v>31482067170.704018</v>
      </c>
      <c r="C13" s="24">
        <f>Tabelle1!G13*1000000</f>
        <v>48478000000</v>
      </c>
      <c r="D13" s="24">
        <f t="shared" si="0"/>
        <v>9938512032.773613</v>
      </c>
      <c r="E13" s="24">
        <f>D13*Tabelle1!Q13</f>
        <v>13521819363.048481</v>
      </c>
      <c r="F13" s="24">
        <f t="shared" si="1"/>
        <v>30517752192.34446</v>
      </c>
      <c r="G13">
        <f t="shared" si="2"/>
        <v>2.0687827726060076E-2</v>
      </c>
      <c r="H13">
        <f>G13*SUM(Tabelle1!$M$2:$M$13)</f>
        <v>1387764.9919556961</v>
      </c>
      <c r="I13">
        <f>Tabelle1!M13</f>
        <v>1895510</v>
      </c>
      <c r="J13">
        <f t="shared" si="3"/>
        <v>-507745.00804430386</v>
      </c>
      <c r="K13">
        <f>H13*Tabelle1!R13</f>
        <v>1020004.6828686667</v>
      </c>
      <c r="P13" s="24">
        <f t="shared" si="6"/>
        <v>16995932829.295982</v>
      </c>
      <c r="Q13">
        <f t="shared" si="4"/>
        <v>1.1665521608217662E-2</v>
      </c>
      <c r="R13">
        <f>Q13*SUM(Tabelle1!$M$2:$M$13)</f>
        <v>782537.57306738372</v>
      </c>
      <c r="S13">
        <f>R13-Tabelle1!M13</f>
        <v>-1112972.4269326162</v>
      </c>
      <c r="T13">
        <f t="shared" si="5"/>
        <v>605227.41888831242</v>
      </c>
    </row>
    <row r="14" spans="1:21" x14ac:dyDescent="0.35">
      <c r="D14" s="24"/>
      <c r="E14" s="24"/>
    </row>
    <row r="15" spans="1:21" x14ac:dyDescent="0.35">
      <c r="B15" s="24">
        <f>SUM(B2:B13)</f>
        <v>687785762206.58936</v>
      </c>
      <c r="C15" s="24">
        <f>SUM(C2:C13)*0.2</f>
        <v>428944600000</v>
      </c>
      <c r="D15">
        <f>SUM(D2:D14)</f>
        <v>8.392333984375E-5</v>
      </c>
      <c r="E15" s="24"/>
    </row>
    <row r="17" spans="1:6" x14ac:dyDescent="0.35">
      <c r="A17" s="30"/>
      <c r="F17" t="s">
        <v>108</v>
      </c>
    </row>
    <row r="32" spans="1:6" x14ac:dyDescent="0.35">
      <c r="B32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528C-4A26-45AB-82FB-3DBD812230BE}">
  <dimension ref="A1:E17"/>
  <sheetViews>
    <sheetView zoomScale="80" zoomScaleNormal="80" workbookViewId="0">
      <selection activeCell="I28" sqref="I28"/>
    </sheetView>
  </sheetViews>
  <sheetFormatPr baseColWidth="10" defaultColWidth="8.81640625" defaultRowHeight="14.5" x14ac:dyDescent="0.35"/>
  <sheetData>
    <row r="1" spans="1:5" x14ac:dyDescent="0.35">
      <c r="A1" t="s">
        <v>109</v>
      </c>
    </row>
    <row r="3" spans="1:5" x14ac:dyDescent="0.35">
      <c r="A3" s="2" t="s">
        <v>0</v>
      </c>
      <c r="B3" s="5" t="s">
        <v>15</v>
      </c>
      <c r="C3" t="s">
        <v>14</v>
      </c>
      <c r="D3" t="s">
        <v>110</v>
      </c>
      <c r="E3" t="s">
        <v>111</v>
      </c>
    </row>
    <row r="4" spans="1:5" x14ac:dyDescent="0.35">
      <c r="A4" s="2" t="s">
        <v>25</v>
      </c>
      <c r="B4" s="1">
        <v>575.20000000000005</v>
      </c>
      <c r="C4">
        <v>312.00686685288639</v>
      </c>
      <c r="D4">
        <f>0.0359*C4+598.74</f>
        <v>609.94104652001863</v>
      </c>
      <c r="E4">
        <f>D4-B4</f>
        <v>34.741046520018585</v>
      </c>
    </row>
    <row r="5" spans="1:5" x14ac:dyDescent="0.35">
      <c r="A5" s="2" t="s">
        <v>26</v>
      </c>
      <c r="B5" s="1">
        <v>602.29999999999995</v>
      </c>
      <c r="C5">
        <v>520.11683727497348</v>
      </c>
      <c r="D5">
        <f t="shared" ref="D5:D15" si="0">0.0359*C5+598.74</f>
        <v>617.4121944581716</v>
      </c>
      <c r="E5">
        <f t="shared" ref="E5:E17" si="1">D5-B5</f>
        <v>15.112194458171643</v>
      </c>
    </row>
    <row r="6" spans="1:5" x14ac:dyDescent="0.35">
      <c r="A6" s="2" t="s">
        <v>27</v>
      </c>
      <c r="B6" s="1">
        <v>579.1</v>
      </c>
      <c r="C6">
        <v>358.38845654993514</v>
      </c>
      <c r="D6">
        <f t="shared" si="0"/>
        <v>611.60614559014266</v>
      </c>
      <c r="E6">
        <f t="shared" si="1"/>
        <v>32.506145590142637</v>
      </c>
    </row>
    <row r="7" spans="1:5" x14ac:dyDescent="0.35">
      <c r="A7" s="2" t="s">
        <v>28</v>
      </c>
      <c r="B7" s="1">
        <v>594.1</v>
      </c>
      <c r="C7">
        <v>311.35745824534462</v>
      </c>
      <c r="D7">
        <f t="shared" si="0"/>
        <v>609.91773275100786</v>
      </c>
      <c r="E7">
        <f t="shared" si="1"/>
        <v>15.817732751007838</v>
      </c>
    </row>
    <row r="8" spans="1:5" x14ac:dyDescent="0.35">
      <c r="A8" s="2" t="s">
        <v>29</v>
      </c>
      <c r="B8" s="1">
        <v>617.5</v>
      </c>
      <c r="C8">
        <v>458.68048930604709</v>
      </c>
      <c r="D8">
        <f t="shared" si="0"/>
        <v>615.20662956608714</v>
      </c>
      <c r="E8">
        <f t="shared" si="1"/>
        <v>-2.2933704339128553</v>
      </c>
    </row>
    <row r="9" spans="1:5" x14ac:dyDescent="0.35">
      <c r="A9" s="2" t="s">
        <v>30</v>
      </c>
      <c r="B9" s="1">
        <v>632.4</v>
      </c>
      <c r="C9">
        <v>327.88498953974897</v>
      </c>
      <c r="D9">
        <f t="shared" si="0"/>
        <v>610.51107112447698</v>
      </c>
      <c r="E9">
        <f t="shared" si="1"/>
        <v>-21.888928875522993</v>
      </c>
    </row>
    <row r="10" spans="1:5" x14ac:dyDescent="0.35">
      <c r="A10" s="2" t="s">
        <v>31</v>
      </c>
      <c r="B10" s="1">
        <v>804.9</v>
      </c>
      <c r="C10">
        <v>5737.7233906947104</v>
      </c>
      <c r="D10">
        <f t="shared" si="0"/>
        <v>804.72426972594008</v>
      </c>
      <c r="E10">
        <f t="shared" si="1"/>
        <v>-0.1757302740599016</v>
      </c>
    </row>
    <row r="11" spans="1:5" x14ac:dyDescent="0.35">
      <c r="A11" s="2" t="s">
        <v>32</v>
      </c>
      <c r="B11" s="1">
        <v>664.3</v>
      </c>
      <c r="C11">
        <v>482.70568211573709</v>
      </c>
      <c r="D11">
        <f t="shared" si="0"/>
        <v>616.06913398795496</v>
      </c>
      <c r="E11">
        <f t="shared" si="1"/>
        <v>-48.230866012044999</v>
      </c>
    </row>
    <row r="12" spans="1:5" x14ac:dyDescent="0.35">
      <c r="A12" s="2" t="s">
        <v>33</v>
      </c>
      <c r="B12" s="1">
        <v>611.29999999999995</v>
      </c>
      <c r="C12">
        <v>237.77911764705883</v>
      </c>
      <c r="D12">
        <f t="shared" si="0"/>
        <v>607.27627032352939</v>
      </c>
      <c r="E12">
        <f t="shared" si="1"/>
        <v>-4.0237296764705661</v>
      </c>
    </row>
    <row r="13" spans="1:5" x14ac:dyDescent="0.35">
      <c r="A13" s="2" t="s">
        <v>34</v>
      </c>
      <c r="B13" s="1">
        <v>598.1</v>
      </c>
      <c r="C13">
        <v>152.5379469656865</v>
      </c>
      <c r="D13">
        <f t="shared" si="0"/>
        <v>604.2161122960681</v>
      </c>
      <c r="E13">
        <f t="shared" si="1"/>
        <v>6.1161122960680814</v>
      </c>
    </row>
    <row r="14" spans="1:5" x14ac:dyDescent="0.35">
      <c r="A14" s="2" t="s">
        <v>35</v>
      </c>
      <c r="B14" s="1">
        <v>640.5</v>
      </c>
      <c r="C14">
        <v>70.137169106796861</v>
      </c>
      <c r="D14">
        <f t="shared" si="0"/>
        <v>601.25792437093401</v>
      </c>
      <c r="E14">
        <f t="shared" si="1"/>
        <v>-39.242075629065994</v>
      </c>
    </row>
    <row r="15" spans="1:5" x14ac:dyDescent="0.35">
      <c r="A15" s="2" t="s">
        <v>36</v>
      </c>
      <c r="B15" s="1">
        <v>591.6</v>
      </c>
      <c r="C15">
        <v>134.14791224345365</v>
      </c>
      <c r="D15">
        <f t="shared" si="0"/>
        <v>603.55591004953999</v>
      </c>
      <c r="E15">
        <f t="shared" si="1"/>
        <v>11.955910049539966</v>
      </c>
    </row>
    <row r="16" spans="1:5" x14ac:dyDescent="0.35">
      <c r="A16" s="2" t="s">
        <v>37</v>
      </c>
      <c r="E16">
        <f t="shared" si="1"/>
        <v>0</v>
      </c>
    </row>
    <row r="17" spans="1:5" x14ac:dyDescent="0.35">
      <c r="A17" s="2" t="s">
        <v>51</v>
      </c>
      <c r="E17">
        <f t="shared" si="1"/>
        <v>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0F0-8EEC-4516-9820-DF4C6980339F}">
  <dimension ref="A1:Z18"/>
  <sheetViews>
    <sheetView workbookViewId="0">
      <selection activeCell="F2" sqref="F2"/>
    </sheetView>
  </sheetViews>
  <sheetFormatPr baseColWidth="10" defaultColWidth="8.81640625" defaultRowHeight="14.5" x14ac:dyDescent="0.35"/>
  <cols>
    <col min="1" max="1" width="24.453125" bestFit="1" customWidth="1"/>
    <col min="2" max="5" width="24.453125" customWidth="1"/>
    <col min="6" max="6" width="17.453125" bestFit="1" customWidth="1"/>
    <col min="7" max="7" width="17.453125" customWidth="1"/>
    <col min="8" max="8" width="9.1796875" customWidth="1"/>
    <col min="9" max="9" width="9.81640625" customWidth="1"/>
    <col min="10" max="13" width="9.1796875" customWidth="1"/>
    <col min="14" max="14" width="12" bestFit="1" customWidth="1"/>
    <col min="15" max="15" width="12.54296875" bestFit="1" customWidth="1"/>
  </cols>
  <sheetData>
    <row r="1" spans="1:26" x14ac:dyDescent="0.35">
      <c r="A1" s="2" t="s">
        <v>0</v>
      </c>
      <c r="B1" s="18" t="s">
        <v>112</v>
      </c>
      <c r="C1" s="18" t="s">
        <v>113</v>
      </c>
      <c r="D1" s="18" t="s">
        <v>114</v>
      </c>
      <c r="E1" s="18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</row>
    <row r="2" spans="1:26" x14ac:dyDescent="0.35">
      <c r="A2" s="2" t="s">
        <v>25</v>
      </c>
      <c r="B2" s="7">
        <v>2680763</v>
      </c>
      <c r="C2" s="18">
        <v>312.00686685288639</v>
      </c>
      <c r="D2" s="43">
        <v>98.4</v>
      </c>
      <c r="E2" s="43">
        <v>8592</v>
      </c>
      <c r="F2" s="24">
        <f>SUM('The Coolest Model'!B42:F42)</f>
        <v>16962677495.301579</v>
      </c>
      <c r="G2" s="24">
        <f>F2/B2</f>
        <v>6327.5558097831026</v>
      </c>
      <c r="H2">
        <f>'Wage density'!D4*52</f>
        <v>31716.934419040968</v>
      </c>
      <c r="I2">
        <v>4.8760695968491627E-2</v>
      </c>
      <c r="J2">
        <f t="shared" ref="J2:J13" si="0">I2*H2/G2</f>
        <v>0.24441345801617781</v>
      </c>
      <c r="K2">
        <f t="shared" ref="K2:K13" si="1">J2/$J$14</f>
        <v>3.9962991818182338E-2</v>
      </c>
      <c r="L2">
        <f t="shared" ref="L2:L13" si="2">K2*$B$14</f>
        <v>2680766.765532583</v>
      </c>
      <c r="M2">
        <f t="shared" ref="M2:M13" si="3">L2-B2</f>
        <v>3.7655325829982758</v>
      </c>
      <c r="N2">
        <f>M2^2</f>
        <v>14.179235633621666</v>
      </c>
      <c r="O2">
        <f>L2^(D2/100)</f>
        <v>2115470.0749333482</v>
      </c>
      <c r="P2">
        <f>0.2*$H$14*G2/$G$14-0.2*H2</f>
        <v>-2331.2767324444153</v>
      </c>
      <c r="Q2">
        <f>I2*(H2+P2)/G2</f>
        <v>0.22644843654716332</v>
      </c>
      <c r="R2">
        <f t="shared" ref="R2:R13" si="4">Q2/$Q$14</f>
        <v>3.697742472367032E-2</v>
      </c>
      <c r="S2">
        <f t="shared" ref="S2:S13" si="5">R2*$B$14</f>
        <v>2480491.2436284893</v>
      </c>
      <c r="T2">
        <f t="shared" ref="T2:T13" si="6">S2/E2</f>
        <v>288.69777044093217</v>
      </c>
      <c r="U2">
        <f>(0.0359*T2+598.74)*52</f>
        <v>31673.420997859132</v>
      </c>
      <c r="V2">
        <f t="shared" ref="V2:V13" si="7">F2/S2</f>
        <v>6838.4347410508863</v>
      </c>
      <c r="W2">
        <f>I2*(U2+P2)/V2</f>
        <v>0.20922088603124403</v>
      </c>
      <c r="X2">
        <f t="shared" ref="X2:X13" si="8">W2/$W$14</f>
        <v>3.3511201894464451E-2</v>
      </c>
      <c r="Y2">
        <f t="shared" ref="Y2:Y13" si="9">X2*$B$14</f>
        <v>2247972.7423926112</v>
      </c>
      <c r="Z2">
        <f t="shared" ref="Z2:Z13" si="10">Y2^(D2/100)</f>
        <v>1778944.4394413761</v>
      </c>
    </row>
    <row r="3" spans="1:26" x14ac:dyDescent="0.35">
      <c r="A3" s="2" t="s">
        <v>26</v>
      </c>
      <c r="B3" s="7">
        <v>7367455</v>
      </c>
      <c r="C3" s="18">
        <v>520.11683727497348</v>
      </c>
      <c r="D3">
        <v>103.2</v>
      </c>
      <c r="E3">
        <v>14165</v>
      </c>
      <c r="F3" s="24">
        <f>SUM('The Coolest Model'!B43:F43)</f>
        <v>60261564304.458</v>
      </c>
      <c r="G3" s="24">
        <f t="shared" ref="G3:G13" si="11">F3/B3</f>
        <v>8179.4275369795951</v>
      </c>
      <c r="H3">
        <f>'Wage density'!D5*52</f>
        <v>32105.434111824921</v>
      </c>
      <c r="I3">
        <v>0.17113058170641374</v>
      </c>
      <c r="J3">
        <f t="shared" si="0"/>
        <v>0.67171224277663577</v>
      </c>
      <c r="K3">
        <f t="shared" si="1"/>
        <v>0.10982877571528329</v>
      </c>
      <c r="L3">
        <f t="shared" si="2"/>
        <v>7367449.6938616605</v>
      </c>
      <c r="M3">
        <f t="shared" si="3"/>
        <v>-5.3061383394524455</v>
      </c>
      <c r="N3">
        <f t="shared" ref="N3:N13" si="12">M3^2</f>
        <v>28.155104077407156</v>
      </c>
      <c r="O3">
        <f t="shared" ref="O3:O12" si="13">L3^(D3/100)</f>
        <v>12220003.458778396</v>
      </c>
      <c r="P3">
        <f t="shared" ref="P3:P13" si="14">0.2*$H$14*G3/$G$14-0.2*H3</f>
        <v>-1234.7612900446047</v>
      </c>
      <c r="Q3">
        <f t="shared" ref="Q3:Q13" si="15">I3*(H3+P3)/G3</f>
        <v>0.64587847667520959</v>
      </c>
      <c r="R3">
        <f t="shared" si="4"/>
        <v>0.10546737754544941</v>
      </c>
      <c r="S3">
        <f t="shared" si="5"/>
        <v>7074881.7270252602</v>
      </c>
      <c r="T3">
        <f t="shared" si="6"/>
        <v>499.46217628134559</v>
      </c>
      <c r="U3">
        <f t="shared" ref="U3:U13" si="16">(0.0359*T3+598.74)*52</f>
        <v>32066.875990682012</v>
      </c>
      <c r="V3">
        <f t="shared" si="7"/>
        <v>8517.6779809993914</v>
      </c>
      <c r="W3">
        <f t="shared" ref="W3:W13" si="17">I3*(U3+P3)/V3</f>
        <v>0.61945494250064059</v>
      </c>
      <c r="X3">
        <f t="shared" si="8"/>
        <v>9.9218964399007625E-2</v>
      </c>
      <c r="Y3">
        <f t="shared" si="9"/>
        <v>6655730.4688685359</v>
      </c>
      <c r="Z3">
        <f t="shared" si="10"/>
        <v>11003680.95128512</v>
      </c>
    </row>
    <row r="4" spans="1:26" x14ac:dyDescent="0.35">
      <c r="A4" s="2" t="s">
        <v>27</v>
      </c>
      <c r="B4" s="7">
        <v>5526350</v>
      </c>
      <c r="C4" s="18">
        <v>358.38845654993514</v>
      </c>
      <c r="D4">
        <v>96.7</v>
      </c>
      <c r="E4">
        <v>15420</v>
      </c>
      <c r="F4" s="24">
        <f>SUM('The Coolest Model'!B44:F44)</f>
        <v>105517580019.57057</v>
      </c>
      <c r="G4" s="24">
        <f t="shared" si="11"/>
        <v>19093.539138775246</v>
      </c>
      <c r="H4">
        <f>'Wage density'!D6*52</f>
        <v>31803.519570687418</v>
      </c>
      <c r="I4">
        <v>0.30249324750704165</v>
      </c>
      <c r="J4">
        <f t="shared" si="0"/>
        <v>0.50385367778956924</v>
      </c>
      <c r="K4">
        <f t="shared" si="1"/>
        <v>8.2382944730207366E-2</v>
      </c>
      <c r="L4">
        <f t="shared" si="2"/>
        <v>5526349.5106731625</v>
      </c>
      <c r="M4">
        <f t="shared" si="3"/>
        <v>-0.48932683747261763</v>
      </c>
      <c r="N4">
        <f t="shared" si="12"/>
        <v>0.23944075387095354</v>
      </c>
      <c r="O4">
        <f t="shared" si="13"/>
        <v>3310837.6302900631</v>
      </c>
      <c r="P4">
        <f t="shared" si="14"/>
        <v>5745.9269093633338</v>
      </c>
      <c r="Q4">
        <f t="shared" si="15"/>
        <v>0.59488468456723176</v>
      </c>
      <c r="R4">
        <f t="shared" si="4"/>
        <v>9.7140452715237482E-2</v>
      </c>
      <c r="S4">
        <f t="shared" si="5"/>
        <v>6516301.3423163285</v>
      </c>
      <c r="T4">
        <f t="shared" si="6"/>
        <v>422.58763568847786</v>
      </c>
      <c r="U4">
        <f t="shared" si="16"/>
        <v>31923.366598303255</v>
      </c>
      <c r="V4">
        <f t="shared" si="7"/>
        <v>16192.86378521939</v>
      </c>
      <c r="W4">
        <f t="shared" si="17"/>
        <v>0.70368694973096169</v>
      </c>
      <c r="X4">
        <f t="shared" si="8"/>
        <v>0.11271052278887961</v>
      </c>
      <c r="Y4">
        <f t="shared" si="9"/>
        <v>7560760.8407526426</v>
      </c>
      <c r="Z4">
        <f t="shared" si="10"/>
        <v>4483042.326951527</v>
      </c>
    </row>
    <row r="5" spans="1:26" x14ac:dyDescent="0.35">
      <c r="A5" s="2" t="s">
        <v>28</v>
      </c>
      <c r="B5" s="7">
        <v>4865583</v>
      </c>
      <c r="C5" s="18">
        <v>311.35745824534462</v>
      </c>
      <c r="D5">
        <v>98.6</v>
      </c>
      <c r="E5">
        <v>15627</v>
      </c>
      <c r="F5" s="24">
        <f>SUM('The Coolest Model'!B45:F45)</f>
        <v>9007256382.5114079</v>
      </c>
      <c r="G5" s="24">
        <f t="shared" si="11"/>
        <v>1851.2183190609239</v>
      </c>
      <c r="H5">
        <f>'Wage density'!D7*52</f>
        <v>31715.722103052409</v>
      </c>
      <c r="I5">
        <v>2.5893087706822828E-2</v>
      </c>
      <c r="J5">
        <f t="shared" si="0"/>
        <v>0.44360946823178499</v>
      </c>
      <c r="K5">
        <f t="shared" si="1"/>
        <v>7.253267350049776E-2</v>
      </c>
      <c r="L5">
        <f t="shared" si="2"/>
        <v>4865581.1711998163</v>
      </c>
      <c r="M5">
        <f t="shared" si="3"/>
        <v>-1.8288001837208867</v>
      </c>
      <c r="N5">
        <f t="shared" si="12"/>
        <v>3.3445101119775491</v>
      </c>
      <c r="O5">
        <f t="shared" si="13"/>
        <v>3922065.4438771298</v>
      </c>
      <c r="P5">
        <f t="shared" si="14"/>
        <v>-5169.3433458239897</v>
      </c>
      <c r="Q5">
        <f t="shared" si="15"/>
        <v>0.37130559177274025</v>
      </c>
      <c r="R5">
        <f t="shared" si="4"/>
        <v>6.0631571489762871E-2</v>
      </c>
      <c r="S5">
        <f t="shared" si="5"/>
        <v>4067240.5742609403</v>
      </c>
      <c r="T5">
        <f t="shared" si="6"/>
        <v>260.27008218218089</v>
      </c>
      <c r="U5">
        <f t="shared" si="16"/>
        <v>31620.352189417692</v>
      </c>
      <c r="V5">
        <f t="shared" si="7"/>
        <v>2214.5865773253699</v>
      </c>
      <c r="W5">
        <f t="shared" si="17"/>
        <v>0.30926688481436226</v>
      </c>
      <c r="X5">
        <f t="shared" si="8"/>
        <v>4.9535709425962762E-2</v>
      </c>
      <c r="Y5">
        <f t="shared" si="9"/>
        <v>3322916.4658233044</v>
      </c>
      <c r="Z5">
        <f t="shared" si="10"/>
        <v>2692887.1369089894</v>
      </c>
    </row>
    <row r="6" spans="1:26" x14ac:dyDescent="0.35">
      <c r="A6" s="2" t="s">
        <v>29</v>
      </c>
      <c r="B6" s="7">
        <v>5961929</v>
      </c>
      <c r="C6" s="18">
        <v>458.68048930604709</v>
      </c>
      <c r="D6">
        <v>99.1</v>
      </c>
      <c r="E6">
        <v>12998</v>
      </c>
      <c r="F6" s="24">
        <f>SUM('The Coolest Model'!B46:F46)</f>
        <v>10890750703.687317</v>
      </c>
      <c r="G6" s="24">
        <f t="shared" si="11"/>
        <v>1826.715934337245</v>
      </c>
      <c r="H6">
        <f>'Wage density'!D8*52</f>
        <v>31990.744737436533</v>
      </c>
      <c r="I6">
        <v>3.103840546156526E-2</v>
      </c>
      <c r="J6">
        <f t="shared" si="0"/>
        <v>0.54356656528440572</v>
      </c>
      <c r="K6">
        <f t="shared" si="1"/>
        <v>8.8876227918923995E-2</v>
      </c>
      <c r="L6">
        <f t="shared" si="2"/>
        <v>5961926.9531904459</v>
      </c>
      <c r="M6">
        <f t="shared" si="3"/>
        <v>-2.0468095541000366</v>
      </c>
      <c r="N6">
        <f t="shared" si="12"/>
        <v>4.1894293507551907</v>
      </c>
      <c r="O6">
        <f t="shared" si="13"/>
        <v>5180935.3237724407</v>
      </c>
      <c r="P6">
        <f t="shared" si="14"/>
        <v>-5239.884087542333</v>
      </c>
      <c r="Q6">
        <f t="shared" si="15"/>
        <v>0.45453375847323069</v>
      </c>
      <c r="R6">
        <f t="shared" si="4"/>
        <v>7.4222141228209679E-2</v>
      </c>
      <c r="S6">
        <f t="shared" si="5"/>
        <v>4978912.7494884394</v>
      </c>
      <c r="T6">
        <f t="shared" si="6"/>
        <v>383.05221953288503</v>
      </c>
      <c r="U6">
        <f t="shared" si="16"/>
        <v>31849.561883423987</v>
      </c>
      <c r="V6">
        <f t="shared" si="7"/>
        <v>2187.3752868648467</v>
      </c>
      <c r="W6">
        <f t="shared" si="17"/>
        <v>0.37758585533531125</v>
      </c>
      <c r="X6">
        <f t="shared" si="8"/>
        <v>6.0478454472972988E-2</v>
      </c>
      <c r="Y6">
        <f t="shared" si="9"/>
        <v>4056969.2959813932</v>
      </c>
      <c r="Z6">
        <f t="shared" si="10"/>
        <v>3537756.2378403083</v>
      </c>
    </row>
    <row r="7" spans="1:26" x14ac:dyDescent="0.35">
      <c r="A7" s="2" t="s">
        <v>30</v>
      </c>
      <c r="B7" s="7">
        <v>6269161</v>
      </c>
      <c r="C7" s="18">
        <v>327.88498953974897</v>
      </c>
      <c r="D7">
        <v>105.7</v>
      </c>
      <c r="E7">
        <v>19120</v>
      </c>
      <c r="F7" s="24">
        <f>SUM('The Coolest Model'!B47:F47)</f>
        <v>45873505066.769028</v>
      </c>
      <c r="G7" s="24">
        <f t="shared" si="11"/>
        <v>7317.3276402965294</v>
      </c>
      <c r="H7">
        <f>'Wage density'!D9*52</f>
        <v>31746.575698472803</v>
      </c>
      <c r="I7">
        <v>0.13174402657431736</v>
      </c>
      <c r="J7">
        <f t="shared" si="0"/>
        <v>0.57157775598711458</v>
      </c>
      <c r="K7">
        <f t="shared" si="1"/>
        <v>9.3456217065003691E-2</v>
      </c>
      <c r="L7">
        <f t="shared" si="2"/>
        <v>6269158.2722360883</v>
      </c>
      <c r="M7">
        <f t="shared" si="3"/>
        <v>-2.7277639117091894</v>
      </c>
      <c r="N7">
        <f t="shared" si="12"/>
        <v>7.4406959580230181</v>
      </c>
      <c r="O7">
        <f t="shared" si="13"/>
        <v>15298546.137875283</v>
      </c>
      <c r="P7">
        <f t="shared" si="14"/>
        <v>-1709.6208581999808</v>
      </c>
      <c r="Q7">
        <f t="shared" si="15"/>
        <v>0.54079707390663057</v>
      </c>
      <c r="R7">
        <f t="shared" si="4"/>
        <v>8.8308329242974007E-2</v>
      </c>
      <c r="S7">
        <f t="shared" si="5"/>
        <v>5923831.6097886525</v>
      </c>
      <c r="T7">
        <f t="shared" si="6"/>
        <v>309.82382896384166</v>
      </c>
      <c r="U7">
        <f t="shared" si="16"/>
        <v>31712.8591239097</v>
      </c>
      <c r="V7">
        <f t="shared" si="7"/>
        <v>7743.8907937502427</v>
      </c>
      <c r="W7">
        <f t="shared" si="17"/>
        <v>0.51043429261467987</v>
      </c>
      <c r="X7">
        <f t="shared" si="8"/>
        <v>8.1756974450028205E-2</v>
      </c>
      <c r="Y7">
        <f t="shared" si="9"/>
        <v>5484358.652457389</v>
      </c>
      <c r="Z7">
        <f t="shared" si="10"/>
        <v>13281772.018044608</v>
      </c>
    </row>
    <row r="8" spans="1:26" x14ac:dyDescent="0.35">
      <c r="A8" s="2" t="s">
        <v>31</v>
      </c>
      <c r="B8" s="7">
        <v>9002488</v>
      </c>
      <c r="C8" s="18">
        <v>5737.7233906947104</v>
      </c>
      <c r="D8">
        <v>153.1</v>
      </c>
      <c r="E8">
        <v>1569</v>
      </c>
      <c r="F8" s="24">
        <f>SUM('The Coolest Model'!B48:F48)</f>
        <v>45040677846.022629</v>
      </c>
      <c r="G8" s="24">
        <f t="shared" si="11"/>
        <v>5003.1366713315947</v>
      </c>
      <c r="H8">
        <f>'Wage density'!D10*52</f>
        <v>41845.662025748883</v>
      </c>
      <c r="I8">
        <v>9.813420437471948E-2</v>
      </c>
      <c r="J8">
        <f t="shared" si="0"/>
        <v>0.82078324443160333</v>
      </c>
      <c r="K8">
        <f t="shared" si="1"/>
        <v>0.13420273313898373</v>
      </c>
      <c r="L8">
        <f t="shared" si="2"/>
        <v>9002484.8109329883</v>
      </c>
      <c r="M8">
        <f t="shared" si="3"/>
        <v>-3.1890670116990805</v>
      </c>
      <c r="N8">
        <f t="shared" si="12"/>
        <v>10.170148405107303</v>
      </c>
      <c r="O8">
        <f t="shared" si="13"/>
        <v>44374025669.341095</v>
      </c>
      <c r="P8">
        <f t="shared" si="14"/>
        <v>-5196.7960352872497</v>
      </c>
      <c r="Q8">
        <f t="shared" si="15"/>
        <v>0.71885050148998841</v>
      </c>
      <c r="R8">
        <f t="shared" si="4"/>
        <v>0.11738319200487182</v>
      </c>
      <c r="S8">
        <f t="shared" si="5"/>
        <v>7874209.2531625442</v>
      </c>
      <c r="T8">
        <f t="shared" si="6"/>
        <v>5018.6164774777208</v>
      </c>
      <c r="U8">
        <f t="shared" si="16"/>
        <v>40503.233240155416</v>
      </c>
      <c r="V8">
        <f t="shared" si="7"/>
        <v>5720.0255159504168</v>
      </c>
      <c r="W8">
        <f t="shared" si="17"/>
        <v>0.60572616586134931</v>
      </c>
      <c r="X8">
        <f t="shared" si="8"/>
        <v>9.7020007046085446E-2</v>
      </c>
      <c r="Y8">
        <f t="shared" si="9"/>
        <v>6508221.6983200992</v>
      </c>
      <c r="Z8">
        <f t="shared" si="10"/>
        <v>27002926866.851105</v>
      </c>
    </row>
    <row r="9" spans="1:26" x14ac:dyDescent="0.35">
      <c r="A9" s="2" t="s">
        <v>32</v>
      </c>
      <c r="B9" s="7">
        <v>9217265</v>
      </c>
      <c r="C9" s="18">
        <v>482.70568211573709</v>
      </c>
      <c r="D9">
        <v>124.4</v>
      </c>
      <c r="E9">
        <v>19095</v>
      </c>
      <c r="F9" s="24">
        <f>SUM('The Coolest Model'!B49:F49)</f>
        <v>218500565251.87234</v>
      </c>
      <c r="G9" s="24">
        <f t="shared" si="11"/>
        <v>23705.574837207387</v>
      </c>
      <c r="H9">
        <f>'Wage density'!D11*52</f>
        <v>32035.594967373658</v>
      </c>
      <c r="I9">
        <v>0.62185015401227495</v>
      </c>
      <c r="J9">
        <f t="shared" si="0"/>
        <v>0.84036517996890658</v>
      </c>
      <c r="K9">
        <f t="shared" si="1"/>
        <v>0.13740449107822794</v>
      </c>
      <c r="L9">
        <f t="shared" si="2"/>
        <v>9217262.6812650301</v>
      </c>
      <c r="M9">
        <f t="shared" si="3"/>
        <v>-2.3187349699437618</v>
      </c>
      <c r="N9">
        <f t="shared" si="12"/>
        <v>5.3765318608400978</v>
      </c>
      <c r="O9">
        <f t="shared" si="13"/>
        <v>461280232.46013767</v>
      </c>
      <c r="P9">
        <f t="shared" si="14"/>
        <v>8623.863001377671</v>
      </c>
      <c r="Q9">
        <f t="shared" si="15"/>
        <v>1.0665883604829811</v>
      </c>
      <c r="R9">
        <f t="shared" si="4"/>
        <v>0.17416631976917232</v>
      </c>
      <c r="S9">
        <f t="shared" si="5"/>
        <v>11683291.477188354</v>
      </c>
      <c r="T9">
        <f t="shared" si="6"/>
        <v>611.85082362861237</v>
      </c>
      <c r="U9">
        <f t="shared" si="16"/>
        <v>32276.683117549896</v>
      </c>
      <c r="V9">
        <f t="shared" si="7"/>
        <v>18701.969875398132</v>
      </c>
      <c r="W9">
        <f t="shared" si="17"/>
        <v>1.3599642750306706</v>
      </c>
      <c r="X9">
        <f t="shared" si="8"/>
        <v>0.21782737973400024</v>
      </c>
      <c r="Y9">
        <f t="shared" si="9"/>
        <v>14612129.213715948</v>
      </c>
      <c r="Z9">
        <f t="shared" si="10"/>
        <v>818283132.35053587</v>
      </c>
    </row>
    <row r="10" spans="1:26" x14ac:dyDescent="0.35">
      <c r="A10" s="2" t="s">
        <v>33</v>
      </c>
      <c r="B10" s="7">
        <v>5659143</v>
      </c>
      <c r="C10" s="18">
        <v>237.77911764705883</v>
      </c>
      <c r="D10">
        <v>100.9</v>
      </c>
      <c r="E10">
        <v>23800</v>
      </c>
      <c r="F10" s="24">
        <f>SUM('The Coolest Model'!B50:F50)</f>
        <v>23937603230.58881</v>
      </c>
      <c r="G10" s="24">
        <f t="shared" si="11"/>
        <v>4229.8989848089741</v>
      </c>
      <c r="H10">
        <f>'Wage density'!D12*52</f>
        <v>31578.366056823528</v>
      </c>
      <c r="I10">
        <v>6.9112560622852898E-2</v>
      </c>
      <c r="J10">
        <f t="shared" si="0"/>
        <v>0.51596072301273121</v>
      </c>
      <c r="K10">
        <f t="shared" si="1"/>
        <v>8.4362515548945013E-2</v>
      </c>
      <c r="L10">
        <f t="shared" si="2"/>
        <v>5659141.5620049033</v>
      </c>
      <c r="M10">
        <f t="shared" si="3"/>
        <v>-1.437995096668601</v>
      </c>
      <c r="N10">
        <f t="shared" si="12"/>
        <v>2.0678298980429393</v>
      </c>
      <c r="O10">
        <f t="shared" si="13"/>
        <v>6509165.4841372725</v>
      </c>
      <c r="P10">
        <f t="shared" si="14"/>
        <v>-3633.6232751228699</v>
      </c>
      <c r="Q10">
        <f t="shared" si="15"/>
        <v>0.45659074519897502</v>
      </c>
      <c r="R10">
        <f t="shared" si="4"/>
        <v>7.4558032581528683E-2</v>
      </c>
      <c r="S10">
        <f t="shared" si="5"/>
        <v>5001444.7556231171</v>
      </c>
      <c r="T10">
        <f t="shared" si="6"/>
        <v>210.14473763122342</v>
      </c>
      <c r="U10">
        <f t="shared" si="16"/>
        <v>31526.778196209965</v>
      </c>
      <c r="V10">
        <f t="shared" si="7"/>
        <v>4786.1376862507177</v>
      </c>
      <c r="W10">
        <f t="shared" si="17"/>
        <v>0.40278142561260094</v>
      </c>
      <c r="X10">
        <f t="shared" si="8"/>
        <v>6.4514064198296167E-2</v>
      </c>
      <c r="Y10">
        <f t="shared" si="9"/>
        <v>4327682.9722628631</v>
      </c>
      <c r="Z10">
        <f t="shared" si="10"/>
        <v>4965714.3986138226</v>
      </c>
    </row>
    <row r="11" spans="1:26" x14ac:dyDescent="0.35">
      <c r="A11" s="2" t="s">
        <v>34</v>
      </c>
      <c r="B11" s="7">
        <v>3169586</v>
      </c>
      <c r="C11" s="18">
        <v>152.5379469656865</v>
      </c>
      <c r="D11">
        <v>95.6</v>
      </c>
      <c r="E11">
        <v>20779</v>
      </c>
      <c r="F11" s="24">
        <f>SUM('The Coolest Model'!B51:F51)</f>
        <v>53207881610.097267</v>
      </c>
      <c r="G11" s="24">
        <f t="shared" si="11"/>
        <v>16787.013070507401</v>
      </c>
      <c r="H11">
        <f>'Wage density'!D13*52</f>
        <v>31419.237839395541</v>
      </c>
      <c r="I11">
        <v>0.15439997257580246</v>
      </c>
      <c r="J11">
        <f t="shared" si="0"/>
        <v>0.28898109749363871</v>
      </c>
      <c r="K11">
        <f t="shared" si="1"/>
        <v>4.7250054593897334E-2</v>
      </c>
      <c r="L11">
        <f t="shared" si="2"/>
        <v>3169591.9214759474</v>
      </c>
      <c r="M11">
        <f t="shared" si="3"/>
        <v>5.92147594736889</v>
      </c>
      <c r="N11">
        <f t="shared" si="12"/>
        <v>35.063877395268293</v>
      </c>
      <c r="O11">
        <f t="shared" si="13"/>
        <v>1640435.6689167963</v>
      </c>
      <c r="P11">
        <f t="shared" si="14"/>
        <v>4360.2854237456422</v>
      </c>
      <c r="Q11">
        <f t="shared" si="15"/>
        <v>0.32908519147518045</v>
      </c>
      <c r="R11">
        <f t="shared" si="4"/>
        <v>5.3737279360344316E-2</v>
      </c>
      <c r="S11">
        <f t="shared" si="5"/>
        <v>3604762.9575573481</v>
      </c>
      <c r="T11">
        <f t="shared" si="6"/>
        <v>173.48106056871592</v>
      </c>
      <c r="U11">
        <f t="shared" si="16"/>
        <v>31458.33444386968</v>
      </c>
      <c r="V11">
        <f t="shared" si="7"/>
        <v>14760.438407897944</v>
      </c>
      <c r="W11">
        <f t="shared" si="17"/>
        <v>0.37467680650350621</v>
      </c>
      <c r="X11">
        <f t="shared" si="8"/>
        <v>6.0012508053508364E-2</v>
      </c>
      <c r="Y11">
        <f t="shared" si="9"/>
        <v>4025713.0356517709</v>
      </c>
      <c r="Z11">
        <f t="shared" si="10"/>
        <v>2061720.2193714727</v>
      </c>
    </row>
    <row r="12" spans="1:26" x14ac:dyDescent="0.35">
      <c r="A12" s="2" t="s">
        <v>35</v>
      </c>
      <c r="B12" s="7">
        <v>5466000</v>
      </c>
      <c r="C12" s="18">
        <v>70.137169106796861</v>
      </c>
      <c r="D12">
        <v>111.2</v>
      </c>
      <c r="E12">
        <v>77933</v>
      </c>
      <c r="F12" s="24">
        <f>SUM('The Coolest Model'!B52:F52)</f>
        <v>67103633125.006485</v>
      </c>
      <c r="G12" s="24">
        <f t="shared" si="11"/>
        <v>12276.551980425629</v>
      </c>
      <c r="H12">
        <f>'Wage density'!D14*52</f>
        <v>31265.412067288569</v>
      </c>
      <c r="I12">
        <v>0.19568065892704853</v>
      </c>
      <c r="J12">
        <f t="shared" si="0"/>
        <v>0.49835136483824088</v>
      </c>
      <c r="K12">
        <f t="shared" si="1"/>
        <v>8.1483285238296496E-2</v>
      </c>
      <c r="L12">
        <f t="shared" si="2"/>
        <v>5465999.2426756276</v>
      </c>
      <c r="M12">
        <f t="shared" si="3"/>
        <v>-0.75732437241822481</v>
      </c>
      <c r="N12">
        <f t="shared" si="12"/>
        <v>0.5735402050586581</v>
      </c>
      <c r="O12">
        <f t="shared" si="13"/>
        <v>31066230.391379006</v>
      </c>
      <c r="P12">
        <f t="shared" si="14"/>
        <v>1531.1047679903368</v>
      </c>
      <c r="Q12">
        <f t="shared" si="15"/>
        <v>0.5227562295237328</v>
      </c>
      <c r="R12">
        <f t="shared" si="4"/>
        <v>8.5362387220622657E-2</v>
      </c>
      <c r="S12">
        <f t="shared" si="5"/>
        <v>5726214.1865828112</v>
      </c>
      <c r="T12">
        <f t="shared" si="6"/>
        <v>73.476116492151093</v>
      </c>
      <c r="U12">
        <f t="shared" si="16"/>
        <v>31271.645214267548</v>
      </c>
      <c r="V12">
        <f t="shared" si="7"/>
        <v>11718.67326972123</v>
      </c>
      <c r="W12">
        <f t="shared" si="17"/>
        <v>0.54774662484468661</v>
      </c>
      <c r="X12">
        <f t="shared" si="8"/>
        <v>8.7733342881650092E-2</v>
      </c>
      <c r="Y12">
        <f t="shared" si="9"/>
        <v>5885260.8157128617</v>
      </c>
      <c r="Z12">
        <f t="shared" si="10"/>
        <v>33727136.796120748</v>
      </c>
    </row>
    <row r="13" spans="1:26" x14ac:dyDescent="0.35">
      <c r="A13" s="2" t="s">
        <v>36</v>
      </c>
      <c r="B13" s="7">
        <v>1895510</v>
      </c>
      <c r="C13" s="18">
        <v>134.14791224345365</v>
      </c>
      <c r="D13">
        <v>94.8</v>
      </c>
      <c r="E13">
        <v>14130</v>
      </c>
      <c r="F13" s="24">
        <f>SUM('The Coolest Model'!B53:F53)</f>
        <v>31482067170.704018</v>
      </c>
      <c r="G13" s="24">
        <f t="shared" si="11"/>
        <v>16608.758155168802</v>
      </c>
      <c r="H13">
        <f>'Wage density'!D15*52</f>
        <v>31384.90732257608</v>
      </c>
      <c r="I13">
        <v>9.1455717592916153E-2</v>
      </c>
      <c r="J13">
        <f t="shared" si="0"/>
        <v>0.17282021894455071</v>
      </c>
      <c r="K13">
        <f t="shared" si="1"/>
        <v>2.8257089653551001E-2</v>
      </c>
      <c r="L13">
        <f t="shared" si="2"/>
        <v>1895520.414951744</v>
      </c>
      <c r="M13">
        <f t="shared" si="3"/>
        <v>10.41495174402371</v>
      </c>
      <c r="N13">
        <f t="shared" si="12"/>
        <v>108.47121983034253</v>
      </c>
      <c r="O13">
        <f>L13^(D13/100)</f>
        <v>893895.16030551074</v>
      </c>
      <c r="P13">
        <f t="shared" si="14"/>
        <v>4254.1255219884497</v>
      </c>
      <c r="Q13">
        <f t="shared" si="15"/>
        <v>0.19624545632286197</v>
      </c>
      <c r="R13">
        <f t="shared" si="4"/>
        <v>3.2045492118156396E-2</v>
      </c>
      <c r="S13">
        <f t="shared" si="5"/>
        <v>2149651.1233777129</v>
      </c>
      <c r="T13">
        <f t="shared" si="6"/>
        <v>152.13383746480631</v>
      </c>
      <c r="U13">
        <f t="shared" si="16"/>
        <v>31418.483447779301</v>
      </c>
      <c r="V13">
        <f t="shared" si="7"/>
        <v>14645.19838979115</v>
      </c>
      <c r="W13">
        <f t="shared" si="17"/>
        <v>0.22276680485365088</v>
      </c>
      <c r="X13">
        <f t="shared" si="8"/>
        <v>3.5680870655144074E-2</v>
      </c>
      <c r="Y13">
        <f t="shared" si="9"/>
        <v>2393516.7980605825</v>
      </c>
      <c r="Z13">
        <f t="shared" si="10"/>
        <v>1115132.7812155802</v>
      </c>
    </row>
    <row r="14" spans="1:26" x14ac:dyDescent="0.35">
      <c r="B14">
        <f>SUM(B2:B13)</f>
        <v>67081233</v>
      </c>
      <c r="G14" s="24">
        <f>SUM(G2:G13)</f>
        <v>123206.71807868243</v>
      </c>
      <c r="H14">
        <f>SUM(H2:H13)</f>
        <v>390608.11091972131</v>
      </c>
      <c r="J14">
        <f>SUM(J2:J13)</f>
        <v>6.1159949967753597</v>
      </c>
      <c r="K14">
        <f>SUM(K2:K13)</f>
        <v>0.99999999999999989</v>
      </c>
      <c r="N14">
        <f>SUM(N2:N13)</f>
        <v>219.27156348031536</v>
      </c>
      <c r="O14">
        <f>SUM(O2:O13)</f>
        <v>44917463486.5755</v>
      </c>
      <c r="P14">
        <f>SUM(P2:P13)</f>
        <v>-1.0004441719502211E-11</v>
      </c>
      <c r="Q14">
        <f>SUM(Q2:Q13)</f>
        <v>6.123964506435926</v>
      </c>
      <c r="W14">
        <f>SUM(W2:W13)</f>
        <v>6.2433119137336641</v>
      </c>
      <c r="Z14" s="31">
        <f>SUM(Z2:Z13)</f>
        <v>27899857786.507435</v>
      </c>
    </row>
    <row r="18" spans="15:15" x14ac:dyDescent="0.35">
      <c r="O18">
        <f>Z14-O14</f>
        <v>-17017605700.068066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493A-2C47-4389-BAC2-7F63398794FF}">
  <dimension ref="A1:E18"/>
  <sheetViews>
    <sheetView workbookViewId="0">
      <selection activeCell="F10" sqref="F10"/>
    </sheetView>
  </sheetViews>
  <sheetFormatPr baseColWidth="10" defaultColWidth="8.81640625" defaultRowHeight="14.5" x14ac:dyDescent="0.35"/>
  <sheetData>
    <row r="1" spans="1:5" x14ac:dyDescent="0.35">
      <c r="A1" t="s">
        <v>137</v>
      </c>
    </row>
    <row r="2" spans="1:5" x14ac:dyDescent="0.35">
      <c r="A2" s="2" t="s">
        <v>0</v>
      </c>
      <c r="B2" s="5" t="s">
        <v>17</v>
      </c>
      <c r="C2" t="s">
        <v>14</v>
      </c>
      <c r="D2" t="s">
        <v>110</v>
      </c>
      <c r="E2" t="s">
        <v>111</v>
      </c>
    </row>
    <row r="3" spans="1:5" x14ac:dyDescent="0.35">
      <c r="A3" s="2" t="s">
        <v>25</v>
      </c>
      <c r="B3" s="43">
        <v>98.4</v>
      </c>
      <c r="C3">
        <v>312.00686685288639</v>
      </c>
    </row>
    <row r="4" spans="1:5" x14ac:dyDescent="0.35">
      <c r="A4" s="2" t="s">
        <v>26</v>
      </c>
      <c r="B4">
        <v>103.2</v>
      </c>
      <c r="C4">
        <v>520.11683727497348</v>
      </c>
    </row>
    <row r="5" spans="1:5" x14ac:dyDescent="0.35">
      <c r="A5" s="2" t="s">
        <v>27</v>
      </c>
      <c r="B5">
        <v>96.7</v>
      </c>
      <c r="C5">
        <v>358.38845654993514</v>
      </c>
    </row>
    <row r="6" spans="1:5" x14ac:dyDescent="0.35">
      <c r="A6" s="2" t="s">
        <v>28</v>
      </c>
      <c r="B6">
        <v>98.6</v>
      </c>
      <c r="C6">
        <v>311.35745824534462</v>
      </c>
    </row>
    <row r="7" spans="1:5" x14ac:dyDescent="0.35">
      <c r="A7" s="2" t="s">
        <v>29</v>
      </c>
      <c r="B7">
        <v>99.1</v>
      </c>
      <c r="C7">
        <v>458.68048930604709</v>
      </c>
    </row>
    <row r="8" spans="1:5" x14ac:dyDescent="0.35">
      <c r="A8" s="2" t="s">
        <v>30</v>
      </c>
      <c r="B8">
        <v>105.7</v>
      </c>
      <c r="C8">
        <v>327.88498953974897</v>
      </c>
    </row>
    <row r="9" spans="1:5" x14ac:dyDescent="0.35">
      <c r="A9" s="2" t="s">
        <v>31</v>
      </c>
      <c r="B9">
        <v>153.1</v>
      </c>
      <c r="C9">
        <v>5737.7233906947104</v>
      </c>
    </row>
    <row r="10" spans="1:5" x14ac:dyDescent="0.35">
      <c r="A10" s="2" t="s">
        <v>32</v>
      </c>
      <c r="B10">
        <v>124.4</v>
      </c>
      <c r="C10">
        <v>482.70568211573709</v>
      </c>
    </row>
    <row r="11" spans="1:5" x14ac:dyDescent="0.35">
      <c r="A11" s="2" t="s">
        <v>33</v>
      </c>
      <c r="B11">
        <v>100.9</v>
      </c>
      <c r="C11">
        <v>237.77911764705883</v>
      </c>
    </row>
    <row r="12" spans="1:5" x14ac:dyDescent="0.35">
      <c r="A12" s="2" t="s">
        <v>34</v>
      </c>
      <c r="B12">
        <v>95.6</v>
      </c>
      <c r="C12">
        <v>152.5379469656865</v>
      </c>
    </row>
    <row r="13" spans="1:5" x14ac:dyDescent="0.35">
      <c r="A13" s="2" t="s">
        <v>35</v>
      </c>
      <c r="B13">
        <v>111.2</v>
      </c>
      <c r="C13">
        <v>70.137169106796861</v>
      </c>
    </row>
    <row r="14" spans="1:5" x14ac:dyDescent="0.35">
      <c r="A14" s="2" t="s">
        <v>36</v>
      </c>
      <c r="B14">
        <v>94.8</v>
      </c>
      <c r="C14">
        <v>134.14791224345365</v>
      </c>
    </row>
    <row r="18" spans="2:2" x14ac:dyDescent="0.35">
      <c r="B18" t="s">
        <v>138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6773F-9C0C-403E-B220-EB06D90D1A1E}">
  <dimension ref="A1:Y72"/>
  <sheetViews>
    <sheetView topLeftCell="K1" zoomScaleNormal="70" workbookViewId="0">
      <selection activeCell="S33" sqref="S33"/>
    </sheetView>
  </sheetViews>
  <sheetFormatPr baseColWidth="10" defaultColWidth="8.54296875" defaultRowHeight="15" customHeight="1" x14ac:dyDescent="0.35"/>
  <cols>
    <col min="1" max="1" width="22.81640625" bestFit="1" customWidth="1"/>
    <col min="2" max="5" width="21" customWidth="1"/>
    <col min="6" max="6" width="8" customWidth="1"/>
    <col min="7" max="7" width="13.453125" customWidth="1"/>
    <col min="8" max="8" width="22.453125" bestFit="1" customWidth="1"/>
    <col min="9" max="9" width="21.453125" customWidth="1"/>
    <col min="10" max="10" width="20.54296875" bestFit="1" customWidth="1"/>
    <col min="11" max="11" width="17.453125" customWidth="1"/>
    <col min="12" max="12" width="21.453125" bestFit="1" customWidth="1"/>
    <col min="13" max="13" width="9.81640625" bestFit="1" customWidth="1"/>
    <col min="15" max="15" width="16.453125" customWidth="1"/>
    <col min="19" max="19" width="18.453125" customWidth="1"/>
    <col min="20" max="20" width="26" bestFit="1" customWidth="1"/>
    <col min="21" max="21" width="31.453125" customWidth="1"/>
    <col min="22" max="23" width="18.54296875" bestFit="1" customWidth="1"/>
  </cols>
  <sheetData>
    <row r="1" spans="1:25" ht="14.5" x14ac:dyDescent="0.35">
      <c r="A1" s="2" t="s">
        <v>0</v>
      </c>
      <c r="B1" s="3" t="s">
        <v>1</v>
      </c>
      <c r="C1" s="3" t="s">
        <v>2</v>
      </c>
      <c r="D1" s="32" t="s">
        <v>3</v>
      </c>
      <c r="E1" s="3" t="s">
        <v>4</v>
      </c>
      <c r="F1" s="3" t="s">
        <v>5</v>
      </c>
      <c r="G1" s="11" t="s">
        <v>6</v>
      </c>
      <c r="H1" s="14" t="s">
        <v>7</v>
      </c>
      <c r="I1" s="12" t="s">
        <v>8</v>
      </c>
      <c r="J1" s="26" t="s">
        <v>9</v>
      </c>
      <c r="K1" s="14" t="s">
        <v>10</v>
      </c>
      <c r="L1" s="12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S1" s="50" t="s">
        <v>18</v>
      </c>
      <c r="T1" t="s">
        <v>19</v>
      </c>
      <c r="U1" t="s">
        <v>20</v>
      </c>
      <c r="V1" s="8" t="s">
        <v>21</v>
      </c>
      <c r="W1" t="s">
        <v>22</v>
      </c>
      <c r="Y1" t="s">
        <v>24</v>
      </c>
    </row>
    <row r="2" spans="1:25" ht="15.5" x14ac:dyDescent="0.35">
      <c r="A2" s="2" t="s">
        <v>25</v>
      </c>
      <c r="B2" s="19">
        <v>1.3102166180000001</v>
      </c>
      <c r="C2" s="6">
        <v>34.645431889999998</v>
      </c>
      <c r="D2" s="33">
        <v>1.6000000000000001E-3</v>
      </c>
      <c r="E2" s="16">
        <v>14821.2</v>
      </c>
      <c r="F2" s="1"/>
      <c r="G2" s="6">
        <v>61951</v>
      </c>
      <c r="H2" s="51">
        <v>36</v>
      </c>
      <c r="I2" s="13">
        <v>61657549</v>
      </c>
      <c r="J2" s="27">
        <v>58.694167</v>
      </c>
      <c r="K2" s="9">
        <v>11225.234524281652</v>
      </c>
      <c r="L2" s="13">
        <v>641820</v>
      </c>
      <c r="M2" s="7">
        <v>2680763</v>
      </c>
      <c r="N2" s="1">
        <v>8592</v>
      </c>
      <c r="O2" s="1">
        <f>M2/N2</f>
        <v>312.00686685288639</v>
      </c>
      <c r="P2" s="1">
        <v>575.20000000000005</v>
      </c>
      <c r="S2" s="52">
        <v>17494388777</v>
      </c>
      <c r="T2" s="52">
        <f t="shared" ref="T2:T13" si="0">$H$22*H2</f>
        <v>1080000000</v>
      </c>
      <c r="U2" s="24">
        <f>L2*$L$18/SUM($L$2:$L$13)</f>
        <v>393698856.21049005</v>
      </c>
      <c r="V2" s="25">
        <v>2621653523.1459799</v>
      </c>
      <c r="W2" s="29">
        <f t="shared" ref="W2:W13" si="1">V2*0.86</f>
        <v>2254622029.9055429</v>
      </c>
      <c r="Y2">
        <f t="shared" ref="Y2:Y13" si="2">$Y$16*E2*1000</f>
        <v>1067126400.0000001</v>
      </c>
    </row>
    <row r="3" spans="1:25" ht="15.5" x14ac:dyDescent="0.35">
      <c r="A3" s="2" t="s">
        <v>26</v>
      </c>
      <c r="B3" s="19">
        <v>1.2341320579999999</v>
      </c>
      <c r="C3" s="6">
        <v>47.902948199999997</v>
      </c>
      <c r="D3" s="33">
        <v>1.1000000000000001E-3</v>
      </c>
      <c r="E3" s="16">
        <v>41921.9</v>
      </c>
      <c r="F3" s="1"/>
      <c r="G3" s="6">
        <v>208183</v>
      </c>
      <c r="H3" s="51">
        <v>408</v>
      </c>
      <c r="I3" s="13">
        <v>7367456</v>
      </c>
      <c r="J3" s="27">
        <v>155.04226999999997</v>
      </c>
      <c r="K3" s="9">
        <v>30849.952130080681</v>
      </c>
      <c r="L3" s="13">
        <v>1066920</v>
      </c>
      <c r="M3" s="7">
        <v>7367455</v>
      </c>
      <c r="N3" s="1">
        <v>14165</v>
      </c>
      <c r="O3" s="1">
        <f>M3/N3</f>
        <v>520.11683727497348</v>
      </c>
      <c r="P3" s="1">
        <v>602.29999999999995</v>
      </c>
      <c r="S3" s="52">
        <v>46211913158</v>
      </c>
      <c r="T3" s="52">
        <f t="shared" si="0"/>
        <v>12240000000</v>
      </c>
      <c r="U3" s="24">
        <f t="shared" ref="U3:U13" si="3">L3*$L$18/SUM($L$2:$L$13)</f>
        <v>654459480.33419967</v>
      </c>
      <c r="V3" s="25">
        <v>7205006319.9803429</v>
      </c>
      <c r="W3" s="29">
        <f t="shared" si="1"/>
        <v>6196305435.183095</v>
      </c>
      <c r="Y3">
        <f t="shared" si="2"/>
        <v>3018376800.0000005</v>
      </c>
    </row>
    <row r="4" spans="1:25" ht="15.5" x14ac:dyDescent="0.35">
      <c r="A4" s="2" t="s">
        <v>27</v>
      </c>
      <c r="B4" s="19">
        <v>1.5631266720000001</v>
      </c>
      <c r="C4" s="6">
        <v>33.814793280000004</v>
      </c>
      <c r="D4" s="33">
        <v>6.8999999999999999E-3</v>
      </c>
      <c r="E4" s="16">
        <v>36938.699999999997</v>
      </c>
      <c r="F4" s="1"/>
      <c r="G4" s="6">
        <v>142008</v>
      </c>
      <c r="H4" s="51">
        <v>277</v>
      </c>
      <c r="I4" s="13">
        <v>143685100</v>
      </c>
      <c r="J4" s="27">
        <v>174.13553999999996</v>
      </c>
      <c r="K4" s="9">
        <v>23140.641232837032</v>
      </c>
      <c r="L4" s="13">
        <v>1204530</v>
      </c>
      <c r="M4" s="7">
        <v>5526350</v>
      </c>
      <c r="N4" s="1">
        <v>15420</v>
      </c>
      <c r="O4" s="1">
        <f t="shared" ref="O4:O13" si="4">M4/N4</f>
        <v>358.38845654993514</v>
      </c>
      <c r="P4" s="1">
        <v>579.1</v>
      </c>
      <c r="S4" s="52">
        <v>51902854958</v>
      </c>
      <c r="T4" s="52">
        <f t="shared" si="0"/>
        <v>8310000000</v>
      </c>
      <c r="U4" s="24">
        <f t="shared" si="3"/>
        <v>738870841.15674424</v>
      </c>
      <c r="V4" s="25">
        <v>5404496759.9290895</v>
      </c>
      <c r="W4" s="29">
        <f t="shared" si="1"/>
        <v>4647867213.5390167</v>
      </c>
      <c r="Y4">
        <f t="shared" si="2"/>
        <v>2659586400</v>
      </c>
    </row>
    <row r="5" spans="1:25" ht="15.5" x14ac:dyDescent="0.35">
      <c r="A5" s="2" t="s">
        <v>28</v>
      </c>
      <c r="B5" s="19">
        <v>1.0596758500000001</v>
      </c>
      <c r="C5" s="6">
        <v>28.587058500000001</v>
      </c>
      <c r="D5" s="33">
        <v>2.2000000000000001E-3</v>
      </c>
      <c r="E5" s="16">
        <v>30197.7</v>
      </c>
      <c r="F5" s="1"/>
      <c r="G5" s="6">
        <v>126289</v>
      </c>
      <c r="H5" s="51">
        <v>124</v>
      </c>
      <c r="I5" s="13">
        <v>111908409</v>
      </c>
      <c r="J5" s="27">
        <v>1.606792</v>
      </c>
      <c r="K5" s="9">
        <v>20373.792935950656</v>
      </c>
      <c r="L5" s="13">
        <v>1204620</v>
      </c>
      <c r="M5" s="7">
        <v>4865583</v>
      </c>
      <c r="N5" s="1">
        <v>15627</v>
      </c>
      <c r="O5" s="1">
        <f t="shared" si="4"/>
        <v>311.35745824534462</v>
      </c>
      <c r="P5" s="1">
        <v>594.1</v>
      </c>
      <c r="S5" s="52">
        <v>478920570</v>
      </c>
      <c r="T5" s="52">
        <f t="shared" si="0"/>
        <v>3720000000</v>
      </c>
      <c r="U5" s="24">
        <f t="shared" si="3"/>
        <v>738926048.06375706</v>
      </c>
      <c r="V5" s="25">
        <v>4758299340.1912756</v>
      </c>
      <c r="W5" s="29">
        <f t="shared" si="1"/>
        <v>4092137432.564497</v>
      </c>
      <c r="Y5">
        <f t="shared" si="2"/>
        <v>2174234400</v>
      </c>
    </row>
    <row r="6" spans="1:25" ht="15.5" x14ac:dyDescent="0.35">
      <c r="A6" s="2" t="s">
        <v>29</v>
      </c>
      <c r="B6" s="19">
        <v>0.93162238799999997</v>
      </c>
      <c r="C6" s="6">
        <v>31.715924359999999</v>
      </c>
      <c r="D6" s="33">
        <v>6.9999999999999999E-4</v>
      </c>
      <c r="E6" s="16">
        <v>31551.8</v>
      </c>
      <c r="F6" s="1"/>
      <c r="G6" s="6">
        <v>156685</v>
      </c>
      <c r="H6" s="51">
        <v>277</v>
      </c>
      <c r="I6" s="13">
        <v>155010154</v>
      </c>
      <c r="J6" s="27">
        <v>0</v>
      </c>
      <c r="K6" s="9">
        <v>24964.55346560512</v>
      </c>
      <c r="L6" s="13">
        <v>942730</v>
      </c>
      <c r="M6" s="7">
        <v>5961929</v>
      </c>
      <c r="N6" s="1">
        <v>12998</v>
      </c>
      <c r="O6" s="1">
        <f t="shared" si="4"/>
        <v>458.68048930604709</v>
      </c>
      <c r="P6" s="1">
        <v>617.5</v>
      </c>
      <c r="S6" s="50">
        <v>0</v>
      </c>
      <c r="T6" s="52">
        <f t="shared" si="0"/>
        <v>8310000000</v>
      </c>
      <c r="U6" s="24">
        <f t="shared" si="3"/>
        <v>578280082.757339</v>
      </c>
      <c r="V6" s="25">
        <v>5830471461.8920765</v>
      </c>
      <c r="W6" s="29">
        <f t="shared" si="1"/>
        <v>5014205457.2271852</v>
      </c>
      <c r="Y6">
        <f t="shared" si="2"/>
        <v>2271729600</v>
      </c>
    </row>
    <row r="7" spans="1:25" ht="15.5" x14ac:dyDescent="0.35">
      <c r="A7" s="2" t="s">
        <v>30</v>
      </c>
      <c r="B7" s="19">
        <v>1.5867529570000001</v>
      </c>
      <c r="C7" s="6">
        <v>26.11977272</v>
      </c>
      <c r="D7" s="33">
        <v>8.0000000000000004E-4</v>
      </c>
      <c r="E7" s="35">
        <v>36562.199999999997</v>
      </c>
      <c r="F7" s="1"/>
      <c r="G7" s="6">
        <v>182910</v>
      </c>
      <c r="H7" s="51">
        <v>165</v>
      </c>
      <c r="I7" s="13">
        <v>156729025</v>
      </c>
      <c r="J7" s="27">
        <v>164.12869599999996</v>
      </c>
      <c r="K7" s="9">
        <v>26251.034685080362</v>
      </c>
      <c r="L7" s="13">
        <v>1412160</v>
      </c>
      <c r="M7" s="7">
        <v>6269161</v>
      </c>
      <c r="N7" s="1">
        <v>19120</v>
      </c>
      <c r="O7" s="1">
        <f t="shared" si="4"/>
        <v>327.88498953974897</v>
      </c>
      <c r="P7" s="1">
        <v>632.4</v>
      </c>
      <c r="S7" s="52">
        <v>48920214122</v>
      </c>
      <c r="T7" s="52">
        <f t="shared" si="0"/>
        <v>4950000000</v>
      </c>
      <c r="U7" s="24">
        <f t="shared" si="3"/>
        <v>866233175.63523364</v>
      </c>
      <c r="V7" s="25">
        <v>6130929150.7005186</v>
      </c>
      <c r="W7" s="29">
        <f t="shared" si="1"/>
        <v>5272599069.6024456</v>
      </c>
      <c r="Y7">
        <f t="shared" si="2"/>
        <v>2632478400</v>
      </c>
    </row>
    <row r="8" spans="1:25" ht="15.5" x14ac:dyDescent="0.35">
      <c r="A8" s="2" t="s">
        <v>31</v>
      </c>
      <c r="B8" s="19">
        <v>1.703314869</v>
      </c>
      <c r="C8" s="6">
        <v>29.982496210000001</v>
      </c>
      <c r="D8" s="37">
        <v>1E-3</v>
      </c>
      <c r="E8" s="9">
        <v>28369.3</v>
      </c>
      <c r="G8" s="6">
        <v>503904</v>
      </c>
      <c r="H8" s="51">
        <v>37</v>
      </c>
      <c r="I8" s="13">
        <v>414114448</v>
      </c>
      <c r="J8" s="27">
        <v>156.40624400000002</v>
      </c>
      <c r="K8" s="9">
        <v>37696.371929197499</v>
      </c>
      <c r="L8" s="13">
        <v>12690</v>
      </c>
      <c r="M8" s="7">
        <v>9002488</v>
      </c>
      <c r="N8" s="1">
        <v>1569</v>
      </c>
      <c r="O8" s="1">
        <f t="shared" si="4"/>
        <v>5737.7233906947104</v>
      </c>
      <c r="P8" s="1">
        <v>804.9</v>
      </c>
      <c r="S8" s="52">
        <v>46618459373</v>
      </c>
      <c r="T8" s="52">
        <f t="shared" si="0"/>
        <v>1110000000</v>
      </c>
      <c r="U8" s="24">
        <f t="shared" si="3"/>
        <v>7784173.8888023421</v>
      </c>
      <c r="V8" s="25">
        <v>8803987664.0640774</v>
      </c>
      <c r="W8" s="29">
        <f t="shared" si="1"/>
        <v>7571429391.0951061</v>
      </c>
      <c r="Y8">
        <f t="shared" si="2"/>
        <v>2042589599.9999998</v>
      </c>
    </row>
    <row r="9" spans="1:25" ht="15.5" x14ac:dyDescent="0.35">
      <c r="A9" s="2" t="s">
        <v>32</v>
      </c>
      <c r="B9" s="19">
        <v>1.370755049</v>
      </c>
      <c r="C9" s="6">
        <v>35.482145760000002</v>
      </c>
      <c r="D9" s="33">
        <v>1.4E-3</v>
      </c>
      <c r="E9" s="36">
        <v>40399.599999999999</v>
      </c>
      <c r="F9" s="17"/>
      <c r="G9" s="6">
        <v>318142</v>
      </c>
      <c r="H9" s="51">
        <v>410</v>
      </c>
      <c r="I9" s="13">
        <v>239648890</v>
      </c>
      <c r="J9" s="27">
        <v>798.04050900000027</v>
      </c>
      <c r="K9" s="9">
        <v>38595.713719360094</v>
      </c>
      <c r="L9" s="13">
        <v>1174100</v>
      </c>
      <c r="M9" s="7">
        <v>9217265</v>
      </c>
      <c r="N9" s="1">
        <v>19095</v>
      </c>
      <c r="O9" s="1">
        <f t="shared" si="4"/>
        <v>482.70568211573709</v>
      </c>
      <c r="P9" s="1">
        <v>664.3</v>
      </c>
      <c r="S9" s="52">
        <v>237864027008</v>
      </c>
      <c r="T9" s="52">
        <f t="shared" si="0"/>
        <v>12300000000</v>
      </c>
      <c r="U9" s="24">
        <f t="shared" si="3"/>
        <v>720204772.48564458</v>
      </c>
      <c r="V9" s="25">
        <v>9014028939.1565495</v>
      </c>
      <c r="W9" s="29">
        <f t="shared" si="1"/>
        <v>7752064887.6746321</v>
      </c>
      <c r="Y9">
        <f t="shared" si="2"/>
        <v>2908771199.9999995</v>
      </c>
    </row>
    <row r="10" spans="1:25" ht="15.5" x14ac:dyDescent="0.35">
      <c r="A10" s="2" t="s">
        <v>33</v>
      </c>
      <c r="B10" s="19">
        <v>0.71819934600000002</v>
      </c>
      <c r="C10" s="6">
        <v>45.665820549999999</v>
      </c>
      <c r="D10" s="33">
        <v>1.6999999999999999E-3</v>
      </c>
      <c r="E10" s="16">
        <v>30372.1</v>
      </c>
      <c r="F10" s="9"/>
      <c r="G10" s="16">
        <v>158524</v>
      </c>
      <c r="H10" s="51">
        <v>204</v>
      </c>
      <c r="I10" s="13">
        <v>130160289</v>
      </c>
      <c r="J10" s="27">
        <v>49.429954000000009</v>
      </c>
      <c r="K10" s="9">
        <v>23696.689107335053</v>
      </c>
      <c r="L10" s="13">
        <v>1853350</v>
      </c>
      <c r="M10" s="7">
        <v>5659143</v>
      </c>
      <c r="N10" s="1">
        <v>23800</v>
      </c>
      <c r="O10" s="1">
        <f t="shared" si="4"/>
        <v>237.77911764705883</v>
      </c>
      <c r="P10" s="1">
        <v>611.29999999999995</v>
      </c>
      <c r="S10" s="52">
        <v>14733096604</v>
      </c>
      <c r="T10" s="52">
        <f t="shared" si="0"/>
        <v>6120000000</v>
      </c>
      <c r="U10" s="24">
        <f t="shared" si="3"/>
        <v>1136863567.912673</v>
      </c>
      <c r="V10" s="25">
        <v>5534361741.0181017</v>
      </c>
      <c r="W10" s="29">
        <f t="shared" si="1"/>
        <v>4759551097.2755671</v>
      </c>
      <c r="Y10">
        <f t="shared" si="2"/>
        <v>2186791199.9999995</v>
      </c>
    </row>
    <row r="11" spans="1:25" ht="15.5" x14ac:dyDescent="0.35">
      <c r="A11" s="2" t="s">
        <v>34</v>
      </c>
      <c r="B11" s="19">
        <v>0.71009312300000005</v>
      </c>
      <c r="C11" s="6">
        <v>58.769755340000003</v>
      </c>
      <c r="D11" s="33">
        <v>1.1000000000000001E-3</v>
      </c>
      <c r="E11" s="16">
        <v>27303</v>
      </c>
      <c r="F11" s="9"/>
      <c r="G11" s="16">
        <v>75695</v>
      </c>
      <c r="H11" s="51">
        <v>88</v>
      </c>
      <c r="I11" s="13">
        <v>69730892</v>
      </c>
      <c r="J11" s="27">
        <v>184.635805</v>
      </c>
      <c r="K11" s="9">
        <v>28608.344944004115</v>
      </c>
      <c r="L11" s="13">
        <v>1741260</v>
      </c>
      <c r="M11" s="7">
        <v>3169586</v>
      </c>
      <c r="N11" s="1">
        <v>20779</v>
      </c>
      <c r="O11" s="1">
        <f t="shared" si="4"/>
        <v>152.5379469656865</v>
      </c>
      <c r="P11" s="1">
        <v>598.1</v>
      </c>
      <c r="S11" s="52">
        <v>55032564903</v>
      </c>
      <c r="T11" s="52">
        <f t="shared" si="0"/>
        <v>2640000000</v>
      </c>
      <c r="U11" s="24">
        <f t="shared" si="3"/>
        <v>1068106432.2786419</v>
      </c>
      <c r="V11" s="25">
        <v>6681478961.6721611</v>
      </c>
      <c r="W11" s="29">
        <f t="shared" si="1"/>
        <v>5746071907.0380583</v>
      </c>
      <c r="Y11">
        <f t="shared" si="2"/>
        <v>1965816000</v>
      </c>
    </row>
    <row r="12" spans="1:25" ht="15.5" x14ac:dyDescent="0.35">
      <c r="A12" s="2" t="s">
        <v>35</v>
      </c>
      <c r="B12" s="39">
        <v>0.83530936</v>
      </c>
      <c r="C12" s="6">
        <v>54.744718396666663</v>
      </c>
      <c r="D12" s="33">
        <v>6.9999999999999999E-4</v>
      </c>
      <c r="E12" s="16">
        <v>37944.699999999997</v>
      </c>
      <c r="F12" s="10"/>
      <c r="G12" s="6">
        <v>161954</v>
      </c>
      <c r="H12" s="51">
        <v>295</v>
      </c>
      <c r="I12" s="13">
        <v>142116000</v>
      </c>
      <c r="J12" s="9">
        <v>181.81082099999998</v>
      </c>
      <c r="K12" s="28">
        <v>49969.431582686353</v>
      </c>
      <c r="L12" s="9">
        <v>5984840</v>
      </c>
      <c r="M12" s="7">
        <v>5466000</v>
      </c>
      <c r="N12" s="1">
        <v>77933</v>
      </c>
      <c r="O12" s="1">
        <f t="shared" si="4"/>
        <v>70.137169106796861</v>
      </c>
      <c r="P12" s="1">
        <v>640.5</v>
      </c>
      <c r="S12" s="52">
        <v>54190549914</v>
      </c>
      <c r="T12" s="52">
        <f t="shared" si="0"/>
        <v>8850000000</v>
      </c>
      <c r="U12" s="24">
        <f t="shared" si="3"/>
        <v>3671161170.7375736</v>
      </c>
      <c r="V12" s="25">
        <v>11670360746.136398</v>
      </c>
      <c r="W12" s="29">
        <f t="shared" si="1"/>
        <v>10036510241.677303</v>
      </c>
      <c r="Y12">
        <f t="shared" si="2"/>
        <v>2732018400</v>
      </c>
    </row>
    <row r="13" spans="1:25" ht="15.5" x14ac:dyDescent="0.35">
      <c r="A13" s="2" t="s">
        <v>36</v>
      </c>
      <c r="B13" s="19">
        <v>0.49093467699999999</v>
      </c>
      <c r="C13" s="6">
        <v>39.673127600000001</v>
      </c>
      <c r="D13" s="34">
        <v>6.9999999999999999E-4</v>
      </c>
      <c r="E13" s="16">
        <v>21145.7</v>
      </c>
      <c r="F13" s="1"/>
      <c r="G13" s="6">
        <v>48478</v>
      </c>
      <c r="H13" s="9">
        <v>70</v>
      </c>
      <c r="I13" s="13">
        <v>53074280</v>
      </c>
      <c r="J13" s="9">
        <v>177.186172</v>
      </c>
      <c r="K13" s="9">
        <v>9389.1786433077941</v>
      </c>
      <c r="L13" s="9">
        <v>1055430</v>
      </c>
      <c r="M13" s="7">
        <v>1895510</v>
      </c>
      <c r="N13" s="1">
        <v>14130</v>
      </c>
      <c r="O13" s="1">
        <f t="shared" si="4"/>
        <v>134.14791224345365</v>
      </c>
      <c r="P13" s="1">
        <v>591.6</v>
      </c>
      <c r="S13" s="52">
        <v>52812126611</v>
      </c>
      <c r="T13" s="52">
        <f t="shared" si="0"/>
        <v>2100000000</v>
      </c>
      <c r="U13" s="24">
        <f t="shared" si="3"/>
        <v>647411398.53890109</v>
      </c>
      <c r="V13" s="25">
        <v>2192842672.1445355</v>
      </c>
      <c r="W13" s="29">
        <f t="shared" si="1"/>
        <v>1885844698.0443006</v>
      </c>
      <c r="Y13">
        <f t="shared" si="2"/>
        <v>1522490400.0000002</v>
      </c>
    </row>
    <row r="14" spans="1:25" ht="14.5" x14ac:dyDescent="0.35">
      <c r="A14" s="2" t="s">
        <v>37</v>
      </c>
      <c r="B14" s="1" t="s">
        <v>38</v>
      </c>
      <c r="C14" s="1" t="s">
        <v>139</v>
      </c>
      <c r="D14" s="10"/>
      <c r="E14" s="1" t="s">
        <v>40</v>
      </c>
      <c r="F14" s="1"/>
      <c r="G14" s="6" t="s">
        <v>41</v>
      </c>
      <c r="H14" s="9" t="s">
        <v>42</v>
      </c>
      <c r="I14" s="13" t="s">
        <v>43</v>
      </c>
      <c r="J14" s="9" t="s">
        <v>140</v>
      </c>
      <c r="K14" s="9" t="s">
        <v>45</v>
      </c>
      <c r="L14" s="9" t="s">
        <v>46</v>
      </c>
      <c r="M14" s="7" t="s">
        <v>47</v>
      </c>
      <c r="N14" s="1" t="s">
        <v>48</v>
      </c>
      <c r="O14" s="1" t="s">
        <v>49</v>
      </c>
      <c r="P14" s="1" t="s">
        <v>50</v>
      </c>
    </row>
    <row r="15" spans="1:25" ht="14.5" x14ac:dyDescent="0.35">
      <c r="A15" s="2" t="s">
        <v>51</v>
      </c>
      <c r="B15" s="1"/>
      <c r="C15" s="1" t="s">
        <v>52</v>
      </c>
      <c r="D15" s="1"/>
      <c r="E15" s="21" t="s">
        <v>53</v>
      </c>
      <c r="F15" s="1"/>
      <c r="G15" s="1" t="s">
        <v>54</v>
      </c>
      <c r="H15" s="20" t="s">
        <v>55</v>
      </c>
      <c r="I15" s="10"/>
      <c r="J15" s="10" t="s">
        <v>44</v>
      </c>
      <c r="K15" s="38" t="s">
        <v>56</v>
      </c>
      <c r="L15" s="9" t="s">
        <v>57</v>
      </c>
      <c r="M15" s="7" t="s">
        <v>54</v>
      </c>
      <c r="N15" s="1"/>
      <c r="O15" s="1"/>
      <c r="P15" s="1" t="s">
        <v>58</v>
      </c>
      <c r="Y15" t="s">
        <v>59</v>
      </c>
    </row>
    <row r="16" spans="1:25" ht="15" customHeight="1" x14ac:dyDescent="0.35">
      <c r="H16" s="15" t="s">
        <v>60</v>
      </c>
      <c r="Y16">
        <v>72</v>
      </c>
    </row>
    <row r="17" spans="1:25" ht="15" customHeight="1" x14ac:dyDescent="0.35">
      <c r="G17" s="50" t="s">
        <v>61</v>
      </c>
      <c r="H17" t="s">
        <v>62</v>
      </c>
      <c r="J17" s="50" t="s">
        <v>63</v>
      </c>
      <c r="K17" t="s">
        <v>64</v>
      </c>
      <c r="L17" s="22" t="s">
        <v>65</v>
      </c>
      <c r="O17" t="s">
        <v>66</v>
      </c>
      <c r="Y17" t="s">
        <v>68</v>
      </c>
    </row>
    <row r="18" spans="1:25" ht="14.5" x14ac:dyDescent="0.35">
      <c r="A18" s="18" t="s">
        <v>69</v>
      </c>
      <c r="G18" s="50">
        <v>2144723</v>
      </c>
      <c r="H18">
        <v>12170000000</v>
      </c>
      <c r="J18" s="50"/>
      <c r="L18">
        <v>11222000000</v>
      </c>
      <c r="O18">
        <f>AVERAGE(P2:P13)*54</f>
        <v>33800.850000000006</v>
      </c>
      <c r="Y18" s="15" t="s">
        <v>70</v>
      </c>
    </row>
    <row r="19" spans="1:25" ht="14.5" x14ac:dyDescent="0.35">
      <c r="H19" t="s">
        <v>71</v>
      </c>
      <c r="J19" s="50" t="s">
        <v>72</v>
      </c>
      <c r="K19" t="s">
        <v>73</v>
      </c>
      <c r="L19" t="s">
        <v>74</v>
      </c>
    </row>
    <row r="20" spans="1:25" ht="14.5" x14ac:dyDescent="0.35">
      <c r="J20" s="50" t="s">
        <v>63</v>
      </c>
    </row>
    <row r="21" spans="1:25" ht="14.5" x14ac:dyDescent="0.35">
      <c r="H21" t="s">
        <v>76</v>
      </c>
      <c r="J21" s="50">
        <v>747.9</v>
      </c>
      <c r="K21" s="23">
        <v>24.61</v>
      </c>
      <c r="L21" s="23">
        <v>22.1</v>
      </c>
    </row>
    <row r="22" spans="1:25" ht="14.5" x14ac:dyDescent="0.35">
      <c r="A22" s="30" t="s">
        <v>141</v>
      </c>
      <c r="H22" s="52">
        <v>30000000</v>
      </c>
      <c r="J22" s="50" t="s">
        <v>77</v>
      </c>
      <c r="K22">
        <f>(K21+L21)/2</f>
        <v>23.355</v>
      </c>
      <c r="L22" t="s">
        <v>78</v>
      </c>
    </row>
    <row r="23" spans="1:25" ht="14.5" x14ac:dyDescent="0.35">
      <c r="J23" s="50">
        <v>819.9</v>
      </c>
      <c r="K23">
        <f>0.23355</f>
        <v>0.23355000000000001</v>
      </c>
      <c r="L23" t="s">
        <v>79</v>
      </c>
    </row>
    <row r="24" spans="1:25" ht="14.5" x14ac:dyDescent="0.35">
      <c r="A24" s="2" t="s">
        <v>0</v>
      </c>
      <c r="B24" s="3" t="s">
        <v>1</v>
      </c>
      <c r="C24" s="3" t="s">
        <v>2</v>
      </c>
      <c r="D24" s="32" t="s">
        <v>3</v>
      </c>
      <c r="E24" s="3" t="s">
        <v>4</v>
      </c>
      <c r="F24" s="3" t="s">
        <v>5</v>
      </c>
      <c r="J24" s="50" t="s">
        <v>68</v>
      </c>
      <c r="K24" s="15" t="s">
        <v>81</v>
      </c>
      <c r="L24" s="15" t="s">
        <v>82</v>
      </c>
    </row>
    <row r="25" spans="1:25" ht="15.5" x14ac:dyDescent="0.35">
      <c r="A25" s="2" t="s">
        <v>25</v>
      </c>
      <c r="B25" s="19">
        <f>B2/MAX(B$2:B$13)</f>
        <v>0.76921574621679656</v>
      </c>
      <c r="C25" s="19">
        <f t="shared" ref="C25:E25" si="5">C2/MAX(C$2:C$13)</f>
        <v>0.58951124927381726</v>
      </c>
      <c r="D25" s="19">
        <f t="shared" si="5"/>
        <v>0.2318840579710145</v>
      </c>
      <c r="E25" s="19">
        <f t="shared" si="5"/>
        <v>0.35354313616510702</v>
      </c>
      <c r="F25" s="19" t="e">
        <f t="shared" ref="F25" si="6">(F2 - MIN(F$2:F$13)) / (MAX(F$2:F$13) - MIN(F$2:F$13))</f>
        <v>#DIV/0!</v>
      </c>
      <c r="J25" s="50" t="s">
        <v>83</v>
      </c>
    </row>
    <row r="26" spans="1:25" ht="15.5" x14ac:dyDescent="0.35">
      <c r="A26" s="2" t="s">
        <v>26</v>
      </c>
      <c r="B26" s="19">
        <f t="shared" ref="B26:E36" si="7">B3/MAX(B$2:B$13)</f>
        <v>0.7245472228658153</v>
      </c>
      <c r="C26" s="19">
        <f t="shared" si="7"/>
        <v>0.81509524623452334</v>
      </c>
      <c r="D26" s="19">
        <f t="shared" si="7"/>
        <v>0.15942028985507248</v>
      </c>
      <c r="E26" s="19">
        <f t="shared" si="7"/>
        <v>1</v>
      </c>
      <c r="F26" s="1"/>
      <c r="J26" s="50" t="s">
        <v>84</v>
      </c>
    </row>
    <row r="27" spans="1:25" ht="15.5" x14ac:dyDescent="0.35">
      <c r="A27" s="2" t="s">
        <v>27</v>
      </c>
      <c r="B27" s="19">
        <f t="shared" si="7"/>
        <v>0.91769683952662084</v>
      </c>
      <c r="C27" s="19">
        <f t="shared" si="7"/>
        <v>0.57537747238135772</v>
      </c>
      <c r="D27" s="19">
        <f t="shared" si="7"/>
        <v>1</v>
      </c>
      <c r="E27" s="19">
        <f t="shared" si="7"/>
        <v>0.8811313418523492</v>
      </c>
      <c r="F27" s="1"/>
      <c r="J27" s="50">
        <v>1000000000</v>
      </c>
    </row>
    <row r="28" spans="1:25" ht="15.5" x14ac:dyDescent="0.35">
      <c r="A28" s="2" t="s">
        <v>28</v>
      </c>
      <c r="B28" s="19">
        <f t="shared" si="7"/>
        <v>0.62212563823981981</v>
      </c>
      <c r="C28" s="19">
        <f t="shared" si="7"/>
        <v>0.48642466409151464</v>
      </c>
      <c r="D28" s="19">
        <f t="shared" si="7"/>
        <v>0.31884057971014496</v>
      </c>
      <c r="E28" s="19">
        <f t="shared" si="7"/>
        <v>0.72033233226547455</v>
      </c>
      <c r="F28" s="1"/>
      <c r="J28" s="50"/>
    </row>
    <row r="29" spans="1:25" ht="15.5" x14ac:dyDescent="0.35">
      <c r="A29" s="2" t="s">
        <v>29</v>
      </c>
      <c r="B29" s="19">
        <f t="shared" si="7"/>
        <v>0.54694666556098737</v>
      </c>
      <c r="C29" s="19">
        <f t="shared" si="7"/>
        <v>0.53966405298974307</v>
      </c>
      <c r="D29" s="19">
        <f t="shared" si="7"/>
        <v>0.10144927536231885</v>
      </c>
      <c r="E29" s="19">
        <f t="shared" si="7"/>
        <v>0.75263287207879415</v>
      </c>
      <c r="F29" s="1"/>
      <c r="J29" s="50" t="s">
        <v>85</v>
      </c>
    </row>
    <row r="30" spans="1:25" ht="15" customHeight="1" x14ac:dyDescent="0.35">
      <c r="A30" s="2" t="s">
        <v>30</v>
      </c>
      <c r="B30" s="19">
        <f t="shared" si="7"/>
        <v>0.93156760730420196</v>
      </c>
      <c r="C30" s="19">
        <f t="shared" si="7"/>
        <v>0.44444242738275108</v>
      </c>
      <c r="D30" s="19">
        <f t="shared" si="7"/>
        <v>0.11594202898550725</v>
      </c>
      <c r="E30" s="19">
        <f t="shared" si="7"/>
        <v>0.87215035578063005</v>
      </c>
      <c r="F30" s="1"/>
      <c r="J30" s="50">
        <v>511</v>
      </c>
    </row>
    <row r="31" spans="1:25" ht="15" customHeight="1" x14ac:dyDescent="0.35">
      <c r="A31" s="2" t="s">
        <v>31</v>
      </c>
      <c r="B31" s="19">
        <f t="shared" si="7"/>
        <v>1</v>
      </c>
      <c r="C31" s="19">
        <f t="shared" si="7"/>
        <v>0.51016881109241652</v>
      </c>
      <c r="D31" s="19">
        <f t="shared" si="7"/>
        <v>0.14492753623188406</v>
      </c>
      <c r="E31" s="19">
        <f t="shared" si="7"/>
        <v>0.67671789685104922</v>
      </c>
      <c r="J31" s="50" t="s">
        <v>86</v>
      </c>
    </row>
    <row r="32" spans="1:25" ht="15" customHeight="1" x14ac:dyDescent="0.35">
      <c r="A32" s="2" t="s">
        <v>32</v>
      </c>
      <c r="B32" s="19">
        <f t="shared" si="7"/>
        <v>0.80475728472020991</v>
      </c>
      <c r="C32" s="19">
        <f t="shared" si="7"/>
        <v>0.60374840008649933</v>
      </c>
      <c r="D32" s="19">
        <f t="shared" si="7"/>
        <v>0.20289855072463769</v>
      </c>
      <c r="E32" s="19">
        <f t="shared" si="7"/>
        <v>0.96368723745822582</v>
      </c>
      <c r="F32" s="17"/>
      <c r="J32" s="50">
        <v>0.29199999999999998</v>
      </c>
    </row>
    <row r="33" spans="1:10" ht="15" customHeight="1" x14ac:dyDescent="0.35">
      <c r="A33" s="2" t="s">
        <v>33</v>
      </c>
      <c r="B33" s="19">
        <f t="shared" si="7"/>
        <v>0.42164802237747623</v>
      </c>
      <c r="C33" s="19">
        <f t="shared" si="7"/>
        <v>0.77702927782853681</v>
      </c>
      <c r="D33" s="19">
        <f t="shared" si="7"/>
        <v>0.24637681159420288</v>
      </c>
      <c r="E33" s="19">
        <f t="shared" si="7"/>
        <v>0.72449244905407428</v>
      </c>
      <c r="F33" s="9"/>
    </row>
    <row r="34" spans="1:10" ht="15" customHeight="1" x14ac:dyDescent="0.35">
      <c r="A34" s="2" t="s">
        <v>34</v>
      </c>
      <c r="B34" s="19">
        <f t="shared" si="7"/>
        <v>0.41688893575906433</v>
      </c>
      <c r="C34" s="19">
        <f t="shared" si="7"/>
        <v>1</v>
      </c>
      <c r="D34" s="19">
        <f t="shared" si="7"/>
        <v>0.15942028985507248</v>
      </c>
      <c r="E34" s="19">
        <f t="shared" si="7"/>
        <v>0.65128250389414599</v>
      </c>
      <c r="F34" s="9"/>
      <c r="J34">
        <f>J2/SUM(J2:J13) * J30</f>
        <v>14.274654750420675</v>
      </c>
    </row>
    <row r="35" spans="1:10" ht="15" customHeight="1" x14ac:dyDescent="0.35">
      <c r="A35" s="2" t="s">
        <v>35</v>
      </c>
      <c r="B35" s="19">
        <f t="shared" si="7"/>
        <v>0.49040220055755296</v>
      </c>
      <c r="C35" s="19">
        <f t="shared" si="7"/>
        <v>0.93151176280984427</v>
      </c>
      <c r="D35" s="19">
        <f t="shared" si="7"/>
        <v>0.10144927536231885</v>
      </c>
      <c r="E35" s="19">
        <f t="shared" si="7"/>
        <v>0.90512834580493717</v>
      </c>
      <c r="F35" s="10"/>
    </row>
    <row r="36" spans="1:10" ht="15" customHeight="1" x14ac:dyDescent="0.35">
      <c r="A36" s="2" t="s">
        <v>36</v>
      </c>
      <c r="B36" s="19">
        <f t="shared" si="7"/>
        <v>0.28822309129974488</v>
      </c>
      <c r="C36" s="19">
        <f t="shared" si="7"/>
        <v>0.67506028178064559</v>
      </c>
      <c r="D36" s="19">
        <f t="shared" si="7"/>
        <v>0.10144927536231885</v>
      </c>
      <c r="E36" s="19">
        <f t="shared" si="7"/>
        <v>0.50440700445351949</v>
      </c>
      <c r="F36" s="1"/>
    </row>
    <row r="39" spans="1:10" ht="15" customHeight="1" x14ac:dyDescent="0.35">
      <c r="A39" s="30" t="s">
        <v>142</v>
      </c>
    </row>
    <row r="41" spans="1:10" ht="15" customHeight="1" x14ac:dyDescent="0.35">
      <c r="A41" s="2" t="s">
        <v>0</v>
      </c>
      <c r="B41" s="3" t="s">
        <v>1</v>
      </c>
      <c r="C41" s="3" t="s">
        <v>2</v>
      </c>
      <c r="D41" s="32" t="s">
        <v>3</v>
      </c>
      <c r="E41" s="3" t="s">
        <v>4</v>
      </c>
      <c r="F41" s="3" t="s">
        <v>5</v>
      </c>
      <c r="G41" t="s">
        <v>19</v>
      </c>
      <c r="H41" s="50" t="s">
        <v>18</v>
      </c>
      <c r="I41" t="s">
        <v>10</v>
      </c>
      <c r="J41" t="s">
        <v>20</v>
      </c>
    </row>
    <row r="42" spans="1:10" ht="15" customHeight="1" x14ac:dyDescent="0.35">
      <c r="A42" s="2" t="s">
        <v>25</v>
      </c>
      <c r="B42" s="40">
        <f t="shared" ref="B42:B53" si="8">$B25*($D$59*$G42+$E$59*$H42+$F$59*$I42+$G$59*$J42)</f>
        <v>5879598142.3740788</v>
      </c>
      <c r="C42" s="24">
        <f t="shared" ref="C42:C53" si="9">C25*($D$60*$G42+$E$60*$H42+$F$60*$I42+$G$60*$J42)</f>
        <v>5402051953.7525272</v>
      </c>
      <c r="D42" s="24">
        <f t="shared" ref="D42:D53" si="10">D25*($D$61*$G42+$E$61*$H42+$F$61*$I42+$G$61*$J42)</f>
        <v>4430929442.4392929</v>
      </c>
      <c r="E42" s="24">
        <f t="shared" ref="E42:E53" si="11">E25*($D$62*$G42+$E$62*$H42+$F$62*$I42+$G$62*$J42)</f>
        <v>1250097956.7356799</v>
      </c>
      <c r="G42">
        <v>1080000000</v>
      </c>
      <c r="H42" s="52">
        <v>17494388777</v>
      </c>
      <c r="I42">
        <v>2254622029.9055429</v>
      </c>
      <c r="J42">
        <v>393698856.21049005</v>
      </c>
    </row>
    <row r="43" spans="1:10" ht="15" customHeight="1" x14ac:dyDescent="0.35">
      <c r="A43" s="2" t="s">
        <v>26</v>
      </c>
      <c r="B43" s="40">
        <f t="shared" si="8"/>
        <v>15803191325.226379</v>
      </c>
      <c r="C43" s="24">
        <f t="shared" si="9"/>
        <v>24608405229.745541</v>
      </c>
      <c r="D43" s="24">
        <f t="shared" si="10"/>
        <v>9316073362.2124939</v>
      </c>
      <c r="E43" s="24">
        <f t="shared" si="11"/>
        <v>10533894387.273584</v>
      </c>
      <c r="G43">
        <v>12240000000</v>
      </c>
      <c r="H43" s="52">
        <v>46211913158</v>
      </c>
      <c r="I43">
        <v>6196305435.183095</v>
      </c>
      <c r="J43">
        <v>654459480.33419967</v>
      </c>
    </row>
    <row r="44" spans="1:10" ht="15" customHeight="1" x14ac:dyDescent="0.35">
      <c r="A44" s="2" t="s">
        <v>27</v>
      </c>
      <c r="B44" s="40">
        <f t="shared" si="8"/>
        <v>20355144530.111778</v>
      </c>
      <c r="C44" s="24">
        <f t="shared" si="9"/>
        <v>16806210673.706671</v>
      </c>
      <c r="D44" s="24">
        <f t="shared" si="10"/>
        <v>59383597498.828514</v>
      </c>
      <c r="E44" s="24">
        <f t="shared" si="11"/>
        <v>8972627316.9235973</v>
      </c>
      <c r="G44">
        <v>8310000000</v>
      </c>
      <c r="H44" s="52">
        <v>51902854958</v>
      </c>
      <c r="I44">
        <v>4647867213.5390167</v>
      </c>
      <c r="J44">
        <v>738870841.15674424</v>
      </c>
    </row>
    <row r="45" spans="1:10" ht="15" customHeight="1" x14ac:dyDescent="0.35">
      <c r="A45" s="2" t="s">
        <v>28</v>
      </c>
      <c r="B45" s="40">
        <f t="shared" si="8"/>
        <v>2379655162.2728586</v>
      </c>
      <c r="C45" s="24">
        <f t="shared" si="9"/>
        <v>2587856268.1110454</v>
      </c>
      <c r="D45" s="24">
        <f t="shared" si="10"/>
        <v>2244474029.4400229</v>
      </c>
      <c r="E45" s="24">
        <f t="shared" si="11"/>
        <v>1795270922.6874814</v>
      </c>
      <c r="G45">
        <v>3720000000</v>
      </c>
      <c r="H45" s="52">
        <v>478920570</v>
      </c>
      <c r="I45">
        <v>4092137432.564497</v>
      </c>
      <c r="J45">
        <v>738926048.06375706</v>
      </c>
    </row>
    <row r="46" spans="1:10" ht="15" customHeight="1" x14ac:dyDescent="0.35">
      <c r="A46" s="2" t="s">
        <v>29</v>
      </c>
      <c r="B46" s="40">
        <f t="shared" si="8"/>
        <v>2687981963.99648</v>
      </c>
      <c r="C46" s="24">
        <f t="shared" si="9"/>
        <v>4564609498.5868177</v>
      </c>
      <c r="D46" s="24">
        <f t="shared" si="10"/>
        <v>1120606637.2336433</v>
      </c>
      <c r="E46" s="24">
        <f t="shared" si="11"/>
        <v>2517552603.8703752</v>
      </c>
      <c r="G46">
        <v>8310000000</v>
      </c>
      <c r="H46" s="50">
        <v>0</v>
      </c>
      <c r="I46">
        <v>5014205457.2271852</v>
      </c>
      <c r="J46">
        <v>578280082.757339</v>
      </c>
    </row>
    <row r="47" spans="1:10" ht="15" customHeight="1" x14ac:dyDescent="0.35">
      <c r="A47" s="2" t="s">
        <v>30</v>
      </c>
      <c r="B47" s="40">
        <f t="shared" si="8"/>
        <v>19539652970.595535</v>
      </c>
      <c r="C47" s="24">
        <f t="shared" si="9"/>
        <v>11642109410.85952</v>
      </c>
      <c r="D47" s="24">
        <f t="shared" si="10"/>
        <v>6285758606.278511</v>
      </c>
      <c r="E47" s="24">
        <f t="shared" si="11"/>
        <v>8405984079.0354614</v>
      </c>
      <c r="G47">
        <v>4950000000</v>
      </c>
      <c r="H47" s="52">
        <v>48920214122</v>
      </c>
      <c r="I47">
        <v>5272599069.6024456</v>
      </c>
      <c r="J47">
        <v>866233175.63523364</v>
      </c>
    </row>
    <row r="48" spans="1:10" ht="15" customHeight="1" x14ac:dyDescent="0.35">
      <c r="A48" s="2" t="s">
        <v>31</v>
      </c>
      <c r="B48" s="40">
        <f t="shared" si="8"/>
        <v>19807366306.80619</v>
      </c>
      <c r="C48" s="24">
        <f t="shared" si="9"/>
        <v>11697406421.265064</v>
      </c>
      <c r="D48" s="24">
        <f t="shared" si="10"/>
        <v>7177815646.3140621</v>
      </c>
      <c r="E48" s="24">
        <f t="shared" si="11"/>
        <v>6358089471.6373158</v>
      </c>
      <c r="G48">
        <v>1110000000</v>
      </c>
      <c r="H48" s="52">
        <v>46618459373</v>
      </c>
      <c r="I48">
        <v>7571429391.0951061</v>
      </c>
      <c r="J48">
        <v>7784173.8888023421</v>
      </c>
    </row>
    <row r="49" spans="1:10" ht="15" customHeight="1" x14ac:dyDescent="0.35">
      <c r="A49" s="2" t="s">
        <v>32</v>
      </c>
      <c r="B49" s="40">
        <f t="shared" si="8"/>
        <v>69694112161.406662</v>
      </c>
      <c r="C49" s="24">
        <f t="shared" si="9"/>
        <v>65013708151.723701</v>
      </c>
      <c r="D49" s="24">
        <f t="shared" si="10"/>
        <v>48382913668.052979</v>
      </c>
      <c r="E49" s="24">
        <f t="shared" si="11"/>
        <v>35409831270.689003</v>
      </c>
      <c r="G49">
        <v>12300000000</v>
      </c>
      <c r="H49" s="52">
        <v>237864027008</v>
      </c>
      <c r="I49">
        <v>7752064887.6746321</v>
      </c>
      <c r="J49">
        <v>720204772.48564458</v>
      </c>
    </row>
    <row r="50" spans="1:10" ht="15" customHeight="1" x14ac:dyDescent="0.35">
      <c r="A50" s="2" t="s">
        <v>33</v>
      </c>
      <c r="B50" s="40">
        <f t="shared" si="8"/>
        <v>4136503300.742136</v>
      </c>
      <c r="C50" s="24">
        <f t="shared" si="9"/>
        <v>10358752954.014088</v>
      </c>
      <c r="D50" s="24">
        <f t="shared" si="10"/>
        <v>5719195678.0652628</v>
      </c>
      <c r="E50" s="24">
        <f t="shared" si="11"/>
        <v>3723151297.767323</v>
      </c>
      <c r="G50">
        <v>6120000000</v>
      </c>
      <c r="H50" s="52">
        <v>14733096604</v>
      </c>
      <c r="I50">
        <v>4759551097.2755671</v>
      </c>
      <c r="J50">
        <v>1136863567.912673</v>
      </c>
    </row>
    <row r="51" spans="1:10" ht="15" customHeight="1" x14ac:dyDescent="0.35">
      <c r="A51" s="2" t="s">
        <v>34</v>
      </c>
      <c r="B51" s="40">
        <f t="shared" si="8"/>
        <v>9590474277.8760242</v>
      </c>
      <c r="C51" s="24">
        <f t="shared" si="9"/>
        <v>27522632616.763065</v>
      </c>
      <c r="D51" s="24">
        <f t="shared" si="10"/>
        <v>9311441666.3304672</v>
      </c>
      <c r="E51" s="24">
        <f t="shared" si="11"/>
        <v>6783333049.1277056</v>
      </c>
      <c r="G51">
        <v>2640000000</v>
      </c>
      <c r="H51" s="52">
        <v>55032564903</v>
      </c>
      <c r="I51">
        <v>5746071907.0380583</v>
      </c>
      <c r="J51">
        <v>1068106432.2786419</v>
      </c>
    </row>
    <row r="52" spans="1:10" ht="15" customHeight="1" x14ac:dyDescent="0.35">
      <c r="A52" s="2" t="s">
        <v>35</v>
      </c>
      <c r="B52" s="40">
        <f t="shared" si="8"/>
        <v>14151773298.634237</v>
      </c>
      <c r="C52" s="24">
        <f t="shared" si="9"/>
        <v>33470229181.086697</v>
      </c>
      <c r="D52" s="24">
        <f t="shared" si="10"/>
        <v>6910778043.5038939</v>
      </c>
      <c r="E52" s="24">
        <f t="shared" si="11"/>
        <v>12570852601.781666</v>
      </c>
      <c r="G52">
        <v>8850000000</v>
      </c>
      <c r="H52" s="52">
        <v>54190549914</v>
      </c>
      <c r="I52">
        <v>10036510241.677303</v>
      </c>
      <c r="J52">
        <v>3671161170.7375736</v>
      </c>
    </row>
    <row r="53" spans="1:10" ht="15" customHeight="1" x14ac:dyDescent="0.35">
      <c r="A53" s="2" t="s">
        <v>36</v>
      </c>
      <c r="B53" s="40">
        <f t="shared" si="8"/>
        <v>5671434203.5309448</v>
      </c>
      <c r="C53" s="24">
        <f t="shared" si="9"/>
        <v>16236767875.720909</v>
      </c>
      <c r="D53" s="24">
        <f t="shared" si="10"/>
        <v>5369673404.8387833</v>
      </c>
      <c r="E53" s="24">
        <f t="shared" si="11"/>
        <v>4204191686.6133795</v>
      </c>
      <c r="G53">
        <v>2100000000</v>
      </c>
      <c r="H53" s="52">
        <v>52812126611</v>
      </c>
      <c r="I53">
        <v>1885844698.0443006</v>
      </c>
      <c r="J53">
        <v>647411398.53890109</v>
      </c>
    </row>
    <row r="55" spans="1:10" ht="15" customHeight="1" x14ac:dyDescent="0.35">
      <c r="A55" s="18" t="s">
        <v>143</v>
      </c>
    </row>
    <row r="57" spans="1:10" ht="15" customHeight="1" x14ac:dyDescent="0.35">
      <c r="C57" t="s">
        <v>144</v>
      </c>
    </row>
    <row r="58" spans="1:10" ht="15" customHeight="1" x14ac:dyDescent="0.35">
      <c r="C58" t="s">
        <v>6</v>
      </c>
      <c r="D58" t="s">
        <v>8</v>
      </c>
      <c r="E58" t="s">
        <v>9</v>
      </c>
      <c r="F58" t="s">
        <v>10</v>
      </c>
      <c r="G58" t="s">
        <v>11</v>
      </c>
      <c r="H58" t="s">
        <v>12</v>
      </c>
    </row>
    <row r="59" spans="1:10" ht="15" customHeight="1" x14ac:dyDescent="0.35">
      <c r="A59" t="s">
        <v>145</v>
      </c>
      <c r="B59" t="s">
        <v>1</v>
      </c>
      <c r="C59" t="e">
        <v>#N/A</v>
      </c>
      <c r="D59">
        <f>D67/3</f>
        <v>0.19999999999999998</v>
      </c>
      <c r="E59">
        <f t="shared" ref="E59:H59" si="12">E67/3</f>
        <v>0.33333333333333331</v>
      </c>
      <c r="F59">
        <f t="shared" si="12"/>
        <v>0.53333333333333333</v>
      </c>
      <c r="G59">
        <f t="shared" si="12"/>
        <v>1</v>
      </c>
      <c r="H59">
        <f t="shared" si="12"/>
        <v>0.73333333333333339</v>
      </c>
    </row>
    <row r="60" spans="1:10" ht="15" customHeight="1" x14ac:dyDescent="0.35">
      <c r="B60" t="s">
        <v>2</v>
      </c>
      <c r="C60" t="e">
        <v>#N/A</v>
      </c>
      <c r="D60">
        <f t="shared" ref="D60:H60" si="13">D68/3</f>
        <v>0.66666666666666663</v>
      </c>
      <c r="E60">
        <f t="shared" si="13"/>
        <v>0.39999999999999997</v>
      </c>
      <c r="F60">
        <f t="shared" si="13"/>
        <v>0.46666666666666662</v>
      </c>
      <c r="G60">
        <f t="shared" si="13"/>
        <v>1</v>
      </c>
      <c r="H60">
        <f t="shared" si="13"/>
        <v>0.39999999999999997</v>
      </c>
    </row>
    <row r="61" spans="1:10" ht="15" customHeight="1" x14ac:dyDescent="0.35">
      <c r="B61" t="s">
        <v>3</v>
      </c>
      <c r="C61" t="e">
        <v>#N/A</v>
      </c>
      <c r="D61">
        <f t="shared" ref="D61:H61" si="14">D69/3</f>
        <v>0.8666666666666667</v>
      </c>
      <c r="E61">
        <f t="shared" si="14"/>
        <v>0.93333333333333324</v>
      </c>
      <c r="F61">
        <f t="shared" si="14"/>
        <v>0.66666666666666663</v>
      </c>
      <c r="G61">
        <f t="shared" si="14"/>
        <v>0.8666666666666667</v>
      </c>
      <c r="H61">
        <f t="shared" si="14"/>
        <v>0.66666666666666663</v>
      </c>
    </row>
    <row r="62" spans="1:10" ht="15" customHeight="1" x14ac:dyDescent="0.35">
      <c r="B62" t="s">
        <v>4</v>
      </c>
      <c r="C62" t="e">
        <v>#N/A</v>
      </c>
      <c r="D62">
        <f t="shared" ref="D62:H62" si="15">D70/3</f>
        <v>0.13333333333333333</v>
      </c>
      <c r="E62">
        <f t="shared" si="15"/>
        <v>0.13333333333333333</v>
      </c>
      <c r="F62">
        <f t="shared" si="15"/>
        <v>0.39999999999999997</v>
      </c>
      <c r="G62">
        <f t="shared" si="15"/>
        <v>0.39999999999999997</v>
      </c>
      <c r="H62">
        <f t="shared" si="15"/>
        <v>0.66666666666666663</v>
      </c>
    </row>
    <row r="63" spans="1:10" ht="15" customHeight="1" x14ac:dyDescent="0.35">
      <c r="B63" t="s">
        <v>5</v>
      </c>
      <c r="C63" t="e">
        <v>#N/A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</row>
    <row r="65" spans="1:8" ht="15" hidden="1" customHeight="1" x14ac:dyDescent="0.35">
      <c r="C65" t="s">
        <v>144</v>
      </c>
    </row>
    <row r="66" spans="1:8" ht="15" hidden="1" customHeight="1" x14ac:dyDescent="0.35">
      <c r="C66" t="s">
        <v>6</v>
      </c>
      <c r="D66" t="s">
        <v>8</v>
      </c>
      <c r="E66" t="s">
        <v>9</v>
      </c>
      <c r="F66" t="s">
        <v>10</v>
      </c>
      <c r="G66" t="s">
        <v>11</v>
      </c>
      <c r="H66" t="s">
        <v>12</v>
      </c>
    </row>
    <row r="67" spans="1:8" ht="15" hidden="1" customHeight="1" x14ac:dyDescent="0.35">
      <c r="A67" t="s">
        <v>145</v>
      </c>
      <c r="B67" t="s">
        <v>1</v>
      </c>
      <c r="C67" t="e">
        <v>#N/A</v>
      </c>
      <c r="D67">
        <v>0.6</v>
      </c>
      <c r="E67">
        <v>1</v>
      </c>
      <c r="F67">
        <v>1.6</v>
      </c>
      <c r="G67">
        <v>3</v>
      </c>
      <c r="H67">
        <v>2.2000000000000002</v>
      </c>
    </row>
    <row r="68" spans="1:8" ht="15" hidden="1" customHeight="1" x14ac:dyDescent="0.35">
      <c r="B68" t="s">
        <v>2</v>
      </c>
      <c r="C68" t="e">
        <v>#N/A</v>
      </c>
      <c r="D68">
        <v>2</v>
      </c>
      <c r="E68">
        <v>1.2</v>
      </c>
      <c r="F68">
        <v>1.4</v>
      </c>
      <c r="G68">
        <v>3</v>
      </c>
      <c r="H68">
        <v>1.2</v>
      </c>
    </row>
    <row r="69" spans="1:8" ht="15" hidden="1" customHeight="1" x14ac:dyDescent="0.35">
      <c r="B69" t="s">
        <v>3</v>
      </c>
      <c r="C69" t="e">
        <v>#N/A</v>
      </c>
      <c r="D69">
        <v>2.6</v>
      </c>
      <c r="E69">
        <v>2.8</v>
      </c>
      <c r="F69">
        <v>2</v>
      </c>
      <c r="G69">
        <v>2.6</v>
      </c>
      <c r="H69">
        <v>2</v>
      </c>
    </row>
    <row r="70" spans="1:8" ht="15" hidden="1" customHeight="1" x14ac:dyDescent="0.35">
      <c r="B70" t="s">
        <v>4</v>
      </c>
      <c r="C70" t="e">
        <v>#N/A</v>
      </c>
      <c r="D70">
        <v>0.4</v>
      </c>
      <c r="E70">
        <v>0.4</v>
      </c>
      <c r="F70">
        <v>1.2</v>
      </c>
      <c r="G70">
        <v>1.2</v>
      </c>
      <c r="H70">
        <v>2</v>
      </c>
    </row>
    <row r="71" spans="1:8" ht="15" hidden="1" customHeight="1" x14ac:dyDescent="0.35">
      <c r="B71" t="s">
        <v>5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</row>
    <row r="72" spans="1:8" ht="15" hidden="1" customHeight="1" x14ac:dyDescent="0.35"/>
  </sheetData>
  <hyperlinks>
    <hyperlink ref="J15" r:id="rId1" location="ship-information-vessels-arrival-flags" xr:uid="{5C634789-B83F-416C-8B59-35ABC5E36CE6}"/>
    <hyperlink ref="H16" r:id="rId2" xr:uid="{9D8BEAA6-AF15-401C-9C18-E84C5922EDE7}"/>
    <hyperlink ref="L24" r:id="rId3" xr:uid="{659EA72F-0A1B-4B7E-8E4D-0782F6159F44}"/>
    <hyperlink ref="H15" r:id="rId4" xr:uid="{A0490809-300C-4CB2-BEB2-8F7ADA492398}"/>
    <hyperlink ref="E15" r:id="rId5" xr:uid="{74662E04-C743-4539-8972-F743B96896D3}"/>
    <hyperlink ref="K24" r:id="rId6" xr:uid="{957A0786-BC4A-45A8-8454-DD4DEA3C3C3E}"/>
    <hyperlink ref="K15" r:id="rId7" xr:uid="{DDF271EF-BF0D-4A48-9772-C7D6C452D14B}"/>
    <hyperlink ref="Y18" r:id="rId8" xr:uid="{DDF23B5C-97AD-4355-A283-8DD59E8A79B3}"/>
  </hyperlinks>
  <pageMargins left="0.7" right="0.7" top="0.75" bottom="0.75" header="0.3" footer="0.3"/>
  <pageSetup paperSize="9" orientation="portrait" r:id="rId9"/>
  <legacy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2618-5493-4B44-A371-587E24C4AE9A}">
  <dimension ref="A2:H14"/>
  <sheetViews>
    <sheetView zoomScale="62" workbookViewId="0">
      <selection activeCell="B38" sqref="B38"/>
    </sheetView>
  </sheetViews>
  <sheetFormatPr baseColWidth="10" defaultColWidth="8.54296875" defaultRowHeight="14.5" x14ac:dyDescent="0.35"/>
  <cols>
    <col min="1" max="1" width="24.453125" bestFit="1" customWidth="1"/>
    <col min="2" max="2" width="31.1796875" bestFit="1" customWidth="1"/>
    <col min="3" max="3" width="18.453125" bestFit="1" customWidth="1"/>
    <col min="4" max="4" width="17.54296875" bestFit="1" customWidth="1"/>
    <col min="5" max="5" width="23.54296875" bestFit="1" customWidth="1"/>
    <col min="6" max="6" width="12.54296875" bestFit="1" customWidth="1"/>
    <col min="7" max="7" width="8.81640625" bestFit="1" customWidth="1"/>
    <col min="8" max="8" width="11.81640625" bestFit="1" customWidth="1"/>
  </cols>
  <sheetData>
    <row r="2" spans="1:8" x14ac:dyDescent="0.35">
      <c r="A2" s="2" t="s">
        <v>0</v>
      </c>
      <c r="B2" t="s">
        <v>19</v>
      </c>
      <c r="C2" s="50" t="s">
        <v>18</v>
      </c>
      <c r="D2" t="s">
        <v>10</v>
      </c>
      <c r="E2" t="s">
        <v>20</v>
      </c>
      <c r="F2" t="s">
        <v>146</v>
      </c>
      <c r="G2" s="5" t="s">
        <v>15</v>
      </c>
    </row>
    <row r="3" spans="1:8" x14ac:dyDescent="0.35">
      <c r="A3" s="2" t="s">
        <v>25</v>
      </c>
      <c r="B3">
        <v>1080000000</v>
      </c>
      <c r="C3" s="52">
        <v>17494388777</v>
      </c>
      <c r="D3">
        <v>2254622029.9055429</v>
      </c>
      <c r="E3">
        <v>393698856.21049005</v>
      </c>
      <c r="F3">
        <f>SUM(B3:E3)</f>
        <v>21222709663.116035</v>
      </c>
      <c r="G3" s="1">
        <v>575.20000000000005</v>
      </c>
      <c r="H3">
        <f>G3/F3</f>
        <v>2.7103042407429609E-8</v>
      </c>
    </row>
    <row r="4" spans="1:8" x14ac:dyDescent="0.35">
      <c r="A4" s="2" t="s">
        <v>26</v>
      </c>
      <c r="B4">
        <v>12240000000</v>
      </c>
      <c r="C4" s="52">
        <v>46211913158</v>
      </c>
      <c r="D4">
        <v>6196305435.183095</v>
      </c>
      <c r="E4">
        <v>654459480.33419967</v>
      </c>
      <c r="F4">
        <f t="shared" ref="F4:F14" si="0">SUM(B4:E4)</f>
        <v>65302678073.517296</v>
      </c>
      <c r="G4" s="1">
        <v>602.29999999999995</v>
      </c>
      <c r="H4">
        <f t="shared" ref="H4:H14" si="1">G4/F4</f>
        <v>9.2232052002819066E-9</v>
      </c>
    </row>
    <row r="5" spans="1:8" x14ac:dyDescent="0.35">
      <c r="A5" s="2" t="s">
        <v>27</v>
      </c>
      <c r="B5">
        <v>8310000000</v>
      </c>
      <c r="C5" s="52">
        <v>51902854958</v>
      </c>
      <c r="D5">
        <v>4647867213.5390167</v>
      </c>
      <c r="E5">
        <v>738870841.15674424</v>
      </c>
      <c r="F5">
        <f t="shared" si="0"/>
        <v>65599593012.695763</v>
      </c>
      <c r="G5" s="1">
        <v>579.1</v>
      </c>
      <c r="H5">
        <f t="shared" si="1"/>
        <v>8.8277986707619414E-9</v>
      </c>
    </row>
    <row r="6" spans="1:8" x14ac:dyDescent="0.35">
      <c r="A6" s="2" t="s">
        <v>28</v>
      </c>
      <c r="B6">
        <v>3720000000</v>
      </c>
      <c r="C6" s="52">
        <v>478920570</v>
      </c>
      <c r="D6">
        <v>4092137432.564497</v>
      </c>
      <c r="E6">
        <v>738926048.06375706</v>
      </c>
      <c r="F6">
        <f t="shared" si="0"/>
        <v>9029984050.6282539</v>
      </c>
      <c r="G6" s="1">
        <v>594.1</v>
      </c>
      <c r="H6">
        <f t="shared" si="1"/>
        <v>6.5791921300089786E-8</v>
      </c>
    </row>
    <row r="7" spans="1:8" x14ac:dyDescent="0.35">
      <c r="A7" s="2" t="s">
        <v>29</v>
      </c>
      <c r="B7">
        <v>8310000000</v>
      </c>
      <c r="C7" s="50">
        <v>0</v>
      </c>
      <c r="D7">
        <v>5014205457.2271852</v>
      </c>
      <c r="E7">
        <v>578280082.757339</v>
      </c>
      <c r="F7">
        <f t="shared" si="0"/>
        <v>13902485539.984524</v>
      </c>
      <c r="G7" s="1">
        <v>617.5</v>
      </c>
      <c r="H7">
        <f t="shared" si="1"/>
        <v>4.4416518055280598E-8</v>
      </c>
    </row>
    <row r="8" spans="1:8" x14ac:dyDescent="0.35">
      <c r="A8" s="2" t="s">
        <v>30</v>
      </c>
      <c r="B8">
        <v>4950000000</v>
      </c>
      <c r="C8" s="52">
        <v>48920214122</v>
      </c>
      <c r="D8">
        <v>5272599069.6024456</v>
      </c>
      <c r="E8">
        <v>866233175.63523364</v>
      </c>
      <c r="F8">
        <f t="shared" si="0"/>
        <v>60009046367.237679</v>
      </c>
      <c r="G8" s="1">
        <v>632.4</v>
      </c>
      <c r="H8">
        <f t="shared" si="1"/>
        <v>1.0538411094385642E-8</v>
      </c>
    </row>
    <row r="9" spans="1:8" x14ac:dyDescent="0.35">
      <c r="A9" s="2" t="s">
        <v>31</v>
      </c>
      <c r="B9">
        <v>1110000000</v>
      </c>
      <c r="C9" s="52">
        <v>46618459373</v>
      </c>
      <c r="D9">
        <v>7571429391.0951061</v>
      </c>
      <c r="E9">
        <v>7784173.8888023421</v>
      </c>
      <c r="F9">
        <f t="shared" si="0"/>
        <v>55307672937.98391</v>
      </c>
      <c r="G9" s="1">
        <v>804.9</v>
      </c>
      <c r="H9">
        <f t="shared" si="1"/>
        <v>1.4553134443073178E-8</v>
      </c>
    </row>
    <row r="10" spans="1:8" x14ac:dyDescent="0.35">
      <c r="A10" s="2" t="s">
        <v>32</v>
      </c>
      <c r="B10">
        <v>12300000000</v>
      </c>
      <c r="C10" s="52">
        <v>237864027008</v>
      </c>
      <c r="D10">
        <v>7752064887.6746321</v>
      </c>
      <c r="E10">
        <v>720204772.48564458</v>
      </c>
      <c r="F10">
        <f t="shared" si="0"/>
        <v>258636296668.16028</v>
      </c>
      <c r="G10" s="1">
        <v>664.3</v>
      </c>
      <c r="H10">
        <f t="shared" si="1"/>
        <v>2.5684716668067703E-9</v>
      </c>
    </row>
    <row r="11" spans="1:8" x14ac:dyDescent="0.35">
      <c r="A11" s="2" t="s">
        <v>33</v>
      </c>
      <c r="B11">
        <v>6120000000</v>
      </c>
      <c r="C11" s="52">
        <v>14733096604</v>
      </c>
      <c r="D11">
        <v>4759551097.2755671</v>
      </c>
      <c r="E11">
        <v>1136863567.912673</v>
      </c>
      <c r="F11">
        <f t="shared" si="0"/>
        <v>26749511269.18824</v>
      </c>
      <c r="G11" s="1">
        <v>611.29999999999995</v>
      </c>
      <c r="H11">
        <f t="shared" si="1"/>
        <v>2.2852753975514068E-8</v>
      </c>
    </row>
    <row r="12" spans="1:8" x14ac:dyDescent="0.35">
      <c r="A12" s="2" t="s">
        <v>34</v>
      </c>
      <c r="B12">
        <v>2640000000</v>
      </c>
      <c r="C12" s="52">
        <v>55032564903</v>
      </c>
      <c r="D12">
        <v>5746071907.0380583</v>
      </c>
      <c r="E12">
        <v>1068106432.2786419</v>
      </c>
      <c r="F12">
        <f t="shared" si="0"/>
        <v>64486743242.316696</v>
      </c>
      <c r="G12" s="1">
        <v>598.1</v>
      </c>
      <c r="H12">
        <f t="shared" si="1"/>
        <v>9.2747744719029671E-9</v>
      </c>
    </row>
    <row r="13" spans="1:8" x14ac:dyDescent="0.35">
      <c r="A13" s="2" t="s">
        <v>35</v>
      </c>
      <c r="B13">
        <v>8850000000</v>
      </c>
      <c r="C13" s="52">
        <v>54190549914</v>
      </c>
      <c r="D13">
        <v>10036510241.677303</v>
      </c>
      <c r="E13">
        <v>3671161170.7375736</v>
      </c>
      <c r="F13">
        <f t="shared" si="0"/>
        <v>76748221326.414886</v>
      </c>
      <c r="G13" s="1">
        <v>640.5</v>
      </c>
      <c r="H13">
        <f t="shared" si="1"/>
        <v>8.3454702784044242E-9</v>
      </c>
    </row>
    <row r="14" spans="1:8" x14ac:dyDescent="0.35">
      <c r="A14" s="2" t="s">
        <v>36</v>
      </c>
      <c r="B14">
        <v>2100000000</v>
      </c>
      <c r="C14" s="52">
        <v>52812126611</v>
      </c>
      <c r="D14">
        <v>1885844698.0443006</v>
      </c>
      <c r="E14">
        <v>647411398.53890109</v>
      </c>
      <c r="F14">
        <f t="shared" si="0"/>
        <v>57445382707.583206</v>
      </c>
      <c r="G14" s="1">
        <v>591.6</v>
      </c>
      <c r="H14">
        <f t="shared" si="1"/>
        <v>1.0298477825649589E-8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7C94-2566-4E99-A776-E799839AF1A0}">
  <dimension ref="B1:G16"/>
  <sheetViews>
    <sheetView workbookViewId="0">
      <selection activeCell="M10" sqref="M10"/>
    </sheetView>
  </sheetViews>
  <sheetFormatPr baseColWidth="10" defaultColWidth="8.81640625" defaultRowHeight="14.5" x14ac:dyDescent="0.35"/>
  <sheetData>
    <row r="1" spans="2:7" x14ac:dyDescent="0.35">
      <c r="C1" t="s">
        <v>147</v>
      </c>
      <c r="E1" t="s">
        <v>148</v>
      </c>
      <c r="F1" t="s">
        <v>149</v>
      </c>
    </row>
    <row r="2" spans="2:7" x14ac:dyDescent="0.35">
      <c r="B2" s="2" t="s">
        <v>0</v>
      </c>
      <c r="C2" s="3" t="s">
        <v>1</v>
      </c>
      <c r="D2" s="3" t="s">
        <v>2</v>
      </c>
      <c r="E2" s="32" t="s">
        <v>3</v>
      </c>
      <c r="F2" s="3" t="s">
        <v>4</v>
      </c>
      <c r="G2" s="3"/>
    </row>
    <row r="3" spans="2:7" ht="15.5" x14ac:dyDescent="0.35">
      <c r="B3" s="2" t="s">
        <v>25</v>
      </c>
      <c r="C3" s="19"/>
      <c r="D3" s="19"/>
      <c r="E3" s="19">
        <f>Tabelle1!D2*SUM(Tabelle1!S2,Tabelle1!T2,Tabelle1!U2,Tabelle1!W2,Tabelle1!X2)</f>
        <v>536403725.8609857</v>
      </c>
      <c r="F3" s="19">
        <f>Tabelle1!Z2</f>
        <v>1067126400</v>
      </c>
      <c r="G3" s="19"/>
    </row>
    <row r="4" spans="2:7" ht="15.5" x14ac:dyDescent="0.35">
      <c r="B4" s="2" t="s">
        <v>26</v>
      </c>
      <c r="C4" s="19"/>
      <c r="D4" s="19"/>
      <c r="E4" s="19">
        <f>Tabelle1!D3*SUM(Tabelle1!S3,Tabelle1!T3,Tabelle1!U3,Tabelle1!W3,Tabelle1!X3)</f>
        <v>1232640535.5808692</v>
      </c>
      <c r="F4" s="19">
        <f>Tabelle1!Z3</f>
        <v>3018376800</v>
      </c>
      <c r="G4" s="1"/>
    </row>
    <row r="5" spans="2:7" ht="15.5" x14ac:dyDescent="0.35">
      <c r="B5" s="2" t="s">
        <v>27</v>
      </c>
      <c r="C5" s="19"/>
      <c r="D5" s="19"/>
      <c r="E5" s="19">
        <f>Tabelle1!D4*SUM(Tabelle1!S4,Tabelle1!T4,Tabelle1!U4,Tabelle1!W4,Tabelle1!X4)</f>
        <v>5419523200.5876007</v>
      </c>
      <c r="F5" s="19">
        <f>Tabelle1!Z4</f>
        <v>2659586400</v>
      </c>
      <c r="G5" s="1"/>
    </row>
    <row r="6" spans="2:7" ht="15.5" x14ac:dyDescent="0.35">
      <c r="B6" s="2" t="s">
        <v>28</v>
      </c>
      <c r="C6" s="19"/>
      <c r="D6" s="19"/>
      <c r="E6" s="19">
        <f>Tabelle1!D5*SUM(Tabelle1!S5,Tabelle1!T5,Tabelle1!U5,Tabelle1!W5,Tabelle1!X5)</f>
        <v>1428215635.1113822</v>
      </c>
      <c r="F6" s="19">
        <f>Tabelle1!Z5</f>
        <v>2174234400</v>
      </c>
      <c r="G6" s="1"/>
    </row>
    <row r="7" spans="2:7" ht="15.5" x14ac:dyDescent="0.35">
      <c r="B7" s="2" t="s">
        <v>29</v>
      </c>
      <c r="C7" s="19"/>
      <c r="D7" s="19"/>
      <c r="E7" s="19">
        <f>Tabelle1!D6*SUM(Tabelle1!S6,Tabelle1!T6,Tabelle1!U6,Tabelle1!W6,Tabelle1!X6)</f>
        <v>565697125.37798917</v>
      </c>
      <c r="F7" s="19">
        <f>Tabelle1!Z6</f>
        <v>2271729600</v>
      </c>
      <c r="G7" s="1"/>
    </row>
    <row r="8" spans="2:7" ht="15.5" x14ac:dyDescent="0.35">
      <c r="B8" s="2" t="s">
        <v>30</v>
      </c>
      <c r="C8" s="19"/>
      <c r="D8" s="19"/>
      <c r="E8" s="19">
        <f>Tabelle1!D7*SUM(Tabelle1!S7,Tabelle1!T7,Tabelle1!U7,Tabelle1!W7,Tabelle1!X7)</f>
        <v>789743869.09379017</v>
      </c>
      <c r="F8" s="19">
        <f>Tabelle1!Z7</f>
        <v>2632478400</v>
      </c>
      <c r="G8" s="1"/>
    </row>
    <row r="9" spans="2:7" ht="15.5" x14ac:dyDescent="0.35">
      <c r="B9" s="2" t="s">
        <v>31</v>
      </c>
      <c r="C9" s="19"/>
      <c r="D9" s="19"/>
      <c r="E9" s="19">
        <f>Tabelle1!D8*SUM(Tabelle1!S8,Tabelle1!T8,Tabelle1!U8,Tabelle1!W8,Tabelle1!X8)</f>
        <v>2609597048.937984</v>
      </c>
      <c r="F9" s="19">
        <f>Tabelle1!Z8</f>
        <v>2042589600</v>
      </c>
    </row>
    <row r="10" spans="2:7" ht="15.5" x14ac:dyDescent="0.35">
      <c r="B10" s="2" t="s">
        <v>32</v>
      </c>
      <c r="C10" s="19"/>
      <c r="D10" s="19"/>
      <c r="E10" s="19">
        <f>Tabelle1!D9*SUM(Tabelle1!S9,Tabelle1!T9,Tabelle1!U9,Tabelle1!W9,Tabelle1!X9)</f>
        <v>2619817332.5354242</v>
      </c>
      <c r="F10" s="19">
        <f>Tabelle1!Z9</f>
        <v>2908771200</v>
      </c>
      <c r="G10" s="17"/>
    </row>
    <row r="11" spans="2:7" ht="15.5" x14ac:dyDescent="0.35">
      <c r="B11" s="2" t="s">
        <v>33</v>
      </c>
      <c r="C11" s="19"/>
      <c r="D11" s="19"/>
      <c r="E11" s="19">
        <f>Tabelle1!D10*SUM(Tabelle1!S10,Tabelle1!T10,Tabelle1!U10,Tabelle1!W10,Tabelle1!X10)</f>
        <v>1411523034.35762</v>
      </c>
      <c r="F11" s="19">
        <f>Tabelle1!Z10</f>
        <v>2186791200</v>
      </c>
      <c r="G11" s="9"/>
    </row>
    <row r="12" spans="2:7" ht="15.5" x14ac:dyDescent="0.35">
      <c r="B12" s="2" t="s">
        <v>34</v>
      </c>
      <c r="C12" s="19"/>
      <c r="D12" s="19"/>
      <c r="E12" s="19">
        <f>Tabelle1!D11*SUM(Tabelle1!S11,Tabelle1!T11,Tabelle1!U11,Tabelle1!W11,Tabelle1!X11)</f>
        <v>493003168.06654841</v>
      </c>
      <c r="F12" s="19">
        <f>Tabelle1!Z11</f>
        <v>1965816000</v>
      </c>
      <c r="G12" s="9"/>
    </row>
    <row r="13" spans="2:7" ht="15.5" x14ac:dyDescent="0.35">
      <c r="B13" s="2" t="s">
        <v>35</v>
      </c>
      <c r="C13" s="19"/>
      <c r="D13" s="19"/>
      <c r="E13" s="19">
        <f>Tabelle1!D12*SUM(Tabelle1!S12,Tabelle1!T12,Tabelle1!U12,Tabelle1!W12,Tabelle1!X12)</f>
        <v>628385133.12849045</v>
      </c>
      <c r="F13" s="19">
        <f>Tabelle1!Z12</f>
        <v>2732018400</v>
      </c>
      <c r="G13" s="10"/>
    </row>
    <row r="14" spans="2:7" ht="15.5" x14ac:dyDescent="0.35">
      <c r="B14" s="2" t="s">
        <v>36</v>
      </c>
      <c r="C14" s="19"/>
      <c r="D14" s="19"/>
      <c r="E14" s="19">
        <f>Tabelle1!D13*SUM(Tabelle1!S13,Tabelle1!T13,Tabelle1!U13,Tabelle1!W13,Tabelle1!X13)</f>
        <v>212226255.29530823</v>
      </c>
      <c r="F14" s="19">
        <f>Tabelle1!Z13</f>
        <v>1522490400</v>
      </c>
      <c r="G14" s="1"/>
    </row>
    <row r="16" spans="2:7" x14ac:dyDescent="0.35">
      <c r="C16" t="s">
        <v>150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10</vt:i4>
      </vt:variant>
      <vt:variant>
        <vt:lpstr>Navngitte områder</vt:lpstr>
      </vt:variant>
      <vt:variant>
        <vt:i4>8</vt:i4>
      </vt:variant>
    </vt:vector>
  </HeadingPairs>
  <TitlesOfParts>
    <vt:vector size="18" baseType="lpstr">
      <vt:lpstr>Tabelle1</vt:lpstr>
      <vt:lpstr>Calculation</vt:lpstr>
      <vt:lpstr>Calculation 20%</vt:lpstr>
      <vt:lpstr>Wage density</vt:lpstr>
      <vt:lpstr>First try</vt:lpstr>
      <vt:lpstr>Productivity density</vt:lpstr>
      <vt:lpstr>The Coolest Model</vt:lpstr>
      <vt:lpstr>Wage Asset link</vt:lpstr>
      <vt:lpstr>The Cooler Model</vt:lpstr>
      <vt:lpstr>Density Housing Prices Link</vt:lpstr>
      <vt:lpstr>'Calculation 20%'!lambda_1</vt:lpstr>
      <vt:lpstr>lambda_1</vt:lpstr>
      <vt:lpstr>'Calculation 20%'!lambda_2</vt:lpstr>
      <vt:lpstr>lambda_2</vt:lpstr>
      <vt:lpstr>'Calculation 20%'!lambda_3</vt:lpstr>
      <vt:lpstr>lambda_3</vt:lpstr>
      <vt:lpstr>'Calculation 20%'!risk_factor</vt:lpstr>
      <vt:lpstr>risk_factor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Ane Nielsen</cp:lastModifiedBy>
  <cp:revision/>
  <dcterms:created xsi:type="dcterms:W3CDTF">2022-11-22T11:40:04Z</dcterms:created>
  <dcterms:modified xsi:type="dcterms:W3CDTF">2022-12-20T15:31:27Z</dcterms:modified>
  <cp:category/>
  <cp:contentStatus/>
</cp:coreProperties>
</file>