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ate1904="1" codeName="ThisWorkbook"/>
  <mc:AlternateContent xmlns:mc="http://schemas.openxmlformats.org/markup-compatibility/2006">
    <mc:Choice Requires="x15">
      <x15ac:absPath xmlns:x15ac="http://schemas.microsoft.com/office/spreadsheetml/2010/11/ac" url="C:\Users\nicco\Desktop\roba giaco\"/>
    </mc:Choice>
  </mc:AlternateContent>
  <xr:revisionPtr revIDLastSave="0" documentId="8_{907AC3AE-6756-4A5D-B66C-0E53F6C44C1C}" xr6:coauthVersionLast="47" xr6:coauthVersionMax="47" xr10:uidLastSave="{00000000-0000-0000-0000-000000000000}"/>
  <bookViews>
    <workbookView xWindow="-108" yWindow="-108" windowWidth="23256" windowHeight="12720" tabRatio="357" firstSheet="2" activeTab="2" xr2:uid="{00000000-000D-0000-FFFF-FFFF00000000}"/>
  </bookViews>
  <sheets>
    <sheet name="Lookups" sheetId="7" state="hidden" r:id="rId1"/>
    <sheet name="Instructions" sheetId="8" r:id="rId2"/>
    <sheet name="Calculator" sheetId="1" r:id="rId3"/>
    <sheet name="Foglio1" sheetId="9" r:id="rId4"/>
    <sheet name="Metabolic equivalents" sheetId="4" r:id="rId5"/>
  </sheets>
  <definedNames>
    <definedName name="Activitylist">OFFSET(Lookups!$A$1,1,0,COUNTA(Lookups!$A:$A)-1,1)</definedName>
    <definedName name="Calories">#REF!</definedName>
    <definedName name="Carbo">#REF!</definedName>
    <definedName name="Core">#REF!</definedName>
    <definedName name="CoreV">#REF!</definedName>
    <definedName name="DataCollection">#REF!</definedName>
    <definedName name="Date1">#REF!</definedName>
    <definedName name="DateHead">#REF!</definedName>
    <definedName name="Dates1">#REF!</definedName>
    <definedName name="Dates2">#REF!</definedName>
    <definedName name="Deadlift">#REF!</definedName>
    <definedName name="DeadliftVariation">#REF!</definedName>
    <definedName name="ExTypes">#REF!</definedName>
    <definedName name="Fat">#REF!</definedName>
    <definedName name="Fatlist">OFFSET(Lookups!$C$1,1,0,COUNTA(Lookups!$C:$C)-1,1)</definedName>
    <definedName name="Fibre">#REF!</definedName>
    <definedName name="ForearmV">#REF!</definedName>
    <definedName name="HeartRate">#REF!</definedName>
    <definedName name="HorizontalPull">#REF!</definedName>
    <definedName name="HorizontalPush">#REF!</definedName>
    <definedName name="HPull">#REF!</definedName>
    <definedName name="HPush">#REF!</definedName>
    <definedName name="imgBefore">#REF!</definedName>
    <definedName name="kCals">#REF!</definedName>
    <definedName name="Lookup1">#REF!</definedName>
    <definedName name="Lookup10">#REF!</definedName>
    <definedName name="Lookup10a">#REF!</definedName>
    <definedName name="Lookup11">#REF!</definedName>
    <definedName name="Lookup11a">#REF!</definedName>
    <definedName name="Lookup12">#REF!</definedName>
    <definedName name="Lookup12a">#REF!</definedName>
    <definedName name="Lookup13">#REF!</definedName>
    <definedName name="Lookup13a">#REF!</definedName>
    <definedName name="Lookup14">#REF!</definedName>
    <definedName name="Lookup14a">#REF!</definedName>
    <definedName name="Lookup15">#REF!</definedName>
    <definedName name="Lookup15a">#REF!</definedName>
    <definedName name="Lookup16">#REF!</definedName>
    <definedName name="Lookup16a">#REF!</definedName>
    <definedName name="Lookup17">#REF!</definedName>
    <definedName name="Lookup17a">#REF!</definedName>
    <definedName name="Lookup18">#REF!</definedName>
    <definedName name="Lookup18a">#REF!</definedName>
    <definedName name="Lookup19">#REF!</definedName>
    <definedName name="Lookup19a">#REF!</definedName>
    <definedName name="Lookup1a">#REF!</definedName>
    <definedName name="Lookup2">#REF!</definedName>
    <definedName name="Lookup20">#REF!</definedName>
    <definedName name="Lookup20a">#REF!</definedName>
    <definedName name="Lookup21">#REF!</definedName>
    <definedName name="Lookup21a">#REF!</definedName>
    <definedName name="Lookup22">#REF!</definedName>
    <definedName name="Lookup22a">#REF!</definedName>
    <definedName name="Lookup23">#REF!</definedName>
    <definedName name="Lookup23a">#REF!</definedName>
    <definedName name="Lookup24">#REF!</definedName>
    <definedName name="Lookup24a">#REF!</definedName>
    <definedName name="Lookup25">#REF!</definedName>
    <definedName name="Lookup25a">#REF!</definedName>
    <definedName name="Lookup26">#REF!</definedName>
    <definedName name="Lookup26a">#REF!</definedName>
    <definedName name="Lookup27">#REF!</definedName>
    <definedName name="Lookup27a">#REF!</definedName>
    <definedName name="Lookup28">#REF!</definedName>
    <definedName name="Lookup28a">#REF!</definedName>
    <definedName name="Lookup29">#REF!</definedName>
    <definedName name="Lookup29a">#REF!</definedName>
    <definedName name="Lookup2a">#REF!</definedName>
    <definedName name="Lookup3">#REF!</definedName>
    <definedName name="Lookup30">#REF!</definedName>
    <definedName name="Lookup30a">#REF!</definedName>
    <definedName name="Lookup31">#REF!</definedName>
    <definedName name="Lookup31a">#REF!</definedName>
    <definedName name="Lookup32">#REF!</definedName>
    <definedName name="Lookup32a">#REF!</definedName>
    <definedName name="Lookup33">#REF!</definedName>
    <definedName name="Lookup33a">#REF!</definedName>
    <definedName name="Lookup34">#REF!</definedName>
    <definedName name="Lookup34a">#REF!</definedName>
    <definedName name="Lookup35">#REF!</definedName>
    <definedName name="Lookup35a">#REF!</definedName>
    <definedName name="Lookup36">#REF!</definedName>
    <definedName name="Lookup36a">#REF!</definedName>
    <definedName name="Lookup37">#REF!</definedName>
    <definedName name="Lookup37a">#REF!</definedName>
    <definedName name="Lookup38">#REF!</definedName>
    <definedName name="Lookup38a">#REF!</definedName>
    <definedName name="Lookup39">#REF!</definedName>
    <definedName name="Lookup39a">#REF!</definedName>
    <definedName name="Lookup3a">#REF!</definedName>
    <definedName name="Lookup4">#REF!</definedName>
    <definedName name="Lookup40">#REF!</definedName>
    <definedName name="Lookup40a">#REF!</definedName>
    <definedName name="Lookup41">#REF!</definedName>
    <definedName name="Lookup41a">#REF!</definedName>
    <definedName name="Lookup42">#REF!</definedName>
    <definedName name="Lookup42a">#REF!</definedName>
    <definedName name="Lookup43">#REF!</definedName>
    <definedName name="Lookup43a">#REF!</definedName>
    <definedName name="Lookup44">#REF!</definedName>
    <definedName name="Lookup44a">#REF!</definedName>
    <definedName name="Lookup45">#REF!</definedName>
    <definedName name="Lookup45a">#REF!</definedName>
    <definedName name="Lookup46">#REF!</definedName>
    <definedName name="Lookup46a">#REF!</definedName>
    <definedName name="Lookup47">#REF!</definedName>
    <definedName name="Lookup47a">#REF!</definedName>
    <definedName name="Lookup48">#REF!</definedName>
    <definedName name="Lookup48a">#REF!</definedName>
    <definedName name="Lookup49">#REF!</definedName>
    <definedName name="Lookup49a">#REF!</definedName>
    <definedName name="Lookup4a">#REF!</definedName>
    <definedName name="Lookup5">#REF!</definedName>
    <definedName name="Lookup50">#REF!</definedName>
    <definedName name="Lookup50a">#REF!</definedName>
    <definedName name="Lookup51">#REF!</definedName>
    <definedName name="Lookup51a">#REF!</definedName>
    <definedName name="Lookup52">#REF!</definedName>
    <definedName name="Lookup52a">#REF!</definedName>
    <definedName name="Lookup53">#REF!</definedName>
    <definedName name="Lookup53a">#REF!</definedName>
    <definedName name="Lookup54">#REF!</definedName>
    <definedName name="Lookup54a">#REF!</definedName>
    <definedName name="Lookup55">#REF!</definedName>
    <definedName name="Lookup55a">#REF!</definedName>
    <definedName name="Lookup56">#REF!</definedName>
    <definedName name="Lookup56a">#REF!</definedName>
    <definedName name="Lookup57">#REF!</definedName>
    <definedName name="Lookup57a">#REF!</definedName>
    <definedName name="Lookup58">#REF!</definedName>
    <definedName name="Lookup58a">#REF!</definedName>
    <definedName name="Lookup59">#REF!</definedName>
    <definedName name="Lookup59a">#REF!</definedName>
    <definedName name="Lookup5a">#REF!</definedName>
    <definedName name="Lookup6">#REF!</definedName>
    <definedName name="Lookup60">#REF!</definedName>
    <definedName name="Lookup60a">#REF!</definedName>
    <definedName name="Lookup61">#REF!</definedName>
    <definedName name="Lookup61a">#REF!</definedName>
    <definedName name="Lookup62">#REF!</definedName>
    <definedName name="Lookup62a">#REF!</definedName>
    <definedName name="Lookup63">#REF!</definedName>
    <definedName name="Lookup63a">#REF!</definedName>
    <definedName name="Lookup64">#REF!</definedName>
    <definedName name="Lookup64a">#REF!</definedName>
    <definedName name="Lookup65">#REF!</definedName>
    <definedName name="Lookup65a">#REF!</definedName>
    <definedName name="Lookup66">#REF!</definedName>
    <definedName name="Lookup66a">#REF!</definedName>
    <definedName name="Lookup67">#REF!</definedName>
    <definedName name="Lookup67a">#REF!</definedName>
    <definedName name="Lookup68">#REF!</definedName>
    <definedName name="Lookup68a">#REF!</definedName>
    <definedName name="Lookup69">#REF!</definedName>
    <definedName name="Lookup69a">#REF!</definedName>
    <definedName name="Lookup6a">#REF!</definedName>
    <definedName name="Lookup7">#REF!</definedName>
    <definedName name="Lookup70">#REF!</definedName>
    <definedName name="Lookup70a">#REF!</definedName>
    <definedName name="Lookup71">#REF!</definedName>
    <definedName name="Lookup71a">#REF!</definedName>
    <definedName name="Lookup72">#REF!</definedName>
    <definedName name="Lookup72a">#REF!</definedName>
    <definedName name="Lookup7a">#REF!</definedName>
    <definedName name="Lookup8">#REF!</definedName>
    <definedName name="Lookup8a">#REF!</definedName>
    <definedName name="Lookup9">#REF!</definedName>
    <definedName name="Lookup9a">#REF!</definedName>
    <definedName name="Mono">#REF!</definedName>
    <definedName name="Month">#REF!</definedName>
    <definedName name="MRTemp">#REF!</definedName>
    <definedName name="NPS">#REF!</definedName>
    <definedName name="Poly">#REF!</definedName>
    <definedName name="Protein">#REF!</definedName>
    <definedName name="Proteinlist">OFFSET(Lookups!$B$1,1,0,COUNTA(Lookups!$B:$B)-1,1)</definedName>
    <definedName name="Resistance">#REF!</definedName>
    <definedName name="Sat">#REF!</definedName>
    <definedName name="Sleep">#REF!</definedName>
    <definedName name="SleepQ">#REF!</definedName>
    <definedName name="Sodium">#REF!</definedName>
    <definedName name="Squat">#REF!</definedName>
    <definedName name="SquatVariation">#REF!</definedName>
    <definedName name="Starch">#REF!</definedName>
    <definedName name="StartDate">#REF!</definedName>
    <definedName name="Steps">#REF!</definedName>
    <definedName name="Sugars">#REF!</definedName>
    <definedName name="TopAverage">#REF!</definedName>
    <definedName name="Triceps">#REF!</definedName>
    <definedName name="TricepsV">#REF!</definedName>
    <definedName name="VerticalPull">#REF!</definedName>
    <definedName name="VerticalPush">#REF!</definedName>
    <definedName name="VPull">#REF!</definedName>
    <definedName name="VPush">#REF!</definedName>
    <definedName name="Week5Data">#REF!</definedName>
    <definedName name="Weight">#REF!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6" i="9" l="1"/>
  <c r="F36" i="9"/>
  <c r="A36" i="9"/>
  <c r="K3" i="9"/>
  <c r="F3" i="9"/>
  <c r="A3" i="9"/>
  <c r="E40" i="1"/>
  <c r="O39" i="1" l="1"/>
  <c r="O40" i="1" s="1"/>
  <c r="K40" i="1" l="1"/>
  <c r="F40" i="1" l="1"/>
  <c r="G40" i="1"/>
  <c r="H40" i="1"/>
  <c r="I40" i="1"/>
  <c r="J40" i="1"/>
  <c r="I19" i="4" l="1"/>
  <c r="I18" i="4"/>
  <c r="I17" i="4"/>
  <c r="I16" i="4"/>
  <c r="I15" i="4"/>
  <c r="I14" i="4"/>
  <c r="H45" i="1" l="1"/>
  <c r="H49" i="1"/>
  <c r="G49" i="1" s="1"/>
  <c r="K49" i="1" s="1"/>
  <c r="H50" i="1"/>
  <c r="G50" i="1" s="1"/>
  <c r="H51" i="1"/>
  <c r="G51" i="1" s="1"/>
  <c r="K51" i="1" s="1"/>
  <c r="H52" i="1"/>
  <c r="G52" i="1" s="1"/>
  <c r="H53" i="1"/>
  <c r="G53" i="1" s="1"/>
  <c r="H54" i="1"/>
  <c r="G54" i="1" s="1"/>
  <c r="H55" i="1"/>
  <c r="G55" i="1" s="1"/>
  <c r="H56" i="1"/>
  <c r="G56" i="1" s="1"/>
  <c r="H57" i="1"/>
  <c r="G57" i="1" s="1"/>
  <c r="H58" i="1"/>
  <c r="G58" i="1" s="1"/>
  <c r="H59" i="1"/>
  <c r="G59" i="1" s="1"/>
  <c r="H60" i="1"/>
  <c r="G60" i="1" s="1"/>
  <c r="H61" i="1"/>
  <c r="G61" i="1" s="1"/>
  <c r="H62" i="1"/>
  <c r="G62" i="1" s="1"/>
  <c r="H63" i="1"/>
  <c r="G63" i="1" s="1"/>
  <c r="H64" i="1"/>
  <c r="G64" i="1" s="1"/>
  <c r="H65" i="1"/>
  <c r="G65" i="1" s="1"/>
  <c r="H66" i="1"/>
  <c r="G66" i="1" s="1"/>
  <c r="H67" i="1"/>
  <c r="G67" i="1" s="1"/>
  <c r="H68" i="1"/>
  <c r="G68" i="1" s="1"/>
  <c r="H69" i="1"/>
  <c r="G69" i="1" s="1"/>
  <c r="H70" i="1"/>
  <c r="G70" i="1" s="1"/>
  <c r="H71" i="1"/>
  <c r="G71" i="1" s="1"/>
  <c r="H72" i="1"/>
  <c r="G72" i="1" s="1"/>
  <c r="L45" i="1" l="1"/>
  <c r="G45" i="1"/>
  <c r="K45" i="1" s="1"/>
  <c r="H48" i="1"/>
  <c r="G48" i="1" s="1"/>
  <c r="H47" i="1"/>
  <c r="G47" i="1" s="1"/>
  <c r="H46" i="1"/>
  <c r="G46" i="1" l="1"/>
  <c r="K46" i="1" s="1"/>
  <c r="K47" i="1"/>
  <c r="L48" i="1"/>
  <c r="K53" i="1"/>
  <c r="K54" i="1"/>
  <c r="K56" i="1"/>
  <c r="K57" i="1"/>
  <c r="K59" i="1"/>
  <c r="K60" i="1"/>
  <c r="K61" i="1"/>
  <c r="K62" i="1"/>
  <c r="K63" i="1"/>
  <c r="K64" i="1"/>
  <c r="K65" i="1"/>
  <c r="K66" i="1"/>
  <c r="K67" i="1"/>
  <c r="K68" i="1"/>
  <c r="K69" i="1"/>
  <c r="K70" i="1"/>
  <c r="K71" i="1"/>
  <c r="L46" i="1"/>
  <c r="L50" i="1"/>
  <c r="L68" i="1"/>
  <c r="L70" i="1"/>
  <c r="K50" i="1"/>
  <c r="K52" i="1"/>
  <c r="K55" i="1"/>
  <c r="K58" i="1"/>
  <c r="K72" i="1"/>
  <c r="L71" i="1" l="1"/>
  <c r="K48" i="1"/>
  <c r="L49" i="1"/>
  <c r="L47" i="1"/>
  <c r="L72" i="1"/>
  <c r="L69" i="1"/>
  <c r="L65" i="1"/>
  <c r="L61" i="1"/>
  <c r="L57" i="1"/>
  <c r="L53" i="1"/>
  <c r="L64" i="1"/>
  <c r="L60" i="1"/>
  <c r="L56" i="1"/>
  <c r="L52" i="1"/>
  <c r="L67" i="1"/>
  <c r="L63" i="1"/>
  <c r="L59" i="1"/>
  <c r="L55" i="1"/>
  <c r="L51" i="1"/>
  <c r="L66" i="1"/>
  <c r="L62" i="1"/>
  <c r="L58" i="1"/>
  <c r="L54" i="1"/>
  <c r="F18" i="1"/>
  <c r="AP27" i="1" l="1"/>
  <c r="I27" i="1" l="1"/>
  <c r="S5" i="9" l="1"/>
  <c r="E17" i="1"/>
  <c r="H27" i="1"/>
  <c r="I28" i="1"/>
  <c r="H28" i="1" s="1"/>
  <c r="G28" i="1" s="1"/>
  <c r="I29" i="1"/>
  <c r="H29" i="1" s="1"/>
  <c r="I30" i="1"/>
  <c r="H30" i="1" s="1"/>
  <c r="I31" i="1"/>
  <c r="H31" i="1" s="1"/>
  <c r="I32" i="1"/>
  <c r="H32" i="1" s="1"/>
  <c r="G32" i="1" s="1"/>
  <c r="I33" i="1"/>
  <c r="H33" i="1" s="1"/>
  <c r="M31" i="1"/>
  <c r="L31" i="1" s="1"/>
  <c r="F34" i="1"/>
  <c r="M27" i="1"/>
  <c r="M28" i="1"/>
  <c r="L28" i="1" s="1"/>
  <c r="M29" i="1"/>
  <c r="L29" i="1" s="1"/>
  <c r="M30" i="1"/>
  <c r="L30" i="1" s="1"/>
  <c r="M32" i="1"/>
  <c r="L32" i="1" s="1"/>
  <c r="M33" i="1"/>
  <c r="L33" i="1" s="1"/>
  <c r="J73" i="1"/>
  <c r="F38" i="9" l="1"/>
  <c r="H38" i="9" s="1"/>
  <c r="F39" i="9"/>
  <c r="H39" i="9" s="1"/>
  <c r="F40" i="9"/>
  <c r="H40" i="9" s="1"/>
  <c r="F41" i="9"/>
  <c r="H41" i="9" s="1"/>
  <c r="F42" i="9"/>
  <c r="H42" i="9" s="1"/>
  <c r="F43" i="9"/>
  <c r="H43" i="9" s="1"/>
  <c r="F44" i="9"/>
  <c r="H44" i="9" s="1"/>
  <c r="F45" i="9"/>
  <c r="H45" i="9" s="1"/>
  <c r="F46" i="9"/>
  <c r="H46" i="9" s="1"/>
  <c r="F47" i="9"/>
  <c r="H47" i="9" s="1"/>
  <c r="F48" i="9"/>
  <c r="H48" i="9" s="1"/>
  <c r="F49" i="9"/>
  <c r="H49" i="9" s="1"/>
  <c r="F50" i="9"/>
  <c r="H50" i="9" s="1"/>
  <c r="F51" i="9"/>
  <c r="H51" i="9" s="1"/>
  <c r="F52" i="9"/>
  <c r="H52" i="9" s="1"/>
  <c r="F53" i="9"/>
  <c r="H53" i="9" s="1"/>
  <c r="F54" i="9"/>
  <c r="H54" i="9" s="1"/>
  <c r="F55" i="9"/>
  <c r="H55" i="9" s="1"/>
  <c r="F56" i="9"/>
  <c r="H56" i="9" s="1"/>
  <c r="F57" i="9"/>
  <c r="H57" i="9" s="1"/>
  <c r="F58" i="9"/>
  <c r="H58" i="9" s="1"/>
  <c r="F59" i="9"/>
  <c r="H59" i="9" s="1"/>
  <c r="F60" i="9"/>
  <c r="H60" i="9" s="1"/>
  <c r="F37" i="9"/>
  <c r="H37" i="9" s="1"/>
  <c r="H36" i="9"/>
  <c r="L27" i="1"/>
  <c r="S6" i="9"/>
  <c r="E20" i="1"/>
  <c r="E19" i="1" s="1"/>
  <c r="I13" i="4"/>
  <c r="F35" i="1"/>
  <c r="G30" i="1"/>
  <c r="K30" i="1"/>
  <c r="O30" i="1" s="1"/>
  <c r="P30" i="1" s="1"/>
  <c r="M34" i="1"/>
  <c r="K28" i="1"/>
  <c r="O28" i="1" s="1"/>
  <c r="P28" i="1" s="1"/>
  <c r="K33" i="1"/>
  <c r="O33" i="1" s="1"/>
  <c r="P33" i="1" s="1"/>
  <c r="G33" i="1"/>
  <c r="H34" i="1"/>
  <c r="G27" i="1"/>
  <c r="K27" i="1"/>
  <c r="O27" i="1" s="1"/>
  <c r="I34" i="1"/>
  <c r="J35" i="1" s="1"/>
  <c r="K73" i="1"/>
  <c r="K29" i="1"/>
  <c r="O29" i="1" s="1"/>
  <c r="P29" i="1" s="1"/>
  <c r="G29" i="1"/>
  <c r="K32" i="1"/>
  <c r="O32" i="1" s="1"/>
  <c r="P32" i="1" s="1"/>
  <c r="L34" i="1"/>
  <c r="G31" i="1"/>
  <c r="K31" i="1"/>
  <c r="O31" i="1" s="1"/>
  <c r="P31" i="1" s="1"/>
  <c r="K38" i="9" l="1"/>
  <c r="M38" i="9" s="1"/>
  <c r="K39" i="9"/>
  <c r="M39" i="9" s="1"/>
  <c r="K40" i="9"/>
  <c r="M40" i="9" s="1"/>
  <c r="K41" i="9"/>
  <c r="M41" i="9" s="1"/>
  <c r="K42" i="9"/>
  <c r="M42" i="9" s="1"/>
  <c r="K43" i="9"/>
  <c r="M43" i="9" s="1"/>
  <c r="K44" i="9"/>
  <c r="M44" i="9" s="1"/>
  <c r="K45" i="9"/>
  <c r="M45" i="9" s="1"/>
  <c r="K46" i="9"/>
  <c r="M46" i="9" s="1"/>
  <c r="K47" i="9"/>
  <c r="M47" i="9" s="1"/>
  <c r="K48" i="9"/>
  <c r="M48" i="9" s="1"/>
  <c r="K37" i="9"/>
  <c r="M37" i="9" s="1"/>
  <c r="M36" i="9"/>
  <c r="P27" i="1"/>
  <c r="I12" i="4"/>
  <c r="I9" i="4"/>
  <c r="K19" i="1" s="1"/>
  <c r="N19" i="1" s="1"/>
  <c r="I10" i="4"/>
  <c r="I11" i="4"/>
  <c r="I8" i="4"/>
  <c r="M35" i="1"/>
  <c r="O35" i="1"/>
  <c r="I35" i="1"/>
  <c r="F19" i="1"/>
  <c r="O34" i="1"/>
  <c r="P34" i="1"/>
  <c r="A38" i="9" l="1"/>
  <c r="C38" i="9" s="1"/>
  <c r="A39" i="9"/>
  <c r="C39" i="9" s="1"/>
  <c r="A40" i="9"/>
  <c r="C40" i="9" s="1"/>
  <c r="A41" i="9"/>
  <c r="C41" i="9" s="1"/>
  <c r="A42" i="9"/>
  <c r="C42" i="9" s="1"/>
  <c r="A43" i="9"/>
  <c r="C43" i="9" s="1"/>
  <c r="A44" i="9"/>
  <c r="C44" i="9" s="1"/>
  <c r="A45" i="9"/>
  <c r="C45" i="9" s="1"/>
  <c r="A46" i="9"/>
  <c r="C46" i="9" s="1"/>
  <c r="A47" i="9"/>
  <c r="C47" i="9" s="1"/>
  <c r="A48" i="9"/>
  <c r="C48" i="9" s="1"/>
  <c r="A37" i="9"/>
  <c r="C36" i="9"/>
  <c r="S4" i="9"/>
  <c r="A15" i="9"/>
  <c r="C15" i="9" s="1"/>
  <c r="N61" i="1"/>
  <c r="P61" i="1" s="1"/>
  <c r="N45" i="1"/>
  <c r="O45" i="1" s="1"/>
  <c r="N69" i="1"/>
  <c r="O69" i="1" s="1"/>
  <c r="G21" i="1"/>
  <c r="N65" i="1"/>
  <c r="O65" i="1" s="1"/>
  <c r="N49" i="1"/>
  <c r="O49" i="1" s="1"/>
  <c r="N57" i="1"/>
  <c r="O57" i="1" s="1"/>
  <c r="N53" i="1"/>
  <c r="P53" i="1" s="1"/>
  <c r="M23" i="1"/>
  <c r="K23" i="1"/>
  <c r="I23" i="1"/>
  <c r="J23" i="1"/>
  <c r="G23" i="1"/>
  <c r="L23" i="1"/>
  <c r="H23" i="1"/>
  <c r="O61" i="1" l="1"/>
  <c r="P65" i="1"/>
  <c r="Q49" i="1"/>
  <c r="E28" i="1" s="1"/>
  <c r="Q69" i="1"/>
  <c r="E33" i="1" s="1"/>
  <c r="Q65" i="1"/>
  <c r="E32" i="1" s="1"/>
  <c r="Q61" i="1"/>
  <c r="E31" i="1" s="1"/>
  <c r="P57" i="1"/>
  <c r="P45" i="1"/>
  <c r="Q45" i="1"/>
  <c r="E27" i="1" s="1"/>
  <c r="Q57" i="1"/>
  <c r="E30" i="1" s="1"/>
  <c r="P69" i="1"/>
  <c r="O53" i="1"/>
  <c r="N73" i="1"/>
  <c r="P49" i="1"/>
  <c r="Q53" i="1"/>
  <c r="E29" i="1" s="1"/>
  <c r="E34" i="1" l="1"/>
  <c r="K13" i="1" s="1"/>
  <c r="H13" i="1" s="1"/>
  <c r="P15" i="1" l="1"/>
  <c r="E35" i="1"/>
  <c r="P17" i="1"/>
  <c r="P16" i="1"/>
  <c r="P18" i="1"/>
  <c r="P19" i="1"/>
  <c r="L13" i="1" l="1"/>
  <c r="M13" i="1" s="1"/>
  <c r="A5" i="9"/>
  <c r="C5" i="9" s="1"/>
  <c r="A6" i="9"/>
  <c r="C6" i="9" s="1"/>
  <c r="A7" i="9"/>
  <c r="C7" i="9" s="1"/>
  <c r="A4" i="9"/>
  <c r="C4" i="9" s="1"/>
  <c r="C3" i="9"/>
  <c r="A14" i="9"/>
  <c r="C14" i="9" s="1"/>
  <c r="A10" i="9"/>
  <c r="C10" i="9" s="1"/>
  <c r="A8" i="9"/>
  <c r="C8" i="9" s="1"/>
  <c r="A11" i="9"/>
  <c r="C11" i="9" s="1"/>
  <c r="A13" i="9"/>
  <c r="C13" i="9" s="1"/>
  <c r="A12" i="9"/>
  <c r="C12" i="9" s="1"/>
  <c r="A9" i="9"/>
  <c r="C9" i="9" s="1"/>
  <c r="F21" i="9"/>
  <c r="H21" i="9" s="1"/>
  <c r="F25" i="9"/>
  <c r="H25" i="9" s="1"/>
  <c r="F22" i="9"/>
  <c r="H22" i="9" s="1"/>
  <c r="F20" i="9"/>
  <c r="H20" i="9" s="1"/>
  <c r="F24" i="9"/>
  <c r="H24" i="9" s="1"/>
  <c r="F23" i="9"/>
  <c r="H23" i="9" s="1"/>
  <c r="F5" i="9"/>
  <c r="H5" i="9" s="1"/>
  <c r="F11" i="9"/>
  <c r="H11" i="9" s="1"/>
  <c r="F10" i="9"/>
  <c r="H10" i="9" s="1"/>
  <c r="F6" i="9"/>
  <c r="H6" i="9" s="1"/>
  <c r="F8" i="9"/>
  <c r="H8" i="9" s="1"/>
  <c r="F9" i="9"/>
  <c r="H9" i="9" s="1"/>
  <c r="F12" i="9"/>
  <c r="H12" i="9" s="1"/>
  <c r="F7" i="9"/>
  <c r="H7" i="9" s="1"/>
  <c r="F4" i="9"/>
  <c r="H4" i="9" s="1"/>
  <c r="F19" i="9"/>
  <c r="H19" i="9" s="1"/>
  <c r="F17" i="9"/>
  <c r="H17" i="9" s="1"/>
  <c r="F18" i="9"/>
  <c r="H18" i="9" s="1"/>
  <c r="F16" i="9"/>
  <c r="H16" i="9" s="1"/>
  <c r="F13" i="9"/>
  <c r="H13" i="9" s="1"/>
  <c r="F15" i="9"/>
  <c r="H15" i="9" s="1"/>
  <c r="F14" i="9"/>
  <c r="H14" i="9" s="1"/>
  <c r="F27" i="9"/>
  <c r="H27" i="9" s="1"/>
  <c r="F26" i="9"/>
  <c r="H26" i="9" s="1"/>
  <c r="H3" i="9"/>
  <c r="K7" i="9"/>
  <c r="M7" i="9" s="1"/>
  <c r="K11" i="9"/>
  <c r="M11" i="9" s="1"/>
  <c r="K14" i="9"/>
  <c r="M14" i="9" s="1"/>
  <c r="K8" i="9"/>
  <c r="M8" i="9" s="1"/>
  <c r="K13" i="9"/>
  <c r="M13" i="9" s="1"/>
  <c r="K4" i="9"/>
  <c r="M4" i="9" s="1"/>
  <c r="K5" i="9"/>
  <c r="M5" i="9" s="1"/>
  <c r="K6" i="9"/>
  <c r="M6" i="9" s="1"/>
  <c r="K9" i="9"/>
  <c r="M9" i="9" s="1"/>
  <c r="K12" i="9"/>
  <c r="M12" i="9" s="1"/>
  <c r="K10" i="9"/>
  <c r="M10" i="9" s="1"/>
  <c r="K15" i="9"/>
  <c r="M15" i="9" s="1"/>
  <c r="M3" i="9"/>
  <c r="C37"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Alex Ritson</author>
  </authors>
  <commentList>
    <comment ref="B12" authorId="0" shapeId="0" xr:uid="{DA550D61-5A0A-5B45-AD4E-4DC8E1AD1F0B}">
      <text>
        <r>
          <rPr>
            <b/>
            <sz val="16"/>
            <color rgb="FF000000"/>
            <rFont val="Verdana"/>
            <family val="34"/>
          </rPr>
          <t xml:space="preserve">User of Diploma in Performance Nutrition Calculator: </t>
        </r>
        <r>
          <rPr>
            <sz val="16"/>
            <color rgb="FF000000"/>
            <rFont val="Verdana"/>
            <family val="34"/>
          </rPr>
          <t xml:space="preserve">All cells highlighted in gold are cells you can edit. </t>
        </r>
      </text>
    </comment>
    <comment ref="G20" authorId="0" shapeId="0" xr:uid="{8F90D525-A6D5-6F43-8E3B-51BEC77FDE1C}">
      <text>
        <r>
          <rPr>
            <b/>
            <sz val="16"/>
            <color rgb="FF000000"/>
            <rFont val="Verdana"/>
            <family val="2"/>
          </rPr>
          <t>User of Diploma in Performance Nutrition Calculator</t>
        </r>
        <r>
          <rPr>
            <sz val="16"/>
            <color rgb="FF000000"/>
            <rFont val="Verdana"/>
            <family val="2"/>
          </rPr>
          <t xml:space="preserve">:
</t>
        </r>
        <r>
          <rPr>
            <sz val="16"/>
            <color rgb="FF000000"/>
            <rFont val="Calibri"/>
            <family val="34"/>
          </rPr>
          <t xml:space="preserve">
</t>
        </r>
        <r>
          <rPr>
            <sz val="16.5"/>
            <color rgb="FF000000"/>
            <rFont val="Calibri"/>
            <family val="34"/>
          </rPr>
          <t xml:space="preserve">RMR stands for </t>
        </r>
        <r>
          <rPr>
            <b/>
            <sz val="16.5"/>
            <color rgb="FF000000"/>
            <rFont val="Calibri"/>
            <family val="34"/>
          </rPr>
          <t xml:space="preserve">resting metabolic rate </t>
        </r>
        <r>
          <rPr>
            <sz val="16.5"/>
            <color rgb="FF000000"/>
            <rFont val="Calibri"/>
            <family val="34"/>
          </rPr>
          <t>and</t>
        </r>
        <r>
          <rPr>
            <b/>
            <sz val="16.5"/>
            <color rgb="FF000000"/>
            <rFont val="Calibri"/>
            <family val="34"/>
          </rPr>
          <t xml:space="preserve"> </t>
        </r>
        <r>
          <rPr>
            <sz val="16.5"/>
            <color rgb="FF000000"/>
            <rFont val="Calibri"/>
            <family val="34"/>
          </rPr>
          <t xml:space="preserve">refers to the energetic processes that maintain resting physiological function (the maintenance of the lungs, kidneys and brain, the pumping of the heart and other essentials of bodily maintenance). This constitutes ~60-75 percent of one's energy metabolism, with fat-free mass (skeletal muscle and organ mass) being the primary beneficiaries. As can be seen, there are a number of different equations to select from. Addressed in the FAQ within the instructions tab is recommendations for selecting the appropriate formula for your case studies. 
</t>
        </r>
        <r>
          <rPr>
            <sz val="16.5"/>
            <color rgb="FF000000"/>
            <rFont val="Calibri"/>
            <family val="34"/>
          </rPr>
          <t xml:space="preserve">
</t>
        </r>
        <r>
          <rPr>
            <sz val="16.5"/>
            <color rgb="FF000000"/>
            <rFont val="Calibri"/>
            <family val="34"/>
          </rPr>
          <t xml:space="preserve">DIT stands for </t>
        </r>
        <r>
          <rPr>
            <b/>
            <sz val="16.5"/>
            <color rgb="FF000000"/>
            <rFont val="Calibri"/>
            <family val="34"/>
          </rPr>
          <t>'diet-induced thermogenesis</t>
        </r>
        <r>
          <rPr>
            <sz val="16.5"/>
            <color rgb="FF000000"/>
            <rFont val="Calibri"/>
            <family val="34"/>
          </rPr>
          <t xml:space="preserve">' and refers to the energy needed for the digestion, assimilation, and metabolism of food. This excel sheet estimates DIT as being 10% of total daily energy expenditure.
</t>
        </r>
        <r>
          <rPr>
            <sz val="16.5"/>
            <color rgb="FF000000"/>
            <rFont val="Calibri"/>
            <family val="34"/>
          </rPr>
          <t xml:space="preserve">
</t>
        </r>
        <r>
          <rPr>
            <sz val="16.5"/>
            <color rgb="FF000000"/>
            <rFont val="Calibri"/>
            <family val="34"/>
          </rPr>
          <t xml:space="preserve">NEAT stands for </t>
        </r>
        <r>
          <rPr>
            <b/>
            <sz val="16.5"/>
            <color rgb="FF000000"/>
            <rFont val="Calibri"/>
            <family val="34"/>
          </rPr>
          <t>'non exercise activity thermogenesis</t>
        </r>
        <r>
          <rPr>
            <sz val="16.5"/>
            <color rgb="FF000000"/>
            <rFont val="Calibri"/>
            <family val="34"/>
          </rPr>
          <t xml:space="preserve">' and relates to the energy expended
</t>
        </r>
        <r>
          <rPr>
            <sz val="16.5"/>
            <color rgb="FF000000"/>
            <rFont val="Calibri"/>
            <family val="34"/>
          </rPr>
          <t xml:space="preserve">due to non-formal forms of physical activity, such as fidgeting, adjustment of posture, and walking. This has been loosely determined within this calculator by quantifying an individuals step count as a METS function of 3kcal·kg−1·h−1. </t>
        </r>
      </text>
    </comment>
    <comment ref="O43" authorId="0" shapeId="0" xr:uid="{269EEB8D-D316-F34D-90D1-F5CEF14F5382}">
      <text>
        <r>
          <rPr>
            <b/>
            <sz val="18"/>
            <color rgb="FF000000"/>
            <rFont val="Calibri"/>
            <family val="34"/>
          </rPr>
          <t>User of Diploma in Performance Nutrition Calculator:</t>
        </r>
        <r>
          <rPr>
            <sz val="18"/>
            <color rgb="FF000000"/>
            <rFont val="Calibri"/>
            <family val="34"/>
          </rPr>
          <t xml:space="preserve">
</t>
        </r>
        <r>
          <rPr>
            <sz val="18"/>
            <color rgb="FF000000"/>
            <rFont val="Calibri"/>
            <family val="34"/>
          </rPr>
          <t xml:space="preserve">Energy availability (EA) = (Energy Intake [kcal]−Exercise Energy Expenditure [kcal] ((subtraction of EE of sedentary activity from EEE during the exercise [kcal]))/ Lean Body Mass (LBM) (kg)) (Loucks and Verdun, 1998) </t>
        </r>
      </text>
    </comment>
    <comment ref="Q43" authorId="0" shapeId="0" xr:uid="{522ABF1C-850E-3140-9EA0-BCB1B8BCD569}">
      <text>
        <r>
          <rPr>
            <b/>
            <sz val="16"/>
            <color rgb="FF000000"/>
            <rFont val="Calibri"/>
            <family val="34"/>
          </rPr>
          <t>User of Diploma in Performance Nutrition Calculator:</t>
        </r>
        <r>
          <rPr>
            <sz val="16"/>
            <color rgb="FF000000"/>
            <rFont val="Calibri"/>
            <family val="34"/>
          </rPr>
          <t xml:space="preserve">
</t>
        </r>
        <r>
          <rPr>
            <sz val="16"/>
            <color rgb="FF000000"/>
            <rFont val="Calibri"/>
            <family val="34"/>
          </rPr>
          <t xml:space="preserve">TDEE= Total Daily Energy Expenditure
</t>
        </r>
      </text>
    </comment>
    <comment ref="B45" authorId="0" shapeId="0" xr:uid="{7C193C4A-B7A4-1241-83A6-7F00E7277A18}">
      <text>
        <r>
          <rPr>
            <b/>
            <sz val="16"/>
            <color rgb="FF000000"/>
            <rFont val="Verdana"/>
            <family val="34"/>
          </rPr>
          <t>User of Diploma in Performance Nutrition Calculator:</t>
        </r>
        <r>
          <rPr>
            <sz val="16"/>
            <color rgb="FF000000"/>
            <rFont val="Verdana"/>
            <family val="34"/>
          </rPr>
          <t xml:space="preserve">
</t>
        </r>
        <r>
          <rPr>
            <sz val="16"/>
            <color rgb="FF000000"/>
            <rFont val="Verdana"/>
            <family val="34"/>
          </rPr>
          <t xml:space="preserve">Add in your weekly exercise in the gold sections. You will find a glossary list of activities in the metabolic equivalents (METs) tab. You can manually overwrite exercise expenditure estimates from METS with heart rate values or your own estimations of expenditure. You can do this by adding in exercising heart rate (column I) or your own predictions in the gold cell underneath the heading ‘“manual overwrite” (column M). You will also find corrections for expenditure related to "TEA - RMR" (column N), this equates the difference between the expenditure of exercise and perceived expenditure from what one might attain via resting energy expenditure if no exercise was performed. This is important when estimating one’s energy availability. </t>
        </r>
      </text>
    </comment>
    <comment ref="P69" authorId="1" shapeId="0" xr:uid="{9B4BDEA8-7200-9C45-8ED7-D6FFE790AD86}">
      <text>
        <r>
          <rPr>
            <b/>
            <sz val="17"/>
            <color rgb="FF000000"/>
            <rFont val="Verdana"/>
            <family val="34"/>
          </rPr>
          <t xml:space="preserve">User of Diploma in Performance Nutrition Calculator:
</t>
        </r>
        <r>
          <rPr>
            <sz val="17"/>
            <color rgb="FF000000"/>
            <rFont val="Verdana"/>
            <family val="34"/>
          </rPr>
          <t>This is the energy availability (EA) estimate indicator.</t>
        </r>
        <r>
          <rPr>
            <sz val="17"/>
            <color rgb="FF000000"/>
            <rFont val="Verdana"/>
            <family val="34"/>
          </rPr>
          <t xml:space="preserve">
</t>
        </r>
        <r>
          <rPr>
            <sz val="17"/>
            <color rgb="FF000000"/>
            <rFont val="Verdana"/>
            <family val="34"/>
          </rPr>
          <t xml:space="preserve"> 
</t>
        </r>
        <r>
          <rPr>
            <sz val="17"/>
            <color rgb="FF000000"/>
            <rFont val="Verdana"/>
            <family val="34"/>
          </rPr>
          <t>A threshold of &lt;30 Kcal/kg/FFM (determined in healthy, regularly menstruating, sedentary females) (Loucks &amp; Thuma 2003) and ≤20 Kcal/kg/FFM (in men) (unpublished findings by Morton et al. 2018) has been shown as an unsafe level for healthy bodily function; which, in turn, may lead to unfavourable health outcomes and reductions in sports performance. This has been classified as “</t>
        </r>
        <r>
          <rPr>
            <sz val="17"/>
            <color rgb="FF000000"/>
            <rFont val="Verdana"/>
            <family val="34"/>
          </rPr>
          <t xml:space="preserve">clinical LEA” within this calculator and referenced with the colour </t>
        </r>
        <r>
          <rPr>
            <sz val="17"/>
            <color rgb="FFFF0000"/>
            <rFont val="Verdana"/>
            <family val="34"/>
          </rPr>
          <t>red</t>
        </r>
        <r>
          <rPr>
            <sz val="17"/>
            <color rgb="FF000000"/>
            <rFont val="Verdana"/>
            <family val="34"/>
          </rPr>
          <t xml:space="preserve">. </t>
        </r>
        <r>
          <rPr>
            <sz val="17"/>
            <color rgb="FF000000"/>
            <rFont val="Verdana"/>
            <family val="34"/>
          </rPr>
          <t xml:space="preserve">Sub-clinical low EA (30-45 Kcal/kg FFM in females; 20-40 Kcal/kg FFM in males) refers to an EA which remains sub-optimal for long-term healthy physiological function and sports performance but may be sustained for the short-periods within a </t>
        </r>
        <r>
          <rPr>
            <sz val="17"/>
            <color rgb="FF000000"/>
            <rFont val="Verdana"/>
            <family val="34"/>
          </rPr>
          <t>well-constructed weight-loss program</t>
        </r>
        <r>
          <rPr>
            <sz val="17"/>
            <color rgb="FF000000"/>
            <rFont val="Verdana"/>
            <family val="34"/>
          </rPr>
          <t>. This is referenced within the calculator with the colour</t>
        </r>
        <r>
          <rPr>
            <sz val="17"/>
            <color rgb="FF666666"/>
            <rFont val="Verdana"/>
            <family val="34"/>
          </rPr>
          <t xml:space="preserve"> </t>
        </r>
        <r>
          <rPr>
            <sz val="17"/>
            <color rgb="FF000000"/>
            <rFont val="Verdana"/>
            <family val="34"/>
          </rPr>
          <t>amber</t>
        </r>
        <r>
          <rPr>
            <sz val="17"/>
            <color rgb="FF000000"/>
            <rFont val="Verdana"/>
            <family val="34"/>
          </rPr>
          <t xml:space="preserve">. </t>
        </r>
        <r>
          <rPr>
            <sz val="17"/>
            <color rgb="FF000000"/>
            <rFont val="Verdana"/>
            <family val="34"/>
          </rPr>
          <t>Optimal EA (≥40 kcal/kg FFM in males, ≥45 kcal/kg FFM, females) refers to a sufficient level of energy to support all bodily systems optimally – this may also be indicative of weight maintenance for some individuals. High EA ( ≥40 kcal/kg FFM in males; ≥45 kcal/kg FFM in females) refers to a level of available energy which could be sufficient for weight maintenance or weight gain. Both levels are referenced within the calculator with the colour</t>
        </r>
        <r>
          <rPr>
            <sz val="17"/>
            <color rgb="FF00B050"/>
            <rFont val="Verdana"/>
            <family val="34"/>
          </rPr>
          <t xml:space="preserve"> green </t>
        </r>
      </text>
    </comment>
  </commentList>
</comments>
</file>

<file path=xl/sharedStrings.xml><?xml version="1.0" encoding="utf-8"?>
<sst xmlns="http://schemas.openxmlformats.org/spreadsheetml/2006/main" count="625" uniqueCount="356">
  <si>
    <t>Activity list</t>
  </si>
  <si>
    <t>Protein</t>
  </si>
  <si>
    <t>Fat</t>
  </si>
  <si>
    <t>bicycling</t>
  </si>
  <si>
    <t>conditioning exercise</t>
  </si>
  <si>
    <t>inactivity</t>
  </si>
  <si>
    <t>leisure</t>
  </si>
  <si>
    <t>running</t>
  </si>
  <si>
    <t>sports</t>
  </si>
  <si>
    <t>This excel sheet (Calculator tab) has been designed with the main purpose of estimating the energy expenditure and energy availability of athletes outlined in case studies within the Diploma in Performance Nutrition. This sheet will also allow you to formulate energy and macronutrient targets for your case studies. This sheet has been designed as a practical, time-efficient tool to use when more accurate/advanced assessments for quantifying energy expenditure and energy availability are unavailable. Please note that this document has not been validated in research and is the workings of Alex Ritson MSc SENr (grad) of the Institute of Performance Nutrition (formally known as the Guru Performance Institute).</t>
  </si>
  <si>
    <t xml:space="preserve">Brief guidelines </t>
  </si>
  <si>
    <r>
      <t xml:space="preserve">All cells highlighted in 'gold' within the </t>
    </r>
    <r>
      <rPr>
        <b/>
        <i/>
        <sz val="10.5"/>
        <color theme="1"/>
        <rFont val="Calibri"/>
        <family val="2"/>
      </rPr>
      <t xml:space="preserve">'Calculator ' </t>
    </r>
    <r>
      <rPr>
        <i/>
        <sz val="10.5"/>
        <color theme="1"/>
        <rFont val="Calibri"/>
        <family val="2"/>
      </rPr>
      <t xml:space="preserve">tab </t>
    </r>
    <r>
      <rPr>
        <b/>
        <i/>
        <sz val="10.5"/>
        <color theme="1"/>
        <rFont val="Calibri"/>
        <family val="2"/>
      </rPr>
      <t xml:space="preserve"> </t>
    </r>
    <r>
      <rPr>
        <i/>
        <sz val="10.5"/>
        <color theme="1"/>
        <rFont val="Calibri"/>
        <family val="2"/>
      </rPr>
      <t>can be edited by the user. All cells in white are locked.</t>
    </r>
  </si>
  <si>
    <t>All relevant estimations of energy intake, expenditure, macronutrient composition and energy availability derived from the Excel sheet that relate to your case studies must be added into your case study document where requested.</t>
  </si>
  <si>
    <t>To ensure your examiner can refer to your excel sheet to verify your estimations, please have this saved under the following title: 'Name'_Module'number' attached with your case study document , for an example:' AlexRitson_Module1'</t>
  </si>
  <si>
    <t>For any problems related to the Excel sheet please contact alex@theiopn.com</t>
  </si>
  <si>
    <t>FAQ's</t>
  </si>
  <si>
    <t>Q:</t>
  </si>
  <si>
    <t>None of the cells are functioning as shown in the Tutorial video</t>
  </si>
  <si>
    <t>A:</t>
  </si>
  <si>
    <t xml:space="preserve">You are likely using another application outside of Microsoft Excel. Please contact your Tutor and they will provide you with an online Excel version of the calculator. </t>
  </si>
  <si>
    <t xml:space="preserve">How can I quantify the thermic effect of activity (TEA) using METS? </t>
  </si>
  <si>
    <t>First: Refer to the 'Metabolic equivalent' tab and ascertain the activity ﻿that best corresponds to the type and intensity of  exercise described within your case study. Second: Select 'Activity' in the 'Calculator' tab. Third: Select 'Activity Specificity' to choose the exercise modality/intensity.  Fourth: Manually add in duration of exercise in minutes undeneath 'Time (min)'. By following these steps, an estimation of exercise expenditure will be presented.</t>
  </si>
  <si>
    <t xml:space="preserve">How can I quantify the thermic effect of activity (TEA) using heart rate? </t>
  </si>
  <si>
    <r>
      <t xml:space="preserve">First manually add in the athlete's V02 max (cell: </t>
    </r>
    <r>
      <rPr>
        <b/>
        <i/>
        <sz val="11"/>
        <color theme="1"/>
        <rFont val="Calibri"/>
        <family val="2"/>
      </rPr>
      <t>E21</t>
    </r>
    <r>
      <rPr>
        <i/>
        <sz val="11"/>
        <color theme="1"/>
        <rFont val="Calibri"/>
        <family val="2"/>
      </rPr>
      <t>). Second: Add in the athletes average exercising HR in the TEA table underneath '</t>
    </r>
    <r>
      <rPr>
        <b/>
        <i/>
        <sz val="11"/>
        <color theme="1"/>
        <rFont val="Calibri"/>
        <family val="2"/>
      </rPr>
      <t>Exercising HR</t>
    </r>
    <r>
      <rPr>
        <i/>
        <sz val="11"/>
        <color theme="1"/>
        <rFont val="Calibri"/>
        <family val="2"/>
      </rPr>
      <t>'. Third: Manually add in duration of exercise in minutes undeneath '</t>
    </r>
    <r>
      <rPr>
        <b/>
        <i/>
        <sz val="11"/>
        <color theme="1"/>
        <rFont val="Calibri"/>
        <family val="2"/>
      </rPr>
      <t>Time (min)</t>
    </r>
    <r>
      <rPr>
        <i/>
        <sz val="11"/>
        <color theme="1"/>
        <rFont val="Calibri"/>
        <family val="2"/>
      </rPr>
      <t xml:space="preserve">'. </t>
    </r>
    <r>
      <rPr>
        <b/>
        <i/>
        <sz val="11"/>
        <color theme="1"/>
        <rFont val="Calibri"/>
        <family val="2"/>
      </rPr>
      <t>Please note:</t>
    </r>
    <r>
      <rPr>
        <i/>
        <sz val="11"/>
        <color theme="1"/>
        <rFont val="Calibri"/>
        <family val="2"/>
      </rPr>
      <t xml:space="preserve"> If adding in an exercising HR average this will automatically overwrite the estimations of TEA via METS. </t>
    </r>
  </si>
  <si>
    <t xml:space="preserve">How can I manually overwrite all METS or HR estimations and use my own predictions for TEA istead? </t>
  </si>
  <si>
    <r>
      <t>Manually add in your own estimations in column 'M' underneath the title '</t>
    </r>
    <r>
      <rPr>
        <b/>
        <i/>
        <sz val="11"/>
        <color theme="1"/>
        <rFont val="Calibri"/>
        <family val="2"/>
      </rPr>
      <t xml:space="preserve"> Manual input/overwrite</t>
    </r>
    <r>
      <rPr>
        <i/>
        <sz val="11"/>
        <color theme="1"/>
        <rFont val="Calibri"/>
        <family val="2"/>
      </rPr>
      <t xml:space="preserve"> ' in the TEA table. Doing so will overwrite any previous estimations derived from METS or heart rate estimations in the row.</t>
    </r>
  </si>
  <si>
    <t>The energy availability (EA) calculator classifies male and female levels of “clinical low EA” different compared to recent reviews (Melin et al., 2019). Why is that?</t>
  </si>
  <si>
    <t xml:space="preserve">A: </t>
  </si>
  <si>
    <r>
      <t xml:space="preserve">Classification of EA levels (“high”, “optimal”, “sub-clinical” and “clinical low EA” in female and male athletes) put forth by Melin et al. (2019) align to the majority of the classifications within the calculator. Except one.
For context, the classifications by Melin et al. (2019) have been outlined below:
</t>
    </r>
    <r>
      <rPr>
        <i/>
        <sz val="11"/>
        <color rgb="FF00B050"/>
        <rFont val="Calibri"/>
        <family val="2"/>
      </rPr>
      <t>High EA:</t>
    </r>
    <r>
      <rPr>
        <i/>
        <sz val="11"/>
        <color theme="1"/>
        <rFont val="Calibri"/>
        <family val="2"/>
      </rPr>
      <t xml:space="preserve"> &gt;40 kcal/kg FFM (males), &gt;45 kcal/kg FFM (females)
For healthy weight gain or weight maintenance.
</t>
    </r>
    <r>
      <rPr>
        <i/>
        <sz val="11"/>
        <color rgb="FF00B050"/>
        <rFont val="Calibri"/>
        <family val="2"/>
      </rPr>
      <t>Optimal EA:</t>
    </r>
    <r>
      <rPr>
        <i/>
        <sz val="11"/>
        <color theme="1"/>
        <rFont val="Calibri"/>
        <family val="2"/>
      </rPr>
      <t xml:space="preserve"> ≥40 kcal/kg FFM (males), ≥45 kcal/kg FFM (females)
For weight maintenance providing adequate energy for all physiological functions. During periods with injury with alterative or rehabilitation training at low/moderate intensity ~1.5hr/day
</t>
    </r>
    <r>
      <rPr>
        <i/>
        <sz val="11"/>
        <color theme="6" tint="-0.249977111117893"/>
        <rFont val="Calibri"/>
        <family val="2"/>
      </rPr>
      <t>Subclinical LEA:</t>
    </r>
    <r>
      <rPr>
        <i/>
        <sz val="11"/>
        <color theme="1"/>
        <rFont val="Calibri"/>
        <family val="2"/>
      </rPr>
      <t xml:space="preserve"> 30-40 kcal/kg FFM (males), 30-45 kcal/kg FFM (females)
May be tolerated for short periods during a well-constructed weight-loss program
</t>
    </r>
    <r>
      <rPr>
        <i/>
        <sz val="11"/>
        <color rgb="FFFF0000"/>
        <rFont val="Calibri"/>
        <family val="2"/>
      </rPr>
      <t>Clinical LEA:</t>
    </r>
    <r>
      <rPr>
        <i/>
        <sz val="11"/>
        <color theme="1"/>
        <rFont val="Calibri"/>
        <family val="2"/>
      </rPr>
      <t xml:space="preserve"> &lt;30 kcal/kg FFM (males and females).
Health implications with impairment of many body systems including training adaptation and performance
This calculator makes </t>
    </r>
    <r>
      <rPr>
        <i/>
        <u/>
        <sz val="11"/>
        <color theme="1"/>
        <rFont val="Calibri"/>
        <family val="2"/>
      </rPr>
      <t xml:space="preserve">one </t>
    </r>
    <r>
      <rPr>
        <i/>
        <sz val="11"/>
        <color theme="1"/>
        <rFont val="Calibri"/>
        <family val="2"/>
      </rPr>
      <t>change from the classifications above, this being the male’s threshold for “clinical low EA” from &lt;30 kcal/kg FFM (Melin et al., 2019) to ≤20kcal/kg/FFM. It’s important to note that the threshold of &lt;30 kcal/kg FFM defined as clinical LEA was determined by a series of well-controlled laboratory studies in healthy, regularly menstruating, nonobese, sedentary women (Loucks and Thuma, 2003). Although the preclusion of &lt;30 kcal/kg FFM as a threshold for reproductive and metabolic dysfunction has remained prominent in the framework of the Triad and RED-S, no evidence suggests that this is the threshold for exercising men. Instead, laboratory evidence suggests that males are more physiologically robust to states of energy deficiency (Koehler et al., 2016; Papageorgiou et al., 2017). Thus, the classification put forth within this calculator aligns to Professor James Morton’s assumptions in the lecture video titled: “Relative Energy Deficiency in Sport (RED-S): A Focus on the Male Athlete” – data collected in elite male cyclists. This video can be found in Module 1 Unit 2.
From a practical perspective – due to the difficulty in controlling estimates of EA in free-living individuals akin to the standards achieved in laboratory research – this measure (whether clinical or subclinical) should be used as a proxy indicator alongside more sensitive, clinical, diagnostic criteria such as the Female Athlete Triad Screening Tool (FAST), the low energy availability in female’s questionnaire (LEAF-Q) and the RED-S clinical assessment tool (REDS-CAT) (Logue et al., 2020). Adjunct to this, other objective measures of energy status may include evaluations of disordered eating behaviour, measured and predicted RMR ratio, body composition changes and blood biomarkers of sex-steroid hormones. Importantly, as a sports dietitian/nutritionist scope of practice needs to be considered when making your assessment.</t>
    </r>
  </si>
  <si>
    <t xml:space="preserve">Do you have any guidance for the most appropriate RMR equation to use for the athletes in the case studies on the Diploma? </t>
  </si>
  <si>
    <t xml:space="preserve">When determining the best predictive equation for estimating resting metabolic rate (RMR) it is essential to use an equation that is most representative of the demographic you are providing nutritional advice too. Athlete’s often have a higher amount of fat free mass compared to non-athletes (Jagim et al. 2017). Fat free mass has been shown to be a strong predictor of RMR (McClave and Snider, 2001) and thus, it is commonly assumed that permitting an accurate estimation of body composition has been attained (i.e. DXA), estimations derived from fat free mass should offer more accurate predictions compared to bodyweight derived estimations. This is likely the reason why the fat free mass dependent equation 'Cunningham (1980)' has been shown to accurately determine RMR in athletic populations from various studies (Thompson and Manore 1996; Buchholz et al. 2008; Ten Haaf and Weijs 2014). At present, the equations developed by Cunningham and Harris-Benedict are recommended by the American College of Sports Medicine (ACSM) for estimations of RMR in athletic populations; thus, depending on the information presented in the case studies to determine an RMR estimate, either one of these equations should be considered. With that said, it is important to bear in mind, that these equations were not developed for athletic populations and there are other predictive equations presented within the Excel Sheet that have been validated as accurate estimates within certain sporting populations. </t>
  </si>
  <si>
    <t xml:space="preserve">Designed by: </t>
  </si>
  <si>
    <t>Diploma in Performance Nutrition</t>
  </si>
  <si>
    <t>Head of Department (Online Education): Alex Ritson MSc SENr (Grad)</t>
  </si>
  <si>
    <t>Student name:</t>
  </si>
  <si>
    <t xml:space="preserve">© Alex Ritson MSc, SENr (Grad)	</t>
  </si>
  <si>
    <t>Student I.D:</t>
  </si>
  <si>
    <t>Case study Module:</t>
  </si>
  <si>
    <t>Client information</t>
  </si>
  <si>
    <t>Energy balance estimation</t>
  </si>
  <si>
    <t>Name:</t>
  </si>
  <si>
    <t>Elie Cohen</t>
  </si>
  <si>
    <t>Weekly calorie and % change</t>
  </si>
  <si>
    <t>Daily kilocalorie difference</t>
  </si>
  <si>
    <t>Weekly kcal difference</t>
  </si>
  <si>
    <t>Estimated weight change</t>
  </si>
  <si>
    <t>Total bodyweight %</t>
  </si>
  <si>
    <t>Calorie targets for specific total bodyweight % +/-</t>
  </si>
  <si>
    <t>Gender</t>
  </si>
  <si>
    <t>Male</t>
  </si>
  <si>
    <t>Age</t>
  </si>
  <si>
    <t>Height (cm)</t>
  </si>
  <si>
    <t>1%- weight loss</t>
  </si>
  <si>
    <t>Goal met</t>
  </si>
  <si>
    <t>Current weight (kg)</t>
  </si>
  <si>
    <t>0.75%- weight loss</t>
  </si>
  <si>
    <t>Current weight (lb)</t>
  </si>
  <si>
    <t>0.5%- weight loss</t>
  </si>
  <si>
    <t>BF %</t>
  </si>
  <si>
    <t>RMR equation</t>
  </si>
  <si>
    <t>Select your equation</t>
  </si>
  <si>
    <t>RMR</t>
  </si>
  <si>
    <t>Manual overwite (RMR)</t>
  </si>
  <si>
    <t>0.25%- weight gain</t>
  </si>
  <si>
    <t>Current FFM</t>
  </si>
  <si>
    <t>FFM-Based Equation</t>
  </si>
  <si>
    <t>Cunningham (1980)</t>
  </si>
  <si>
    <t>0.4%- weight gain</t>
  </si>
  <si>
    <t>Current Fat Mass</t>
  </si>
  <si>
    <t>RMR + DIT + NEAT</t>
  </si>
  <si>
    <t>V02max</t>
  </si>
  <si>
    <t>Nutrition estimations/ targets</t>
  </si>
  <si>
    <t>Day of the week</t>
  </si>
  <si>
    <t>Total daily energy expenditure (TDEE)</t>
  </si>
  <si>
    <t xml:space="preserve">Energy intake </t>
  </si>
  <si>
    <t>Calories after protein</t>
  </si>
  <si>
    <t>Protein Kcal's</t>
  </si>
  <si>
    <t>Protein (g)</t>
  </si>
  <si>
    <t>g/kg/bw</t>
  </si>
  <si>
    <t>Calories after fat</t>
  </si>
  <si>
    <t>Fat Kcal's</t>
  </si>
  <si>
    <t>Fat (g)</t>
  </si>
  <si>
    <t>Carbs (g)</t>
  </si>
  <si>
    <t>Monday</t>
  </si>
  <si>
    <t>Tuesday</t>
  </si>
  <si>
    <t>Wednesday</t>
  </si>
  <si>
    <t>Thursday</t>
  </si>
  <si>
    <t>Friday</t>
  </si>
  <si>
    <t>Saturday</t>
  </si>
  <si>
    <t>Sunday</t>
  </si>
  <si>
    <t>Total</t>
  </si>
  <si>
    <t>Average</t>
  </si>
  <si>
    <t>Non-exercise activity thermogenesis (NEAT)</t>
  </si>
  <si>
    <t>Day</t>
  </si>
  <si>
    <t>Calculated average</t>
  </si>
  <si>
    <t>Step Count</t>
  </si>
  <si>
    <t>Average step count / week</t>
  </si>
  <si>
    <t>Expenditure</t>
  </si>
  <si>
    <t>Average NEAT / week</t>
  </si>
  <si>
    <t xml:space="preserve">Thermic effect of activity (TEA) </t>
  </si>
  <si>
    <t>Activity</t>
  </si>
  <si>
    <t>Activity specificity</t>
  </si>
  <si>
    <t>Met estimate</t>
  </si>
  <si>
    <t xml:space="preserve">HR estimate </t>
  </si>
  <si>
    <t xml:space="preserve">Manual overwrite </t>
  </si>
  <si>
    <t>Energy availability</t>
  </si>
  <si>
    <t>TDEE</t>
  </si>
  <si>
    <t>METS</t>
  </si>
  <si>
    <t>HR (kcal/min)</t>
  </si>
  <si>
    <t>Exercising HR</t>
  </si>
  <si>
    <t>Time (min)</t>
  </si>
  <si>
    <t xml:space="preserve">Exercise expenditure </t>
  </si>
  <si>
    <t>(TEA - RMR)</t>
  </si>
  <si>
    <t>Male
(≤20kcal/kg/FFM)</t>
  </si>
  <si>
    <t>Female
(&lt;30kcal/kg/FFM)</t>
  </si>
  <si>
    <t>resistance training (weight lifting, free weights) powerlifting or bodybuilding, vigorous effort</t>
  </si>
  <si>
    <t xml:space="preserve">Totals </t>
  </si>
  <si>
    <t>Breakfast</t>
  </si>
  <si>
    <t>Dinner</t>
  </si>
  <si>
    <t>Lunch</t>
  </si>
  <si>
    <t>grams of carbs needed</t>
  </si>
  <si>
    <t>Carbs sources</t>
  </si>
  <si>
    <t>grams of food</t>
  </si>
  <si>
    <t>carbs/100g</t>
  </si>
  <si>
    <t>grams of protein needed</t>
  </si>
  <si>
    <t>Protein sources</t>
  </si>
  <si>
    <t>protein/100g</t>
  </si>
  <si>
    <t>grams of fat needed</t>
  </si>
  <si>
    <t>Fat sources</t>
  </si>
  <si>
    <t>fat/100g</t>
  </si>
  <si>
    <t>Diet Plan</t>
  </si>
  <si>
    <t>basmati rice</t>
  </si>
  <si>
    <t>0% greek yogurt (plain)</t>
  </si>
  <si>
    <t>almond butter</t>
  </si>
  <si>
    <t>grams needed</t>
  </si>
  <si>
    <t>Black beans</t>
  </si>
  <si>
    <t>Beef topside steak</t>
  </si>
  <si>
    <t>almonds</t>
  </si>
  <si>
    <t xml:space="preserve">Breakfast </t>
  </si>
  <si>
    <t xml:space="preserve">Carbs </t>
  </si>
  <si>
    <t>oatmeal</t>
  </si>
  <si>
    <t>whole grain bread</t>
  </si>
  <si>
    <t>granola</t>
  </si>
  <si>
    <t>oatmeal+ 1xfruit smoothie</t>
  </si>
  <si>
    <t>Cous cous</t>
  </si>
  <si>
    <t>Chicken breast</t>
  </si>
  <si>
    <t>avocado</t>
  </si>
  <si>
    <t xml:space="preserve">Protein </t>
  </si>
  <si>
    <t>greek yogurt</t>
  </si>
  <si>
    <t>eggs</t>
  </si>
  <si>
    <t>salmon</t>
  </si>
  <si>
    <t>ham</t>
  </si>
  <si>
    <t>whey protein</t>
  </si>
  <si>
    <t>Green peas</t>
  </si>
  <si>
    <t>Cod</t>
  </si>
  <si>
    <t>brazilian nuts</t>
  </si>
  <si>
    <t>Fats</t>
  </si>
  <si>
    <t>honey</t>
  </si>
  <si>
    <t>olive oil</t>
  </si>
  <si>
    <t>butter</t>
  </si>
  <si>
    <t>lean cheese</t>
  </si>
  <si>
    <t>chia seeds</t>
  </si>
  <si>
    <t>Kidney beans</t>
  </si>
  <si>
    <t>Crab</t>
  </si>
  <si>
    <t>cashew</t>
  </si>
  <si>
    <t>Lentils</t>
  </si>
  <si>
    <t>Egg white</t>
  </si>
  <si>
    <t>Coconut oil</t>
  </si>
  <si>
    <t>Oatmeal</t>
  </si>
  <si>
    <t>extra lean beef mince</t>
  </si>
  <si>
    <t>hazelnuts</t>
  </si>
  <si>
    <t>Parsnip</t>
  </si>
  <si>
    <t>Haddok</t>
  </si>
  <si>
    <t>natural peanut butter</t>
  </si>
  <si>
    <t>Pasta</t>
  </si>
  <si>
    <t>King prawns</t>
  </si>
  <si>
    <t>Olive oil</t>
  </si>
  <si>
    <t>Pumpkin</t>
  </si>
  <si>
    <t>Mussels</t>
  </si>
  <si>
    <t>pecans</t>
  </si>
  <si>
    <t>Quinoa</t>
  </si>
  <si>
    <t>Mycoprotein</t>
  </si>
  <si>
    <t>pistachio</t>
  </si>
  <si>
    <t>Spelt</t>
  </si>
  <si>
    <t>Pork mince (5%)</t>
  </si>
  <si>
    <t>Sunflower oil</t>
  </si>
  <si>
    <t>Protein yogurt</t>
  </si>
  <si>
    <t>walnut</t>
  </si>
  <si>
    <t>Seabass</t>
  </si>
  <si>
    <t>Seitan</t>
  </si>
  <si>
    <t>Smoked salmom</t>
  </si>
  <si>
    <t>squid</t>
  </si>
  <si>
    <t>Tempeh</t>
  </si>
  <si>
    <t>Tilapia</t>
  </si>
  <si>
    <t>Trout</t>
  </si>
  <si>
    <t>Tuna (brine)</t>
  </si>
  <si>
    <t>Tuna steak</t>
  </si>
  <si>
    <t>Turkey breast</t>
  </si>
  <si>
    <t>Venison</t>
  </si>
  <si>
    <t>whey protein powder</t>
  </si>
  <si>
    <t>Snack 1</t>
  </si>
  <si>
    <t>Snack 2</t>
  </si>
  <si>
    <t>Pre-bed</t>
  </si>
  <si>
    <t>© Alex Ritson MSc, SENr (Grad)</t>
  </si>
  <si>
    <t>Equation</t>
  </si>
  <si>
    <t>Cunningham (1991)</t>
  </si>
  <si>
    <t xml:space="preserve">Activity Specificity </t>
  </si>
  <si>
    <r>
      <t xml:space="preserve">bicycling, &lt;10 mph, leisure, to work or for pleasure (Taylor Code 115) </t>
    </r>
    <r>
      <rPr>
        <sz val="12"/>
        <color indexed="8"/>
        <rFont val="Times"/>
        <family val="1"/>
      </rPr>
      <t xml:space="preserve">
</t>
    </r>
  </si>
  <si>
    <t>Mifflin (1990)</t>
  </si>
  <si>
    <r>
      <t xml:space="preserve">bicycling, &gt; 20 mph, racing, not drafting
</t>
    </r>
    <r>
      <rPr>
        <sz val="12"/>
        <color indexed="8"/>
        <rFont val="Times"/>
        <family val="1"/>
      </rPr>
      <t xml:space="preserve">
</t>
    </r>
  </si>
  <si>
    <t>Owen Male (1987)</t>
  </si>
  <si>
    <t>bicycling, 10-11.9 mph, leisure, slow, light effort</t>
  </si>
  <si>
    <t>Owen Female (1987)</t>
  </si>
  <si>
    <r>
      <rPr>
        <sz val="12"/>
        <color indexed="8"/>
        <rFont val="Arial"/>
        <family val="2"/>
      </rPr>
      <t xml:space="preserve">bicycling, 12 mph, seated, hands on brake hoods or bar drops, 80 rpm
</t>
    </r>
    <r>
      <rPr>
        <sz val="12"/>
        <color indexed="8"/>
        <rFont val="Times"/>
        <family val="1"/>
      </rPr>
      <t xml:space="preserve">
</t>
    </r>
  </si>
  <si>
    <t>Katch-McArdle (1996)</t>
  </si>
  <si>
    <r>
      <t xml:space="preserve">bicycling, 12-13.9 mph, leisure, moderate effort
</t>
    </r>
    <r>
      <rPr>
        <sz val="12"/>
        <color indexed="8"/>
        <rFont val="Times"/>
        <family val="1"/>
      </rPr>
      <t xml:space="preserve">
</t>
    </r>
  </si>
  <si>
    <t>BW-Based Equation</t>
  </si>
  <si>
    <t>Mifflin Male (1990)</t>
  </si>
  <si>
    <r>
      <t xml:space="preserve">bicycling, 14-15.9 mph, racing or leisure, fast, vigorous effort
</t>
    </r>
    <r>
      <rPr>
        <sz val="12"/>
        <color indexed="8"/>
        <rFont val="Times"/>
        <family val="1"/>
      </rPr>
      <t xml:space="preserve">
</t>
    </r>
  </si>
  <si>
    <t>Mifflin Female (1990)</t>
  </si>
  <si>
    <r>
      <t xml:space="preserve">bicycling, 16-19 mph, racing/not drafting or &gt; 19 mph drafting, very fast, racing general
</t>
    </r>
    <r>
      <rPr>
        <sz val="12"/>
        <color indexed="8"/>
        <rFont val="Times"/>
        <family val="1"/>
      </rPr>
      <t xml:space="preserve">
</t>
    </r>
  </si>
  <si>
    <t xml:space="preserve">Harris-Benedict Male (1918) </t>
  </si>
  <si>
    <t>bicycling, BMX</t>
  </si>
  <si>
    <t>Harris-Benedict Female (1918)</t>
  </si>
  <si>
    <r>
      <t xml:space="preserve">bicycling, general </t>
    </r>
    <r>
      <rPr>
        <sz val="12"/>
        <color indexed="8"/>
        <rFont val="Times"/>
        <family val="1"/>
      </rPr>
      <t xml:space="preserve">
</t>
    </r>
  </si>
  <si>
    <t>FAO Male (1985)</t>
  </si>
  <si>
    <t>bicycling, leisure, 5.5 mph</t>
  </si>
  <si>
    <t>FAO Female (1985)</t>
  </si>
  <si>
    <t>bicycling, leisure, 9.4 mph</t>
  </si>
  <si>
    <t xml:space="preserve">bicycling, mountain, competitive, racing </t>
  </si>
  <si>
    <t xml:space="preserve">bicycling, mountain, general </t>
  </si>
  <si>
    <t xml:space="preserve">bicycling, mountain, uphill, vigorous </t>
  </si>
  <si>
    <r>
      <t xml:space="preserve">bicycling, on dirt or farm road, moderate pace
</t>
    </r>
    <r>
      <rPr>
        <sz val="12"/>
        <color indexed="8"/>
        <rFont val="Times"/>
        <family val="1"/>
      </rPr>
      <t xml:space="preserve">
</t>
    </r>
  </si>
  <si>
    <r>
      <t xml:space="preserve">bicycling, to/from work, self selected pace
</t>
    </r>
    <r>
      <rPr>
        <sz val="12"/>
        <color indexed="8"/>
        <rFont val="Times"/>
        <family val="1"/>
      </rPr>
      <t xml:space="preserve">
</t>
    </r>
  </si>
  <si>
    <t xml:space="preserve">rowing, stationary, 100 watts, moderate effort </t>
  </si>
  <si>
    <t xml:space="preserve">rowing, stationary, 150 watts, vigorous effort </t>
  </si>
  <si>
    <t xml:space="preserve">rowing, stationary, 200 watts, very vigorous effort </t>
  </si>
  <si>
    <t>bicycling, stationary, 101-160 watts, vigorous effort</t>
  </si>
  <si>
    <t>bicycling, stationary, 161-200 watts, vigorous effort</t>
  </si>
  <si>
    <t>bicycling, stationary, 201-270 watts, very vigorous effort</t>
  </si>
  <si>
    <t>bicycling, stationary, 30-50 watts, very light to light effort</t>
  </si>
  <si>
    <t>bicycling, stationary, 51-89 watts, light-to-moderate effort</t>
  </si>
  <si>
    <t>bicycling, stationary, 90-100 watts, moderate to vigorous effort</t>
  </si>
  <si>
    <t>bicycling, stationary, RPM/Spin bike class</t>
  </si>
  <si>
    <r>
      <t xml:space="preserve">calisthenics (e.g., push ups, sit ups, pull-ups, jumping jacks), vigorous effort
</t>
    </r>
    <r>
      <rPr>
        <sz val="12"/>
        <color indexed="8"/>
        <rFont val="Times"/>
        <family val="1"/>
      </rPr>
      <t xml:space="preserve">
</t>
    </r>
  </si>
  <si>
    <t>calisthenics (e.g., push ups, sit ups, pull-ups, lunges), moderate effort</t>
  </si>
  <si>
    <t>calisthenics (e.g., situps, abdominal crunches), light effort</t>
  </si>
  <si>
    <t>calisthenics, light or moderate effort, general (e.g., back exercises), going up &amp; down from floor (Taylor Code 150)</t>
  </si>
  <si>
    <t>circuit training, including kettlebells, some aerobic movement with minimal rest, general, vigorous intensity</t>
  </si>
  <si>
    <t>circuit training, moderate effort</t>
  </si>
  <si>
    <t>Elliptical trainer, moderate effort</t>
  </si>
  <si>
    <t>resistance training (weight) training, squats , slow or explosive effort</t>
  </si>
  <si>
    <t>resistance (weight) training, multiple exercises, 8-15 repetitions at varied resistance</t>
  </si>
  <si>
    <t>health club exercise, general (Taylor Code 160)</t>
  </si>
  <si>
    <t>health club exercise classes, general, gym/weight training combined in one visit</t>
  </si>
  <si>
    <t>health club exercise, conditioning classes</t>
  </si>
  <si>
    <t>stair-treadmill ergometer, general</t>
  </si>
  <si>
    <t>rope skipping, general</t>
  </si>
  <si>
    <t>rowing, stationary ergometer, general, vigorous effort</t>
  </si>
  <si>
    <t>rowing, stationary, general, moderate effort</t>
  </si>
  <si>
    <t>ski machine, general</t>
  </si>
  <si>
    <t>pilates, general</t>
  </si>
  <si>
    <t>teaching exercise class (e.g., aerobic, water)</t>
  </si>
  <si>
    <t>upper body exercise, arm ergometer</t>
  </si>
  <si>
    <t>upper body exercise, stationary bicycle - Airdyne (arms only) 40 rpm, moderate</t>
  </si>
  <si>
    <t>yoga, Hatha</t>
  </si>
  <si>
    <t>yoga, Power</t>
  </si>
  <si>
    <t>yoga, Nadisodhana</t>
  </si>
  <si>
    <t>yoga, Surya Namaskar</t>
  </si>
  <si>
    <t>sitting quietly, general</t>
  </si>
  <si>
    <t>walking, 2.5 mph, downhill</t>
  </si>
  <si>
    <t>walking, 2.5 mph, level, firm surface</t>
  </si>
  <si>
    <t>walking, 2.8 to 3.2 mph, level, moderate pace, firm surface</t>
  </si>
  <si>
    <t>walking, 2.9 to 3.5 mph, uphill, 1 to 5% grade</t>
  </si>
  <si>
    <t>walking, 2.9 to 3.5 mph, uphill, 6% to 15% grade</t>
  </si>
  <si>
    <t>walking, 3.5 mph, level, brisk, firm surface, walking for exercise</t>
  </si>
  <si>
    <t>walking, 4.0 mph, level, firm surface, very brisk pace</t>
  </si>
  <si>
    <t>walking, 4.5 mph, level, firm surface, very, very brisk</t>
  </si>
  <si>
    <t>walking, 5.0 mph, level, firm surface</t>
  </si>
  <si>
    <t>walking, 5.0 mph, uphill, 3% grade</t>
  </si>
  <si>
    <t>walking, for exercise, 3.5 to 4 mph, with ski poles, Nordic walking, level, moderate pace</t>
  </si>
  <si>
    <t>walking, for exercise, 5.0 mph, with ski poles, Nordic walking, level, fast pace</t>
  </si>
  <si>
    <t>walking, for pleasure, work break</t>
  </si>
  <si>
    <t>walking, grass track</t>
  </si>
  <si>
    <t>walking, normal pace, plowed field or sand</t>
  </si>
  <si>
    <t xml:space="preserve">running, 10 mph (6 min/mile) </t>
  </si>
  <si>
    <t xml:space="preserve">running, 11 mph (5.5 min/mile) </t>
  </si>
  <si>
    <t xml:space="preserve">running, 12 mph (5 min/mile) </t>
  </si>
  <si>
    <t xml:space="preserve">running, 13 mph (4.6 min/mile) </t>
  </si>
  <si>
    <t xml:space="preserve">running, 14 mph (4.3 min/mile) </t>
  </si>
  <si>
    <t xml:space="preserve">Running, 4 mph (13 min/mile) </t>
  </si>
  <si>
    <t xml:space="preserve">running, 5 mph (12 min/mile) </t>
  </si>
  <si>
    <t xml:space="preserve">running, 5.2 mph (11.5 min/mile) </t>
  </si>
  <si>
    <t xml:space="preserve">running, 6 mph (10 min/mile) </t>
  </si>
  <si>
    <t xml:space="preserve">running, 6.7 mph (9 min/mile) </t>
  </si>
  <si>
    <t xml:space="preserve">running, 7 mph (8.5 min/mile) </t>
  </si>
  <si>
    <t xml:space="preserve">running, 7.5 mph (8 min/mile) </t>
  </si>
  <si>
    <t xml:space="preserve">running, 8 mph (7.5 min/mile) </t>
  </si>
  <si>
    <t xml:space="preserve">running, 8.6 mph (7 min/mile) </t>
  </si>
  <si>
    <t xml:space="preserve">running, 9 mph (6.5 min/mile) </t>
  </si>
  <si>
    <t>running, cross country</t>
  </si>
  <si>
    <t>running, stairs, up</t>
  </si>
  <si>
    <t>running, on a track, team practice</t>
  </si>
  <si>
    <t>running, marathon</t>
  </si>
  <si>
    <t>competitive soccer</t>
  </si>
  <si>
    <t>boxing (punching bag)</t>
  </si>
  <si>
    <t>boxing, in ring, general</t>
  </si>
  <si>
    <t>boxing, sparring</t>
  </si>
  <si>
    <r>
      <t xml:space="preserve">golf, general
</t>
    </r>
    <r>
      <rPr>
        <sz val="12"/>
        <color indexed="8"/>
        <rFont val="Times"/>
        <family val="1"/>
      </rPr>
      <t xml:space="preserve">
</t>
    </r>
  </si>
  <si>
    <t>golf, walking, carrying clubs</t>
  </si>
  <si>
    <t>golf, using power cart (Taylor Code 070)</t>
  </si>
  <si>
    <t>gymnastics</t>
  </si>
  <si>
    <t>rugby, union, team, competitive</t>
  </si>
  <si>
    <t>tennis, hitting balls, non-game play, moderate effort</t>
  </si>
  <si>
    <t>tennis, doubles</t>
  </si>
  <si>
    <t>tennis, doubles (T aylor Code 430)</t>
  </si>
  <si>
    <t>tennis, singles (T aylor Code 420)</t>
  </si>
  <si>
    <t>tennis, general</t>
  </si>
  <si>
    <t>archery, non-hunting</t>
  </si>
  <si>
    <t>badminton, competitive (T aylor Code 450)</t>
  </si>
  <si>
    <t>badminton, social singles and doubles, general</t>
  </si>
  <si>
    <t>basketball, game (T aylor Code 490)</t>
  </si>
  <si>
    <t>basketball, non-game, general (T aylor Code 480)</t>
  </si>
  <si>
    <t>basketball, general</t>
  </si>
  <si>
    <t>basketball, officiating (Taylor Code 500)</t>
  </si>
  <si>
    <t>basketball, shooting baskets</t>
  </si>
  <si>
    <t>basketball, drills, practice</t>
  </si>
  <si>
    <t>basketball, wheelchair</t>
  </si>
  <si>
    <t>cheerleading, gymnastic moves, competitive</t>
  </si>
  <si>
    <t>fencing</t>
  </si>
  <si>
    <t>football, competitive</t>
  </si>
  <si>
    <t>hockey, field</t>
  </si>
  <si>
    <t>hockey, ice, general</t>
  </si>
  <si>
    <t>hockey, ice, competitive</t>
  </si>
  <si>
    <t>horseback riding, trotting</t>
  </si>
  <si>
    <t>horseback riding, general</t>
  </si>
  <si>
    <t>horseback riding,walking</t>
  </si>
  <si>
    <t>martial arts, different types, slower pace, novice performers, practice</t>
  </si>
  <si>
    <t>martial arts, different types, moderate pace (e.g., judo, jujitsu, karate, kick boxing, tae kwan do, tai-bo, Muay Thai boxing)</t>
  </si>
  <si>
    <t>lacrosse</t>
  </si>
  <si>
    <t>skateboarding, general, moderate effort</t>
  </si>
  <si>
    <t>skateboarding, competitive, vigorous effort</t>
  </si>
  <si>
    <t>table tennis, ping pong (Taylor Code 410)</t>
  </si>
  <si>
    <t>tai chi, qi gong, general</t>
  </si>
  <si>
    <t>tai chi, qi gong, sitting, light effort</t>
  </si>
  <si>
    <t>volleyball (T aylor Code 400)</t>
  </si>
  <si>
    <t>volleyball, competitive, in gymnasium</t>
  </si>
  <si>
    <t>volleyball, non-competitive, 6 - 9 member team, general</t>
  </si>
  <si>
    <t>wrestling (one match = 5 minutes)</t>
  </si>
  <si>
    <t>track and field (e.g., shot, discus, hammer throw)</t>
  </si>
  <si>
    <t>track and field (e.g., high jump, long jump, triple jump, javelin, pole vault)</t>
  </si>
  <si>
    <t>track and field (e.g., steeplechase, hurdles)</t>
  </si>
  <si>
    <t>swimming laps, freestyle, fast, vigorous effort</t>
  </si>
  <si>
    <t xml:space="preserve">swimming laps, freestyle, front crawl, slow, light or moderate effort </t>
  </si>
  <si>
    <t>swimming, crawl, fast speed, 75 yards/minute, vigorous effort</t>
  </si>
  <si>
    <r>
      <t xml:space="preserve">swimming, crawl, medium speed, 50 yards/minute, vigorous effort </t>
    </r>
    <r>
      <rPr>
        <sz val="12"/>
        <color indexed="8"/>
        <rFont val="Times"/>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</si>
</sst>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_-* #,##0.00_-;\-* #,##0.00_-;_-* &quot;-&quot;??_-;_-@_-"/>
    <numFmt numFmtId="165" formatCode="0&quot;  cm&quot;"/>
    <numFmt numFmtId="166" formatCode="mmmm"/>
    <numFmt numFmtId="167" formatCode="0.0&quot; kg&quot;"/>
    <numFmt numFmtId="168" formatCode="0&quot; lbs&quot;"/>
    <numFmt numFmtId="169" formatCode="0.0"/>
    <numFmt numFmtId="170" formatCode="0&quot;Kcal's&quot;"/>
    <numFmt numFmtId="171" formatCode="0&quot;g&quot;"/>
    <numFmt numFmtId="172" formatCode="0.000"/>
    <numFmt numFmtId="173" formatCode="0.0&quot; lbs&quot;"/>
    <numFmt numFmtId="174" formatCode="0.0%"/>
    <numFmt numFmtId="175" formatCode="0&quot; ml/kg/min&quot;"/>
  </numFmts>
  <fonts count="91">
    <font>
      <sz val="12"/>
      <color indexed="8"/>
      <name val="Verdana"/>
    </font>
    <font>
      <sz val="12"/>
      <color indexed="8"/>
      <name val="Verdana"/>
      <family val="2"/>
    </font>
    <font>
      <sz val="10"/>
      <color indexed="8"/>
      <name val="Helvetica Neue Light"/>
    </font>
    <font>
      <sz val="11"/>
      <color indexed="8"/>
      <name val="Helvetica"/>
      <family val="2"/>
    </font>
    <font>
      <b/>
      <sz val="16"/>
      <color indexed="8"/>
      <name val="Helvetica Neue"/>
      <family val="2"/>
    </font>
    <font>
      <sz val="11"/>
      <color indexed="8"/>
      <name val="Arial"/>
      <family val="2"/>
    </font>
    <font>
      <sz val="12"/>
      <color indexed="8"/>
      <name val="Times"/>
      <family val="1"/>
    </font>
    <font>
      <sz val="12"/>
      <color indexed="8"/>
      <name val="Verdana"/>
      <family val="2"/>
    </font>
    <font>
      <b/>
      <i/>
      <sz val="18"/>
      <color indexed="8"/>
      <name val="Verdana"/>
      <family val="2"/>
    </font>
    <font>
      <sz val="12"/>
      <color theme="1"/>
      <name val="Arial"/>
      <family val="2"/>
    </font>
    <font>
      <sz val="12"/>
      <color indexed="8"/>
      <name val="Arial"/>
      <family val="2"/>
    </font>
    <font>
      <b/>
      <sz val="12"/>
      <color indexed="8"/>
      <name val="Helvetica"/>
      <family val="2"/>
    </font>
    <font>
      <sz val="12"/>
      <color theme="1"/>
      <name val="Helvetica"/>
      <family val="2"/>
    </font>
    <font>
      <b/>
      <sz val="18"/>
      <color indexed="8"/>
      <name val="Helvetica"/>
      <family val="2"/>
      <scheme val="minor"/>
    </font>
    <font>
      <b/>
      <sz val="12"/>
      <color rgb="FFCBB77C"/>
      <name val="Arial"/>
      <family val="2"/>
    </font>
    <font>
      <b/>
      <sz val="12"/>
      <color rgb="FFCBB77C"/>
      <name val="Helvetica"/>
      <family val="2"/>
    </font>
    <font>
      <b/>
      <sz val="11"/>
      <color rgb="FFCBB77C"/>
      <name val="Helvetica"/>
      <family val="2"/>
    </font>
    <font>
      <u/>
      <sz val="12"/>
      <color theme="10"/>
      <name val="Verdana"/>
      <family val="2"/>
    </font>
    <font>
      <sz val="11"/>
      <color indexed="8"/>
      <name val="Verdana"/>
      <family val="2"/>
    </font>
    <font>
      <sz val="11"/>
      <color indexed="8"/>
      <name val="Helvetica Neue Light"/>
    </font>
    <font>
      <sz val="16"/>
      <color rgb="FF000000"/>
      <name val="Verdana"/>
      <family val="2"/>
    </font>
    <font>
      <b/>
      <sz val="16"/>
      <color rgb="FF000000"/>
      <name val="Verdana"/>
      <family val="2"/>
    </font>
    <font>
      <sz val="16"/>
      <color rgb="FF000000"/>
      <name val="Calibri"/>
      <family val="34"/>
    </font>
    <font>
      <sz val="16.5"/>
      <color rgb="FF000000"/>
      <name val="Calibri"/>
      <family val="34"/>
    </font>
    <font>
      <b/>
      <sz val="16.5"/>
      <color rgb="FF000000"/>
      <name val="Calibri"/>
      <family val="34"/>
    </font>
    <font>
      <sz val="18"/>
      <color rgb="FF000000"/>
      <name val="Calibri"/>
      <family val="34"/>
    </font>
    <font>
      <sz val="15"/>
      <color indexed="8"/>
      <name val="Helvetica"/>
      <family val="2"/>
      <scheme val="minor"/>
    </font>
    <font>
      <sz val="15"/>
      <color rgb="FFFF0000"/>
      <name val="Helvetica"/>
      <family val="2"/>
      <scheme val="minor"/>
    </font>
    <font>
      <b/>
      <u/>
      <sz val="15"/>
      <color indexed="8"/>
      <name val="Helvetica"/>
      <family val="2"/>
      <scheme val="minor"/>
    </font>
    <font>
      <sz val="15"/>
      <color theme="0"/>
      <name val="Helvetica"/>
      <family val="2"/>
      <scheme val="minor"/>
    </font>
    <font>
      <sz val="15"/>
      <color indexed="11"/>
      <name val="Helvetica"/>
      <family val="2"/>
      <scheme val="minor"/>
    </font>
    <font>
      <sz val="15"/>
      <color rgb="FFCBB77C"/>
      <name val="Helvetica"/>
      <family val="2"/>
      <scheme val="minor"/>
    </font>
    <font>
      <b/>
      <sz val="15"/>
      <color rgb="FFCB9D10"/>
      <name val="Helvetica"/>
      <family val="2"/>
      <scheme val="minor"/>
    </font>
    <font>
      <b/>
      <sz val="15"/>
      <color indexed="8"/>
      <name val="Helvetica"/>
      <family val="2"/>
      <scheme val="minor"/>
    </font>
    <font>
      <sz val="15"/>
      <color theme="1"/>
      <name val="Helvetica"/>
      <family val="2"/>
      <scheme val="minor"/>
    </font>
    <font>
      <b/>
      <i/>
      <sz val="15"/>
      <color indexed="8"/>
      <name val="Helvetica"/>
      <family val="2"/>
      <scheme val="minor"/>
    </font>
    <font>
      <u/>
      <sz val="15"/>
      <color theme="10"/>
      <name val="Helvetica"/>
      <family val="2"/>
      <scheme val="minor"/>
    </font>
    <font>
      <b/>
      <sz val="15"/>
      <color rgb="FFCBB77C"/>
      <name val="Helvetica"/>
      <family val="2"/>
      <scheme val="minor"/>
    </font>
    <font>
      <b/>
      <sz val="15"/>
      <color theme="1"/>
      <name val="Helvetica"/>
      <family val="2"/>
      <scheme val="minor"/>
    </font>
    <font>
      <sz val="15"/>
      <name val="Helvetica"/>
      <family val="2"/>
      <scheme val="minor"/>
    </font>
    <font>
      <sz val="15"/>
      <color indexed="10"/>
      <name val="Helvetica"/>
      <family val="2"/>
      <scheme val="minor"/>
    </font>
    <font>
      <b/>
      <sz val="15"/>
      <color rgb="FF222222"/>
      <name val="Helvetica"/>
      <family val="2"/>
      <scheme val="minor"/>
    </font>
    <font>
      <b/>
      <sz val="15"/>
      <color theme="0"/>
      <name val="Helvetica"/>
      <family val="2"/>
      <scheme val="minor"/>
    </font>
    <font>
      <b/>
      <sz val="18"/>
      <color theme="1"/>
      <name val="Helvetica"/>
      <family val="2"/>
      <scheme val="minor"/>
    </font>
    <font>
      <i/>
      <sz val="12"/>
      <color theme="0" tint="-0.499984740745262"/>
      <name val="Calibri"/>
      <family val="2"/>
    </font>
    <font>
      <sz val="12"/>
      <color theme="1"/>
      <name val="Calibri"/>
      <family val="2"/>
    </font>
    <font>
      <i/>
      <sz val="14"/>
      <color theme="0" tint="-0.499984740745262"/>
      <name val="Calibri"/>
      <family val="2"/>
    </font>
    <font>
      <b/>
      <sz val="12"/>
      <color theme="0"/>
      <name val="Calibri"/>
      <family val="2"/>
    </font>
    <font>
      <i/>
      <sz val="12"/>
      <color theme="1"/>
      <name val="Calibri"/>
      <family val="2"/>
    </font>
    <font>
      <b/>
      <sz val="20"/>
      <color rgb="FFCB9D10"/>
      <name val="Helvetica"/>
      <family val="2"/>
      <scheme val="minor"/>
    </font>
    <font>
      <sz val="12"/>
      <color rgb="FFFF0000"/>
      <name val="Verdana"/>
      <family val="2"/>
    </font>
    <font>
      <sz val="10"/>
      <color rgb="FFFF0000"/>
      <name val="Helvetica Neue Light"/>
    </font>
    <font>
      <sz val="10"/>
      <color rgb="FFCB9D10"/>
      <name val="Helvetica Neue Light"/>
    </font>
    <font>
      <sz val="11"/>
      <color rgb="FFCB9D10"/>
      <name val="Helvetica Neue Light"/>
    </font>
    <font>
      <u/>
      <sz val="12"/>
      <color rgb="FFCB9D10"/>
      <name val="Verdana"/>
      <family val="2"/>
    </font>
    <font>
      <sz val="12"/>
      <color rgb="FFCB9D10"/>
      <name val="Verdana"/>
      <family val="2"/>
    </font>
    <font>
      <b/>
      <i/>
      <sz val="11"/>
      <color theme="1"/>
      <name val="Calibri"/>
      <family val="2"/>
    </font>
    <font>
      <sz val="11"/>
      <color theme="1"/>
      <name val="Calibri"/>
      <family val="2"/>
    </font>
    <font>
      <i/>
      <sz val="11"/>
      <color theme="1"/>
      <name val="Calibri"/>
      <family val="2"/>
    </font>
    <font>
      <sz val="12"/>
      <color rgb="FFFF0000"/>
      <name val="Tahoma"/>
      <family val="2"/>
    </font>
    <font>
      <i/>
      <sz val="10.5"/>
      <color theme="1"/>
      <name val="Calibri"/>
      <family val="2"/>
    </font>
    <font>
      <b/>
      <i/>
      <sz val="10.5"/>
      <color theme="1"/>
      <name val="Calibri"/>
      <family val="2"/>
    </font>
    <font>
      <b/>
      <sz val="14"/>
      <color rgb="FFCBB77C"/>
      <name val="Helvetica"/>
      <family val="2"/>
      <scheme val="minor"/>
    </font>
    <font>
      <sz val="12"/>
      <color theme="0"/>
      <name val="Verdana"/>
      <family val="2"/>
    </font>
    <font>
      <b/>
      <sz val="12"/>
      <color theme="0"/>
      <name val="Verdana"/>
      <family val="2"/>
    </font>
    <font>
      <u/>
      <sz val="16"/>
      <color theme="10"/>
      <name val="Verdana"/>
      <family val="2"/>
    </font>
    <font>
      <u/>
      <sz val="16"/>
      <color theme="10"/>
      <name val="Helvetica"/>
      <family val="2"/>
      <scheme val="minor"/>
    </font>
    <font>
      <sz val="16"/>
      <color indexed="8"/>
      <name val="Helvetica"/>
      <family val="2"/>
      <scheme val="minor"/>
    </font>
    <font>
      <sz val="8"/>
      <name val="Verdana"/>
      <family val="2"/>
    </font>
    <font>
      <b/>
      <sz val="18"/>
      <color rgb="FF000000"/>
      <name val="Calibri"/>
      <family val="34"/>
    </font>
    <font>
      <b/>
      <sz val="15"/>
      <name val="Helvetica"/>
      <family val="2"/>
      <scheme val="minor"/>
    </font>
    <font>
      <b/>
      <sz val="16"/>
      <color rgb="FF000000"/>
      <name val="Calibri"/>
      <family val="34"/>
    </font>
    <font>
      <i/>
      <sz val="11"/>
      <color rgb="FF00B050"/>
      <name val="Calibri"/>
      <family val="2"/>
    </font>
    <font>
      <i/>
      <sz val="11"/>
      <color theme="6" tint="-0.249977111117893"/>
      <name val="Calibri"/>
      <family val="2"/>
    </font>
    <font>
      <i/>
      <sz val="11"/>
      <color rgb="FFFF0000"/>
      <name val="Calibri"/>
      <family val="2"/>
    </font>
    <font>
      <i/>
      <u/>
      <sz val="11"/>
      <color theme="1"/>
      <name val="Calibri"/>
      <family val="2"/>
    </font>
    <font>
      <sz val="16"/>
      <color rgb="FF000000"/>
      <name val="Verdana"/>
      <family val="34"/>
    </font>
    <font>
      <b/>
      <sz val="15"/>
      <color rgb="FF000000"/>
      <name val="Helvetica"/>
      <family val="2"/>
    </font>
    <font>
      <b/>
      <sz val="17"/>
      <color rgb="FF000000"/>
      <name val="Verdana"/>
      <family val="34"/>
    </font>
    <font>
      <sz val="17"/>
      <color rgb="FF000000"/>
      <name val="Verdana"/>
      <family val="34"/>
    </font>
    <font>
      <b/>
      <sz val="16"/>
      <color rgb="FF000000"/>
      <name val="Verdana"/>
      <family val="34"/>
    </font>
    <font>
      <sz val="17"/>
      <color rgb="FFFF0000"/>
      <name val="Verdana"/>
      <family val="34"/>
    </font>
    <font>
      <sz val="17"/>
      <color rgb="FF666666"/>
      <name val="Verdana"/>
      <family val="34"/>
    </font>
    <font>
      <sz val="17"/>
      <color rgb="FF00B050"/>
      <name val="Verdana"/>
      <family val="34"/>
    </font>
    <font>
      <sz val="12"/>
      <color indexed="8"/>
      <name val="Arial"/>
    </font>
    <font>
      <sz val="10"/>
      <color indexed="8"/>
      <name val="Arial"/>
    </font>
    <font>
      <sz val="10"/>
      <color rgb="FF000000"/>
      <name val="Arial"/>
    </font>
    <font>
      <b/>
      <sz val="11"/>
      <color indexed="8"/>
      <name val="Arial"/>
    </font>
    <font>
      <b/>
      <sz val="11"/>
      <color rgb="FF000000"/>
      <name val="Arial"/>
    </font>
    <font>
      <sz val="12"/>
      <color rgb="FF000000"/>
      <name val="Verdana"/>
      <charset val="1"/>
    </font>
    <font>
      <sz val="8"/>
      <color rgb="FF000000"/>
      <name val="Segoe UI"/>
      <family val="2"/>
    </font>
  </fonts>
  <fills count="16">
    <fill>
      <patternFill patternType="none"/>
    </fill>
    <fill>
      <patternFill patternType="gray125"/>
    </fill>
    <fill>
      <patternFill patternType="solid">
        <fgColor indexed="11"/>
        <bgColor auto="1"/>
      </patternFill>
    </fill>
    <fill>
      <patternFill patternType="solid">
        <fgColor theme="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CBB77C"/>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FFFBDA"/>
        <bgColor indexed="64"/>
      </patternFill>
    </fill>
    <fill>
      <patternFill patternType="solid">
        <fgColor theme="0" tint="-4.9989318521683403E-2"/>
        <bgColor indexed="64"/>
      </patternFill>
    </fill>
    <fill>
      <patternFill patternType="solid">
        <fgColor rgb="FFCBB77C"/>
        <bgColor rgb="FF000000"/>
      </patternFill>
    </fill>
    <fill>
      <patternFill patternType="solid">
        <fgColor rgb="FFFFF2CC"/>
        <bgColor indexed="64"/>
      </patternFill>
    </fill>
    <fill>
      <patternFill patternType="solid">
        <fgColor rgb="FFFFFFFF"/>
        <bgColor indexed="64"/>
      </patternFill>
    </fill>
  </fills>
  <borders count="59">
    <border>
      <left/>
      <right/>
      <top/>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top/>
      <bottom/>
      <diagonal/>
    </border>
    <border>
      <left/>
      <right/>
      <top/>
      <bottom/>
      <diagonal/>
    </border>
    <border>
      <left/>
      <right style="thin">
        <color indexed="9"/>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thin">
        <color indexed="20"/>
      </left>
      <right style="thin">
        <color indexed="20"/>
      </right>
      <top style="thin">
        <color indexed="20"/>
      </top>
      <bottom style="thin">
        <color indexed="2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indexed="8"/>
      </right>
      <top style="thin">
        <color indexed="8"/>
      </top>
      <bottom style="thin">
        <color indexed="13"/>
      </bottom>
      <diagonal/>
    </border>
    <border>
      <left/>
      <right style="thin">
        <color indexed="8"/>
      </right>
      <top style="thin">
        <color indexed="13"/>
      </top>
      <bottom style="thin">
        <color indexed="13"/>
      </bottom>
      <diagonal/>
    </border>
    <border>
      <left style="thin">
        <color auto="1"/>
      </left>
      <right/>
      <top/>
      <bottom/>
      <diagonal/>
    </border>
    <border>
      <left/>
      <right style="hair">
        <color theme="5" tint="-0.24994659260841701"/>
      </right>
      <top/>
      <bottom/>
      <diagonal/>
    </border>
    <border>
      <left style="hair">
        <color theme="5" tint="-0.24994659260841701"/>
      </left>
      <right/>
      <top/>
      <bottom/>
      <diagonal/>
    </border>
    <border>
      <left style="hair">
        <color theme="5" tint="-0.24994659260841701"/>
      </left>
      <right/>
      <top style="hair">
        <color theme="5" tint="-0.24994659260841701"/>
      </top>
      <bottom style="hair">
        <color theme="5" tint="-0.24994659260841701"/>
      </bottom>
      <diagonal/>
    </border>
    <border>
      <left/>
      <right/>
      <top style="hair">
        <color theme="5" tint="-0.24994659260841701"/>
      </top>
      <bottom style="hair">
        <color theme="5" tint="-0.24994659260841701"/>
      </bottom>
      <diagonal/>
    </border>
    <border>
      <left style="hair">
        <color theme="5" tint="-0.24994659260841701"/>
      </left>
      <right/>
      <top/>
      <bottom style="hair">
        <color theme="5" tint="-0.24994659260841701"/>
      </bottom>
      <diagonal/>
    </border>
    <border>
      <left/>
      <right/>
      <top/>
      <bottom style="hair">
        <color theme="5" tint="-0.2499465926084170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style="thin">
        <color indexed="8"/>
      </top>
      <bottom/>
      <diagonal/>
    </border>
    <border>
      <left/>
      <right/>
      <top/>
      <bottom style="thin">
        <color indexed="8"/>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right/>
      <top/>
      <bottom style="thin">
        <color indexed="9"/>
      </bottom>
      <diagonal/>
    </border>
    <border>
      <left/>
      <right style="thin">
        <color indexed="9"/>
      </right>
      <top/>
      <bottom style="thin">
        <color indexed="9"/>
      </bottom>
      <diagonal/>
    </border>
    <border>
      <left style="thin">
        <color indexed="9"/>
      </left>
      <right/>
      <top/>
      <bottom style="thin">
        <color indexed="8"/>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bottom/>
      <diagonal/>
    </border>
  </borders>
  <cellStyleXfs count="6">
    <xf numFmtId="0" fontId="0" fillId="0" borderId="0" applyNumberFormat="0" applyFill="0" applyBorder="0" applyProtection="0">
      <alignment vertical="top" wrapText="1"/>
    </xf>
    <xf numFmtId="0" fontId="1" fillId="0" borderId="5" applyNumberFormat="0" applyFill="0" applyBorder="0" applyProtection="0">
      <alignment vertical="top" wrapText="1"/>
    </xf>
    <xf numFmtId="43" fontId="1" fillId="0" borderId="5" applyFont="0" applyFill="0" applyBorder="0" applyAlignment="0" applyProtection="0"/>
    <xf numFmtId="164" fontId="7" fillId="0" borderId="0" applyFont="0" applyFill="0" applyBorder="0" applyAlignment="0" applyProtection="0"/>
    <xf numFmtId="9" fontId="7" fillId="0" borderId="0" applyFont="0" applyFill="0" applyBorder="0" applyAlignment="0" applyProtection="0"/>
    <xf numFmtId="0" fontId="17" fillId="0" borderId="0" applyNumberFormat="0" applyFill="0" applyBorder="0" applyAlignment="0" applyProtection="0">
      <alignment vertical="top" wrapText="1"/>
    </xf>
  </cellStyleXfs>
  <cellXfs count="376">
    <xf numFmtId="0" fontId="0" fillId="0" borderId="0" xfId="0">
      <alignment vertical="top" wrapText="1"/>
    </xf>
    <xf numFmtId="0" fontId="1" fillId="0" borderId="0" xfId="0" applyFont="1">
      <alignment vertical="top" wrapText="1"/>
    </xf>
    <xf numFmtId="0" fontId="1" fillId="0" borderId="1" xfId="0" applyFont="1" applyBorder="1" applyAlignment="1">
      <alignment vertical="top"/>
    </xf>
    <xf numFmtId="0" fontId="1" fillId="0" borderId="4" xfId="0" applyFont="1" applyBorder="1" applyAlignment="1">
      <alignment vertical="top"/>
    </xf>
    <xf numFmtId="0" fontId="1" fillId="0" borderId="5" xfId="0" applyFont="1" applyBorder="1" applyAlignment="1">
      <alignment vertical="top"/>
    </xf>
    <xf numFmtId="0" fontId="3" fillId="2" borderId="7" xfId="0" applyFont="1" applyFill="1" applyBorder="1" applyAlignment="1">
      <alignment horizontal="left" vertical="top"/>
    </xf>
    <xf numFmtId="1" fontId="2" fillId="0" borderId="2" xfId="0" applyNumberFormat="1" applyFont="1" applyBorder="1" applyAlignment="1">
      <alignment horizontal="center" vertical="top"/>
    </xf>
    <xf numFmtId="0" fontId="4" fillId="0" borderId="4" xfId="0" applyFont="1" applyBorder="1" applyAlignment="1">
      <alignment horizontal="left" vertical="top"/>
    </xf>
    <xf numFmtId="0" fontId="4" fillId="0" borderId="4" xfId="0" applyFont="1" applyBorder="1" applyAlignment="1">
      <alignment horizontal="right" vertical="top"/>
    </xf>
    <xf numFmtId="0" fontId="4" fillId="0" borderId="5" xfId="0" applyFont="1" applyBorder="1" applyAlignment="1">
      <alignment vertical="top"/>
    </xf>
    <xf numFmtId="1" fontId="2" fillId="0" borderId="5" xfId="0" applyNumberFormat="1" applyFont="1" applyBorder="1" applyAlignment="1">
      <alignment horizontal="center" vertical="top"/>
    </xf>
    <xf numFmtId="0" fontId="5" fillId="2" borderId="7" xfId="0" applyFont="1" applyFill="1" applyBorder="1" applyAlignment="1">
      <alignment horizontal="left" vertical="top"/>
    </xf>
    <xf numFmtId="0" fontId="5" fillId="2" borderId="16" xfId="0" applyFont="1" applyFill="1" applyBorder="1" applyAlignment="1">
      <alignment horizontal="left" vertical="top"/>
    </xf>
    <xf numFmtId="0" fontId="1" fillId="0" borderId="5" xfId="0" applyFont="1" applyBorder="1">
      <alignment vertical="top" wrapText="1"/>
    </xf>
    <xf numFmtId="0" fontId="8" fillId="0" borderId="5" xfId="0" applyFont="1" applyBorder="1" applyAlignment="1">
      <alignment vertical="center"/>
    </xf>
    <xf numFmtId="0" fontId="9" fillId="3" borderId="10" xfId="0" applyFont="1" applyFill="1" applyBorder="1" applyAlignment="1">
      <alignment horizontal="left" vertical="top"/>
    </xf>
    <xf numFmtId="0" fontId="10" fillId="2" borderId="10" xfId="0" applyFont="1" applyFill="1" applyBorder="1" applyAlignment="1">
      <alignment horizontal="left" vertical="top" wrapText="1"/>
    </xf>
    <xf numFmtId="0" fontId="10" fillId="2" borderId="10" xfId="0" applyFont="1" applyFill="1" applyBorder="1" applyAlignment="1">
      <alignment horizontal="left" vertical="top"/>
    </xf>
    <xf numFmtId="0" fontId="11" fillId="2" borderId="10" xfId="0" applyFont="1" applyFill="1" applyBorder="1" applyAlignment="1">
      <alignment horizontal="left" vertical="top" wrapText="1"/>
    </xf>
    <xf numFmtId="0" fontId="12" fillId="3" borderId="10" xfId="0" applyFont="1" applyFill="1" applyBorder="1" applyAlignment="1">
      <alignment horizontal="left" vertical="top"/>
    </xf>
    <xf numFmtId="0" fontId="14" fillId="9" borderId="10" xfId="0" applyFont="1" applyFill="1" applyBorder="1" applyAlignment="1">
      <alignment horizontal="center" vertical="top"/>
    </xf>
    <xf numFmtId="0" fontId="15" fillId="9" borderId="10" xfId="0" applyFont="1" applyFill="1" applyBorder="1" applyAlignment="1">
      <alignment horizontal="center" vertical="top"/>
    </xf>
    <xf numFmtId="0" fontId="16" fillId="9" borderId="7" xfId="0" applyFont="1" applyFill="1" applyBorder="1" applyAlignment="1">
      <alignment horizontal="center" vertical="top" wrapText="1"/>
    </xf>
    <xf numFmtId="0" fontId="16" fillId="9" borderId="9" xfId="0" applyFont="1" applyFill="1" applyBorder="1" applyAlignment="1">
      <alignment horizontal="center" vertical="top" wrapText="1"/>
    </xf>
    <xf numFmtId="1" fontId="17" fillId="0" borderId="5" xfId="5" applyNumberFormat="1" applyBorder="1" applyAlignment="1">
      <alignment vertical="top"/>
    </xf>
    <xf numFmtId="0" fontId="18" fillId="0" borderId="0" xfId="0" applyFont="1">
      <alignment vertical="top" wrapText="1"/>
    </xf>
    <xf numFmtId="1" fontId="19" fillId="0" borderId="5" xfId="0" applyNumberFormat="1" applyFont="1" applyBorder="1" applyAlignment="1">
      <alignment horizontal="center" vertical="top"/>
    </xf>
    <xf numFmtId="167" fontId="34" fillId="8" borderId="28" xfId="0" applyNumberFormat="1" applyFont="1" applyFill="1" applyBorder="1" applyAlignment="1" applyProtection="1">
      <alignment horizontal="center" vertical="top"/>
      <protection locked="0" hidden="1"/>
    </xf>
    <xf numFmtId="168" fontId="34" fillId="2" borderId="28" xfId="0" applyNumberFormat="1" applyFont="1" applyFill="1" applyBorder="1" applyAlignment="1" applyProtection="1">
      <alignment horizontal="center" vertical="top"/>
      <protection hidden="1"/>
    </xf>
    <xf numFmtId="0" fontId="44" fillId="0" borderId="5" xfId="1" applyFont="1" applyAlignment="1">
      <alignment vertical="center"/>
    </xf>
    <xf numFmtId="0" fontId="45" fillId="0" borderId="5" xfId="1" applyFont="1" applyAlignment="1"/>
    <xf numFmtId="0" fontId="48" fillId="0" borderId="5" xfId="1" applyFont="1" applyAlignment="1">
      <alignment horizontal="right" vertical="top" wrapText="1"/>
    </xf>
    <xf numFmtId="0" fontId="45" fillId="0" borderId="5" xfId="1" applyFont="1">
      <alignment vertical="top" wrapText="1"/>
    </xf>
    <xf numFmtId="0" fontId="45" fillId="0" borderId="5" xfId="1" applyFont="1" applyAlignment="1">
      <alignment horizontal="right" vertical="center"/>
    </xf>
    <xf numFmtId="0" fontId="47" fillId="8" borderId="5" xfId="1" applyFont="1" applyFill="1" applyAlignment="1">
      <alignment vertical="center"/>
    </xf>
    <xf numFmtId="0" fontId="47" fillId="8" borderId="5" xfId="1" applyFont="1" applyFill="1" applyAlignment="1"/>
    <xf numFmtId="0" fontId="50" fillId="0" borderId="0" xfId="0" applyFont="1">
      <alignment vertical="top" wrapText="1"/>
    </xf>
    <xf numFmtId="1" fontId="51" fillId="0" borderId="2" xfId="0" applyNumberFormat="1" applyFont="1" applyBorder="1" applyAlignment="1">
      <alignment horizontal="center" vertical="top"/>
    </xf>
    <xf numFmtId="1" fontId="51" fillId="0" borderId="3" xfId="0" applyNumberFormat="1" applyFont="1" applyBorder="1" applyAlignment="1">
      <alignment horizontal="center" vertical="top"/>
    </xf>
    <xf numFmtId="1" fontId="51" fillId="0" borderId="5" xfId="0" applyNumberFormat="1" applyFont="1" applyBorder="1" applyAlignment="1">
      <alignment horizontal="center" vertical="top"/>
    </xf>
    <xf numFmtId="1" fontId="51" fillId="0" borderId="6" xfId="0" applyNumberFormat="1" applyFont="1" applyBorder="1" applyAlignment="1">
      <alignment horizontal="center" vertical="top"/>
    </xf>
    <xf numFmtId="0" fontId="50" fillId="0" borderId="5" xfId="0" applyFont="1" applyBorder="1" applyAlignment="1">
      <alignment vertical="top"/>
    </xf>
    <xf numFmtId="0" fontId="50" fillId="0" borderId="6" xfId="0" applyFont="1" applyBorder="1" applyAlignment="1">
      <alignment vertical="top"/>
    </xf>
    <xf numFmtId="1" fontId="52" fillId="0" borderId="2" xfId="0" applyNumberFormat="1" applyFont="1" applyBorder="1" applyAlignment="1">
      <alignment horizontal="center" vertical="top"/>
    </xf>
    <xf numFmtId="1" fontId="53" fillId="0" borderId="5" xfId="0" applyNumberFormat="1" applyFont="1" applyBorder="1" applyAlignment="1">
      <alignment horizontal="center" vertical="top"/>
    </xf>
    <xf numFmtId="1" fontId="52" fillId="0" borderId="5" xfId="0" applyNumberFormat="1" applyFont="1" applyBorder="1" applyAlignment="1">
      <alignment horizontal="center" vertical="top"/>
    </xf>
    <xf numFmtId="1" fontId="54" fillId="0" borderId="5" xfId="5" applyNumberFormat="1" applyFont="1" applyBorder="1" applyAlignment="1">
      <alignment vertical="top"/>
    </xf>
    <xf numFmtId="0" fontId="55" fillId="0" borderId="5" xfId="0" applyFont="1" applyBorder="1" applyAlignment="1">
      <alignment vertical="top"/>
    </xf>
    <xf numFmtId="0" fontId="55" fillId="0" borderId="0" xfId="0" applyFont="1">
      <alignment vertical="top" wrapText="1"/>
    </xf>
    <xf numFmtId="2" fontId="50" fillId="3" borderId="0" xfId="0" applyNumberFormat="1" applyFont="1" applyFill="1" applyAlignment="1">
      <alignment vertical="top"/>
    </xf>
    <xf numFmtId="2" fontId="59" fillId="0" borderId="0" xfId="0" applyNumberFormat="1" applyFont="1" applyAlignment="1">
      <alignment vertical="top"/>
    </xf>
    <xf numFmtId="0" fontId="50" fillId="0" borderId="0" xfId="0" applyFont="1" applyAlignment="1">
      <alignment vertical="top"/>
    </xf>
    <xf numFmtId="0" fontId="59" fillId="0" borderId="0" xfId="0" applyFont="1" applyAlignment="1">
      <alignment vertical="top"/>
    </xf>
    <xf numFmtId="0" fontId="59" fillId="0" borderId="0" xfId="0" applyFont="1" applyAlignment="1">
      <alignment vertical="center"/>
    </xf>
    <xf numFmtId="0" fontId="63" fillId="0" borderId="5" xfId="0" applyFont="1" applyBorder="1" applyAlignment="1">
      <alignment vertical="top"/>
    </xf>
    <xf numFmtId="0" fontId="64" fillId="3" borderId="0" xfId="0" applyFont="1" applyFill="1" applyAlignment="1">
      <alignment vertical="top"/>
    </xf>
    <xf numFmtId="0" fontId="63" fillId="3" borderId="0" xfId="0" applyFont="1" applyFill="1" applyAlignment="1">
      <alignment vertical="top"/>
    </xf>
    <xf numFmtId="0" fontId="63" fillId="0" borderId="0" xfId="0" applyFont="1">
      <alignment vertical="top" wrapText="1"/>
    </xf>
    <xf numFmtId="0" fontId="64" fillId="3" borderId="5" xfId="0" applyFont="1" applyFill="1" applyBorder="1" applyAlignment="1">
      <alignment vertical="top"/>
    </xf>
    <xf numFmtId="0" fontId="63" fillId="0" borderId="0" xfId="0" applyFont="1" applyAlignment="1">
      <alignment vertical="top"/>
    </xf>
    <xf numFmtId="0" fontId="0" fillId="0" borderId="0" xfId="0" applyAlignment="1">
      <alignment vertical="top"/>
    </xf>
    <xf numFmtId="0" fontId="26" fillId="0" borderId="0" xfId="0" applyFont="1" applyProtection="1">
      <alignment vertical="top" wrapText="1"/>
      <protection hidden="1"/>
    </xf>
    <xf numFmtId="0" fontId="26" fillId="3" borderId="0" xfId="0" applyFont="1" applyFill="1" applyProtection="1">
      <alignment vertical="top" wrapText="1"/>
      <protection hidden="1"/>
    </xf>
    <xf numFmtId="0" fontId="27" fillId="0" borderId="0" xfId="0" applyFont="1" applyProtection="1">
      <alignment vertical="top" wrapText="1"/>
      <protection hidden="1"/>
    </xf>
    <xf numFmtId="0" fontId="26" fillId="0" borderId="2" xfId="0" applyFont="1" applyBorder="1" applyAlignment="1" applyProtection="1">
      <alignment vertical="top"/>
      <protection hidden="1"/>
    </xf>
    <xf numFmtId="0" fontId="26" fillId="3" borderId="2" xfId="0" applyFont="1" applyFill="1" applyBorder="1" applyAlignment="1" applyProtection="1">
      <alignment vertical="top"/>
      <protection hidden="1"/>
    </xf>
    <xf numFmtId="0" fontId="26" fillId="3" borderId="3" xfId="0" applyFont="1" applyFill="1" applyBorder="1" applyAlignment="1" applyProtection="1">
      <alignment vertical="top"/>
      <protection hidden="1"/>
    </xf>
    <xf numFmtId="0" fontId="13" fillId="0" borderId="5" xfId="0" applyFont="1" applyBorder="1" applyAlignment="1" applyProtection="1">
      <alignment vertical="top"/>
      <protection hidden="1"/>
    </xf>
    <xf numFmtId="1" fontId="33" fillId="0" borderId="5" xfId="0" applyNumberFormat="1" applyFont="1" applyBorder="1" applyAlignment="1" applyProtection="1">
      <alignment vertical="top"/>
      <protection hidden="1"/>
    </xf>
    <xf numFmtId="1" fontId="26" fillId="0" borderId="5" xfId="0" applyNumberFormat="1" applyFont="1" applyBorder="1" applyAlignment="1" applyProtection="1">
      <alignment vertical="top"/>
      <protection hidden="1"/>
    </xf>
    <xf numFmtId="1" fontId="65" fillId="0" borderId="5" xfId="5" applyNumberFormat="1" applyFont="1" applyBorder="1" applyAlignment="1" applyProtection="1">
      <alignment vertical="top"/>
      <protection hidden="1"/>
    </xf>
    <xf numFmtId="1" fontId="66" fillId="0" borderId="5" xfId="5" applyNumberFormat="1" applyFont="1" applyBorder="1" applyAlignment="1" applyProtection="1">
      <alignment vertical="top"/>
      <protection hidden="1"/>
    </xf>
    <xf numFmtId="1" fontId="36" fillId="0" borderId="5" xfId="5" applyNumberFormat="1" applyFont="1" applyBorder="1" applyAlignment="1" applyProtection="1">
      <alignment vertical="top"/>
      <protection hidden="1"/>
    </xf>
    <xf numFmtId="1" fontId="33" fillId="3" borderId="5" xfId="0" applyNumberFormat="1" applyFont="1" applyFill="1" applyBorder="1" applyAlignment="1" applyProtection="1">
      <alignment vertical="top"/>
      <protection hidden="1"/>
    </xf>
    <xf numFmtId="1" fontId="33" fillId="3" borderId="6" xfId="0" applyNumberFormat="1" applyFont="1" applyFill="1" applyBorder="1" applyAlignment="1" applyProtection="1">
      <alignment vertical="top"/>
      <protection hidden="1"/>
    </xf>
    <xf numFmtId="0" fontId="33" fillId="0" borderId="5" xfId="0" applyFont="1" applyBorder="1" applyAlignment="1" applyProtection="1">
      <alignment horizontal="left" vertical="top"/>
      <protection hidden="1"/>
    </xf>
    <xf numFmtId="0" fontId="26" fillId="0" borderId="5" xfId="0" applyFont="1" applyBorder="1" applyAlignment="1" applyProtection="1">
      <alignment vertical="top"/>
      <protection hidden="1"/>
    </xf>
    <xf numFmtId="1" fontId="26" fillId="3" borderId="5" xfId="0" applyNumberFormat="1" applyFont="1" applyFill="1" applyBorder="1" applyAlignment="1" applyProtection="1">
      <alignment vertical="top"/>
      <protection hidden="1"/>
    </xf>
    <xf numFmtId="1" fontId="26" fillId="3" borderId="6" xfId="0" applyNumberFormat="1" applyFont="1" applyFill="1" applyBorder="1" applyAlignment="1" applyProtection="1">
      <alignment vertical="top"/>
      <protection hidden="1"/>
    </xf>
    <xf numFmtId="0" fontId="26" fillId="0" borderId="5" xfId="0" applyFont="1" applyBorder="1" applyProtection="1">
      <alignment vertical="top" wrapText="1"/>
      <protection hidden="1"/>
    </xf>
    <xf numFmtId="0" fontId="26" fillId="3" borderId="5" xfId="0" applyFont="1" applyFill="1" applyBorder="1" applyProtection="1">
      <alignment vertical="top" wrapText="1"/>
      <protection hidden="1"/>
    </xf>
    <xf numFmtId="1" fontId="27" fillId="0" borderId="5" xfId="0" applyNumberFormat="1" applyFont="1" applyBorder="1" applyAlignment="1" applyProtection="1">
      <alignment vertical="top"/>
      <protection hidden="1"/>
    </xf>
    <xf numFmtId="1" fontId="27" fillId="3" borderId="5" xfId="0" applyNumberFormat="1" applyFont="1" applyFill="1" applyBorder="1" applyAlignment="1" applyProtection="1">
      <alignment vertical="top"/>
      <protection hidden="1"/>
    </xf>
    <xf numFmtId="1" fontId="27" fillId="3" borderId="6" xfId="0" applyNumberFormat="1" applyFont="1" applyFill="1" applyBorder="1" applyAlignment="1" applyProtection="1">
      <alignment vertical="top"/>
      <protection hidden="1"/>
    </xf>
    <xf numFmtId="0" fontId="0" fillId="0" borderId="0" xfId="0" applyProtection="1">
      <alignment vertical="top" wrapText="1"/>
      <protection hidden="1"/>
    </xf>
    <xf numFmtId="0" fontId="27" fillId="3" borderId="0" xfId="0" applyFont="1" applyFill="1" applyProtection="1">
      <alignment vertical="top" wrapText="1"/>
      <protection hidden="1"/>
    </xf>
    <xf numFmtId="0" fontId="27" fillId="3" borderId="6" xfId="0" applyFont="1" applyFill="1" applyBorder="1" applyProtection="1">
      <alignment vertical="top" wrapText="1"/>
      <protection hidden="1"/>
    </xf>
    <xf numFmtId="1" fontId="26" fillId="0" borderId="5" xfId="0" applyNumberFormat="1" applyFont="1" applyBorder="1" applyAlignment="1" applyProtection="1">
      <alignment horizontal="left" vertical="top"/>
      <protection hidden="1"/>
    </xf>
    <xf numFmtId="1" fontId="26" fillId="0" borderId="5" xfId="0" applyNumberFormat="1" applyFont="1" applyBorder="1" applyAlignment="1" applyProtection="1">
      <alignment horizontal="center" vertical="top"/>
      <protection hidden="1"/>
    </xf>
    <xf numFmtId="0" fontId="26" fillId="0" borderId="5" xfId="0" applyFont="1" applyBorder="1" applyProtection="1">
      <alignment vertical="top" wrapText="1"/>
      <protection locked="0" hidden="1"/>
    </xf>
    <xf numFmtId="0" fontId="26" fillId="3" borderId="5" xfId="0" applyFont="1" applyFill="1" applyBorder="1" applyProtection="1">
      <alignment vertical="top" wrapText="1"/>
      <protection locked="0" hidden="1"/>
    </xf>
    <xf numFmtId="1" fontId="26" fillId="0" borderId="5" xfId="0" applyNumberFormat="1" applyFont="1" applyBorder="1" applyAlignment="1" applyProtection="1">
      <alignment vertical="top"/>
      <protection locked="0" hidden="1"/>
    </xf>
    <xf numFmtId="0" fontId="26" fillId="0" borderId="0" xfId="0" applyFont="1" applyProtection="1">
      <alignment vertical="top" wrapText="1"/>
      <protection locked="0" hidden="1"/>
    </xf>
    <xf numFmtId="0" fontId="26" fillId="0" borderId="5" xfId="0" applyFont="1" applyBorder="1" applyAlignment="1" applyProtection="1">
      <alignment horizontal="center" vertical="top"/>
      <protection hidden="1"/>
    </xf>
    <xf numFmtId="0" fontId="37" fillId="9" borderId="10" xfId="0" applyFont="1" applyFill="1" applyBorder="1" applyAlignment="1" applyProtection="1">
      <alignment horizontal="center" vertical="top"/>
      <protection hidden="1"/>
    </xf>
    <xf numFmtId="0" fontId="34" fillId="8" borderId="27" xfId="0" applyFont="1" applyFill="1" applyBorder="1" applyAlignment="1" applyProtection="1">
      <alignment horizontal="center" vertical="top"/>
      <protection locked="0" hidden="1"/>
    </xf>
    <xf numFmtId="1" fontId="26" fillId="0" borderId="11" xfId="0" applyNumberFormat="1" applyFont="1" applyBorder="1" applyAlignment="1" applyProtection="1">
      <alignment horizontal="center" vertical="top"/>
      <protection hidden="1"/>
    </xf>
    <xf numFmtId="0" fontId="62" fillId="9" borderId="23" xfId="0" applyFont="1" applyFill="1" applyBorder="1" applyAlignment="1" applyProtection="1">
      <alignment horizontal="center" vertical="top" wrapText="1"/>
      <protection hidden="1"/>
    </xf>
    <xf numFmtId="0" fontId="29" fillId="0" borderId="0" xfId="0" applyFont="1" applyProtection="1">
      <alignment vertical="top" wrapText="1"/>
      <protection hidden="1"/>
    </xf>
    <xf numFmtId="0" fontId="34" fillId="8" borderId="28" xfId="0" applyFont="1" applyFill="1" applyBorder="1" applyAlignment="1" applyProtection="1">
      <alignment horizontal="center" vertical="top"/>
      <protection locked="0" hidden="1"/>
    </xf>
    <xf numFmtId="1" fontId="29" fillId="0" borderId="11" xfId="0" applyNumberFormat="1" applyFont="1" applyBorder="1" applyAlignment="1" applyProtection="1">
      <alignment horizontal="center" vertical="top"/>
      <protection hidden="1"/>
    </xf>
    <xf numFmtId="170" fontId="27" fillId="0" borderId="0" xfId="0" applyNumberFormat="1" applyFont="1" applyProtection="1">
      <alignment vertical="top" wrapText="1"/>
      <protection hidden="1"/>
    </xf>
    <xf numFmtId="0" fontId="26" fillId="3" borderId="6" xfId="0" applyFont="1" applyFill="1" applyBorder="1" applyProtection="1">
      <alignment vertical="top" wrapText="1"/>
      <protection hidden="1"/>
    </xf>
    <xf numFmtId="49" fontId="26" fillId="3" borderId="5" xfId="0" applyNumberFormat="1" applyFont="1" applyFill="1" applyBorder="1" applyAlignment="1" applyProtection="1">
      <protection locked="0" hidden="1"/>
    </xf>
    <xf numFmtId="0" fontId="29" fillId="0" borderId="0" xfId="0" applyFont="1" applyProtection="1">
      <alignment vertical="top" wrapText="1"/>
      <protection locked="0" hidden="1"/>
    </xf>
    <xf numFmtId="9" fontId="29" fillId="0" borderId="0" xfId="0" applyNumberFormat="1" applyFont="1" applyProtection="1">
      <alignment vertical="top" wrapText="1"/>
      <protection hidden="1"/>
    </xf>
    <xf numFmtId="3" fontId="34" fillId="8" borderId="28" xfId="0" applyNumberFormat="1" applyFont="1" applyFill="1" applyBorder="1" applyAlignment="1" applyProtection="1">
      <alignment horizontal="center" vertical="top"/>
      <protection locked="0" hidden="1"/>
    </xf>
    <xf numFmtId="0" fontId="31" fillId="9" borderId="20" xfId="0" applyFont="1" applyFill="1" applyBorder="1" applyAlignment="1" applyProtection="1">
      <alignment horizontal="center" vertical="top" wrapText="1"/>
      <protection hidden="1"/>
    </xf>
    <xf numFmtId="1" fontId="26" fillId="3" borderId="5" xfId="0" applyNumberFormat="1" applyFont="1" applyFill="1" applyBorder="1" applyAlignment="1" applyProtection="1">
      <alignment vertical="top"/>
      <protection locked="0" hidden="1"/>
    </xf>
    <xf numFmtId="165" fontId="34" fillId="8" borderId="28" xfId="0" applyNumberFormat="1" applyFont="1" applyFill="1" applyBorder="1" applyAlignment="1" applyProtection="1">
      <alignment horizontal="center" vertical="top"/>
      <protection locked="0" hidden="1"/>
    </xf>
    <xf numFmtId="9" fontId="26" fillId="4" borderId="22" xfId="4" applyFont="1" applyFill="1" applyBorder="1" applyAlignment="1" applyProtection="1">
      <alignment horizontal="center" vertical="top" wrapText="1"/>
      <protection hidden="1"/>
    </xf>
    <xf numFmtId="1" fontId="30" fillId="3" borderId="5" xfId="0" applyNumberFormat="1" applyFont="1" applyFill="1" applyBorder="1" applyAlignment="1" applyProtection="1">
      <alignment horizontal="left" vertical="top"/>
      <protection locked="0" hidden="1"/>
    </xf>
    <xf numFmtId="0" fontId="30" fillId="3" borderId="5" xfId="0" applyFont="1" applyFill="1" applyBorder="1" applyAlignment="1" applyProtection="1">
      <alignment horizontal="left" vertical="top" wrapText="1"/>
      <protection locked="0" hidden="1"/>
    </xf>
    <xf numFmtId="10" fontId="26" fillId="5" borderId="22" xfId="4" applyNumberFormat="1" applyFont="1" applyFill="1" applyBorder="1" applyAlignment="1" applyProtection="1">
      <alignment horizontal="center" vertical="top" wrapText="1"/>
      <protection hidden="1"/>
    </xf>
    <xf numFmtId="1" fontId="26" fillId="3" borderId="5" xfId="0" applyNumberFormat="1" applyFont="1" applyFill="1" applyBorder="1" applyAlignment="1" applyProtection="1">
      <alignment horizontal="left" vertical="top"/>
      <protection locked="0" hidden="1"/>
    </xf>
    <xf numFmtId="1" fontId="26" fillId="3" borderId="5" xfId="0" applyNumberFormat="1" applyFont="1" applyFill="1" applyBorder="1" applyAlignment="1" applyProtection="1">
      <alignment horizontal="left" vertical="top" wrapText="1"/>
      <protection locked="0" hidden="1"/>
    </xf>
    <xf numFmtId="170" fontId="34" fillId="3" borderId="5" xfId="0" applyNumberFormat="1" applyFont="1" applyFill="1" applyBorder="1" applyAlignment="1" applyProtection="1">
      <alignment horizontal="center" vertical="top" wrapText="1"/>
      <protection hidden="1"/>
    </xf>
    <xf numFmtId="10" fontId="26" fillId="6" borderId="22" xfId="4" applyNumberFormat="1" applyFont="1" applyFill="1" applyBorder="1" applyAlignment="1" applyProtection="1">
      <alignment horizontal="center" vertical="top" wrapText="1"/>
      <protection hidden="1"/>
    </xf>
    <xf numFmtId="9" fontId="39" fillId="8" borderId="28" xfId="0" applyNumberFormat="1" applyFont="1" applyFill="1" applyBorder="1" applyAlignment="1" applyProtection="1">
      <alignment horizontal="center" vertical="top"/>
      <protection locked="0" hidden="1"/>
    </xf>
    <xf numFmtId="172" fontId="29" fillId="0" borderId="11" xfId="0" applyNumberFormat="1" applyFont="1" applyBorder="1" applyAlignment="1" applyProtection="1">
      <alignment horizontal="center" vertical="top"/>
      <protection hidden="1"/>
    </xf>
    <xf numFmtId="10" fontId="26" fillId="7" borderId="22" xfId="4" applyNumberFormat="1" applyFont="1" applyFill="1" applyBorder="1" applyAlignment="1" applyProtection="1">
      <alignment horizontal="center" vertical="top" wrapText="1"/>
      <protection hidden="1"/>
    </xf>
    <xf numFmtId="0" fontId="27" fillId="0" borderId="0" xfId="0" applyFont="1" applyAlignment="1" applyProtection="1">
      <alignment horizontal="left" vertical="top" wrapText="1"/>
      <protection hidden="1"/>
    </xf>
    <xf numFmtId="166" fontId="26" fillId="3" borderId="5" xfId="0" applyNumberFormat="1" applyFont="1" applyFill="1" applyBorder="1" applyAlignment="1" applyProtection="1">
      <alignment horizontal="left" vertical="top"/>
      <protection locked="0" hidden="1"/>
    </xf>
    <xf numFmtId="168" fontId="34" fillId="2" borderId="9" xfId="0" applyNumberFormat="1" applyFont="1" applyFill="1" applyBorder="1" applyAlignment="1" applyProtection="1">
      <alignment horizontal="center" vertical="top"/>
      <protection hidden="1"/>
    </xf>
    <xf numFmtId="1" fontId="26" fillId="3" borderId="36" xfId="0" applyNumberFormat="1" applyFont="1" applyFill="1" applyBorder="1" applyAlignment="1" applyProtection="1">
      <alignment horizontal="center" vertical="center" wrapText="1"/>
      <protection hidden="1"/>
    </xf>
    <xf numFmtId="1" fontId="40" fillId="0" borderId="5" xfId="0" applyNumberFormat="1" applyFont="1" applyBorder="1" applyAlignment="1" applyProtection="1">
      <alignment horizontal="center" vertical="top"/>
      <protection hidden="1"/>
    </xf>
    <xf numFmtId="0" fontId="26" fillId="0" borderId="5" xfId="0" applyFont="1" applyBorder="1" applyAlignment="1" applyProtection="1">
      <alignment vertical="top"/>
      <protection locked="0" hidden="1"/>
    </xf>
    <xf numFmtId="175" fontId="34" fillId="8" borderId="9" xfId="0" applyNumberFormat="1" applyFont="1" applyFill="1" applyBorder="1" applyAlignment="1" applyProtection="1">
      <alignment horizontal="center" vertical="top"/>
      <protection locked="0" hidden="1"/>
    </xf>
    <xf numFmtId="1" fontId="29" fillId="0" borderId="5" xfId="0" applyNumberFormat="1" applyFont="1" applyBorder="1" applyAlignment="1" applyProtection="1">
      <alignment horizontal="center" vertical="top"/>
      <protection hidden="1"/>
    </xf>
    <xf numFmtId="1" fontId="40" fillId="0" borderId="5" xfId="0" applyNumberFormat="1" applyFont="1" applyBorder="1" applyAlignment="1" applyProtection="1">
      <alignment vertical="top"/>
      <protection hidden="1"/>
    </xf>
    <xf numFmtId="1" fontId="26" fillId="0" borderId="5" xfId="0" applyNumberFormat="1" applyFont="1" applyBorder="1" applyProtection="1">
      <alignment vertical="top" wrapText="1"/>
      <protection hidden="1"/>
    </xf>
    <xf numFmtId="1" fontId="26" fillId="0" borderId="5" xfId="0" applyNumberFormat="1" applyFont="1" applyBorder="1" applyAlignment="1" applyProtection="1">
      <alignment horizontal="center" vertical="top" wrapText="1"/>
      <protection hidden="1"/>
    </xf>
    <xf numFmtId="0" fontId="31" fillId="9" borderId="23" xfId="0" applyFont="1" applyFill="1" applyBorder="1" applyAlignment="1" applyProtection="1">
      <alignment horizontal="center" vertical="top" wrapText="1"/>
      <protection hidden="1"/>
    </xf>
    <xf numFmtId="0" fontId="31" fillId="9" borderId="17" xfId="0" applyFont="1" applyFill="1" applyBorder="1" applyAlignment="1" applyProtection="1">
      <alignment horizontal="center" vertical="top"/>
      <protection hidden="1"/>
    </xf>
    <xf numFmtId="0" fontId="31" fillId="9" borderId="17" xfId="0" applyFont="1" applyFill="1" applyBorder="1" applyAlignment="1" applyProtection="1">
      <alignment horizontal="center" vertical="top" wrapText="1"/>
      <protection hidden="1"/>
    </xf>
    <xf numFmtId="0" fontId="34" fillId="0" borderId="23" xfId="1" applyFont="1" applyBorder="1" applyAlignment="1" applyProtection="1">
      <alignment horizontal="center" vertical="top" wrapText="1"/>
      <protection hidden="1"/>
    </xf>
    <xf numFmtId="170" fontId="34" fillId="0" borderId="23" xfId="1" applyNumberFormat="1" applyFont="1" applyBorder="1" applyAlignment="1" applyProtection="1">
      <alignment horizontal="center" vertical="top" wrapText="1"/>
      <protection hidden="1"/>
    </xf>
    <xf numFmtId="171" fontId="34" fillId="0" borderId="23" xfId="1" applyNumberFormat="1" applyFont="1" applyBorder="1" applyAlignment="1" applyProtection="1">
      <alignment horizontal="center" vertical="top" wrapText="1"/>
      <protection hidden="1"/>
    </xf>
    <xf numFmtId="169" fontId="34" fillId="8" borderId="23" xfId="1" applyNumberFormat="1" applyFont="1" applyFill="1" applyBorder="1" applyAlignment="1" applyProtection="1">
      <alignment horizontal="center" vertical="top" wrapText="1"/>
      <protection locked="0" hidden="1"/>
    </xf>
    <xf numFmtId="0" fontId="34" fillId="8" borderId="23" xfId="1" applyFont="1" applyFill="1" applyBorder="1" applyAlignment="1" applyProtection="1">
      <alignment horizontal="center" vertical="top" wrapText="1"/>
      <protection locked="0" hidden="1"/>
    </xf>
    <xf numFmtId="1" fontId="34" fillId="0" borderId="23" xfId="1" applyNumberFormat="1" applyFont="1" applyBorder="1" applyAlignment="1" applyProtection="1">
      <alignment horizontal="center" vertical="top" wrapText="1"/>
      <protection hidden="1"/>
    </xf>
    <xf numFmtId="2" fontId="26" fillId="0" borderId="23" xfId="0" applyNumberFormat="1" applyFont="1" applyBorder="1" applyAlignment="1" applyProtection="1">
      <alignment horizontal="left" vertical="top" wrapText="1"/>
      <protection hidden="1"/>
    </xf>
    <xf numFmtId="0" fontId="26" fillId="3" borderId="5" xfId="0" applyFont="1" applyFill="1" applyBorder="1" applyAlignment="1" applyProtection="1">
      <alignment vertical="top"/>
      <protection locked="0" hidden="1"/>
    </xf>
    <xf numFmtId="0" fontId="29" fillId="3" borderId="5" xfId="0" applyFont="1" applyFill="1" applyBorder="1" applyProtection="1">
      <alignment vertical="top" wrapText="1"/>
      <protection locked="0" hidden="1"/>
    </xf>
    <xf numFmtId="9" fontId="29" fillId="3" borderId="5" xfId="3" applyNumberFormat="1" applyFont="1" applyFill="1" applyBorder="1" applyAlignment="1" applyProtection="1">
      <alignment vertical="top" wrapText="1"/>
      <protection hidden="1"/>
    </xf>
    <xf numFmtId="0" fontId="34" fillId="3" borderId="5" xfId="0" applyFont="1" applyFill="1" applyBorder="1" applyAlignment="1" applyProtection="1">
      <alignment vertical="top"/>
      <protection locked="0" hidden="1"/>
    </xf>
    <xf numFmtId="0" fontId="34" fillId="3" borderId="5" xfId="0" applyFont="1" applyFill="1" applyBorder="1" applyAlignment="1" applyProtection="1">
      <protection locked="0" hidden="1"/>
    </xf>
    <xf numFmtId="0" fontId="34" fillId="3" borderId="5" xfId="0" applyFont="1" applyFill="1" applyBorder="1" applyAlignment="1" applyProtection="1">
      <alignment horizontal="left"/>
      <protection locked="0" hidden="1"/>
    </xf>
    <xf numFmtId="0" fontId="34" fillId="0" borderId="23" xfId="0" applyFont="1" applyBorder="1" applyAlignment="1" applyProtection="1">
      <alignment horizontal="center" vertical="top" wrapText="1"/>
      <protection hidden="1"/>
    </xf>
    <xf numFmtId="170" fontId="34" fillId="0" borderId="23" xfId="0" applyNumberFormat="1" applyFont="1" applyBorder="1" applyAlignment="1" applyProtection="1">
      <alignment horizontal="center" vertical="top" wrapText="1"/>
      <protection hidden="1"/>
    </xf>
    <xf numFmtId="170" fontId="31" fillId="9" borderId="17" xfId="0" applyNumberFormat="1" applyFont="1" applyFill="1" applyBorder="1" applyAlignment="1" applyProtection="1">
      <alignment horizontal="center" vertical="top" wrapText="1"/>
      <protection hidden="1"/>
    </xf>
    <xf numFmtId="170" fontId="31" fillId="9" borderId="18" xfId="0" applyNumberFormat="1" applyFont="1" applyFill="1" applyBorder="1" applyAlignment="1" applyProtection="1">
      <alignment horizontal="center" vertical="top" wrapText="1"/>
      <protection hidden="1"/>
    </xf>
    <xf numFmtId="171" fontId="31" fillId="9" borderId="18" xfId="0" applyNumberFormat="1" applyFont="1" applyFill="1" applyBorder="1" applyAlignment="1" applyProtection="1">
      <alignment horizontal="center" vertical="top" wrapText="1"/>
      <protection hidden="1"/>
    </xf>
    <xf numFmtId="170" fontId="31" fillId="9" borderId="19" xfId="0" applyNumberFormat="1" applyFont="1" applyFill="1" applyBorder="1" applyAlignment="1" applyProtection="1">
      <alignment horizontal="center" vertical="top" wrapText="1"/>
      <protection hidden="1"/>
    </xf>
    <xf numFmtId="170" fontId="32" fillId="3" borderId="0" xfId="0" applyNumberFormat="1" applyFont="1" applyFill="1" applyAlignment="1" applyProtection="1">
      <alignment horizontal="center" vertical="top" wrapText="1"/>
      <protection hidden="1"/>
    </xf>
    <xf numFmtId="9" fontId="32" fillId="0" borderId="0" xfId="0" applyNumberFormat="1" applyFont="1" applyAlignment="1" applyProtection="1">
      <alignment horizontal="center" vertical="top" wrapText="1"/>
      <protection hidden="1"/>
    </xf>
    <xf numFmtId="171" fontId="42" fillId="0" borderId="0" xfId="0" applyNumberFormat="1" applyFont="1" applyProtection="1">
      <alignment vertical="top" wrapText="1"/>
      <protection hidden="1"/>
    </xf>
    <xf numFmtId="0" fontId="32" fillId="0" borderId="0" xfId="0" applyFont="1" applyProtection="1">
      <alignment vertical="top" wrapText="1"/>
      <protection hidden="1"/>
    </xf>
    <xf numFmtId="0" fontId="26" fillId="3" borderId="6" xfId="0" applyFont="1" applyFill="1" applyBorder="1" applyProtection="1">
      <alignment vertical="top" wrapText="1"/>
      <protection locked="0" hidden="1"/>
    </xf>
    <xf numFmtId="0" fontId="26" fillId="3" borderId="0" xfId="0" applyFont="1" applyFill="1" applyProtection="1">
      <alignment vertical="top" wrapText="1"/>
      <protection locked="0" hidden="1"/>
    </xf>
    <xf numFmtId="0" fontId="26" fillId="3" borderId="5" xfId="0" applyFont="1" applyFill="1" applyBorder="1" applyAlignment="1" applyProtection="1">
      <alignment horizontal="center"/>
      <protection locked="0" hidden="1"/>
    </xf>
    <xf numFmtId="0" fontId="31" fillId="9" borderId="7" xfId="0" applyFont="1" applyFill="1" applyBorder="1" applyProtection="1">
      <alignment vertical="top" wrapText="1"/>
      <protection hidden="1"/>
    </xf>
    <xf numFmtId="0" fontId="31" fillId="9" borderId="8" xfId="0" applyFont="1" applyFill="1" applyBorder="1" applyProtection="1">
      <alignment vertical="top" wrapText="1"/>
      <protection hidden="1"/>
    </xf>
    <xf numFmtId="0" fontId="31" fillId="9" borderId="9" xfId="0" applyFont="1" applyFill="1" applyBorder="1" applyProtection="1">
      <alignment vertical="top" wrapText="1"/>
      <protection hidden="1"/>
    </xf>
    <xf numFmtId="0" fontId="31" fillId="3" borderId="6" xfId="0" applyFont="1" applyFill="1" applyBorder="1" applyAlignment="1" applyProtection="1">
      <alignment horizontal="center" vertical="top" wrapText="1"/>
      <protection hidden="1"/>
    </xf>
    <xf numFmtId="0" fontId="31" fillId="3" borderId="5" xfId="0" applyFont="1" applyFill="1" applyBorder="1" applyAlignment="1" applyProtection="1">
      <alignment horizontal="center" vertical="top" wrapText="1"/>
      <protection hidden="1"/>
    </xf>
    <xf numFmtId="1" fontId="26" fillId="0" borderId="5" xfId="0" applyNumberFormat="1" applyFont="1" applyBorder="1" applyProtection="1">
      <alignment vertical="top" wrapText="1"/>
      <protection locked="0" hidden="1"/>
    </xf>
    <xf numFmtId="1" fontId="26" fillId="3" borderId="5" xfId="0" applyNumberFormat="1" applyFont="1" applyFill="1" applyBorder="1" applyProtection="1">
      <alignment vertical="top" wrapText="1"/>
      <protection locked="0" hidden="1"/>
    </xf>
    <xf numFmtId="0" fontId="34" fillId="8" borderId="10" xfId="1" applyFont="1" applyFill="1" applyBorder="1" applyAlignment="1" applyProtection="1">
      <alignment vertical="center"/>
      <protection locked="0" hidden="1"/>
    </xf>
    <xf numFmtId="0" fontId="26" fillId="8" borderId="9" xfId="0" applyFont="1" applyFill="1" applyBorder="1" applyAlignment="1" applyProtection="1">
      <alignment horizontal="left" vertical="top" wrapText="1"/>
      <protection locked="0" hidden="1"/>
    </xf>
    <xf numFmtId="164" fontId="34" fillId="2" borderId="10" xfId="3" applyFont="1" applyFill="1" applyBorder="1" applyAlignment="1" applyProtection="1">
      <alignment horizontal="center" vertical="top"/>
      <protection hidden="1"/>
    </xf>
    <xf numFmtId="164" fontId="34" fillId="8" borderId="10" xfId="3" applyFont="1" applyFill="1" applyBorder="1" applyAlignment="1" applyProtection="1">
      <alignment horizontal="center" vertical="top"/>
      <protection locked="0" hidden="1"/>
    </xf>
    <xf numFmtId="1" fontId="34" fillId="8" borderId="10" xfId="1" applyNumberFormat="1" applyFont="1" applyFill="1" applyBorder="1" applyAlignment="1" applyProtection="1">
      <alignment horizontal="center" vertical="top"/>
      <protection locked="0" hidden="1"/>
    </xf>
    <xf numFmtId="1" fontId="34" fillId="2" borderId="7" xfId="0" applyNumberFormat="1" applyFont="1" applyFill="1" applyBorder="1" applyAlignment="1" applyProtection="1">
      <alignment vertical="top"/>
      <protection hidden="1"/>
    </xf>
    <xf numFmtId="1" fontId="34" fillId="8" borderId="7" xfId="0" applyNumberFormat="1" applyFont="1" applyFill="1" applyBorder="1" applyAlignment="1" applyProtection="1">
      <alignment vertical="top"/>
      <protection locked="0" hidden="1"/>
    </xf>
    <xf numFmtId="171" fontId="34" fillId="3" borderId="6" xfId="1" applyNumberFormat="1" applyFont="1" applyFill="1" applyBorder="1" applyAlignment="1" applyProtection="1">
      <alignment horizontal="center"/>
      <protection hidden="1"/>
    </xf>
    <xf numFmtId="171" fontId="34" fillId="3" borderId="5" xfId="1" applyNumberFormat="1" applyFont="1" applyFill="1" applyAlignment="1" applyProtection="1">
      <alignment horizontal="center"/>
      <protection hidden="1"/>
    </xf>
    <xf numFmtId="0" fontId="34" fillId="3" borderId="6" xfId="1" applyFont="1" applyFill="1" applyBorder="1" applyAlignment="1" applyProtection="1">
      <alignment horizontal="center"/>
      <protection locked="0" hidden="1"/>
    </xf>
    <xf numFmtId="0" fontId="34" fillId="3" borderId="5" xfId="1" applyFont="1" applyFill="1" applyAlignment="1" applyProtection="1">
      <alignment horizontal="center"/>
      <protection locked="0" hidden="1"/>
    </xf>
    <xf numFmtId="169" fontId="34" fillId="3" borderId="6" xfId="1" applyNumberFormat="1" applyFont="1" applyFill="1" applyBorder="1" applyAlignment="1" applyProtection="1">
      <alignment horizontal="center"/>
      <protection hidden="1"/>
    </xf>
    <xf numFmtId="169" fontId="34" fillId="3" borderId="5" xfId="1" applyNumberFormat="1" applyFont="1" applyFill="1" applyAlignment="1" applyProtection="1">
      <alignment horizontal="center"/>
      <protection hidden="1"/>
    </xf>
    <xf numFmtId="1" fontId="34" fillId="3" borderId="6" xfId="1" applyNumberFormat="1" applyFont="1" applyFill="1" applyBorder="1" applyAlignment="1" applyProtection="1">
      <alignment horizontal="center"/>
      <protection hidden="1"/>
    </xf>
    <xf numFmtId="1" fontId="34" fillId="3" borderId="5" xfId="1" applyNumberFormat="1" applyFont="1" applyFill="1" applyAlignment="1" applyProtection="1">
      <alignment horizontal="center"/>
      <protection hidden="1"/>
    </xf>
    <xf numFmtId="0" fontId="34" fillId="3" borderId="6" xfId="1" applyFont="1" applyFill="1" applyBorder="1" applyAlignment="1" applyProtection="1">
      <alignment horizontal="center"/>
      <protection hidden="1"/>
    </xf>
    <xf numFmtId="0" fontId="34" fillId="3" borderId="5" xfId="1" applyFont="1" applyFill="1" applyAlignment="1" applyProtection="1">
      <alignment horizontal="center"/>
      <protection hidden="1"/>
    </xf>
    <xf numFmtId="1" fontId="26" fillId="3" borderId="5" xfId="0" applyNumberFormat="1" applyFont="1" applyFill="1" applyBorder="1" applyProtection="1">
      <alignment vertical="top" wrapText="1"/>
      <protection hidden="1"/>
    </xf>
    <xf numFmtId="0" fontId="26" fillId="3" borderId="6" xfId="0" applyFont="1" applyFill="1" applyBorder="1" applyAlignment="1" applyProtection="1">
      <alignment horizontal="center" vertical="top" wrapText="1"/>
      <protection hidden="1"/>
    </xf>
    <xf numFmtId="0" fontId="26" fillId="3" borderId="0" xfId="0" applyFont="1" applyFill="1" applyAlignment="1" applyProtection="1">
      <alignment horizontal="center" vertical="top" wrapText="1"/>
      <protection hidden="1"/>
    </xf>
    <xf numFmtId="0" fontId="26" fillId="3" borderId="5" xfId="0" applyFont="1" applyFill="1" applyBorder="1" applyAlignment="1" applyProtection="1">
      <alignment vertical="top"/>
      <protection hidden="1"/>
    </xf>
    <xf numFmtId="169" fontId="26" fillId="2" borderId="5" xfId="0" applyNumberFormat="1" applyFont="1" applyFill="1" applyBorder="1" applyAlignment="1" applyProtection="1">
      <alignment horizontal="center" vertical="top"/>
      <protection hidden="1"/>
    </xf>
    <xf numFmtId="1" fontId="37" fillId="9" borderId="10" xfId="0" applyNumberFormat="1" applyFont="1" applyFill="1" applyBorder="1" applyAlignment="1" applyProtection="1">
      <alignment horizontal="center" vertical="top" wrapText="1"/>
      <protection hidden="1"/>
    </xf>
    <xf numFmtId="1" fontId="37" fillId="9" borderId="7" xfId="0" applyNumberFormat="1" applyFont="1" applyFill="1" applyBorder="1" applyAlignment="1" applyProtection="1">
      <alignment horizontal="center" vertical="top" wrapText="1"/>
      <protection hidden="1"/>
    </xf>
    <xf numFmtId="0" fontId="26" fillId="3" borderId="6" xfId="0" applyFont="1" applyFill="1" applyBorder="1" applyAlignment="1" applyProtection="1">
      <alignment vertical="top"/>
      <protection hidden="1"/>
    </xf>
    <xf numFmtId="0" fontId="34" fillId="3" borderId="39" xfId="0" applyFont="1" applyFill="1" applyBorder="1" applyAlignment="1" applyProtection="1">
      <alignment horizontal="center" vertical="top"/>
      <protection locked="0" hidden="1"/>
    </xf>
    <xf numFmtId="0" fontId="37" fillId="3" borderId="39" xfId="0" applyFont="1" applyFill="1" applyBorder="1" applyAlignment="1" applyProtection="1">
      <alignment horizontal="center" vertical="top"/>
      <protection hidden="1"/>
    </xf>
    <xf numFmtId="0" fontId="26" fillId="0" borderId="0" xfId="0" applyFont="1" applyFill="1" applyProtection="1">
      <alignment vertical="top" wrapText="1"/>
      <protection locked="0" hidden="1"/>
    </xf>
    <xf numFmtId="170" fontId="70" fillId="3" borderId="0" xfId="0" applyNumberFormat="1" applyFont="1" applyFill="1" applyAlignment="1" applyProtection="1">
      <alignment horizontal="center" vertical="top" wrapText="1"/>
      <protection hidden="1"/>
    </xf>
    <xf numFmtId="1" fontId="26" fillId="0" borderId="0" xfId="0" applyNumberFormat="1" applyFont="1" applyProtection="1">
      <alignment vertical="top" wrapText="1"/>
      <protection hidden="1"/>
    </xf>
    <xf numFmtId="170" fontId="34" fillId="8" borderId="23" xfId="1" applyNumberFormat="1" applyFont="1" applyFill="1" applyBorder="1" applyAlignment="1" applyProtection="1">
      <alignment horizontal="center" vertical="top" wrapText="1"/>
      <protection locked="0"/>
    </xf>
    <xf numFmtId="0" fontId="32" fillId="0" borderId="5" xfId="0" applyFont="1" applyBorder="1" applyAlignment="1" applyProtection="1">
      <alignment horizontal="left"/>
      <protection hidden="1"/>
    </xf>
    <xf numFmtId="0" fontId="0" fillId="3" borderId="0" xfId="0" applyFill="1" applyProtection="1">
      <alignment vertical="top" wrapText="1"/>
      <protection hidden="1"/>
    </xf>
    <xf numFmtId="0" fontId="0" fillId="0" borderId="5" xfId="0" applyBorder="1" applyProtection="1">
      <alignment vertical="top" wrapText="1"/>
      <protection hidden="1"/>
    </xf>
    <xf numFmtId="0" fontId="0" fillId="3" borderId="5" xfId="0" applyFill="1" applyBorder="1" applyProtection="1">
      <alignment vertical="top" wrapText="1"/>
      <protection hidden="1"/>
    </xf>
    <xf numFmtId="0" fontId="48" fillId="12" borderId="30" xfId="1" applyFont="1" applyFill="1" applyBorder="1" applyAlignment="1">
      <alignment horizontal="right" vertical="top" wrapText="1"/>
    </xf>
    <xf numFmtId="0" fontId="58" fillId="0" borderId="5" xfId="1" applyFont="1" applyAlignment="1">
      <alignment vertical="top" wrapText="1"/>
    </xf>
    <xf numFmtId="170" fontId="32" fillId="0" borderId="0" xfId="0" applyNumberFormat="1" applyFont="1" applyProtection="1">
      <alignment vertical="top" wrapText="1"/>
      <protection hidden="1"/>
    </xf>
    <xf numFmtId="0" fontId="31" fillId="9" borderId="8" xfId="0" applyFont="1" applyFill="1" applyBorder="1" applyAlignment="1" applyProtection="1">
      <alignment horizontal="center" vertical="top"/>
      <protection hidden="1"/>
    </xf>
    <xf numFmtId="0" fontId="48" fillId="0" borderId="5" xfId="1" applyFont="1" applyFill="1" applyBorder="1" applyAlignment="1">
      <alignment horizontal="right" vertical="top" wrapText="1"/>
    </xf>
    <xf numFmtId="0" fontId="77" fillId="0" borderId="5" xfId="0" applyFont="1" applyBorder="1" applyAlignment="1" applyProtection="1">
      <alignment horizontal="left" vertical="top"/>
      <protection hidden="1"/>
    </xf>
    <xf numFmtId="0" fontId="33" fillId="8" borderId="36" xfId="0" applyFont="1" applyFill="1" applyBorder="1" applyAlignment="1" applyProtection="1">
      <alignment horizontal="left" vertical="top"/>
      <protection locked="0" hidden="1"/>
    </xf>
    <xf numFmtId="0" fontId="77" fillId="13" borderId="36" xfId="0" applyFont="1" applyFill="1" applyBorder="1" applyAlignment="1" applyProtection="1">
      <alignment horizontal="left" vertical="top"/>
      <protection locked="0" hidden="1"/>
    </xf>
    <xf numFmtId="0" fontId="0" fillId="0" borderId="5" xfId="0" applyBorder="1">
      <alignment vertical="top" wrapText="1"/>
    </xf>
    <xf numFmtId="174" fontId="26" fillId="10" borderId="50" xfId="4" applyNumberFormat="1" applyFont="1" applyFill="1" applyBorder="1" applyAlignment="1" applyProtection="1">
      <alignment horizontal="center" vertical="top" wrapText="1"/>
      <protection hidden="1"/>
    </xf>
    <xf numFmtId="0" fontId="32" fillId="0" borderId="47" xfId="0" applyFont="1" applyBorder="1" applyAlignment="1" applyProtection="1">
      <alignment horizontal="left"/>
      <protection hidden="1"/>
    </xf>
    <xf numFmtId="0" fontId="34" fillId="8" borderId="23" xfId="0" applyNumberFormat="1" applyFont="1" applyFill="1" applyBorder="1" applyAlignment="1" applyProtection="1">
      <alignment horizontal="center" vertical="center"/>
      <protection locked="0" hidden="1"/>
    </xf>
    <xf numFmtId="170" fontId="32" fillId="3" borderId="23" xfId="0" applyNumberFormat="1" applyFont="1" applyFill="1" applyBorder="1" applyAlignment="1" applyProtection="1">
      <alignment horizontal="center" vertical="center" wrapText="1"/>
      <protection hidden="1"/>
    </xf>
    <xf numFmtId="0" fontId="31" fillId="9" borderId="51" xfId="0" quotePrefix="1" applyFont="1" applyFill="1" applyBorder="1" applyAlignment="1" applyProtection="1">
      <alignment horizontal="center" vertical="center" wrapText="1"/>
      <protection hidden="1"/>
    </xf>
    <xf numFmtId="0" fontId="31" fillId="9" borderId="52" xfId="0" applyFont="1" applyFill="1" applyBorder="1" applyAlignment="1" applyProtection="1">
      <alignment horizontal="center" vertical="center" wrapText="1"/>
      <protection hidden="1"/>
    </xf>
    <xf numFmtId="0" fontId="26" fillId="0" borderId="53" xfId="0" applyFont="1" applyBorder="1" applyProtection="1">
      <alignment vertical="top" wrapText="1"/>
      <protection hidden="1"/>
    </xf>
    <xf numFmtId="0" fontId="26" fillId="3" borderId="53" xfId="0" applyFont="1" applyFill="1" applyBorder="1" applyProtection="1">
      <alignment vertical="top" wrapText="1"/>
      <protection hidden="1"/>
    </xf>
    <xf numFmtId="0" fontId="26" fillId="3" borderId="54" xfId="0" applyFont="1" applyFill="1" applyBorder="1" applyAlignment="1" applyProtection="1">
      <alignment vertical="top"/>
      <protection hidden="1"/>
    </xf>
    <xf numFmtId="0" fontId="1" fillId="0" borderId="55" xfId="0" applyFont="1" applyBorder="1" applyAlignment="1">
      <alignment vertical="top"/>
    </xf>
    <xf numFmtId="0" fontId="1" fillId="0" borderId="40" xfId="0" applyFont="1" applyBorder="1" applyAlignment="1">
      <alignment vertical="top"/>
    </xf>
    <xf numFmtId="0" fontId="1" fillId="0" borderId="53" xfId="0" applyFont="1" applyBorder="1" applyAlignment="1">
      <alignment vertical="top"/>
    </xf>
    <xf numFmtId="0" fontId="55" fillId="0" borderId="53" xfId="0" applyFont="1" applyBorder="1" applyAlignment="1">
      <alignment vertical="top"/>
    </xf>
    <xf numFmtId="0" fontId="50" fillId="0" borderId="53" xfId="0" applyFont="1" applyBorder="1" applyAlignment="1">
      <alignment vertical="top"/>
    </xf>
    <xf numFmtId="0" fontId="50" fillId="0" borderId="54" xfId="0" applyFont="1" applyBorder="1" applyAlignment="1">
      <alignment vertical="top"/>
    </xf>
    <xf numFmtId="0" fontId="0" fillId="0" borderId="0" xfId="0" applyAlignment="1">
      <alignment vertical="center" wrapText="1"/>
    </xf>
    <xf numFmtId="0" fontId="85" fillId="0" borderId="5" xfId="0" applyFont="1" applyBorder="1" applyAlignment="1">
      <alignment horizontal="center" vertical="center" wrapText="1"/>
    </xf>
    <xf numFmtId="0" fontId="85" fillId="0" borderId="41" xfId="0" applyFont="1" applyBorder="1" applyAlignment="1">
      <alignment horizontal="center" vertical="center" wrapText="1" readingOrder="1"/>
    </xf>
    <xf numFmtId="0" fontId="84" fillId="0" borderId="0" xfId="0" applyFont="1" applyAlignment="1">
      <alignment horizontal="center" vertical="center" wrapText="1"/>
    </xf>
    <xf numFmtId="0" fontId="87" fillId="14" borderId="41" xfId="0" applyFont="1" applyFill="1" applyBorder="1" applyAlignment="1">
      <alignment horizontal="center" vertical="center" wrapText="1" readingOrder="1"/>
    </xf>
    <xf numFmtId="0" fontId="85" fillId="14" borderId="42" xfId="0" applyFont="1" applyFill="1" applyBorder="1" applyAlignment="1">
      <alignment horizontal="center" vertical="center" wrapText="1" readingOrder="1"/>
    </xf>
    <xf numFmtId="1" fontId="85" fillId="14" borderId="45" xfId="0" applyNumberFormat="1" applyFont="1" applyFill="1" applyBorder="1" applyAlignment="1">
      <alignment horizontal="center" vertical="center" wrapText="1" readingOrder="1"/>
    </xf>
    <xf numFmtId="0" fontId="85" fillId="14" borderId="41" xfId="0" applyFont="1" applyFill="1" applyBorder="1" applyAlignment="1">
      <alignment horizontal="center" vertical="center" wrapText="1" readingOrder="1"/>
    </xf>
    <xf numFmtId="0" fontId="86" fillId="14" borderId="43" xfId="0" applyFont="1" applyFill="1" applyBorder="1" applyAlignment="1">
      <alignment horizontal="center" vertical="center" wrapText="1" readingOrder="1"/>
    </xf>
    <xf numFmtId="0" fontId="85" fillId="0" borderId="56" xfId="0" applyFont="1" applyBorder="1" applyAlignment="1">
      <alignment horizontal="center" vertical="center" wrapText="1" readingOrder="1"/>
    </xf>
    <xf numFmtId="0" fontId="85" fillId="14" borderId="43" xfId="0" applyFont="1" applyFill="1" applyBorder="1" applyAlignment="1">
      <alignment horizontal="center" vertical="center" wrapText="1" readingOrder="1"/>
    </xf>
    <xf numFmtId="0" fontId="84" fillId="0" borderId="5" xfId="0" applyFont="1" applyBorder="1" applyAlignment="1">
      <alignment horizontal="center" vertical="center" wrapText="1"/>
    </xf>
    <xf numFmtId="0" fontId="84" fillId="0" borderId="0" xfId="0" applyFont="1" applyAlignment="1">
      <alignment vertical="center" wrapText="1"/>
    </xf>
    <xf numFmtId="0" fontId="84" fillId="0" borderId="5" xfId="0" applyFont="1" applyBorder="1" applyAlignment="1">
      <alignment vertical="center" wrapText="1"/>
    </xf>
    <xf numFmtId="0" fontId="84" fillId="0" borderId="0" xfId="0" applyFont="1">
      <alignment vertical="top" wrapText="1"/>
    </xf>
    <xf numFmtId="0" fontId="84" fillId="0" borderId="5" xfId="0" applyFont="1" applyBorder="1">
      <alignment vertical="top" wrapText="1"/>
    </xf>
    <xf numFmtId="0" fontId="86" fillId="14" borderId="41" xfId="0" applyFont="1" applyFill="1" applyBorder="1" applyAlignment="1">
      <alignment horizontal="center" vertical="center" wrapText="1" readingOrder="1"/>
    </xf>
    <xf numFmtId="1" fontId="85" fillId="14" borderId="41" xfId="0" applyNumberFormat="1" applyFont="1" applyFill="1" applyBorder="1" applyAlignment="1">
      <alignment horizontal="center" vertical="center" wrapText="1"/>
    </xf>
    <xf numFmtId="1" fontId="85" fillId="14" borderId="46" xfId="0" applyNumberFormat="1" applyFont="1" applyFill="1" applyBorder="1" applyAlignment="1">
      <alignment horizontal="center" vertical="center" wrapText="1"/>
    </xf>
    <xf numFmtId="0" fontId="87" fillId="0" borderId="44" xfId="0" applyFont="1" applyBorder="1" applyAlignment="1">
      <alignment horizontal="center" vertical="center" wrapText="1"/>
    </xf>
    <xf numFmtId="0" fontId="88" fillId="14" borderId="41" xfId="0" applyFont="1" applyFill="1" applyBorder="1" applyAlignment="1">
      <alignment horizontal="center" vertical="center" wrapText="1"/>
    </xf>
    <xf numFmtId="0" fontId="87" fillId="0" borderId="44" xfId="0" applyFont="1" applyBorder="1" applyAlignment="1">
      <alignment horizontal="center" vertical="center" wrapText="1" readingOrder="1"/>
    </xf>
    <xf numFmtId="0" fontId="87" fillId="0" borderId="41" xfId="0" applyFont="1" applyBorder="1" applyAlignment="1">
      <alignment horizontal="center" vertical="center" wrapText="1" readingOrder="1"/>
    </xf>
    <xf numFmtId="0" fontId="87" fillId="14" borderId="41" xfId="0" applyFont="1" applyFill="1" applyBorder="1" applyAlignment="1">
      <alignment horizontal="center" vertical="center" wrapText="1"/>
    </xf>
    <xf numFmtId="0" fontId="87" fillId="0" borderId="0" xfId="0" applyFont="1" applyAlignment="1">
      <alignment horizontal="center" vertical="center" wrapText="1"/>
    </xf>
    <xf numFmtId="0" fontId="88" fillId="15" borderId="41" xfId="0" applyFont="1" applyFill="1" applyBorder="1" applyAlignment="1">
      <alignment horizontal="center" vertical="center" wrapText="1" readingOrder="1"/>
    </xf>
    <xf numFmtId="1" fontId="85" fillId="14" borderId="41" xfId="0" applyNumberFormat="1" applyFont="1" applyFill="1" applyBorder="1" applyAlignment="1">
      <alignment horizontal="center" vertical="center" wrapText="1" readingOrder="1"/>
    </xf>
    <xf numFmtId="0" fontId="84" fillId="0" borderId="41" xfId="0" applyFont="1" applyBorder="1" applyAlignment="1">
      <alignment horizontal="center" vertical="center" wrapText="1"/>
    </xf>
    <xf numFmtId="0" fontId="85" fillId="14" borderId="57" xfId="0" applyFont="1" applyFill="1" applyBorder="1" applyAlignment="1">
      <alignment horizontal="center" vertical="center" wrapText="1" readingOrder="1"/>
    </xf>
    <xf numFmtId="1" fontId="85" fillId="14" borderId="58" xfId="0" applyNumberFormat="1" applyFont="1" applyFill="1" applyBorder="1" applyAlignment="1">
      <alignment horizontal="center" vertical="center" wrapText="1" readingOrder="1"/>
    </xf>
    <xf numFmtId="0" fontId="85" fillId="0" borderId="44" xfId="0" applyFont="1" applyBorder="1" applyAlignment="1">
      <alignment horizontal="center" vertical="center" wrapText="1" readingOrder="1"/>
    </xf>
    <xf numFmtId="0" fontId="85" fillId="14" borderId="41" xfId="0" applyFont="1" applyFill="1" applyBorder="1" applyAlignment="1">
      <alignment horizontal="center" vertical="center" wrapText="1"/>
    </xf>
    <xf numFmtId="1" fontId="85" fillId="0" borderId="41" xfId="0" applyNumberFormat="1" applyFont="1" applyBorder="1" applyAlignment="1">
      <alignment horizontal="center" vertical="center" wrapText="1"/>
    </xf>
    <xf numFmtId="1" fontId="85" fillId="0" borderId="44" xfId="0" applyNumberFormat="1" applyFont="1" applyBorder="1" applyAlignment="1">
      <alignment horizontal="center" vertical="center" wrapText="1"/>
    </xf>
    <xf numFmtId="1" fontId="85" fillId="0" borderId="41" xfId="0" applyNumberFormat="1" applyFont="1" applyBorder="1" applyAlignment="1">
      <alignment horizontal="center" vertical="center" wrapText="1" readingOrder="1"/>
    </xf>
    <xf numFmtId="1" fontId="84" fillId="0" borderId="0" xfId="0" applyNumberFormat="1" applyFont="1">
      <alignment vertical="top" wrapText="1"/>
    </xf>
    <xf numFmtId="0" fontId="89" fillId="0" borderId="0" xfId="0" applyFont="1" applyAlignment="1">
      <alignment vertical="top" wrapText="1"/>
    </xf>
    <xf numFmtId="0" fontId="48" fillId="0" borderId="30" xfId="1" applyFont="1" applyBorder="1" applyAlignment="1">
      <alignment horizontal="right" vertical="top" wrapText="1"/>
    </xf>
    <xf numFmtId="0" fontId="37" fillId="9" borderId="23" xfId="0" applyFont="1" applyFill="1" applyBorder="1" applyAlignment="1" applyProtection="1">
      <alignment horizontal="center" vertical="center"/>
      <protection hidden="1"/>
    </xf>
    <xf numFmtId="0" fontId="37" fillId="9" borderId="36" xfId="0" applyFont="1" applyFill="1" applyBorder="1" applyAlignment="1" applyProtection="1">
      <alignment horizontal="center" vertical="center" wrapText="1"/>
      <protection hidden="1"/>
    </xf>
    <xf numFmtId="0" fontId="27" fillId="3" borderId="5" xfId="0" applyFont="1" applyFill="1" applyBorder="1" applyAlignment="1" applyProtection="1">
      <alignment horizontal="center" vertical="center" wrapText="1"/>
      <protection hidden="1"/>
    </xf>
    <xf numFmtId="0" fontId="62" fillId="9" borderId="17" xfId="0" applyFont="1" applyFill="1" applyBorder="1" applyAlignment="1" applyProtection="1">
      <alignment horizontal="center" vertical="top" wrapText="1"/>
      <protection hidden="1"/>
    </xf>
    <xf numFmtId="0" fontId="31" fillId="9" borderId="9" xfId="0" applyFont="1" applyFill="1" applyBorder="1" applyAlignment="1" applyProtection="1">
      <alignment horizontal="center" vertical="top" wrapText="1"/>
      <protection hidden="1"/>
    </xf>
    <xf numFmtId="0" fontId="33" fillId="0" borderId="0" xfId="0" applyFont="1" applyAlignment="1" applyProtection="1">
      <alignment horizontal="right" vertical="top" wrapText="1"/>
      <protection hidden="1"/>
    </xf>
    <xf numFmtId="0" fontId="26" fillId="0" borderId="0" xfId="0" applyFont="1" applyAlignment="1" applyProtection="1">
      <alignment horizontal="right" vertical="top" wrapText="1"/>
      <protection hidden="1"/>
    </xf>
    <xf numFmtId="0" fontId="31" fillId="9" borderId="52" xfId="0" applyFont="1" applyFill="1" applyBorder="1" applyAlignment="1" applyProtection="1">
      <alignment horizontal="center" vertical="center"/>
      <protection hidden="1"/>
    </xf>
    <xf numFmtId="0" fontId="26" fillId="0" borderId="0" xfId="0" applyFont="1" applyAlignment="1" applyProtection="1">
      <alignment horizontal="center" vertical="top" wrapText="1"/>
      <protection hidden="1"/>
    </xf>
    <xf numFmtId="0" fontId="31" fillId="9" borderId="8" xfId="0" applyFont="1" applyFill="1" applyBorder="1" applyAlignment="1" applyProtection="1">
      <alignment horizontal="center" vertical="top" wrapText="1"/>
      <protection hidden="1"/>
    </xf>
    <xf numFmtId="0" fontId="60" fillId="11" borderId="34" xfId="1" applyFont="1" applyFill="1" applyBorder="1" applyAlignment="1">
      <alignment horizontal="left" vertical="top" wrapText="1"/>
    </xf>
    <xf numFmtId="0" fontId="60" fillId="11" borderId="35" xfId="1" applyFont="1" applyFill="1" applyBorder="1" applyAlignment="1">
      <alignment horizontal="left" vertical="top" wrapText="1"/>
    </xf>
    <xf numFmtId="0" fontId="60" fillId="11" borderId="32" xfId="1" applyFont="1" applyFill="1" applyBorder="1" applyAlignment="1">
      <alignment horizontal="left" vertical="top" wrapText="1"/>
    </xf>
    <xf numFmtId="0" fontId="60" fillId="11" borderId="33" xfId="1" applyFont="1" applyFill="1" applyBorder="1" applyAlignment="1">
      <alignment horizontal="left" vertical="top" wrapText="1"/>
    </xf>
    <xf numFmtId="0" fontId="44" fillId="0" borderId="5" xfId="1" applyFont="1" applyAlignment="1">
      <alignment horizontal="left" vertical="top" wrapText="1"/>
    </xf>
    <xf numFmtId="0" fontId="46" fillId="0" borderId="5" xfId="1" applyFont="1" applyAlignment="1">
      <alignment horizontal="left" vertical="top" wrapText="1"/>
    </xf>
    <xf numFmtId="0" fontId="56" fillId="12" borderId="31" xfId="1" applyFont="1" applyFill="1" applyBorder="1" applyAlignment="1">
      <alignment horizontal="left" vertical="top" wrapText="1"/>
    </xf>
    <xf numFmtId="0" fontId="56" fillId="12" borderId="5" xfId="1" applyFont="1" applyFill="1" applyAlignment="1">
      <alignment horizontal="left" vertical="top" wrapText="1"/>
    </xf>
    <xf numFmtId="0" fontId="58" fillId="0" borderId="31" xfId="1" applyFont="1" applyBorder="1" applyAlignment="1">
      <alignment horizontal="left" vertical="top" wrapText="1"/>
    </xf>
    <xf numFmtId="0" fontId="58" fillId="0" borderId="5" xfId="1" applyFont="1" applyBorder="1" applyAlignment="1">
      <alignment horizontal="left" vertical="top" wrapText="1"/>
    </xf>
    <xf numFmtId="0" fontId="57" fillId="0" borderId="31" xfId="1" applyFont="1" applyBorder="1" applyAlignment="1">
      <alignment horizontal="left" vertical="top" wrapText="1"/>
    </xf>
    <xf numFmtId="0" fontId="57" fillId="0" borderId="5" xfId="1" applyFont="1" applyAlignment="1">
      <alignment horizontal="left" vertical="top" wrapText="1"/>
    </xf>
    <xf numFmtId="0" fontId="48" fillId="0" borderId="30" xfId="1" applyFont="1" applyBorder="1" applyAlignment="1">
      <alignment horizontal="right" vertical="top" wrapText="1"/>
    </xf>
    <xf numFmtId="0" fontId="58" fillId="0" borderId="5" xfId="1" applyFont="1" applyAlignment="1">
      <alignment horizontal="left" vertical="top" wrapText="1"/>
    </xf>
    <xf numFmtId="0" fontId="48" fillId="0" borderId="5" xfId="1" applyFont="1" applyBorder="1" applyAlignment="1">
      <alignment horizontal="right" vertical="top" wrapText="1"/>
    </xf>
    <xf numFmtId="0" fontId="58" fillId="0" borderId="5" xfId="1" applyFont="1" applyFill="1" applyBorder="1" applyAlignment="1">
      <alignment horizontal="left" vertical="top" wrapText="1"/>
    </xf>
    <xf numFmtId="170" fontId="43" fillId="2" borderId="14" xfId="0" applyNumberFormat="1" applyFont="1" applyFill="1" applyBorder="1" applyAlignment="1" applyProtection="1">
      <alignment horizontal="center" vertical="center"/>
      <protection hidden="1"/>
    </xf>
    <xf numFmtId="170" fontId="43" fillId="2" borderId="13" xfId="0" applyNumberFormat="1" applyFont="1" applyFill="1" applyBorder="1" applyAlignment="1" applyProtection="1">
      <alignment horizontal="center" vertical="center"/>
      <protection hidden="1"/>
    </xf>
    <xf numFmtId="170" fontId="43" fillId="2" borderId="52" xfId="0" applyNumberFormat="1" applyFont="1" applyFill="1" applyBorder="1" applyAlignment="1" applyProtection="1">
      <alignment horizontal="center" vertical="center"/>
      <protection hidden="1"/>
    </xf>
    <xf numFmtId="170" fontId="38" fillId="2" borderId="15" xfId="0" applyNumberFormat="1" applyFont="1" applyFill="1" applyBorder="1" applyAlignment="1" applyProtection="1">
      <alignment horizontal="center" vertical="center"/>
      <protection hidden="1"/>
    </xf>
    <xf numFmtId="170" fontId="38" fillId="2" borderId="12" xfId="0" applyNumberFormat="1" applyFont="1" applyFill="1" applyBorder="1" applyAlignment="1" applyProtection="1">
      <alignment horizontal="center" vertical="center"/>
      <protection hidden="1"/>
    </xf>
    <xf numFmtId="170" fontId="38" fillId="2" borderId="51" xfId="0" applyNumberFormat="1" applyFont="1" applyFill="1" applyBorder="1" applyAlignment="1" applyProtection="1">
      <alignment horizontal="center" vertical="center"/>
      <protection hidden="1"/>
    </xf>
    <xf numFmtId="0" fontId="37" fillId="9" borderId="23" xfId="0" applyFont="1" applyFill="1" applyBorder="1" applyAlignment="1" applyProtection="1">
      <alignment horizontal="center" vertical="center"/>
      <protection hidden="1"/>
    </xf>
    <xf numFmtId="1" fontId="32" fillId="0" borderId="23" xfId="0" applyNumberFormat="1" applyFont="1" applyBorder="1" applyAlignment="1" applyProtection="1">
      <alignment horizontal="center" vertical="center" wrapText="1"/>
      <protection hidden="1"/>
    </xf>
    <xf numFmtId="170" fontId="32" fillId="0" borderId="23" xfId="0" applyNumberFormat="1" applyFont="1" applyBorder="1" applyAlignment="1" applyProtection="1">
      <alignment horizontal="center" vertical="center" wrapText="1"/>
      <protection hidden="1"/>
    </xf>
    <xf numFmtId="0" fontId="31" fillId="9" borderId="15" xfId="0" applyFont="1" applyFill="1" applyBorder="1" applyAlignment="1" applyProtection="1">
      <alignment horizontal="center" vertical="top" wrapText="1"/>
      <protection hidden="1"/>
    </xf>
    <xf numFmtId="0" fontId="31" fillId="9" borderId="51" xfId="0" applyFont="1" applyFill="1" applyBorder="1" applyAlignment="1" applyProtection="1">
      <alignment horizontal="center" vertical="top" wrapText="1"/>
      <protection hidden="1"/>
    </xf>
    <xf numFmtId="170" fontId="34" fillId="2" borderId="14" xfId="0" applyNumberFormat="1" applyFont="1" applyFill="1" applyBorder="1" applyAlignment="1" applyProtection="1">
      <alignment horizontal="center" vertical="center"/>
      <protection hidden="1"/>
    </xf>
    <xf numFmtId="170" fontId="34" fillId="2" borderId="13" xfId="0" applyNumberFormat="1" applyFont="1" applyFill="1" applyBorder="1" applyAlignment="1" applyProtection="1">
      <alignment horizontal="center" vertical="center"/>
      <protection hidden="1"/>
    </xf>
    <xf numFmtId="170" fontId="34" fillId="2" borderId="52" xfId="0" applyNumberFormat="1" applyFont="1" applyFill="1" applyBorder="1" applyAlignment="1" applyProtection="1">
      <alignment horizontal="center" vertical="center"/>
      <protection hidden="1"/>
    </xf>
    <xf numFmtId="1" fontId="37" fillId="9" borderId="24" xfId="0" applyNumberFormat="1" applyFont="1" applyFill="1" applyBorder="1" applyAlignment="1" applyProtection="1">
      <alignment horizontal="center" vertical="top" wrapText="1"/>
      <protection hidden="1"/>
    </xf>
    <xf numFmtId="1" fontId="37" fillId="9" borderId="21" xfId="0" applyNumberFormat="1" applyFont="1" applyFill="1" applyBorder="1" applyAlignment="1" applyProtection="1">
      <alignment horizontal="center" vertical="top" wrapText="1"/>
      <protection hidden="1"/>
    </xf>
    <xf numFmtId="170" fontId="49" fillId="0" borderId="24" xfId="0" applyNumberFormat="1" applyFont="1" applyBorder="1" applyAlignment="1" applyProtection="1">
      <alignment horizontal="center" vertical="center" wrapText="1"/>
      <protection hidden="1"/>
    </xf>
    <xf numFmtId="170" fontId="49" fillId="0" borderId="21" xfId="0" applyNumberFormat="1" applyFont="1" applyBorder="1" applyAlignment="1" applyProtection="1">
      <alignment horizontal="center" vertical="center" wrapText="1"/>
      <protection hidden="1"/>
    </xf>
    <xf numFmtId="170" fontId="49" fillId="0" borderId="25" xfId="0" applyNumberFormat="1" applyFont="1" applyBorder="1" applyAlignment="1" applyProtection="1">
      <alignment horizontal="center" vertical="center" wrapText="1"/>
      <protection hidden="1"/>
    </xf>
    <xf numFmtId="170" fontId="49" fillId="0" borderId="48" xfId="0" applyNumberFormat="1" applyFont="1" applyBorder="1" applyAlignment="1" applyProtection="1">
      <alignment horizontal="center" vertical="center" wrapText="1"/>
      <protection hidden="1"/>
    </xf>
    <xf numFmtId="170" fontId="49" fillId="0" borderId="47" xfId="0" applyNumberFormat="1" applyFont="1" applyBorder="1" applyAlignment="1" applyProtection="1">
      <alignment horizontal="center" vertical="center" wrapText="1"/>
      <protection hidden="1"/>
    </xf>
    <xf numFmtId="170" fontId="49" fillId="0" borderId="49" xfId="0" applyNumberFormat="1" applyFont="1" applyBorder="1" applyAlignment="1" applyProtection="1">
      <alignment horizontal="center" vertical="center" wrapText="1"/>
      <protection hidden="1"/>
    </xf>
    <xf numFmtId="0" fontId="31" fillId="9" borderId="7" xfId="0" applyFont="1" applyFill="1" applyBorder="1" applyAlignment="1" applyProtection="1">
      <alignment horizontal="center" vertical="center" wrapText="1"/>
      <protection hidden="1"/>
    </xf>
    <xf numFmtId="0" fontId="31" fillId="9" borderId="9" xfId="0" applyFont="1" applyFill="1" applyBorder="1" applyAlignment="1" applyProtection="1">
      <alignment horizontal="center" vertical="center" wrapText="1"/>
      <protection hidden="1"/>
    </xf>
    <xf numFmtId="0" fontId="32" fillId="3" borderId="40" xfId="0" applyFont="1" applyFill="1" applyBorder="1" applyAlignment="1" applyProtection="1">
      <alignment horizontal="center" vertical="center"/>
      <protection hidden="1"/>
    </xf>
    <xf numFmtId="0" fontId="37" fillId="9" borderId="25" xfId="0" applyFont="1" applyFill="1" applyBorder="1" applyAlignment="1" applyProtection="1">
      <alignment horizontal="center" vertical="center" wrapText="1"/>
      <protection hidden="1"/>
    </xf>
    <xf numFmtId="0" fontId="37" fillId="9" borderId="26" xfId="0" applyFont="1" applyFill="1" applyBorder="1" applyAlignment="1" applyProtection="1">
      <alignment horizontal="center" vertical="center" wrapText="1"/>
      <protection hidden="1"/>
    </xf>
    <xf numFmtId="173" fontId="49" fillId="3" borderId="20" xfId="0" applyNumberFormat="1" applyFont="1" applyFill="1" applyBorder="1" applyAlignment="1" applyProtection="1">
      <alignment horizontal="center" vertical="center" wrapText="1"/>
      <protection hidden="1"/>
    </xf>
    <xf numFmtId="173" fontId="49" fillId="3" borderId="22" xfId="0" applyNumberFormat="1" applyFont="1" applyFill="1" applyBorder="1" applyAlignment="1" applyProtection="1">
      <alignment horizontal="center" vertical="center" wrapText="1"/>
      <protection hidden="1"/>
    </xf>
    <xf numFmtId="173" fontId="49" fillId="3" borderId="50" xfId="0" applyNumberFormat="1" applyFont="1" applyFill="1" applyBorder="1" applyAlignment="1" applyProtection="1">
      <alignment horizontal="center" vertical="center" wrapText="1"/>
      <protection hidden="1"/>
    </xf>
    <xf numFmtId="2" fontId="49" fillId="3" borderId="20" xfId="0" applyNumberFormat="1" applyFont="1" applyFill="1" applyBorder="1" applyAlignment="1" applyProtection="1">
      <alignment horizontal="center" vertical="center" wrapText="1"/>
      <protection hidden="1"/>
    </xf>
    <xf numFmtId="2" fontId="49" fillId="3" borderId="22" xfId="0" applyNumberFormat="1" applyFont="1" applyFill="1" applyBorder="1" applyAlignment="1" applyProtection="1">
      <alignment horizontal="center" vertical="center" wrapText="1"/>
      <protection hidden="1"/>
    </xf>
    <xf numFmtId="2" fontId="49" fillId="3" borderId="50" xfId="0" applyNumberFormat="1" applyFont="1" applyFill="1" applyBorder="1" applyAlignment="1" applyProtection="1">
      <alignment horizontal="center" vertical="center" wrapText="1"/>
      <protection hidden="1"/>
    </xf>
    <xf numFmtId="0" fontId="37" fillId="9" borderId="36" xfId="0" applyFont="1" applyFill="1" applyBorder="1" applyAlignment="1" applyProtection="1">
      <alignment horizontal="center" vertical="center" wrapText="1"/>
      <protection hidden="1"/>
    </xf>
    <xf numFmtId="0" fontId="37" fillId="9" borderId="37" xfId="0" applyFont="1" applyFill="1" applyBorder="1" applyAlignment="1" applyProtection="1">
      <alignment horizontal="center" vertical="center" wrapText="1"/>
      <protection hidden="1"/>
    </xf>
    <xf numFmtId="0" fontId="37" fillId="9" borderId="38" xfId="0" applyFont="1" applyFill="1" applyBorder="1" applyAlignment="1" applyProtection="1">
      <alignment horizontal="center" vertical="center" wrapText="1"/>
      <protection hidden="1"/>
    </xf>
    <xf numFmtId="0" fontId="27" fillId="3" borderId="5" xfId="0" applyFont="1" applyFill="1" applyBorder="1" applyAlignment="1" applyProtection="1">
      <alignment horizontal="center" vertical="center" wrapText="1"/>
      <protection hidden="1"/>
    </xf>
    <xf numFmtId="170" fontId="32" fillId="0" borderId="29" xfId="0" applyNumberFormat="1" applyFont="1" applyBorder="1" applyAlignment="1" applyProtection="1">
      <alignment horizontal="center" vertical="top" wrapText="1"/>
      <protection hidden="1"/>
    </xf>
    <xf numFmtId="170" fontId="32" fillId="0" borderId="5" xfId="0" applyNumberFormat="1" applyFont="1" applyBorder="1" applyAlignment="1" applyProtection="1">
      <alignment horizontal="center" vertical="top" wrapText="1"/>
      <protection hidden="1"/>
    </xf>
    <xf numFmtId="0" fontId="26" fillId="8" borderId="36" xfId="0" applyFont="1" applyFill="1" applyBorder="1" applyAlignment="1" applyProtection="1">
      <alignment horizontal="center" vertical="center" wrapText="1"/>
      <protection locked="0" hidden="1"/>
    </xf>
    <xf numFmtId="1" fontId="26" fillId="8" borderId="37" xfId="0" applyNumberFormat="1" applyFont="1" applyFill="1" applyBorder="1" applyAlignment="1" applyProtection="1">
      <alignment horizontal="center" vertical="center" wrapText="1"/>
      <protection locked="0" hidden="1"/>
    </xf>
    <xf numFmtId="1" fontId="26" fillId="8" borderId="38" xfId="0" applyNumberFormat="1" applyFont="1" applyFill="1" applyBorder="1" applyAlignment="1" applyProtection="1">
      <alignment horizontal="center" vertical="center" wrapText="1"/>
      <protection locked="0" hidden="1"/>
    </xf>
    <xf numFmtId="0" fontId="28" fillId="0" borderId="5" xfId="0" applyFont="1" applyBorder="1" applyAlignment="1" applyProtection="1">
      <alignment horizontal="center" vertical="top" wrapText="1"/>
      <protection locked="0" hidden="1"/>
    </xf>
    <xf numFmtId="0" fontId="62" fillId="9" borderId="17" xfId="0" applyFont="1" applyFill="1" applyBorder="1" applyAlignment="1" applyProtection="1">
      <alignment horizontal="center" vertical="top" wrapText="1"/>
      <protection hidden="1"/>
    </xf>
    <xf numFmtId="0" fontId="62" fillId="9" borderId="18" xfId="0" applyFont="1" applyFill="1" applyBorder="1" applyAlignment="1" applyProtection="1">
      <alignment horizontal="center" vertical="top" wrapText="1"/>
      <protection hidden="1"/>
    </xf>
    <xf numFmtId="0" fontId="62" fillId="9" borderId="19" xfId="0" applyFont="1" applyFill="1" applyBorder="1" applyAlignment="1" applyProtection="1">
      <alignment horizontal="center" vertical="top" wrapText="1"/>
      <protection hidden="1"/>
    </xf>
    <xf numFmtId="1" fontId="32" fillId="0" borderId="47" xfId="0" applyNumberFormat="1" applyFont="1" applyBorder="1" applyAlignment="1" applyProtection="1">
      <alignment horizontal="center" vertical="top"/>
      <protection hidden="1"/>
    </xf>
    <xf numFmtId="0" fontId="35" fillId="0" borderId="2" xfId="0" applyFont="1" applyBorder="1" applyAlignment="1" applyProtection="1">
      <alignment horizontal="right" vertical="center"/>
      <protection hidden="1"/>
    </xf>
    <xf numFmtId="0" fontId="35" fillId="0" borderId="5" xfId="0" applyFont="1" applyBorder="1" applyAlignment="1" applyProtection="1">
      <alignment horizontal="right" vertical="center"/>
      <protection hidden="1"/>
    </xf>
    <xf numFmtId="0" fontId="38" fillId="0" borderId="5" xfId="0" applyFont="1" applyBorder="1" applyAlignment="1" applyProtection="1">
      <alignment horizontal="center" vertical="top" wrapText="1"/>
      <protection hidden="1"/>
    </xf>
    <xf numFmtId="1" fontId="67" fillId="0" borderId="5" xfId="0" applyNumberFormat="1" applyFont="1" applyBorder="1" applyAlignment="1" applyProtection="1">
      <alignment horizontal="center" vertical="top"/>
      <protection hidden="1"/>
    </xf>
    <xf numFmtId="170" fontId="49" fillId="3" borderId="24" xfId="0" applyNumberFormat="1" applyFont="1" applyFill="1" applyBorder="1" applyAlignment="1" applyProtection="1">
      <alignment horizontal="center" vertical="center" wrapText="1"/>
      <protection hidden="1"/>
    </xf>
    <xf numFmtId="170" fontId="49" fillId="3" borderId="21" xfId="0" applyNumberFormat="1" applyFont="1" applyFill="1" applyBorder="1" applyAlignment="1" applyProtection="1">
      <alignment horizontal="center" vertical="center" wrapText="1"/>
      <protection hidden="1"/>
    </xf>
    <xf numFmtId="170" fontId="49" fillId="3" borderId="25" xfId="0" applyNumberFormat="1" applyFont="1" applyFill="1" applyBorder="1" applyAlignment="1" applyProtection="1">
      <alignment horizontal="center" vertical="center" wrapText="1"/>
      <protection hidden="1"/>
    </xf>
    <xf numFmtId="170" fontId="49" fillId="3" borderId="29" xfId="0" applyNumberFormat="1" applyFont="1" applyFill="1" applyBorder="1" applyAlignment="1" applyProtection="1">
      <alignment horizontal="center" vertical="center" wrapText="1"/>
      <protection hidden="1"/>
    </xf>
    <xf numFmtId="170" fontId="49" fillId="3" borderId="5" xfId="0" applyNumberFormat="1" applyFont="1" applyFill="1" applyBorder="1" applyAlignment="1" applyProtection="1">
      <alignment horizontal="center" vertical="center" wrapText="1"/>
      <protection hidden="1"/>
    </xf>
    <xf numFmtId="170" fontId="49" fillId="3" borderId="26" xfId="0" applyNumberFormat="1" applyFont="1" applyFill="1" applyBorder="1" applyAlignment="1" applyProtection="1">
      <alignment horizontal="center" vertical="center" wrapText="1"/>
      <protection hidden="1"/>
    </xf>
    <xf numFmtId="170" fontId="49" fillId="3" borderId="48" xfId="0" applyNumberFormat="1" applyFont="1" applyFill="1" applyBorder="1" applyAlignment="1" applyProtection="1">
      <alignment horizontal="center" vertical="center" wrapText="1"/>
      <protection hidden="1"/>
    </xf>
    <xf numFmtId="170" fontId="49" fillId="3" borderId="47" xfId="0" applyNumberFormat="1" applyFont="1" applyFill="1" applyBorder="1" applyAlignment="1" applyProtection="1">
      <alignment horizontal="center" vertical="center" wrapText="1"/>
      <protection hidden="1"/>
    </xf>
    <xf numFmtId="170" fontId="49" fillId="3" borderId="49" xfId="0" applyNumberFormat="1" applyFont="1" applyFill="1" applyBorder="1" applyAlignment="1" applyProtection="1">
      <alignment horizontal="center" vertical="center" wrapText="1"/>
      <protection hidden="1"/>
    </xf>
    <xf numFmtId="170" fontId="49" fillId="3" borderId="20" xfId="0" applyNumberFormat="1" applyFont="1" applyFill="1" applyBorder="1" applyAlignment="1" applyProtection="1">
      <alignment horizontal="center" vertical="center" wrapText="1"/>
      <protection hidden="1"/>
    </xf>
    <xf numFmtId="170" fontId="49" fillId="3" borderId="22" xfId="0" applyNumberFormat="1" applyFont="1" applyFill="1" applyBorder="1" applyAlignment="1" applyProtection="1">
      <alignment horizontal="center" vertical="center" wrapText="1"/>
      <protection hidden="1"/>
    </xf>
    <xf numFmtId="170" fontId="49" fillId="3" borderId="50" xfId="0" applyNumberFormat="1" applyFont="1" applyFill="1" applyBorder="1" applyAlignment="1" applyProtection="1">
      <alignment horizontal="center" vertical="center" wrapText="1"/>
      <protection hidden="1"/>
    </xf>
    <xf numFmtId="0" fontId="31" fillId="9" borderId="7" xfId="0" applyFont="1" applyFill="1" applyBorder="1" applyAlignment="1" applyProtection="1">
      <alignment horizontal="center" vertical="top" wrapText="1"/>
      <protection hidden="1"/>
    </xf>
    <xf numFmtId="0" fontId="31" fillId="9" borderId="9" xfId="0" applyFont="1" applyFill="1" applyBorder="1" applyAlignment="1" applyProtection="1">
      <alignment horizontal="center" vertical="top" wrapText="1"/>
      <protection hidden="1"/>
    </xf>
    <xf numFmtId="0" fontId="37" fillId="9" borderId="14" xfId="0" applyFont="1" applyFill="1" applyBorder="1" applyAlignment="1" applyProtection="1">
      <alignment horizontal="center" vertical="center"/>
      <protection hidden="1"/>
    </xf>
    <xf numFmtId="0" fontId="37" fillId="9" borderId="13" xfId="0" applyFont="1" applyFill="1" applyBorder="1" applyAlignment="1" applyProtection="1">
      <alignment horizontal="center" vertical="center"/>
      <protection hidden="1"/>
    </xf>
    <xf numFmtId="0" fontId="37" fillId="9" borderId="52" xfId="0" applyFont="1" applyFill="1" applyBorder="1" applyAlignment="1" applyProtection="1">
      <alignment horizontal="center" vertical="center"/>
      <protection hidden="1"/>
    </xf>
    <xf numFmtId="1" fontId="31" fillId="9" borderId="7" xfId="0" applyNumberFormat="1" applyFont="1" applyFill="1" applyBorder="1" applyAlignment="1" applyProtection="1">
      <alignment horizontal="center" vertical="top" wrapText="1"/>
      <protection hidden="1"/>
    </xf>
    <xf numFmtId="1" fontId="31" fillId="9" borderId="8" xfId="0" applyNumberFormat="1" applyFont="1" applyFill="1" applyBorder="1" applyAlignment="1" applyProtection="1">
      <alignment horizontal="center" vertical="top" wrapText="1"/>
      <protection hidden="1"/>
    </xf>
    <xf numFmtId="1" fontId="31" fillId="9" borderId="9" xfId="0" applyNumberFormat="1" applyFont="1" applyFill="1" applyBorder="1" applyAlignment="1" applyProtection="1">
      <alignment horizontal="center" vertical="top" wrapText="1"/>
      <protection hidden="1"/>
    </xf>
    <xf numFmtId="0" fontId="31" fillId="9" borderId="7" xfId="0" applyFont="1" applyFill="1" applyBorder="1" applyAlignment="1" applyProtection="1">
      <alignment horizontal="center" vertical="center"/>
      <protection hidden="1"/>
    </xf>
    <xf numFmtId="0" fontId="31" fillId="9" borderId="8" xfId="0" applyFont="1" applyFill="1" applyBorder="1" applyAlignment="1" applyProtection="1">
      <alignment horizontal="center" vertical="center"/>
      <protection hidden="1"/>
    </xf>
    <xf numFmtId="0" fontId="33" fillId="0" borderId="0" xfId="0" applyFont="1" applyAlignment="1" applyProtection="1">
      <alignment horizontal="right" vertical="top" wrapText="1"/>
      <protection hidden="1"/>
    </xf>
    <xf numFmtId="0" fontId="26" fillId="0" borderId="0" xfId="0" applyFont="1" applyAlignment="1" applyProtection="1">
      <alignment horizontal="right" vertical="top" wrapText="1"/>
      <protection hidden="1"/>
    </xf>
    <xf numFmtId="0" fontId="41" fillId="0" borderId="0" xfId="0" applyFont="1" applyAlignment="1" applyProtection="1">
      <alignment horizontal="right" vertical="top" wrapText="1"/>
      <protection hidden="1"/>
    </xf>
    <xf numFmtId="0" fontId="31" fillId="9" borderId="14" xfId="0" applyFont="1" applyFill="1" applyBorder="1" applyAlignment="1" applyProtection="1">
      <alignment horizontal="center" vertical="center"/>
      <protection hidden="1"/>
    </xf>
    <xf numFmtId="0" fontId="31" fillId="9" borderId="52" xfId="0" applyFont="1" applyFill="1" applyBorder="1" applyAlignment="1" applyProtection="1">
      <alignment horizontal="center" vertical="center"/>
      <protection hidden="1"/>
    </xf>
    <xf numFmtId="0" fontId="37" fillId="9" borderId="12" xfId="0" applyFont="1" applyFill="1" applyBorder="1" applyAlignment="1" applyProtection="1">
      <alignment horizontal="center" vertical="center"/>
      <protection hidden="1"/>
    </xf>
    <xf numFmtId="0" fontId="37" fillId="9" borderId="51" xfId="0" applyFont="1" applyFill="1" applyBorder="1" applyAlignment="1" applyProtection="1">
      <alignment horizontal="center" vertical="center"/>
      <protection hidden="1"/>
    </xf>
    <xf numFmtId="0" fontId="26" fillId="0" borderId="0" xfId="0" applyFont="1" applyAlignment="1" applyProtection="1">
      <alignment horizontal="center" vertical="top" wrapText="1"/>
      <protection hidden="1"/>
    </xf>
    <xf numFmtId="0" fontId="32" fillId="0" borderId="5" xfId="0" applyFont="1" applyBorder="1" applyAlignment="1" applyProtection="1">
      <alignment horizontal="left" vertical="center" wrapText="1"/>
      <protection hidden="1"/>
    </xf>
    <xf numFmtId="0" fontId="32" fillId="0" borderId="47" xfId="0" applyFont="1" applyBorder="1" applyAlignment="1" applyProtection="1">
      <alignment horizontal="left" vertical="center" wrapText="1"/>
      <protection hidden="1"/>
    </xf>
    <xf numFmtId="0" fontId="31" fillId="9" borderId="8" xfId="0" applyFont="1" applyFill="1" applyBorder="1" applyAlignment="1" applyProtection="1">
      <alignment horizontal="center" vertical="top" wrapText="1"/>
      <protection hidden="1"/>
    </xf>
    <xf numFmtId="0" fontId="1" fillId="0" borderId="5" xfId="0" applyFont="1" applyBorder="1" applyAlignment="1">
      <alignment horizontal="center" vertical="top"/>
    </xf>
  </cellXfs>
  <cellStyles count="6">
    <cellStyle name="Collegamento ipertestuale" xfId="5" builtinId="8"/>
    <cellStyle name="Comma 2" xfId="2" xr:uid="{00000000-0005-0000-0000-000001000000}"/>
    <cellStyle name="Migliaia" xfId="3" builtinId="3"/>
    <cellStyle name="Normal 2" xfId="1" xr:uid="{00000000-0005-0000-0000-000003000000}"/>
    <cellStyle name="Normale" xfId="0" builtinId="0"/>
    <cellStyle name="Percentuale" xfId="4" builtinId="5"/>
  </cellStyles>
  <dxfs count="9">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PivotStyle="PivotStyleMedium7"/>
  <colors>
    <indexedColors>
      <rgbColor rgb="FF000000"/>
      <rgbColor rgb="FFFFFFFF"/>
      <rgbColor rgb="FFFF0000"/>
      <rgbColor rgb="FF00FF00"/>
      <rgbColor rgb="FF0000FF"/>
      <rgbColor rgb="FFFFFF00"/>
      <rgbColor rgb="FFFF00FF"/>
      <rgbColor rgb="FF00FFFF"/>
      <rgbColor rgb="FF000000"/>
      <rgbColor rgb="FFAAAAAA"/>
      <rgbColor rgb="FF444848"/>
      <rgbColor rgb="FFFFFFFF"/>
      <rgbColor rgb="FF06696A"/>
      <rgbColor rgb="FF00531F"/>
      <rgbColor rgb="FF06696A"/>
      <rgbColor rgb="FFD8D8D8"/>
      <rgbColor rgb="FFDFDFDF"/>
      <rgbColor rgb="FFDEDEDE"/>
      <rgbColor rgb="FFDBDBDB"/>
      <rgbColor rgb="FF68D5FE"/>
      <rgbColor rgb="FF515151"/>
      <rgbColor rgb="FFBFBFBF"/>
      <rgbColor rgb="FF878787"/>
      <rgbColor rgb="FFFEDA22"/>
      <rgbColor rgb="FFFFECB5"/>
      <rgbColor rgb="FFF0CF2A"/>
      <rgbColor rgb="FFFEA83A"/>
      <rgbColor rgb="FFFFD9BD"/>
      <rgbColor rgb="FFFDA533"/>
      <rgbColor rgb="FFFE2D21"/>
      <rgbColor rgb="FFFFBBBB"/>
      <rgbColor rgb="FFFE271A"/>
      <rgbColor rgb="FF731094"/>
      <rgbColor rgb="FFCCA4E3"/>
      <rgbColor rgb="FF6A1C84"/>
      <rgbColor rgb="FF69D423"/>
      <rgbColor rgb="FFB9FFA0"/>
      <rgbColor rgb="FF6ABE33"/>
      <rgbColor rgb="FF35A0DC"/>
      <rgbColor rgb="FFA6D6FF"/>
      <rgbColor rgb="FF4498C7"/>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B9D10"/>
      <color rgb="FFCBB77C"/>
      <color rgb="FF909090"/>
      <color rgb="FFFFFD78"/>
      <color rgb="FF99CCFF"/>
      <color rgb="FFBC2027"/>
      <color rgb="FF000000"/>
      <color rgb="FFFF313D"/>
      <color rgb="FFCF757A"/>
      <color rgb="FFFE3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trlProps/ctrlProp1.xml><?xml version="1.0" encoding="utf-8"?>
<formControlPr xmlns="http://schemas.microsoft.com/office/spreadsheetml/2009/9/main" objectType="Radio" firstButton="1" fmlaLink="$AO$27"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4</xdr:col>
      <xdr:colOff>660400</xdr:colOff>
      <xdr:row>0</xdr:row>
      <xdr:rowOff>114301</xdr:rowOff>
    </xdr:from>
    <xdr:to>
      <xdr:col>10</xdr:col>
      <xdr:colOff>406400</xdr:colOff>
      <xdr:row>9</xdr:row>
      <xdr:rowOff>34971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5130800" y="114301"/>
          <a:ext cx="6527800" cy="17494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28</xdr:col>
          <xdr:colOff>1280160</xdr:colOff>
          <xdr:row>22</xdr:row>
          <xdr:rowOff>213360</xdr:rowOff>
        </xdr:from>
        <xdr:to>
          <xdr:col>437</xdr:col>
          <xdr:colOff>662940</xdr:colOff>
          <xdr:row>24</xdr:row>
          <xdr:rowOff>99060</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2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304800</xdr:colOff>
          <xdr:row>22</xdr:row>
          <xdr:rowOff>213360</xdr:rowOff>
        </xdr:from>
        <xdr:to>
          <xdr:col>437</xdr:col>
          <xdr:colOff>548640</xdr:colOff>
          <xdr:row>24</xdr:row>
          <xdr:rowOff>99060</xdr:rowOff>
        </xdr:to>
        <xdr:sp macro="" textlink="">
          <xdr:nvSpPr>
            <xdr:cNvPr id="2053" name="Option Button 5" hidden="1">
              <a:extLst>
                <a:ext uri="{63B3BB69-23CF-44E3-9099-C40C66FF867C}">
                  <a14:compatExt spid="_x0000_s2053"/>
                </a:ext>
                <a:ext uri="{FF2B5EF4-FFF2-40B4-BE49-F238E27FC236}">
                  <a16:creationId xmlns:a16="http://schemas.microsoft.com/office/drawing/2014/main" id="{00000000-0008-0000-02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327660</xdr:colOff>
          <xdr:row>22</xdr:row>
          <xdr:rowOff>205740</xdr:rowOff>
        </xdr:from>
        <xdr:to>
          <xdr:col>437</xdr:col>
          <xdr:colOff>632460</xdr:colOff>
          <xdr:row>24</xdr:row>
          <xdr:rowOff>99060</xdr:rowOff>
        </xdr:to>
        <xdr:sp macro="" textlink="">
          <xdr:nvSpPr>
            <xdr:cNvPr id="2054" name="Option Button 6" hidden="1">
              <a:extLst>
                <a:ext uri="{63B3BB69-23CF-44E3-9099-C40C66FF867C}">
                  <a14:compatExt spid="_x0000_s2054"/>
                </a:ext>
                <a:ext uri="{FF2B5EF4-FFF2-40B4-BE49-F238E27FC236}">
                  <a16:creationId xmlns:a16="http://schemas.microsoft.com/office/drawing/2014/main" id="{00000000-0008-0000-02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1295400</xdr:colOff>
          <xdr:row>34</xdr:row>
          <xdr:rowOff>327660</xdr:rowOff>
        </xdr:from>
        <xdr:to>
          <xdr:col>437</xdr:col>
          <xdr:colOff>685800</xdr:colOff>
          <xdr:row>36</xdr:row>
          <xdr:rowOff>91440</xdr:rowOff>
        </xdr:to>
        <xdr:sp macro="" textlink="">
          <xdr:nvSpPr>
            <xdr:cNvPr id="2069" name="Option Button 21" hidden="1">
              <a:extLst>
                <a:ext uri="{63B3BB69-23CF-44E3-9099-C40C66FF867C}">
                  <a14:compatExt spid="_x0000_s2069"/>
                </a:ext>
                <a:ext uri="{FF2B5EF4-FFF2-40B4-BE49-F238E27FC236}">
                  <a16:creationId xmlns:a16="http://schemas.microsoft.com/office/drawing/2014/main" id="{00000000-0008-0000-0200-00001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320040</xdr:colOff>
          <xdr:row>34</xdr:row>
          <xdr:rowOff>327660</xdr:rowOff>
        </xdr:from>
        <xdr:to>
          <xdr:col>437</xdr:col>
          <xdr:colOff>556260</xdr:colOff>
          <xdr:row>36</xdr:row>
          <xdr:rowOff>91440</xdr:rowOff>
        </xdr:to>
        <xdr:sp macro="" textlink="">
          <xdr:nvSpPr>
            <xdr:cNvPr id="2070" name="Option Button 22" hidden="1">
              <a:extLst>
                <a:ext uri="{63B3BB69-23CF-44E3-9099-C40C66FF867C}">
                  <a14:compatExt spid="_x0000_s2070"/>
                </a:ext>
                <a:ext uri="{FF2B5EF4-FFF2-40B4-BE49-F238E27FC236}">
                  <a16:creationId xmlns:a16="http://schemas.microsoft.com/office/drawing/2014/main" id="{00000000-0008-0000-0200-00001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6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342900</xdr:colOff>
          <xdr:row>34</xdr:row>
          <xdr:rowOff>320040</xdr:rowOff>
        </xdr:from>
        <xdr:to>
          <xdr:col>437</xdr:col>
          <xdr:colOff>632460</xdr:colOff>
          <xdr:row>36</xdr:row>
          <xdr:rowOff>60960</xdr:rowOff>
        </xdr:to>
        <xdr:sp macro="" textlink="">
          <xdr:nvSpPr>
            <xdr:cNvPr id="2071" name="Option Button 23" hidden="1">
              <a:extLst>
                <a:ext uri="{63B3BB69-23CF-44E3-9099-C40C66FF867C}">
                  <a14:compatExt spid="_x0000_s2071"/>
                </a:ext>
                <a:ext uri="{FF2B5EF4-FFF2-40B4-BE49-F238E27FC236}">
                  <a16:creationId xmlns:a16="http://schemas.microsoft.com/office/drawing/2014/main" id="{00000000-0008-0000-0200-00001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7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777240</xdr:colOff>
          <xdr:row>34</xdr:row>
          <xdr:rowOff>320040</xdr:rowOff>
        </xdr:from>
        <xdr:to>
          <xdr:col>437</xdr:col>
          <xdr:colOff>662940</xdr:colOff>
          <xdr:row>36</xdr:row>
          <xdr:rowOff>60960</xdr:rowOff>
        </xdr:to>
        <xdr:sp macro="" textlink="">
          <xdr:nvSpPr>
            <xdr:cNvPr id="2072" name="Option Button 24" hidden="1">
              <a:extLst>
                <a:ext uri="{63B3BB69-23CF-44E3-9099-C40C66FF867C}">
                  <a14:compatExt spid="_x0000_s2072"/>
                </a:ext>
                <a:ext uri="{FF2B5EF4-FFF2-40B4-BE49-F238E27FC236}">
                  <a16:creationId xmlns:a16="http://schemas.microsoft.com/office/drawing/2014/main" id="{00000000-0008-0000-0200-00001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8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1318260</xdr:colOff>
          <xdr:row>53</xdr:row>
          <xdr:rowOff>60960</xdr:rowOff>
        </xdr:from>
        <xdr:to>
          <xdr:col>437</xdr:col>
          <xdr:colOff>662940</xdr:colOff>
          <xdr:row>54</xdr:row>
          <xdr:rowOff>251460</xdr:rowOff>
        </xdr:to>
        <xdr:sp macro="" textlink="">
          <xdr:nvSpPr>
            <xdr:cNvPr id="2073" name="Option Button 25" hidden="1">
              <a:extLst>
                <a:ext uri="{63B3BB69-23CF-44E3-9099-C40C66FF867C}">
                  <a14:compatExt spid="_x0000_s2073"/>
                </a:ext>
                <a:ext uri="{FF2B5EF4-FFF2-40B4-BE49-F238E27FC236}">
                  <a16:creationId xmlns:a16="http://schemas.microsoft.com/office/drawing/2014/main" id="{00000000-0008-0000-0200-00001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9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327660</xdr:colOff>
          <xdr:row>53</xdr:row>
          <xdr:rowOff>60960</xdr:rowOff>
        </xdr:from>
        <xdr:to>
          <xdr:col>437</xdr:col>
          <xdr:colOff>586740</xdr:colOff>
          <xdr:row>54</xdr:row>
          <xdr:rowOff>251460</xdr:rowOff>
        </xdr:to>
        <xdr:sp macro="" textlink="">
          <xdr:nvSpPr>
            <xdr:cNvPr id="2074" name="Option Button 26" hidden="1">
              <a:extLst>
                <a:ext uri="{63B3BB69-23CF-44E3-9099-C40C66FF867C}">
                  <a14:compatExt spid="_x0000_s2074"/>
                </a:ext>
                <a:ext uri="{FF2B5EF4-FFF2-40B4-BE49-F238E27FC236}">
                  <a16:creationId xmlns:a16="http://schemas.microsoft.com/office/drawing/2014/main" id="{00000000-0008-0000-0200-00001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10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358140</xdr:colOff>
          <xdr:row>53</xdr:row>
          <xdr:rowOff>38100</xdr:rowOff>
        </xdr:from>
        <xdr:to>
          <xdr:col>437</xdr:col>
          <xdr:colOff>609600</xdr:colOff>
          <xdr:row>54</xdr:row>
          <xdr:rowOff>228600</xdr:rowOff>
        </xdr:to>
        <xdr:sp macro="" textlink="">
          <xdr:nvSpPr>
            <xdr:cNvPr id="2075" name="Option Button 27" hidden="1">
              <a:extLst>
                <a:ext uri="{63B3BB69-23CF-44E3-9099-C40C66FF867C}">
                  <a14:compatExt spid="_x0000_s2075"/>
                </a:ext>
                <a:ext uri="{FF2B5EF4-FFF2-40B4-BE49-F238E27FC236}">
                  <a16:creationId xmlns:a16="http://schemas.microsoft.com/office/drawing/2014/main" id="{00000000-0008-0000-0200-00001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800" b="0" i="0" u="none" strike="noStrike" baseline="0">
                  <a:solidFill>
                    <a:srgbClr val="000000"/>
                  </a:solidFill>
                  <a:latin typeface="Segoe UI"/>
                  <a:cs typeface="Segoe UI"/>
                </a:rPr>
                <a:t>Body Type 11 </a:t>
              </a:r>
            </a:p>
          </xdr:txBody>
        </xdr:sp>
        <xdr:clientData/>
      </xdr:twoCellAnchor>
    </mc:Choice>
    <mc:Fallback/>
  </mc:AlternateContent>
  <xdr:twoCellAnchor editAs="oneCell">
    <xdr:from>
      <xdr:col>6</xdr:col>
      <xdr:colOff>1566333</xdr:colOff>
      <xdr:row>1</xdr:row>
      <xdr:rowOff>253999</xdr:rowOff>
    </xdr:from>
    <xdr:to>
      <xdr:col>12</xdr:col>
      <xdr:colOff>1619250</xdr:colOff>
      <xdr:row>8</xdr:row>
      <xdr:rowOff>557893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13139208" y="507999"/>
          <a:ext cx="9514417" cy="2460626"/>
        </a:xfrm>
        <a:prstGeom prst="rect">
          <a:avLst/>
        </a:prstGeom>
      </xdr:spPr>
    </xdr:pic>
    <xdr:clientData/>
  </xdr:twoCellAnchor>
</xdr:wsDr>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2.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printerSettings" Target="../printerSettings/printerSettings1.bin"/><Relationship Id="rId1" Type="http://schemas.openxmlformats.org/officeDocument/2006/relationships/hyperlink" Target="https://www.facebook.com/www.alexjamesritson.co.uk/"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omments" Target="../comments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facebook.com/www.alexjamesritson.co.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41"/>
  <sheetViews>
    <sheetView workbookViewId="0">
      <selection activeCell="F6" sqref="F6"/>
    </sheetView>
  </sheetViews>
  <sheetFormatPr defaultColWidth="8.61328125" defaultRowHeight="16.2"/>
  <sheetData>
    <row r="1" spans="1:7" ht="32.4">
      <c r="A1" s="1" t="s">
        <v>0</v>
      </c>
      <c r="B1" s="1" t="s">
        <v>1</v>
      </c>
      <c r="C1" s="1" t="s">
        <v>2</v>
      </c>
    </row>
    <row r="2" spans="1:7">
      <c r="A2" s="11" t="s">
        <v>3</v>
      </c>
      <c r="B2">
        <v>0.1</v>
      </c>
      <c r="C2">
        <v>0.1</v>
      </c>
      <c r="G2" s="60" t="s">
        <v>3</v>
      </c>
    </row>
    <row r="3" spans="1:7">
      <c r="A3" s="5" t="s">
        <v>4</v>
      </c>
      <c r="B3">
        <v>0.2</v>
      </c>
      <c r="C3">
        <v>0.2</v>
      </c>
      <c r="G3" s="60" t="s">
        <v>4</v>
      </c>
    </row>
    <row r="4" spans="1:7">
      <c r="A4" s="5" t="s">
        <v>5</v>
      </c>
      <c r="B4">
        <v>0.3</v>
      </c>
      <c r="C4">
        <v>0.3</v>
      </c>
      <c r="G4" s="60" t="s">
        <v>5</v>
      </c>
    </row>
    <row r="5" spans="1:7">
      <c r="A5" s="12" t="s">
        <v>6</v>
      </c>
      <c r="B5">
        <v>0.4</v>
      </c>
      <c r="C5">
        <v>0.4</v>
      </c>
      <c r="G5" s="60" t="s">
        <v>6</v>
      </c>
    </row>
    <row r="6" spans="1:7">
      <c r="A6" s="12" t="s">
        <v>7</v>
      </c>
      <c r="B6">
        <v>0.5</v>
      </c>
      <c r="C6">
        <v>0.5</v>
      </c>
      <c r="G6" s="60" t="s">
        <v>7</v>
      </c>
    </row>
    <row r="7" spans="1:7">
      <c r="A7" t="s">
        <v>8</v>
      </c>
      <c r="B7">
        <v>0.6</v>
      </c>
      <c r="C7">
        <v>0.6</v>
      </c>
      <c r="G7" s="60" t="s">
        <v>8</v>
      </c>
    </row>
    <row r="8" spans="1:7">
      <c r="B8">
        <v>0.7</v>
      </c>
      <c r="C8">
        <v>0.7</v>
      </c>
      <c r="G8" s="60"/>
    </row>
    <row r="9" spans="1:7">
      <c r="A9" s="1"/>
      <c r="B9">
        <v>0.8</v>
      </c>
      <c r="C9">
        <v>0.8</v>
      </c>
      <c r="G9" s="60"/>
    </row>
    <row r="10" spans="1:7">
      <c r="B10">
        <v>0.9</v>
      </c>
      <c r="C10">
        <v>0.9</v>
      </c>
      <c r="G10" s="60"/>
    </row>
    <row r="11" spans="1:7">
      <c r="B11">
        <v>1</v>
      </c>
      <c r="C11">
        <v>1</v>
      </c>
      <c r="G11" s="60"/>
    </row>
    <row r="12" spans="1:7">
      <c r="B12">
        <v>1.1000000000000001</v>
      </c>
      <c r="C12">
        <v>1.1000000000000001</v>
      </c>
      <c r="G12" s="60"/>
    </row>
    <row r="13" spans="1:7">
      <c r="B13">
        <v>1.2</v>
      </c>
      <c r="C13">
        <v>1.2</v>
      </c>
      <c r="G13" s="60"/>
    </row>
    <row r="14" spans="1:7">
      <c r="B14">
        <v>1.3</v>
      </c>
      <c r="C14">
        <v>1.3</v>
      </c>
      <c r="G14" s="60"/>
    </row>
    <row r="15" spans="1:7">
      <c r="B15">
        <v>1.4</v>
      </c>
      <c r="C15">
        <v>1.4</v>
      </c>
      <c r="G15" s="60"/>
    </row>
    <row r="16" spans="1:7">
      <c r="B16">
        <v>1.5</v>
      </c>
      <c r="C16">
        <v>1.5</v>
      </c>
      <c r="G16" s="60"/>
    </row>
    <row r="17" spans="2:7">
      <c r="B17">
        <v>1.6</v>
      </c>
      <c r="C17">
        <v>1.6</v>
      </c>
      <c r="G17" s="60"/>
    </row>
    <row r="18" spans="2:7">
      <c r="B18">
        <v>1.7</v>
      </c>
      <c r="C18">
        <v>1.7</v>
      </c>
      <c r="G18" s="60"/>
    </row>
    <row r="19" spans="2:7">
      <c r="B19">
        <v>1.8</v>
      </c>
      <c r="C19">
        <v>1.8</v>
      </c>
      <c r="G19" s="60"/>
    </row>
    <row r="20" spans="2:7">
      <c r="B20">
        <v>1.9</v>
      </c>
      <c r="C20">
        <v>1.9</v>
      </c>
      <c r="G20" s="60"/>
    </row>
    <row r="21" spans="2:7">
      <c r="B21">
        <v>2</v>
      </c>
      <c r="C21">
        <v>2</v>
      </c>
      <c r="G21" s="60"/>
    </row>
    <row r="22" spans="2:7">
      <c r="B22">
        <v>2.1</v>
      </c>
      <c r="C22">
        <v>2.1</v>
      </c>
      <c r="G22" s="60"/>
    </row>
    <row r="23" spans="2:7">
      <c r="B23">
        <v>2.2000000000000002</v>
      </c>
      <c r="C23">
        <v>2.2000000000000002</v>
      </c>
      <c r="G23" s="60"/>
    </row>
    <row r="24" spans="2:7">
      <c r="B24">
        <v>2.2999999999999998</v>
      </c>
      <c r="C24">
        <v>2.2999999999999998</v>
      </c>
      <c r="G24" s="60"/>
    </row>
    <row r="25" spans="2:7">
      <c r="B25">
        <v>2.4</v>
      </c>
      <c r="C25">
        <v>2.4</v>
      </c>
      <c r="G25" s="60"/>
    </row>
    <row r="26" spans="2:7">
      <c r="B26">
        <v>2.5</v>
      </c>
      <c r="C26">
        <v>2.5</v>
      </c>
      <c r="G26" s="60"/>
    </row>
    <row r="27" spans="2:7">
      <c r="B27">
        <v>2.6</v>
      </c>
      <c r="C27">
        <v>2.6</v>
      </c>
      <c r="G27" s="60"/>
    </row>
    <row r="28" spans="2:7">
      <c r="B28">
        <v>2.7</v>
      </c>
      <c r="C28">
        <v>2.7</v>
      </c>
      <c r="G28" s="60"/>
    </row>
    <row r="29" spans="2:7">
      <c r="B29">
        <v>2.8</v>
      </c>
      <c r="C29">
        <v>2.8</v>
      </c>
      <c r="G29" s="60"/>
    </row>
    <row r="30" spans="2:7">
      <c r="B30">
        <v>2.9</v>
      </c>
      <c r="C30">
        <v>2.9</v>
      </c>
      <c r="G30" s="60"/>
    </row>
    <row r="31" spans="2:7">
      <c r="B31">
        <v>3</v>
      </c>
      <c r="C31">
        <v>3</v>
      </c>
      <c r="G31" s="60"/>
    </row>
    <row r="32" spans="2:7">
      <c r="G32" s="60"/>
    </row>
    <row r="33" spans="7:7">
      <c r="G33" s="60"/>
    </row>
    <row r="34" spans="7:7">
      <c r="G34" s="60"/>
    </row>
    <row r="35" spans="7:7">
      <c r="G35" s="60"/>
    </row>
    <row r="36" spans="7:7">
      <c r="G36" s="60"/>
    </row>
    <row r="37" spans="7:7">
      <c r="G37" s="60"/>
    </row>
    <row r="38" spans="7:7">
      <c r="G38" s="60"/>
    </row>
    <row r="39" spans="7:7">
      <c r="G39" s="60"/>
    </row>
    <row r="40" spans="7:7">
      <c r="G40" s="60"/>
    </row>
    <row r="41" spans="7:7">
      <c r="G41" s="60"/>
    </row>
    <row r="42" spans="7:7">
      <c r="G42" s="60"/>
    </row>
    <row r="43" spans="7:7">
      <c r="G43" s="60"/>
    </row>
    <row r="44" spans="7:7">
      <c r="G44" s="60"/>
    </row>
    <row r="45" spans="7:7">
      <c r="G45" s="60"/>
    </row>
    <row r="46" spans="7:7">
      <c r="G46" s="60"/>
    </row>
    <row r="47" spans="7:7">
      <c r="G47" s="60"/>
    </row>
    <row r="48" spans="7:7">
      <c r="G48" s="60"/>
    </row>
    <row r="49" spans="7:7">
      <c r="G49" s="60"/>
    </row>
    <row r="50" spans="7:7">
      <c r="G50" s="60"/>
    </row>
    <row r="51" spans="7:7">
      <c r="G51" s="60"/>
    </row>
    <row r="52" spans="7:7">
      <c r="G52" s="60"/>
    </row>
    <row r="53" spans="7:7">
      <c r="G53" s="60"/>
    </row>
    <row r="54" spans="7:7">
      <c r="G54" s="60"/>
    </row>
    <row r="55" spans="7:7">
      <c r="G55" s="60"/>
    </row>
    <row r="56" spans="7:7">
      <c r="G56" s="60"/>
    </row>
    <row r="57" spans="7:7">
      <c r="G57" s="60"/>
    </row>
    <row r="58" spans="7:7">
      <c r="G58" s="60"/>
    </row>
    <row r="59" spans="7:7">
      <c r="G59" s="60"/>
    </row>
    <row r="60" spans="7:7">
      <c r="G60" s="60"/>
    </row>
    <row r="61" spans="7:7">
      <c r="G61" s="60"/>
    </row>
    <row r="62" spans="7:7">
      <c r="G62" s="60"/>
    </row>
    <row r="63" spans="7:7">
      <c r="G63" s="60"/>
    </row>
    <row r="64" spans="7:7">
      <c r="G64" s="60"/>
    </row>
    <row r="65" spans="7:7">
      <c r="G65" s="60"/>
    </row>
    <row r="66" spans="7:7">
      <c r="G66" s="60"/>
    </row>
    <row r="67" spans="7:7">
      <c r="G67" s="60"/>
    </row>
    <row r="68" spans="7:7">
      <c r="G68" s="60"/>
    </row>
    <row r="69" spans="7:7">
      <c r="G69" s="60"/>
    </row>
    <row r="70" spans="7:7">
      <c r="G70" s="60"/>
    </row>
    <row r="71" spans="7:7">
      <c r="G71" s="60"/>
    </row>
    <row r="72" spans="7:7">
      <c r="G72" s="60"/>
    </row>
    <row r="73" spans="7:7">
      <c r="G73" s="60"/>
    </row>
    <row r="74" spans="7:7">
      <c r="G74" s="60"/>
    </row>
    <row r="75" spans="7:7">
      <c r="G75" s="60"/>
    </row>
    <row r="76" spans="7:7">
      <c r="G76" s="60"/>
    </row>
    <row r="77" spans="7:7">
      <c r="G77" s="60"/>
    </row>
    <row r="78" spans="7:7">
      <c r="G78" s="60"/>
    </row>
    <row r="79" spans="7:7">
      <c r="G79" s="60"/>
    </row>
    <row r="80" spans="7:7">
      <c r="G80" s="60"/>
    </row>
    <row r="81" spans="7:7">
      <c r="G81" s="60"/>
    </row>
    <row r="82" spans="7:7">
      <c r="G82" s="60"/>
    </row>
    <row r="83" spans="7:7">
      <c r="G83" s="60"/>
    </row>
    <row r="84" spans="7:7">
      <c r="G84" s="60"/>
    </row>
    <row r="85" spans="7:7">
      <c r="G85" s="60"/>
    </row>
    <row r="86" spans="7:7">
      <c r="G86" s="60"/>
    </row>
    <row r="87" spans="7:7">
      <c r="G87" s="60"/>
    </row>
    <row r="88" spans="7:7">
      <c r="G88" s="60"/>
    </row>
    <row r="89" spans="7:7">
      <c r="G89" s="60"/>
    </row>
    <row r="90" spans="7:7">
      <c r="G90" s="60"/>
    </row>
    <row r="91" spans="7:7">
      <c r="G91" s="60"/>
    </row>
    <row r="92" spans="7:7">
      <c r="G92" s="60"/>
    </row>
    <row r="93" spans="7:7">
      <c r="G93" s="60"/>
    </row>
    <row r="94" spans="7:7">
      <c r="G94" s="60"/>
    </row>
    <row r="95" spans="7:7">
      <c r="G95" s="60"/>
    </row>
    <row r="96" spans="7:7">
      <c r="G96" s="60"/>
    </row>
    <row r="97" spans="7:7">
      <c r="G97" s="60"/>
    </row>
    <row r="98" spans="7:7">
      <c r="G98" s="60"/>
    </row>
    <row r="99" spans="7:7">
      <c r="G99" s="60"/>
    </row>
    <row r="100" spans="7:7">
      <c r="G100" s="60"/>
    </row>
    <row r="101" spans="7:7">
      <c r="G101" s="60"/>
    </row>
    <row r="102" spans="7:7">
      <c r="G102" s="60"/>
    </row>
    <row r="103" spans="7:7">
      <c r="G103" s="60"/>
    </row>
    <row r="104" spans="7:7">
      <c r="G104" s="60"/>
    </row>
    <row r="105" spans="7:7">
      <c r="G105" s="60"/>
    </row>
    <row r="106" spans="7:7">
      <c r="G106" s="60"/>
    </row>
    <row r="107" spans="7:7">
      <c r="G107" s="60"/>
    </row>
    <row r="108" spans="7:7">
      <c r="G108" s="60"/>
    </row>
    <row r="109" spans="7:7">
      <c r="G109" s="60"/>
    </row>
    <row r="110" spans="7:7">
      <c r="G110" s="60"/>
    </row>
    <row r="111" spans="7:7">
      <c r="G111" s="60"/>
    </row>
    <row r="112" spans="7:7">
      <c r="G112" s="60"/>
    </row>
    <row r="113" spans="7:7">
      <c r="G113" s="60"/>
    </row>
    <row r="114" spans="7:7">
      <c r="G114" s="60"/>
    </row>
    <row r="115" spans="7:7">
      <c r="G115" s="60"/>
    </row>
    <row r="116" spans="7:7">
      <c r="G116" s="60"/>
    </row>
    <row r="117" spans="7:7">
      <c r="G117" s="60"/>
    </row>
    <row r="118" spans="7:7">
      <c r="G118" s="60"/>
    </row>
    <row r="119" spans="7:7">
      <c r="G119" s="60"/>
    </row>
    <row r="120" spans="7:7">
      <c r="G120" s="60"/>
    </row>
    <row r="121" spans="7:7">
      <c r="G121" s="60"/>
    </row>
    <row r="122" spans="7:7">
      <c r="G122" s="60"/>
    </row>
    <row r="123" spans="7:7">
      <c r="G123" s="60"/>
    </row>
    <row r="124" spans="7:7">
      <c r="G124" s="60"/>
    </row>
    <row r="125" spans="7:7">
      <c r="G125" s="60"/>
    </row>
    <row r="126" spans="7:7">
      <c r="G126" s="60"/>
    </row>
    <row r="127" spans="7:7">
      <c r="G127" s="60"/>
    </row>
    <row r="128" spans="7:7">
      <c r="G128" s="60"/>
    </row>
    <row r="129" spans="7:7">
      <c r="G129" s="60"/>
    </row>
    <row r="130" spans="7:7">
      <c r="G130" s="60"/>
    </row>
    <row r="131" spans="7:7">
      <c r="G131" s="60"/>
    </row>
    <row r="132" spans="7:7">
      <c r="G132" s="60"/>
    </row>
    <row r="133" spans="7:7">
      <c r="G133" s="60"/>
    </row>
    <row r="134" spans="7:7">
      <c r="G134" s="60"/>
    </row>
    <row r="135" spans="7:7">
      <c r="G135" s="60"/>
    </row>
    <row r="136" spans="7:7">
      <c r="G136" s="60"/>
    </row>
    <row r="137" spans="7:7">
      <c r="G137" s="60"/>
    </row>
    <row r="138" spans="7:7">
      <c r="G138" s="60"/>
    </row>
    <row r="139" spans="7:7">
      <c r="G139" s="60"/>
    </row>
    <row r="140" spans="7:7">
      <c r="G140" s="60"/>
    </row>
    <row r="141" spans="7:7">
      <c r="G141" s="6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7A7CD-5E66-4443-B1EC-9E35A63A36A5}">
  <sheetPr>
    <tabColor rgb="FF909090"/>
  </sheetPr>
  <dimension ref="B9:N47"/>
  <sheetViews>
    <sheetView showGridLines="0" topLeftCell="A36" zoomScaleNormal="100" workbookViewId="0">
      <selection activeCell="B31" sqref="B31"/>
    </sheetView>
  </sheetViews>
  <sheetFormatPr defaultColWidth="11.07421875" defaultRowHeight="16.2"/>
  <cols>
    <col min="2" max="2" width="10.61328125" customWidth="1"/>
    <col min="14" max="14" width="15.69140625" customWidth="1"/>
  </cols>
  <sheetData>
    <row r="9" spans="2:14">
      <c r="B9" s="29"/>
      <c r="C9" s="30"/>
      <c r="D9" s="30"/>
      <c r="E9" s="30"/>
      <c r="F9" s="30"/>
      <c r="G9" s="30"/>
      <c r="H9" s="30"/>
      <c r="I9" s="30"/>
      <c r="J9" s="30"/>
      <c r="K9" s="30"/>
      <c r="L9" s="30"/>
      <c r="M9" s="30"/>
      <c r="N9" s="30"/>
    </row>
    <row r="10" spans="2:14">
      <c r="B10" s="29"/>
      <c r="C10" s="30"/>
      <c r="D10" s="30"/>
      <c r="E10" s="30"/>
      <c r="F10" s="30"/>
      <c r="G10" s="30"/>
      <c r="H10" s="30"/>
      <c r="I10" s="30"/>
      <c r="J10" s="30"/>
      <c r="K10" s="30"/>
      <c r="L10" s="30"/>
      <c r="M10" s="30"/>
      <c r="N10" s="30"/>
    </row>
    <row r="11" spans="2:14" ht="18.899999999999999" customHeight="1">
      <c r="B11" s="279" t="s">
        <v>9</v>
      </c>
      <c r="C11" s="280"/>
      <c r="D11" s="280"/>
      <c r="E11" s="280"/>
      <c r="F11" s="280"/>
      <c r="G11" s="280"/>
      <c r="H11" s="280"/>
      <c r="I11" s="280"/>
      <c r="J11" s="280"/>
      <c r="K11" s="280"/>
      <c r="L11" s="280"/>
      <c r="M11" s="280"/>
      <c r="N11" s="280"/>
    </row>
    <row r="12" spans="2:14" ht="18.899999999999999" customHeight="1">
      <c r="B12" s="280"/>
      <c r="C12" s="280"/>
      <c r="D12" s="280"/>
      <c r="E12" s="280"/>
      <c r="F12" s="280"/>
      <c r="G12" s="280"/>
      <c r="H12" s="280"/>
      <c r="I12" s="280"/>
      <c r="J12" s="280"/>
      <c r="K12" s="280"/>
      <c r="L12" s="280"/>
      <c r="M12" s="280"/>
      <c r="N12" s="280"/>
    </row>
    <row r="13" spans="2:14" ht="36.9" customHeight="1">
      <c r="B13" s="280"/>
      <c r="C13" s="280"/>
      <c r="D13" s="280"/>
      <c r="E13" s="280"/>
      <c r="F13" s="280"/>
      <c r="G13" s="280"/>
      <c r="H13" s="280"/>
      <c r="I13" s="280"/>
      <c r="J13" s="280"/>
      <c r="K13" s="280"/>
      <c r="L13" s="280"/>
      <c r="M13" s="280"/>
      <c r="N13" s="280"/>
    </row>
    <row r="14" spans="2:14">
      <c r="B14" s="29"/>
      <c r="C14" s="30"/>
      <c r="D14" s="30"/>
      <c r="E14" s="30"/>
      <c r="F14" s="30"/>
      <c r="G14" s="30"/>
      <c r="H14" s="30"/>
      <c r="I14" s="30"/>
      <c r="J14" s="30"/>
      <c r="K14" s="30"/>
      <c r="L14" s="30"/>
      <c r="M14" s="30"/>
      <c r="N14" s="30"/>
    </row>
    <row r="15" spans="2:14">
      <c r="B15" s="34" t="s">
        <v>10</v>
      </c>
      <c r="C15" s="35"/>
      <c r="D15" s="35"/>
      <c r="E15" s="35"/>
      <c r="F15" s="35"/>
      <c r="G15" s="35"/>
      <c r="H15" s="35"/>
      <c r="I15" s="35"/>
      <c r="J15" s="35"/>
      <c r="K15" s="35"/>
      <c r="L15" s="35"/>
      <c r="M15" s="35"/>
      <c r="N15" s="35"/>
    </row>
    <row r="16" spans="2:14">
      <c r="B16" s="31"/>
      <c r="C16" s="32"/>
      <c r="D16" s="32"/>
      <c r="E16" s="32"/>
      <c r="F16" s="32"/>
      <c r="G16" s="32"/>
      <c r="H16" s="32"/>
      <c r="I16" s="32"/>
      <c r="J16" s="32"/>
      <c r="K16" s="32"/>
      <c r="L16" s="32"/>
      <c r="M16" s="32"/>
      <c r="N16" s="32"/>
    </row>
    <row r="17" spans="2:14">
      <c r="B17" s="264">
        <v>1</v>
      </c>
      <c r="C17" s="275" t="s">
        <v>11</v>
      </c>
      <c r="D17" s="276"/>
      <c r="E17" s="276"/>
      <c r="F17" s="276"/>
      <c r="G17" s="276"/>
      <c r="H17" s="276"/>
      <c r="I17" s="276"/>
      <c r="J17" s="276"/>
      <c r="K17" s="276"/>
      <c r="L17" s="276"/>
      <c r="M17" s="276"/>
      <c r="N17" s="276"/>
    </row>
    <row r="18" spans="2:14">
      <c r="B18" s="264">
        <v>2</v>
      </c>
      <c r="C18" s="277" t="s">
        <v>12</v>
      </c>
      <c r="D18" s="278"/>
      <c r="E18" s="278"/>
      <c r="F18" s="278"/>
      <c r="G18" s="278"/>
      <c r="H18" s="278"/>
      <c r="I18" s="278"/>
      <c r="J18" s="278"/>
      <c r="K18" s="278"/>
      <c r="L18" s="278"/>
      <c r="M18" s="278"/>
      <c r="N18" s="278"/>
    </row>
    <row r="19" spans="2:14">
      <c r="B19" s="264">
        <v>3</v>
      </c>
      <c r="C19" s="277" t="s">
        <v>13</v>
      </c>
      <c r="D19" s="278"/>
      <c r="E19" s="278"/>
      <c r="F19" s="278"/>
      <c r="G19" s="278"/>
      <c r="H19" s="278"/>
      <c r="I19" s="278"/>
      <c r="J19" s="278"/>
      <c r="K19" s="278"/>
      <c r="L19" s="278"/>
      <c r="M19" s="278"/>
      <c r="N19" s="278"/>
    </row>
    <row r="20" spans="2:14">
      <c r="B20" s="264">
        <v>4</v>
      </c>
      <c r="C20" s="277" t="s">
        <v>14</v>
      </c>
      <c r="D20" s="278"/>
      <c r="E20" s="278"/>
      <c r="F20" s="278"/>
      <c r="G20" s="278"/>
      <c r="H20" s="278"/>
      <c r="I20" s="278"/>
      <c r="J20" s="278"/>
      <c r="K20" s="278"/>
      <c r="L20" s="278"/>
      <c r="M20" s="278"/>
      <c r="N20" s="278"/>
    </row>
    <row r="21" spans="2:14">
      <c r="B21" s="30"/>
      <c r="C21" s="30"/>
      <c r="D21" s="33"/>
      <c r="E21" s="30"/>
      <c r="F21" s="30"/>
      <c r="G21" s="30"/>
      <c r="H21" s="30"/>
      <c r="I21" s="30"/>
      <c r="J21" s="30"/>
      <c r="K21" s="30"/>
      <c r="L21" s="30"/>
      <c r="M21" s="30"/>
      <c r="N21" s="30"/>
    </row>
    <row r="22" spans="2:14">
      <c r="B22" s="34" t="s">
        <v>15</v>
      </c>
      <c r="C22" s="35"/>
      <c r="D22" s="35"/>
      <c r="E22" s="35"/>
      <c r="F22" s="35"/>
      <c r="G22" s="35"/>
      <c r="H22" s="35"/>
      <c r="I22" s="35"/>
      <c r="J22" s="35"/>
      <c r="K22" s="35"/>
      <c r="L22" s="35"/>
      <c r="M22" s="35"/>
      <c r="N22" s="35"/>
    </row>
    <row r="23" spans="2:14">
      <c r="B23" s="203" t="s">
        <v>16</v>
      </c>
      <c r="C23" s="281" t="s">
        <v>17</v>
      </c>
      <c r="D23" s="282"/>
      <c r="E23" s="282"/>
      <c r="F23" s="282"/>
      <c r="G23" s="282"/>
      <c r="H23" s="282"/>
      <c r="I23" s="282"/>
      <c r="J23" s="282"/>
      <c r="K23" s="282"/>
      <c r="L23" s="282"/>
      <c r="M23" s="282"/>
      <c r="N23" s="282"/>
    </row>
    <row r="24" spans="2:14" ht="17.100000000000001" customHeight="1">
      <c r="B24" s="289" t="s">
        <v>18</v>
      </c>
      <c r="C24" s="288" t="s">
        <v>19</v>
      </c>
      <c r="D24" s="288"/>
      <c r="E24" s="288"/>
      <c r="F24" s="288"/>
      <c r="G24" s="288"/>
      <c r="H24" s="288"/>
      <c r="I24" s="288"/>
      <c r="J24" s="288"/>
      <c r="K24" s="288"/>
      <c r="L24" s="288"/>
      <c r="M24" s="288"/>
      <c r="N24" s="288"/>
    </row>
    <row r="25" spans="2:14">
      <c r="B25" s="289"/>
      <c r="C25" s="288"/>
      <c r="D25" s="288"/>
      <c r="E25" s="288"/>
      <c r="F25" s="288"/>
      <c r="G25" s="288"/>
      <c r="H25" s="288"/>
      <c r="I25" s="288"/>
      <c r="J25" s="288"/>
      <c r="K25" s="288"/>
      <c r="L25" s="288"/>
      <c r="M25" s="288"/>
      <c r="N25" s="288"/>
    </row>
    <row r="26" spans="2:14">
      <c r="B26" s="203" t="s">
        <v>16</v>
      </c>
      <c r="C26" s="281" t="s">
        <v>20</v>
      </c>
      <c r="D26" s="282"/>
      <c r="E26" s="282"/>
      <c r="F26" s="282"/>
      <c r="G26" s="282"/>
      <c r="H26" s="282"/>
      <c r="I26" s="282"/>
      <c r="J26" s="282"/>
      <c r="K26" s="282"/>
      <c r="L26" s="282"/>
      <c r="M26" s="282"/>
      <c r="N26" s="282"/>
    </row>
    <row r="27" spans="2:14" ht="33" customHeight="1">
      <c r="B27" s="287" t="s">
        <v>18</v>
      </c>
      <c r="C27" s="285" t="s">
        <v>21</v>
      </c>
      <c r="D27" s="286"/>
      <c r="E27" s="286"/>
      <c r="F27" s="286"/>
      <c r="G27" s="286"/>
      <c r="H27" s="286"/>
      <c r="I27" s="286"/>
      <c r="J27" s="286"/>
      <c r="K27" s="286"/>
      <c r="L27" s="286"/>
      <c r="M27" s="286"/>
      <c r="N27" s="286"/>
    </row>
    <row r="28" spans="2:14" ht="17.100000000000001" customHeight="1">
      <c r="B28" s="287"/>
      <c r="C28" s="285"/>
      <c r="D28" s="286"/>
      <c r="E28" s="286"/>
      <c r="F28" s="286"/>
      <c r="G28" s="286"/>
      <c r="H28" s="286"/>
      <c r="I28" s="286"/>
      <c r="J28" s="286"/>
      <c r="K28" s="286"/>
      <c r="L28" s="286"/>
      <c r="M28" s="286"/>
      <c r="N28" s="286"/>
    </row>
    <row r="29" spans="2:14">
      <c r="B29" s="203" t="s">
        <v>16</v>
      </c>
      <c r="C29" s="281" t="s">
        <v>22</v>
      </c>
      <c r="D29" s="282"/>
      <c r="E29" s="282"/>
      <c r="F29" s="282"/>
      <c r="G29" s="282"/>
      <c r="H29" s="282"/>
      <c r="I29" s="282"/>
      <c r="J29" s="282"/>
      <c r="K29" s="282"/>
      <c r="L29" s="282"/>
      <c r="M29" s="282"/>
      <c r="N29" s="282"/>
    </row>
    <row r="30" spans="2:14" ht="17.100000000000001" customHeight="1">
      <c r="B30" s="264" t="s">
        <v>18</v>
      </c>
      <c r="C30" s="283" t="s">
        <v>23</v>
      </c>
      <c r="D30" s="284"/>
      <c r="E30" s="284"/>
      <c r="F30" s="284"/>
      <c r="G30" s="284"/>
      <c r="H30" s="284"/>
      <c r="I30" s="284"/>
      <c r="J30" s="284"/>
      <c r="K30" s="284"/>
      <c r="L30" s="284"/>
      <c r="M30" s="284"/>
      <c r="N30" s="284"/>
    </row>
    <row r="31" spans="2:14" ht="27" customHeight="1">
      <c r="B31" s="264"/>
      <c r="C31" s="283"/>
      <c r="D31" s="284"/>
      <c r="E31" s="284"/>
      <c r="F31" s="284"/>
      <c r="G31" s="284"/>
      <c r="H31" s="284"/>
      <c r="I31" s="284"/>
      <c r="J31" s="284"/>
      <c r="K31" s="284"/>
      <c r="L31" s="284"/>
      <c r="M31" s="284"/>
      <c r="N31" s="284"/>
    </row>
    <row r="32" spans="2:14">
      <c r="B32" s="203" t="s">
        <v>16</v>
      </c>
      <c r="C32" s="281" t="s">
        <v>24</v>
      </c>
      <c r="D32" s="282"/>
      <c r="E32" s="282"/>
      <c r="F32" s="282"/>
      <c r="G32" s="282"/>
      <c r="H32" s="282"/>
      <c r="I32" s="282"/>
      <c r="J32" s="282"/>
      <c r="K32" s="282"/>
      <c r="L32" s="282"/>
      <c r="M32" s="282"/>
      <c r="N32" s="282"/>
    </row>
    <row r="33" spans="2:14" ht="17.100000000000001" customHeight="1">
      <c r="B33" s="264" t="s">
        <v>18</v>
      </c>
      <c r="C33" s="284" t="s">
        <v>25</v>
      </c>
      <c r="D33" s="284"/>
      <c r="E33" s="284"/>
      <c r="F33" s="284"/>
      <c r="G33" s="284"/>
      <c r="H33" s="284"/>
      <c r="I33" s="284"/>
      <c r="J33" s="284"/>
      <c r="K33" s="284"/>
      <c r="L33" s="284"/>
      <c r="M33" s="284"/>
      <c r="N33" s="284"/>
    </row>
    <row r="34" spans="2:14">
      <c r="B34" s="31"/>
      <c r="C34" s="284"/>
      <c r="D34" s="284"/>
      <c r="E34" s="284"/>
      <c r="F34" s="284"/>
      <c r="G34" s="284"/>
      <c r="H34" s="284"/>
      <c r="I34" s="284"/>
      <c r="J34" s="284"/>
      <c r="K34" s="284"/>
      <c r="L34" s="284"/>
      <c r="M34" s="284"/>
      <c r="N34" s="284"/>
    </row>
    <row r="35" spans="2:14">
      <c r="B35" s="203" t="s">
        <v>16</v>
      </c>
      <c r="C35" s="281" t="s">
        <v>26</v>
      </c>
      <c r="D35" s="282"/>
      <c r="E35" s="282"/>
      <c r="F35" s="282"/>
      <c r="G35" s="282"/>
      <c r="H35" s="282"/>
      <c r="I35" s="282"/>
      <c r="J35" s="282"/>
      <c r="K35" s="282"/>
      <c r="L35" s="282"/>
      <c r="M35" s="282"/>
      <c r="N35" s="282"/>
    </row>
    <row r="36" spans="2:14">
      <c r="B36" s="207" t="s">
        <v>27</v>
      </c>
      <c r="C36" s="290" t="s">
        <v>28</v>
      </c>
      <c r="D36" s="290"/>
      <c r="E36" s="290"/>
      <c r="F36" s="290"/>
      <c r="G36" s="290"/>
      <c r="H36" s="290"/>
      <c r="I36" s="290"/>
      <c r="J36" s="290"/>
      <c r="K36" s="290"/>
      <c r="L36" s="290"/>
      <c r="M36" s="290"/>
      <c r="N36" s="290"/>
    </row>
    <row r="37" spans="2:14" ht="381.9" customHeight="1">
      <c r="B37" s="31"/>
      <c r="C37" s="290"/>
      <c r="D37" s="290"/>
      <c r="E37" s="290"/>
      <c r="F37" s="290"/>
      <c r="G37" s="290"/>
      <c r="H37" s="290"/>
      <c r="I37" s="290"/>
      <c r="J37" s="290"/>
      <c r="K37" s="290"/>
      <c r="L37" s="290"/>
      <c r="M37" s="290"/>
      <c r="N37" s="290"/>
    </row>
    <row r="38" spans="2:14">
      <c r="B38" s="203" t="s">
        <v>16</v>
      </c>
      <c r="C38" s="281" t="s">
        <v>29</v>
      </c>
      <c r="D38" s="282"/>
      <c r="E38" s="282"/>
      <c r="F38" s="282"/>
      <c r="G38" s="282"/>
      <c r="H38" s="282"/>
      <c r="I38" s="282"/>
      <c r="J38" s="282"/>
      <c r="K38" s="282"/>
      <c r="L38" s="282"/>
      <c r="M38" s="282"/>
      <c r="N38" s="282"/>
    </row>
    <row r="39" spans="2:14" ht="17.100000000000001" customHeight="1">
      <c r="B39" s="289" t="s">
        <v>18</v>
      </c>
      <c r="C39" s="288" t="s">
        <v>30</v>
      </c>
      <c r="D39" s="288"/>
      <c r="E39" s="288"/>
      <c r="F39" s="288"/>
      <c r="G39" s="288"/>
      <c r="H39" s="288"/>
      <c r="I39" s="288"/>
      <c r="J39" s="288"/>
      <c r="K39" s="288"/>
      <c r="L39" s="288"/>
      <c r="M39" s="288"/>
      <c r="N39" s="288"/>
    </row>
    <row r="40" spans="2:14" ht="96" customHeight="1">
      <c r="B40" s="289"/>
      <c r="C40" s="288"/>
      <c r="D40" s="288"/>
      <c r="E40" s="288"/>
      <c r="F40" s="288"/>
      <c r="G40" s="288"/>
      <c r="H40" s="288"/>
      <c r="I40" s="288"/>
      <c r="J40" s="288"/>
      <c r="K40" s="288"/>
      <c r="L40" s="288"/>
      <c r="M40" s="288"/>
      <c r="N40" s="288"/>
    </row>
    <row r="41" spans="2:14">
      <c r="C41" s="204"/>
      <c r="D41" s="204"/>
      <c r="E41" s="204"/>
      <c r="F41" s="204"/>
      <c r="G41" s="204"/>
      <c r="H41" s="204"/>
      <c r="I41" s="204"/>
      <c r="J41" s="204"/>
      <c r="K41" s="204"/>
      <c r="L41" s="204"/>
      <c r="M41" s="204"/>
      <c r="N41" s="204"/>
    </row>
    <row r="42" spans="2:14">
      <c r="C42" s="204"/>
      <c r="D42" s="204"/>
      <c r="E42" s="204"/>
      <c r="F42" s="204"/>
      <c r="G42" s="204"/>
      <c r="H42" s="204"/>
      <c r="I42" s="204"/>
      <c r="J42" s="204"/>
      <c r="K42" s="204"/>
      <c r="L42" s="204"/>
      <c r="M42" s="204"/>
      <c r="N42" s="204"/>
    </row>
    <row r="43" spans="2:14">
      <c r="C43" s="204"/>
      <c r="D43" s="204"/>
      <c r="E43" s="204"/>
      <c r="F43" s="204"/>
      <c r="G43" s="204"/>
      <c r="H43" s="204"/>
      <c r="I43" s="204"/>
      <c r="J43" s="204"/>
      <c r="K43" s="204"/>
      <c r="L43" s="204"/>
      <c r="M43" s="204"/>
      <c r="N43" s="204"/>
    </row>
    <row r="44" spans="2:14">
      <c r="C44" s="204"/>
      <c r="D44" s="204"/>
      <c r="E44" s="204"/>
      <c r="F44" s="204"/>
      <c r="G44" s="204"/>
      <c r="H44" s="204"/>
      <c r="I44" s="204"/>
      <c r="J44" s="204"/>
      <c r="K44" s="204"/>
      <c r="L44" s="204"/>
      <c r="M44" s="204"/>
      <c r="N44" s="204"/>
    </row>
    <row r="45" spans="2:14">
      <c r="C45" s="204"/>
      <c r="D45" s="204"/>
      <c r="E45" s="204"/>
      <c r="F45" s="204"/>
      <c r="G45" s="204"/>
      <c r="H45" s="204"/>
      <c r="I45" s="204"/>
      <c r="J45" s="204"/>
      <c r="K45" s="204"/>
      <c r="L45" s="204"/>
      <c r="M45" s="204"/>
      <c r="N45" s="204"/>
    </row>
    <row r="46" spans="2:14">
      <c r="C46" s="204"/>
      <c r="D46" s="204"/>
      <c r="E46" s="204"/>
      <c r="F46" s="204"/>
      <c r="G46" s="204"/>
      <c r="H46" s="204"/>
      <c r="I46" s="204"/>
      <c r="J46" s="204"/>
      <c r="K46" s="204"/>
      <c r="L46" s="204"/>
      <c r="M46" s="204"/>
      <c r="N46" s="204"/>
    </row>
    <row r="47" spans="2:14">
      <c r="C47" s="204"/>
      <c r="D47" s="204"/>
      <c r="E47" s="204"/>
      <c r="F47" s="204"/>
      <c r="G47" s="204"/>
      <c r="H47" s="204"/>
      <c r="I47" s="204"/>
      <c r="J47" s="204"/>
      <c r="K47" s="204"/>
      <c r="L47" s="204"/>
      <c r="M47" s="204"/>
      <c r="N47" s="204"/>
    </row>
  </sheetData>
  <sheetProtection algorithmName="SHA-512" hashValue="uJLyIM61mVWxieoiNZEWc17YDP8V4SxIg6vebJSQD76HyRc5MBYUSb5circONha6wobAdDuz8KK+KHv1R9yhig==" saltValue="unYf4K/L1dynvJnlPbgdaw==" spinCount="100000" sheet="1" objects="1" scenarios="1"/>
  <mergeCells count="20">
    <mergeCell ref="B27:B28"/>
    <mergeCell ref="C24:N25"/>
    <mergeCell ref="B24:B25"/>
    <mergeCell ref="C39:N40"/>
    <mergeCell ref="B39:B40"/>
    <mergeCell ref="C32:N32"/>
    <mergeCell ref="C38:N38"/>
    <mergeCell ref="C33:N34"/>
    <mergeCell ref="C35:N35"/>
    <mergeCell ref="C36:N37"/>
    <mergeCell ref="C23:N23"/>
    <mergeCell ref="C30:N31"/>
    <mergeCell ref="C27:N28"/>
    <mergeCell ref="C26:N26"/>
    <mergeCell ref="C29:N29"/>
    <mergeCell ref="C17:N17"/>
    <mergeCell ref="C18:N18"/>
    <mergeCell ref="C19:N19"/>
    <mergeCell ref="C20:N20"/>
    <mergeCell ref="B11:N13"/>
  </mergeCell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CBB77C"/>
    <pageSetUpPr fitToPage="1"/>
  </sheetPr>
  <dimension ref="A1:JA80"/>
  <sheetViews>
    <sheetView showGridLines="0" tabSelected="1" zoomScale="61" zoomScaleNormal="70" zoomScalePageLayoutView="55" workbookViewId="0">
      <selection activeCell="F45" sqref="F45"/>
    </sheetView>
  </sheetViews>
  <sheetFormatPr defaultColWidth="8.69140625" defaultRowHeight="20.100000000000001" customHeight="1"/>
  <cols>
    <col min="1" max="1" width="4.61328125" style="61" customWidth="1"/>
    <col min="2" max="2" width="22.07421875" style="61" customWidth="1"/>
    <col min="3" max="3" width="3.3828125" style="61" customWidth="1"/>
    <col min="4" max="4" width="23.921875" style="61" customWidth="1"/>
    <col min="5" max="5" width="34.23046875" style="61" bestFit="1" customWidth="1"/>
    <col min="6" max="6" width="25.4609375" style="61" customWidth="1"/>
    <col min="7" max="7" width="15.61328125" style="61" customWidth="1"/>
    <col min="8" max="8" width="12.69140625" style="61" customWidth="1"/>
    <col min="9" max="9" width="14.921875" style="61" bestFit="1" customWidth="1"/>
    <col min="10" max="10" width="11.61328125" style="61" customWidth="1"/>
    <col min="11" max="11" width="17.921875" style="61" customWidth="1"/>
    <col min="12" max="12" width="20.4609375" style="61" customWidth="1"/>
    <col min="13" max="13" width="21.921875" style="61" customWidth="1"/>
    <col min="14" max="14" width="19.61328125" style="61" customWidth="1"/>
    <col min="15" max="15" width="20.4609375" style="61" bestFit="1" customWidth="1"/>
    <col min="16" max="16" width="18.921875" style="61" bestFit="1" customWidth="1"/>
    <col min="17" max="17" width="15.23046875" style="61" customWidth="1"/>
    <col min="18" max="18" width="10.4609375" style="61" customWidth="1"/>
    <col min="19" max="19" width="35.61328125" style="61" customWidth="1"/>
    <col min="20" max="20" width="18.921875" style="61" customWidth="1"/>
    <col min="21" max="21" width="14.4609375" style="61" customWidth="1"/>
    <col min="22" max="22" width="9.23046875" style="61" customWidth="1"/>
    <col min="23" max="23" width="15.69140625" style="61" customWidth="1"/>
    <col min="24" max="24" width="12.07421875" style="61" customWidth="1"/>
    <col min="25" max="26" width="12.07421875" style="62" customWidth="1"/>
    <col min="27" max="27" width="12.07421875" style="61" customWidth="1"/>
    <col min="28" max="28" width="89.69140625" style="61" customWidth="1"/>
    <col min="29" max="30" width="12.07421875" style="62" hidden="1" customWidth="1"/>
    <col min="31" max="31" width="10.07421875" style="79" hidden="1" customWidth="1"/>
    <col min="32" max="32" width="3.07421875" style="80" hidden="1" customWidth="1"/>
    <col min="33" max="33" width="20.4609375" style="80" hidden="1" customWidth="1"/>
    <col min="34" max="34" width="7.921875" style="80" hidden="1" customWidth="1"/>
    <col min="35" max="35" width="8.07421875" style="61" hidden="1" customWidth="1"/>
    <col min="36" max="36" width="7.23046875" style="61" hidden="1" customWidth="1"/>
    <col min="37" max="37" width="8.69140625" style="61" hidden="1" customWidth="1"/>
    <col min="38" max="38" width="169" style="61" hidden="1" customWidth="1"/>
    <col min="39" max="39" width="9.4609375" style="61" hidden="1" customWidth="1"/>
    <col min="40" max="40" width="12" style="61" hidden="1" customWidth="1"/>
    <col min="41" max="41" width="12.4609375" style="61" hidden="1" customWidth="1"/>
    <col min="42" max="42" width="15" style="63" hidden="1" customWidth="1"/>
    <col min="43" max="261" width="8.69140625" style="61" hidden="1" customWidth="1"/>
    <col min="262" max="435" width="0" style="61" hidden="1" customWidth="1"/>
    <col min="436" max="16384" width="8.69140625" style="61"/>
  </cols>
  <sheetData>
    <row r="1" spans="2:44" ht="20.100000000000001" customHeight="1">
      <c r="AC1" s="61"/>
      <c r="AD1" s="61"/>
      <c r="AE1" s="61"/>
      <c r="AF1" s="61"/>
      <c r="AG1" s="61"/>
      <c r="AH1" s="61"/>
    </row>
    <row r="2" spans="2:44" ht="20.100000000000001" customHeight="1">
      <c r="AC2" s="61"/>
      <c r="AD2" s="61"/>
      <c r="AE2" s="61"/>
      <c r="AF2" s="61"/>
      <c r="AG2" s="61"/>
      <c r="AH2" s="61"/>
    </row>
    <row r="3" spans="2:44" ht="20.100000000000001" customHeight="1">
      <c r="D3" s="64"/>
      <c r="E3" s="64"/>
      <c r="F3" s="64"/>
      <c r="G3" s="64"/>
      <c r="H3" s="64"/>
      <c r="I3" s="64"/>
      <c r="J3" s="64"/>
      <c r="K3" s="64"/>
      <c r="L3" s="64"/>
      <c r="M3" s="64"/>
      <c r="N3" s="64"/>
      <c r="O3" s="64"/>
      <c r="P3" s="64"/>
      <c r="Q3" s="64"/>
      <c r="R3" s="64"/>
      <c r="S3" s="338" t="s">
        <v>31</v>
      </c>
      <c r="T3" s="64"/>
      <c r="U3" s="64"/>
      <c r="V3" s="64"/>
      <c r="W3" s="64"/>
      <c r="X3" s="64"/>
      <c r="Y3" s="65"/>
      <c r="Z3" s="66"/>
      <c r="AC3" s="61"/>
      <c r="AD3" s="61"/>
      <c r="AE3" s="61"/>
      <c r="AF3" s="61"/>
      <c r="AG3" s="61"/>
      <c r="AH3" s="61"/>
    </row>
    <row r="4" spans="2:44" ht="44.1" customHeight="1">
      <c r="D4" s="67" t="s">
        <v>32</v>
      </c>
      <c r="E4" s="68"/>
      <c r="F4" s="68"/>
      <c r="G4" s="69"/>
      <c r="H4" s="69"/>
      <c r="I4" s="69"/>
      <c r="S4" s="339"/>
      <c r="T4" s="70" t="s">
        <v>33</v>
      </c>
      <c r="U4" s="70"/>
      <c r="V4" s="71"/>
      <c r="W4" s="72"/>
      <c r="X4" s="68"/>
      <c r="Y4" s="73"/>
      <c r="Z4" s="74"/>
      <c r="AC4" s="61"/>
      <c r="AD4" s="61"/>
      <c r="AE4" s="61"/>
      <c r="AF4" s="61"/>
      <c r="AG4" s="61"/>
      <c r="AH4" s="61"/>
    </row>
    <row r="5" spans="2:44" ht="24.9" customHeight="1">
      <c r="D5" s="75" t="s">
        <v>34</v>
      </c>
      <c r="E5" s="209"/>
      <c r="F5" s="69"/>
      <c r="G5" s="69"/>
      <c r="H5" s="69"/>
      <c r="I5" s="69"/>
      <c r="J5" s="69"/>
      <c r="K5" s="76"/>
      <c r="L5" s="76"/>
      <c r="M5" s="69"/>
      <c r="N5" s="69"/>
      <c r="O5" s="69"/>
      <c r="P5" s="69"/>
      <c r="Q5" s="69"/>
      <c r="R5" s="69"/>
      <c r="S5" s="69"/>
      <c r="T5" s="341" t="s">
        <v>35</v>
      </c>
      <c r="U5" s="341"/>
      <c r="V5" s="341"/>
      <c r="W5" s="69"/>
      <c r="X5" s="69"/>
      <c r="Y5" s="77"/>
      <c r="Z5" s="78"/>
      <c r="AC5" s="77"/>
      <c r="AD5" s="77"/>
      <c r="AE5" s="69"/>
      <c r="AF5" s="77"/>
      <c r="AG5" s="77"/>
      <c r="AH5" s="77"/>
      <c r="AI5" s="69"/>
    </row>
    <row r="6" spans="2:44" ht="21.9" customHeight="1">
      <c r="D6" s="208" t="s">
        <v>36</v>
      </c>
      <c r="E6" s="210"/>
      <c r="F6" s="69"/>
      <c r="G6" s="69"/>
      <c r="H6" s="69"/>
      <c r="I6" s="69"/>
      <c r="J6" s="69"/>
      <c r="K6" s="69"/>
      <c r="L6" s="69"/>
      <c r="M6" s="69"/>
      <c r="N6" s="69"/>
      <c r="O6" s="69"/>
      <c r="P6" s="69"/>
      <c r="Q6" s="69"/>
      <c r="R6" s="69"/>
      <c r="W6" s="69"/>
      <c r="X6" s="69"/>
      <c r="Y6" s="77"/>
      <c r="Z6" s="78"/>
      <c r="AC6" s="77"/>
      <c r="AD6" s="77"/>
      <c r="AG6" s="77"/>
      <c r="AH6" s="77"/>
      <c r="AI6" s="69"/>
    </row>
    <row r="7" spans="2:44" ht="21.9" customHeight="1">
      <c r="D7" s="75" t="s">
        <v>37</v>
      </c>
      <c r="E7" s="209"/>
      <c r="W7" s="69"/>
      <c r="X7" s="69"/>
      <c r="Y7" s="77"/>
      <c r="Z7" s="78"/>
      <c r="AC7" s="77"/>
      <c r="AD7" s="77"/>
      <c r="AG7" s="77"/>
      <c r="AH7" s="77"/>
      <c r="AI7" s="69"/>
    </row>
    <row r="8" spans="2:44" ht="18.600000000000001">
      <c r="S8" s="63"/>
      <c r="T8" s="81"/>
      <c r="U8" s="81"/>
      <c r="V8" s="81"/>
      <c r="W8" s="81"/>
      <c r="X8" s="81"/>
      <c r="Y8" s="82"/>
      <c r="Z8" s="83"/>
      <c r="AC8" s="77"/>
      <c r="AD8" s="77"/>
      <c r="AE8" s="61"/>
      <c r="AF8" s="61"/>
      <c r="AG8" s="77"/>
      <c r="AH8" s="77"/>
      <c r="AI8" s="69"/>
    </row>
    <row r="9" spans="2:44" ht="48.9" customHeight="1">
      <c r="C9" s="79"/>
      <c r="D9" s="201"/>
      <c r="E9" s="84"/>
      <c r="F9" s="84"/>
      <c r="G9" s="84"/>
      <c r="H9" s="84"/>
      <c r="S9" s="63"/>
      <c r="T9" s="63"/>
      <c r="U9" s="63"/>
      <c r="V9" s="63"/>
      <c r="W9" s="63"/>
      <c r="X9" s="63"/>
      <c r="Y9" s="85"/>
      <c r="Z9" s="86"/>
      <c r="AE9" s="61"/>
      <c r="AF9" s="61"/>
      <c r="AG9" s="77"/>
      <c r="AH9" s="77"/>
      <c r="AI9" s="69"/>
    </row>
    <row r="10" spans="2:44" ht="12.9" customHeight="1">
      <c r="C10" s="80"/>
      <c r="D10" s="202"/>
      <c r="E10" s="200"/>
      <c r="F10" s="84"/>
      <c r="G10" s="84"/>
      <c r="H10" s="84"/>
      <c r="J10" s="87"/>
      <c r="K10" s="87"/>
      <c r="L10" s="87"/>
      <c r="M10" s="87"/>
      <c r="N10" s="88"/>
      <c r="S10" s="63"/>
      <c r="T10" s="63"/>
      <c r="U10" s="63"/>
      <c r="V10" s="63"/>
      <c r="W10" s="63"/>
      <c r="X10" s="63"/>
      <c r="Y10" s="85"/>
      <c r="Z10" s="86"/>
      <c r="AE10" s="89"/>
      <c r="AF10" s="90"/>
      <c r="AG10" s="90"/>
      <c r="AH10" s="90"/>
      <c r="AI10" s="91"/>
      <c r="AJ10" s="92"/>
      <c r="AK10" s="92"/>
      <c r="AL10" s="92"/>
      <c r="AM10" s="92"/>
      <c r="AN10" s="92"/>
      <c r="AO10" s="92"/>
    </row>
    <row r="11" spans="2:44" ht="19.2">
      <c r="C11" s="80"/>
      <c r="D11" s="315" t="s">
        <v>38</v>
      </c>
      <c r="E11" s="315"/>
      <c r="F11" s="88"/>
      <c r="G11" s="337" t="s">
        <v>39</v>
      </c>
      <c r="H11" s="337"/>
      <c r="I11" s="337"/>
      <c r="J11" s="337"/>
      <c r="K11" s="337"/>
      <c r="L11" s="337"/>
      <c r="M11" s="337"/>
      <c r="R11" s="93"/>
      <c r="S11" s="63"/>
      <c r="T11" s="63"/>
      <c r="U11" s="63"/>
      <c r="V11" s="63"/>
      <c r="W11" s="63"/>
      <c r="X11" s="63"/>
      <c r="Y11" s="85"/>
      <c r="Z11" s="86"/>
      <c r="AC11" s="333"/>
      <c r="AD11" s="333"/>
      <c r="AE11" s="333"/>
      <c r="AF11" s="333"/>
      <c r="AG11" s="333"/>
      <c r="AH11" s="333"/>
      <c r="AI11" s="333"/>
      <c r="AJ11" s="333"/>
      <c r="AK11" s="333"/>
      <c r="AL11" s="333"/>
      <c r="AM11" s="333"/>
      <c r="AN11" s="333"/>
      <c r="AO11" s="333"/>
    </row>
    <row r="12" spans="2:44" ht="39" customHeight="1">
      <c r="B12" s="195"/>
      <c r="D12" s="94" t="s">
        <v>40</v>
      </c>
      <c r="E12" s="95" t="s">
        <v>41</v>
      </c>
      <c r="F12" s="96"/>
      <c r="G12" s="316" t="s">
        <v>42</v>
      </c>
      <c r="H12" s="334" t="s">
        <v>43</v>
      </c>
      <c r="I12" s="335"/>
      <c r="J12" s="336"/>
      <c r="K12" s="268" t="s">
        <v>44</v>
      </c>
      <c r="L12" s="97" t="s">
        <v>45</v>
      </c>
      <c r="M12" s="97" t="s">
        <v>46</v>
      </c>
      <c r="P12" s="340" t="s">
        <v>47</v>
      </c>
      <c r="Q12" s="340"/>
      <c r="S12" s="63"/>
      <c r="T12" s="63"/>
      <c r="U12" s="63"/>
      <c r="V12" s="63"/>
      <c r="W12" s="63"/>
      <c r="X12" s="63"/>
      <c r="Y12" s="85"/>
      <c r="Z12" s="86"/>
      <c r="AC12" s="333"/>
      <c r="AD12" s="333"/>
      <c r="AE12" s="333"/>
      <c r="AF12" s="333"/>
      <c r="AG12" s="333"/>
      <c r="AH12" s="333"/>
      <c r="AI12" s="333"/>
      <c r="AJ12" s="333"/>
      <c r="AK12" s="333"/>
      <c r="AL12" s="333"/>
      <c r="AM12" s="333"/>
      <c r="AN12" s="333"/>
      <c r="AO12" s="333"/>
      <c r="AP12" s="98"/>
    </row>
    <row r="13" spans="2:44" ht="21" customHeight="1">
      <c r="D13" s="94" t="s">
        <v>48</v>
      </c>
      <c r="E13" s="99" t="s">
        <v>49</v>
      </c>
      <c r="F13" s="100"/>
      <c r="G13" s="317"/>
      <c r="H13" s="342">
        <f>SUM(K13/7)</f>
        <v>-246.76937230872448</v>
      </c>
      <c r="I13" s="343"/>
      <c r="J13" s="344"/>
      <c r="K13" s="351">
        <f>SUM(F$34-E$34)</f>
        <v>-1727.3856061610713</v>
      </c>
      <c r="L13" s="318">
        <f>SUM(K13/3500)</f>
        <v>-0.49353874461744895</v>
      </c>
      <c r="M13" s="321">
        <f>SUM(L13*100/E17)</f>
        <v>-0.29607930860107295</v>
      </c>
      <c r="P13" s="340"/>
      <c r="Q13" s="340"/>
      <c r="S13" s="63"/>
      <c r="T13" s="63"/>
      <c r="U13" s="63"/>
      <c r="V13" s="101"/>
      <c r="W13" s="63"/>
      <c r="X13" s="63"/>
      <c r="Y13" s="85"/>
      <c r="Z13" s="102"/>
      <c r="AE13" s="89"/>
      <c r="AF13" s="90"/>
      <c r="AG13" s="103"/>
      <c r="AH13" s="103"/>
      <c r="AI13" s="91"/>
      <c r="AJ13" s="92"/>
      <c r="AK13" s="92"/>
      <c r="AL13" s="92"/>
      <c r="AM13" s="92"/>
      <c r="AN13" s="92"/>
      <c r="AO13" s="104">
        <v>1</v>
      </c>
      <c r="AP13" s="105">
        <v>0.13</v>
      </c>
      <c r="AQ13" s="98"/>
      <c r="AR13" s="98"/>
    </row>
    <row r="14" spans="2:44" ht="20.100000000000001" customHeight="1">
      <c r="D14" s="94" t="s">
        <v>50</v>
      </c>
      <c r="E14" s="106">
        <v>36</v>
      </c>
      <c r="F14" s="96"/>
      <c r="G14" s="317"/>
      <c r="H14" s="345"/>
      <c r="I14" s="346"/>
      <c r="J14" s="347"/>
      <c r="K14" s="352"/>
      <c r="L14" s="319"/>
      <c r="M14" s="322"/>
      <c r="O14" s="107" t="s">
        <v>46</v>
      </c>
      <c r="P14" s="340"/>
      <c r="Q14" s="340"/>
      <c r="S14" s="63"/>
      <c r="T14" s="63"/>
      <c r="U14" s="63"/>
      <c r="V14" s="63"/>
      <c r="W14" s="63"/>
      <c r="X14" s="63"/>
      <c r="Y14" s="85"/>
      <c r="Z14" s="102"/>
      <c r="AE14" s="89"/>
      <c r="AF14" s="90"/>
      <c r="AG14" s="108"/>
      <c r="AH14" s="108"/>
      <c r="AI14" s="91"/>
      <c r="AJ14" s="92"/>
      <c r="AK14" s="92"/>
      <c r="AL14" s="92"/>
      <c r="AM14" s="92"/>
      <c r="AN14" s="92"/>
      <c r="AO14" s="104">
        <v>2</v>
      </c>
      <c r="AP14" s="105">
        <v>0.15</v>
      </c>
      <c r="AQ14" s="98"/>
      <c r="AR14" s="98"/>
    </row>
    <row r="15" spans="2:44" ht="20.100000000000001" customHeight="1">
      <c r="D15" s="94" t="s">
        <v>51</v>
      </c>
      <c r="E15" s="109">
        <v>178</v>
      </c>
      <c r="F15" s="96"/>
      <c r="G15" s="317"/>
      <c r="H15" s="345"/>
      <c r="I15" s="346"/>
      <c r="J15" s="347"/>
      <c r="K15" s="352"/>
      <c r="L15" s="319"/>
      <c r="M15" s="322"/>
      <c r="O15" s="110" t="s">
        <v>52</v>
      </c>
      <c r="P15" s="328">
        <f>((E34-((E17*0.01)*3500))/7)</f>
        <v>1813.3123723087244</v>
      </c>
      <c r="Q15" s="329"/>
      <c r="R15" s="273"/>
      <c r="S15" s="63"/>
      <c r="T15" s="63"/>
      <c r="U15" s="63"/>
      <c r="V15" s="63"/>
      <c r="W15" s="63"/>
      <c r="X15" s="63"/>
      <c r="Y15" s="85"/>
      <c r="Z15" s="102"/>
      <c r="AE15" s="89"/>
      <c r="AF15" s="90"/>
      <c r="AG15" s="111"/>
      <c r="AH15" s="112" t="s">
        <v>53</v>
      </c>
      <c r="AI15" s="91"/>
      <c r="AJ15" s="92"/>
      <c r="AK15" s="92"/>
      <c r="AL15" s="92"/>
      <c r="AM15" s="92"/>
      <c r="AN15" s="92"/>
      <c r="AO15" s="104">
        <v>3</v>
      </c>
      <c r="AP15" s="105">
        <v>0.16</v>
      </c>
      <c r="AQ15" s="98"/>
      <c r="AR15" s="98"/>
    </row>
    <row r="16" spans="2:44" ht="20.100000000000001" customHeight="1">
      <c r="D16" s="94" t="s">
        <v>54</v>
      </c>
      <c r="E16" s="27">
        <v>75.7</v>
      </c>
      <c r="F16" s="96"/>
      <c r="G16" s="317"/>
      <c r="H16" s="348"/>
      <c r="I16" s="349"/>
      <c r="J16" s="350"/>
      <c r="K16" s="353"/>
      <c r="L16" s="320"/>
      <c r="M16" s="323"/>
      <c r="O16" s="113" t="s">
        <v>55</v>
      </c>
      <c r="P16" s="328">
        <f>((E34-((E17*0.0075)*3500))/7)</f>
        <v>2021.6766223087245</v>
      </c>
      <c r="Q16" s="329"/>
      <c r="R16" s="273"/>
      <c r="S16" s="63"/>
      <c r="T16" s="63"/>
      <c r="U16" s="63"/>
      <c r="V16" s="63"/>
      <c r="W16" s="63"/>
      <c r="X16" s="63"/>
      <c r="Y16" s="85"/>
      <c r="Z16" s="102"/>
      <c r="AE16" s="89"/>
      <c r="AF16" s="90"/>
      <c r="AG16" s="114"/>
      <c r="AH16" s="115"/>
      <c r="AI16" s="91"/>
      <c r="AJ16" s="92"/>
      <c r="AK16" s="92"/>
      <c r="AL16" s="92"/>
      <c r="AM16" s="92"/>
      <c r="AN16" s="92"/>
      <c r="AO16" s="104">
        <v>4</v>
      </c>
      <c r="AP16" s="105">
        <v>0.19</v>
      </c>
      <c r="AQ16" s="98"/>
      <c r="AR16" s="98"/>
    </row>
    <row r="17" spans="1:46" ht="20.100000000000001" customHeight="1">
      <c r="D17" s="94" t="s">
        <v>56</v>
      </c>
      <c r="E17" s="28">
        <f>SUM(E16*2.202)</f>
        <v>166.69140000000002</v>
      </c>
      <c r="F17" s="96"/>
      <c r="N17" s="116"/>
      <c r="O17" s="117" t="s">
        <v>57</v>
      </c>
      <c r="P17" s="328">
        <f>((E34-((E17*0.005)*3500))/7)</f>
        <v>2230.0408723087244</v>
      </c>
      <c r="Q17" s="329"/>
      <c r="R17" s="273"/>
      <c r="S17" s="63"/>
      <c r="T17" s="63"/>
      <c r="U17" s="63"/>
      <c r="V17" s="63"/>
      <c r="W17" s="63"/>
      <c r="X17" s="63"/>
      <c r="Y17" s="85"/>
      <c r="Z17" s="102"/>
      <c r="AE17" s="92"/>
      <c r="AF17" s="92"/>
      <c r="AG17" s="114"/>
      <c r="AH17" s="115"/>
      <c r="AI17" s="91"/>
      <c r="AJ17" s="92"/>
      <c r="AK17" s="92"/>
      <c r="AL17" s="92"/>
      <c r="AM17" s="92"/>
      <c r="AN17" s="92"/>
      <c r="AO17" s="104">
        <v>5</v>
      </c>
      <c r="AP17" s="105">
        <v>0.2</v>
      </c>
      <c r="AQ17" s="98"/>
      <c r="AR17" s="98"/>
    </row>
    <row r="18" spans="1:46" ht="20.100000000000001" customHeight="1">
      <c r="D18" s="94" t="s">
        <v>58</v>
      </c>
      <c r="E18" s="118">
        <v>0.13200000000000001</v>
      </c>
      <c r="F18" s="119">
        <f>C18</f>
        <v>0</v>
      </c>
      <c r="G18" s="324" t="s">
        <v>59</v>
      </c>
      <c r="H18" s="324"/>
      <c r="I18" s="324" t="s">
        <v>60</v>
      </c>
      <c r="J18" s="324"/>
      <c r="K18" s="266" t="s">
        <v>61</v>
      </c>
      <c r="L18" s="325" t="s">
        <v>62</v>
      </c>
      <c r="M18" s="326"/>
      <c r="N18" s="116"/>
      <c r="O18" s="120" t="s">
        <v>63</v>
      </c>
      <c r="P18" s="328">
        <f>((E34+((E17*0.0025)*3500))/7)</f>
        <v>2855.1336223087242</v>
      </c>
      <c r="Q18" s="329"/>
      <c r="R18" s="273"/>
      <c r="S18" s="63"/>
      <c r="T18" s="63"/>
      <c r="U18" s="121"/>
      <c r="V18" s="63"/>
      <c r="W18" s="63"/>
      <c r="X18" s="63"/>
      <c r="Y18" s="85"/>
      <c r="Z18" s="102"/>
      <c r="AE18" s="92"/>
      <c r="AF18" s="122"/>
      <c r="AG18" s="122"/>
      <c r="AH18" s="115"/>
      <c r="AI18" s="91"/>
      <c r="AJ18" s="92"/>
      <c r="AK18" s="92"/>
      <c r="AL18" s="92"/>
      <c r="AM18" s="92"/>
      <c r="AN18" s="92"/>
      <c r="AO18" s="104">
        <v>6</v>
      </c>
      <c r="AP18" s="105">
        <v>0.21</v>
      </c>
      <c r="AQ18" s="98"/>
      <c r="AR18" s="98"/>
      <c r="AS18" s="62"/>
    </row>
    <row r="19" spans="1:46" ht="20.100000000000001" customHeight="1">
      <c r="D19" s="94" t="s">
        <v>64</v>
      </c>
      <c r="E19" s="123">
        <f>SUM(E17-E20)</f>
        <v>144.6881352</v>
      </c>
      <c r="F19" s="100">
        <f>SUM(E19/2.202)</f>
        <v>65.707599999999999</v>
      </c>
      <c r="G19" s="330" t="s">
        <v>65</v>
      </c>
      <c r="H19" s="330"/>
      <c r="I19" s="330" t="s">
        <v>66</v>
      </c>
      <c r="J19" s="330"/>
      <c r="K19" s="124">
        <f>IF(G19&lt;"","",IFERROR(VLOOKUP(I19,'Metabolic equivalents'!H:I,2,FALSE),""))</f>
        <v>1946.8813520000001</v>
      </c>
      <c r="L19" s="331"/>
      <c r="M19" s="332"/>
      <c r="N19" s="128">
        <f>IF(L19="",K19,L19)</f>
        <v>1946.8813520000001</v>
      </c>
      <c r="O19" s="212" t="s">
        <v>67</v>
      </c>
      <c r="P19" s="328">
        <f>((E34+((E17*0.004)*3500))/7)</f>
        <v>2980.1521723087244</v>
      </c>
      <c r="Q19" s="329"/>
      <c r="R19" s="273"/>
      <c r="S19" s="267"/>
      <c r="T19" s="327"/>
      <c r="U19" s="327"/>
      <c r="V19" s="85"/>
      <c r="W19" s="63"/>
      <c r="X19" s="63"/>
      <c r="Y19" s="85"/>
      <c r="Z19" s="102"/>
      <c r="AE19" s="92"/>
      <c r="AF19" s="92"/>
      <c r="AG19" s="92"/>
      <c r="AH19" s="115"/>
      <c r="AI19" s="91"/>
      <c r="AJ19" s="92"/>
      <c r="AK19" s="92"/>
      <c r="AL19" s="92"/>
      <c r="AM19" s="92"/>
      <c r="AN19" s="92"/>
      <c r="AO19" s="104">
        <v>7</v>
      </c>
      <c r="AP19" s="105">
        <v>0.25</v>
      </c>
      <c r="AQ19" s="98"/>
      <c r="AR19" s="98"/>
      <c r="AS19" s="62"/>
    </row>
    <row r="20" spans="1:46" ht="20.100000000000001" customHeight="1">
      <c r="A20" s="364"/>
      <c r="B20" s="365"/>
      <c r="D20" s="94" t="s">
        <v>68</v>
      </c>
      <c r="E20" s="123">
        <f>SUM(E18*E17)</f>
        <v>22.003264800000004</v>
      </c>
      <c r="F20" s="100"/>
      <c r="G20" s="305" t="s">
        <v>69</v>
      </c>
      <c r="H20" s="306"/>
      <c r="I20" s="306"/>
      <c r="J20" s="306"/>
      <c r="K20" s="306"/>
      <c r="L20" s="306"/>
      <c r="M20" s="306"/>
      <c r="N20" s="125"/>
      <c r="O20" s="125"/>
      <c r="P20" s="125"/>
      <c r="Q20" s="125"/>
      <c r="R20" s="125"/>
      <c r="S20" s="63"/>
      <c r="T20" s="63"/>
      <c r="U20" s="63"/>
      <c r="V20" s="63"/>
      <c r="W20" s="63"/>
      <c r="X20" s="63"/>
      <c r="Y20" s="63"/>
      <c r="Z20" s="102"/>
      <c r="AE20" s="92"/>
      <c r="AF20" s="92"/>
      <c r="AG20" s="92"/>
      <c r="AH20" s="115"/>
      <c r="AI20" s="126"/>
      <c r="AJ20" s="92"/>
      <c r="AK20" s="92"/>
      <c r="AL20" s="92"/>
      <c r="AM20" s="92"/>
      <c r="AN20" s="92"/>
      <c r="AO20" s="104">
        <v>8</v>
      </c>
      <c r="AP20" s="105">
        <v>0.27</v>
      </c>
      <c r="AQ20" s="98"/>
      <c r="AR20" s="98"/>
      <c r="AS20" s="62"/>
    </row>
    <row r="21" spans="1:46" ht="20.100000000000001" customHeight="1">
      <c r="A21" s="270"/>
      <c r="B21" s="271"/>
      <c r="D21" s="94" t="s">
        <v>70</v>
      </c>
      <c r="E21" s="127">
        <v>45</v>
      </c>
      <c r="F21" s="128"/>
      <c r="G21" s="307">
        <f>(N19*1.1)+O40</f>
        <v>2459.5222053087246</v>
      </c>
      <c r="H21" s="308"/>
      <c r="I21" s="308"/>
      <c r="J21" s="308"/>
      <c r="K21" s="308"/>
      <c r="L21" s="308"/>
      <c r="M21" s="309"/>
      <c r="N21" s="125"/>
      <c r="O21" s="125"/>
      <c r="P21" s="125"/>
      <c r="Q21" s="125"/>
      <c r="R21" s="125"/>
      <c r="S21" s="63"/>
      <c r="T21" s="63"/>
      <c r="U21" s="63"/>
      <c r="V21" s="63"/>
      <c r="W21" s="63"/>
      <c r="X21" s="63"/>
      <c r="Y21" s="63"/>
      <c r="Z21" s="102"/>
      <c r="AE21" s="92"/>
      <c r="AF21" s="92"/>
      <c r="AG21" s="92"/>
      <c r="AH21" s="115"/>
      <c r="AI21" s="126"/>
      <c r="AJ21" s="92"/>
      <c r="AK21" s="92"/>
      <c r="AL21" s="92"/>
      <c r="AM21" s="92"/>
      <c r="AN21" s="92"/>
      <c r="AO21" s="104"/>
      <c r="AP21" s="105"/>
      <c r="AQ21" s="98"/>
      <c r="AR21" s="98"/>
      <c r="AS21" s="62"/>
    </row>
    <row r="22" spans="1:46" ht="22.65" customHeight="1">
      <c r="A22" s="366"/>
      <c r="B22" s="366"/>
      <c r="D22" s="194"/>
      <c r="E22" s="193"/>
      <c r="F22" s="128"/>
      <c r="G22" s="310"/>
      <c r="H22" s="311"/>
      <c r="I22" s="311"/>
      <c r="J22" s="311"/>
      <c r="K22" s="311"/>
      <c r="L22" s="311"/>
      <c r="M22" s="312"/>
      <c r="N22" s="125"/>
      <c r="O22" s="125"/>
      <c r="P22" s="125"/>
      <c r="Q22" s="125"/>
      <c r="R22" s="125"/>
      <c r="S22" s="63"/>
      <c r="T22" s="63"/>
      <c r="U22" s="63"/>
      <c r="V22" s="63"/>
      <c r="W22" s="63"/>
      <c r="X22" s="63"/>
      <c r="Y22" s="63"/>
      <c r="Z22" s="102"/>
      <c r="AE22" s="61"/>
      <c r="AF22" s="61"/>
      <c r="AG22" s="61"/>
      <c r="AH22" s="61"/>
      <c r="AP22" s="61"/>
    </row>
    <row r="23" spans="1:46" ht="22.65" customHeight="1">
      <c r="A23" s="366"/>
      <c r="B23" s="366"/>
      <c r="D23" s="79"/>
      <c r="E23" s="79"/>
      <c r="G23" s="98">
        <f t="shared" ref="G23:M23" si="0">IF($L$19="",($K$19*1.1)+E40,($L$19*1.1)+E40)</f>
        <v>2459.5222053087246</v>
      </c>
      <c r="H23" s="98">
        <f t="shared" si="0"/>
        <v>2459.5222053087246</v>
      </c>
      <c r="I23" s="98">
        <f t="shared" si="0"/>
        <v>2459.5222053087246</v>
      </c>
      <c r="J23" s="98">
        <f t="shared" si="0"/>
        <v>2459.5222053087246</v>
      </c>
      <c r="K23" s="98">
        <f t="shared" si="0"/>
        <v>2459.5222053087246</v>
      </c>
      <c r="L23" s="98">
        <f t="shared" si="0"/>
        <v>2459.5222053087246</v>
      </c>
      <c r="M23" s="98">
        <f t="shared" si="0"/>
        <v>2459.5222053087246</v>
      </c>
      <c r="N23" s="129"/>
      <c r="O23" s="129"/>
      <c r="P23" s="129"/>
      <c r="Q23" s="129"/>
      <c r="R23" s="129"/>
      <c r="S23" s="63"/>
      <c r="T23" s="63"/>
      <c r="U23" s="63"/>
      <c r="V23" s="63"/>
      <c r="W23" s="63"/>
      <c r="X23" s="63"/>
      <c r="Y23" s="63"/>
      <c r="Z23" s="102"/>
      <c r="AE23" s="61"/>
      <c r="AF23" s="61"/>
      <c r="AG23" s="61"/>
      <c r="AH23" s="61"/>
      <c r="AP23" s="61"/>
    </row>
    <row r="24" spans="1:46" ht="22.65" customHeight="1">
      <c r="A24" s="366"/>
      <c r="B24" s="366"/>
      <c r="N24" s="129"/>
      <c r="O24" s="129"/>
      <c r="P24" s="129"/>
      <c r="Q24" s="129"/>
      <c r="R24" s="129"/>
      <c r="S24" s="63"/>
      <c r="T24" s="63"/>
      <c r="U24" s="63"/>
      <c r="V24" s="63"/>
      <c r="W24" s="63"/>
      <c r="X24" s="63"/>
      <c r="Y24" s="63"/>
      <c r="Z24" s="102"/>
      <c r="AE24" s="62"/>
      <c r="AF24" s="62"/>
      <c r="AG24" s="62"/>
      <c r="AH24" s="62"/>
      <c r="AI24" s="62"/>
      <c r="AJ24" s="62"/>
      <c r="AK24" s="62"/>
      <c r="AL24" s="62"/>
      <c r="AM24" s="62"/>
      <c r="AN24" s="62"/>
      <c r="AO24" s="62"/>
      <c r="AP24" s="62"/>
      <c r="AQ24" s="62"/>
      <c r="AR24" s="62"/>
      <c r="AS24" s="62"/>
      <c r="AT24" s="62"/>
    </row>
    <row r="25" spans="1:46" ht="27" customHeight="1">
      <c r="A25" s="364"/>
      <c r="B25" s="364"/>
      <c r="D25" s="373" t="s">
        <v>71</v>
      </c>
      <c r="E25" s="373"/>
      <c r="G25" s="130"/>
      <c r="H25" s="130"/>
      <c r="I25" s="130"/>
      <c r="J25" s="131"/>
      <c r="K25" s="131"/>
      <c r="L25" s="131"/>
      <c r="M25" s="131"/>
      <c r="N25" s="129"/>
      <c r="O25" s="129"/>
      <c r="P25" s="129"/>
      <c r="Q25" s="129"/>
      <c r="R25" s="129"/>
      <c r="S25" s="63"/>
      <c r="T25" s="63"/>
      <c r="U25" s="63"/>
      <c r="V25" s="63"/>
      <c r="W25" s="63"/>
      <c r="X25" s="63"/>
      <c r="Y25" s="63"/>
      <c r="Z25" s="102"/>
      <c r="AE25" s="62"/>
      <c r="AF25" s="62"/>
      <c r="AG25" s="62"/>
      <c r="AH25" s="62"/>
      <c r="AI25" s="62"/>
      <c r="AJ25" s="62"/>
      <c r="AK25" s="62"/>
      <c r="AL25" s="62"/>
      <c r="AM25" s="62"/>
      <c r="AN25" s="62"/>
      <c r="AO25" s="62"/>
      <c r="AP25" s="62"/>
      <c r="AQ25" s="62"/>
      <c r="AR25" s="62"/>
      <c r="AS25" s="62"/>
      <c r="AT25" s="62"/>
    </row>
    <row r="26" spans="1:46" ht="24" customHeight="1">
      <c r="A26" s="371"/>
      <c r="B26" s="371"/>
      <c r="D26" s="132" t="s">
        <v>72</v>
      </c>
      <c r="E26" s="132" t="s">
        <v>73</v>
      </c>
      <c r="F26" s="133" t="s">
        <v>74</v>
      </c>
      <c r="G26" s="134" t="s">
        <v>75</v>
      </c>
      <c r="H26" s="132" t="s">
        <v>76</v>
      </c>
      <c r="I26" s="132" t="s">
        <v>77</v>
      </c>
      <c r="J26" s="132" t="s">
        <v>78</v>
      </c>
      <c r="K26" s="132" t="s">
        <v>79</v>
      </c>
      <c r="L26" s="132" t="s">
        <v>80</v>
      </c>
      <c r="M26" s="132" t="s">
        <v>81</v>
      </c>
      <c r="N26" s="132" t="s">
        <v>78</v>
      </c>
      <c r="O26" s="132" t="s">
        <v>82</v>
      </c>
      <c r="P26" s="132" t="s">
        <v>78</v>
      </c>
      <c r="S26" s="63"/>
      <c r="T26" s="63"/>
      <c r="U26" s="63"/>
      <c r="V26" s="63"/>
      <c r="W26" s="63"/>
      <c r="X26" s="63"/>
      <c r="Y26" s="63"/>
      <c r="Z26" s="102"/>
      <c r="AE26" s="62"/>
      <c r="AF26" s="62"/>
      <c r="AG26" s="62"/>
      <c r="AH26" s="62"/>
      <c r="AI26" s="62"/>
      <c r="AJ26" s="62"/>
      <c r="AK26" s="62"/>
      <c r="AL26" s="62"/>
      <c r="AM26" s="62"/>
      <c r="AN26" s="62"/>
      <c r="AO26" s="62"/>
      <c r="AP26" s="62"/>
      <c r="AQ26" s="62"/>
      <c r="AR26" s="62"/>
      <c r="AS26" s="62"/>
      <c r="AT26" s="62"/>
    </row>
    <row r="27" spans="1:46" ht="20.100000000000001" customHeight="1">
      <c r="D27" s="135" t="s">
        <v>83</v>
      </c>
      <c r="E27" s="136">
        <f>SUM(Q45)</f>
        <v>2787.2047475587246</v>
      </c>
      <c r="F27" s="198">
        <v>2400</v>
      </c>
      <c r="G27" s="136">
        <f t="shared" ref="G27:G33" si="1">SUM(F27-H27)</f>
        <v>1794.4</v>
      </c>
      <c r="H27" s="136">
        <f t="shared" ref="H27:H33" si="2">SUM(I27*4)</f>
        <v>605.6</v>
      </c>
      <c r="I27" s="137">
        <f>SUM(J27*E16)</f>
        <v>151.4</v>
      </c>
      <c r="J27" s="138">
        <v>2</v>
      </c>
      <c r="K27" s="136">
        <f t="shared" ref="K27:K33" si="3">SUM(F27-H27-L27)</f>
        <v>1249.3600000000001</v>
      </c>
      <c r="L27" s="136">
        <f>SUM(M27*9)</f>
        <v>545.04</v>
      </c>
      <c r="M27" s="137">
        <f>SUM(N27*E16)</f>
        <v>60.56</v>
      </c>
      <c r="N27" s="139">
        <v>0.8</v>
      </c>
      <c r="O27" s="140">
        <f t="shared" ref="O27:O33" si="4">SUM(K27/4)</f>
        <v>312.34000000000003</v>
      </c>
      <c r="P27" s="141">
        <f>SUM(O27/E16)</f>
        <v>4.1260237780713345</v>
      </c>
      <c r="S27" s="63"/>
      <c r="T27" s="63"/>
      <c r="U27" s="63"/>
      <c r="V27" s="63"/>
      <c r="W27" s="63"/>
      <c r="X27" s="63"/>
      <c r="Y27" s="63"/>
      <c r="Z27" s="102"/>
      <c r="AE27" s="92"/>
      <c r="AF27" s="92"/>
      <c r="AG27" s="92"/>
      <c r="AH27" s="142"/>
      <c r="AI27" s="126"/>
      <c r="AJ27" s="92"/>
      <c r="AK27" s="92"/>
      <c r="AL27" s="92"/>
      <c r="AM27" s="92"/>
      <c r="AN27" s="92"/>
      <c r="AO27" s="143">
        <v>7</v>
      </c>
      <c r="AP27" s="144">
        <f>VLOOKUP(AO27,AO13:AP25,2,FALSE)</f>
        <v>0.25</v>
      </c>
      <c r="AQ27" s="98"/>
      <c r="AR27" s="98"/>
    </row>
    <row r="28" spans="1:46" ht="20.100000000000001" customHeight="1">
      <c r="D28" s="135" t="s">
        <v>84</v>
      </c>
      <c r="E28" s="136">
        <f>SUM(Q49)</f>
        <v>2787.2047475587246</v>
      </c>
      <c r="F28" s="198">
        <v>2400</v>
      </c>
      <c r="G28" s="136">
        <f t="shared" si="1"/>
        <v>1794.4</v>
      </c>
      <c r="H28" s="136">
        <f t="shared" si="2"/>
        <v>605.6</v>
      </c>
      <c r="I28" s="137">
        <f>SUM(J28*E16)</f>
        <v>151.4</v>
      </c>
      <c r="J28" s="138">
        <v>2</v>
      </c>
      <c r="K28" s="136">
        <f t="shared" si="3"/>
        <v>1249.3600000000001</v>
      </c>
      <c r="L28" s="136">
        <f t="shared" ref="L28:L33" si="5">SUM(M28*9)</f>
        <v>545.04</v>
      </c>
      <c r="M28" s="137">
        <f>SUM(N28*E16)</f>
        <v>60.56</v>
      </c>
      <c r="N28" s="139">
        <v>0.8</v>
      </c>
      <c r="O28" s="140">
        <f t="shared" si="4"/>
        <v>312.34000000000003</v>
      </c>
      <c r="P28" s="141">
        <f>SUM(O28/E16)</f>
        <v>4.1260237780713345</v>
      </c>
      <c r="S28" s="63"/>
      <c r="T28" s="63"/>
      <c r="U28" s="63"/>
      <c r="V28" s="63"/>
      <c r="W28" s="63"/>
      <c r="X28" s="63"/>
      <c r="Y28" s="63"/>
      <c r="Z28" s="102"/>
      <c r="AE28" s="92"/>
      <c r="AF28" s="92"/>
      <c r="AG28" s="92"/>
      <c r="AH28" s="145"/>
      <c r="AI28" s="126"/>
      <c r="AJ28" s="92"/>
      <c r="AK28" s="92"/>
      <c r="AL28" s="92"/>
      <c r="AM28" s="92"/>
      <c r="AN28" s="92"/>
      <c r="AO28" s="104"/>
      <c r="AQ28" s="98"/>
      <c r="AR28" s="98"/>
    </row>
    <row r="29" spans="1:46" ht="20.100000000000001" customHeight="1">
      <c r="D29" s="135" t="s">
        <v>85</v>
      </c>
      <c r="E29" s="136">
        <f>SUM(Q53)</f>
        <v>2459.5222053087246</v>
      </c>
      <c r="F29" s="198">
        <v>2400</v>
      </c>
      <c r="G29" s="136">
        <f t="shared" si="1"/>
        <v>1794.4</v>
      </c>
      <c r="H29" s="136">
        <f t="shared" si="2"/>
        <v>605.6</v>
      </c>
      <c r="I29" s="137">
        <f>SUM(J29*E16)</f>
        <v>151.4</v>
      </c>
      <c r="J29" s="138">
        <v>2</v>
      </c>
      <c r="K29" s="136">
        <f t="shared" si="3"/>
        <v>1249.3600000000001</v>
      </c>
      <c r="L29" s="136">
        <f t="shared" si="5"/>
        <v>545.04</v>
      </c>
      <c r="M29" s="137">
        <f>SUM(N29*E16)</f>
        <v>60.56</v>
      </c>
      <c r="N29" s="139">
        <v>0.8</v>
      </c>
      <c r="O29" s="140">
        <f t="shared" si="4"/>
        <v>312.34000000000003</v>
      </c>
      <c r="P29" s="141">
        <f>SUM(O29/E16)</f>
        <v>4.1260237780713345</v>
      </c>
      <c r="S29" s="63"/>
      <c r="T29" s="63"/>
      <c r="U29" s="63"/>
      <c r="V29" s="63"/>
      <c r="W29" s="63"/>
      <c r="X29" s="63"/>
      <c r="Y29" s="63"/>
      <c r="Z29" s="102"/>
      <c r="AE29" s="92"/>
      <c r="AF29" s="92"/>
      <c r="AG29" s="92"/>
      <c r="AH29" s="146"/>
      <c r="AI29" s="126"/>
      <c r="AJ29" s="92"/>
      <c r="AK29" s="92"/>
      <c r="AL29" s="92"/>
      <c r="AM29" s="92"/>
      <c r="AN29" s="92"/>
      <c r="AO29" s="104"/>
      <c r="AQ29" s="98"/>
      <c r="AR29" s="98"/>
    </row>
    <row r="30" spans="1:46" ht="20.100000000000001" customHeight="1">
      <c r="D30" s="135" t="s">
        <v>86</v>
      </c>
      <c r="E30" s="136">
        <f>SUM(Q57)</f>
        <v>2787.2047475587246</v>
      </c>
      <c r="F30" s="198">
        <v>2400</v>
      </c>
      <c r="G30" s="136">
        <f t="shared" si="1"/>
        <v>1794.4</v>
      </c>
      <c r="H30" s="136">
        <f t="shared" si="2"/>
        <v>605.6</v>
      </c>
      <c r="I30" s="137">
        <f>SUM(J30*E16)</f>
        <v>151.4</v>
      </c>
      <c r="J30" s="138">
        <v>2</v>
      </c>
      <c r="K30" s="136">
        <f t="shared" si="3"/>
        <v>1249.3600000000001</v>
      </c>
      <c r="L30" s="136">
        <f t="shared" si="5"/>
        <v>545.04</v>
      </c>
      <c r="M30" s="137">
        <f>SUM(N30*E16)</f>
        <v>60.56</v>
      </c>
      <c r="N30" s="139">
        <v>0.8</v>
      </c>
      <c r="O30" s="140">
        <f t="shared" si="4"/>
        <v>312.34000000000003</v>
      </c>
      <c r="P30" s="141">
        <f>SUM(O30/E16)</f>
        <v>4.1260237780713345</v>
      </c>
      <c r="S30" s="63"/>
      <c r="T30" s="63"/>
      <c r="U30" s="63"/>
      <c r="V30" s="63"/>
      <c r="W30" s="63"/>
      <c r="X30" s="63"/>
      <c r="Y30" s="63"/>
      <c r="Z30" s="102"/>
      <c r="AE30" s="92"/>
      <c r="AF30" s="147"/>
      <c r="AG30" s="147"/>
      <c r="AH30" s="146"/>
      <c r="AI30" s="126"/>
      <c r="AJ30" s="92"/>
      <c r="AK30" s="92"/>
      <c r="AL30" s="92"/>
      <c r="AM30" s="92"/>
      <c r="AN30" s="92"/>
      <c r="AO30" s="104"/>
      <c r="AQ30" s="98"/>
      <c r="AR30" s="98"/>
    </row>
    <row r="31" spans="1:46" ht="20.100000000000001" customHeight="1">
      <c r="D31" s="135" t="s">
        <v>87</v>
      </c>
      <c r="E31" s="136">
        <f>SUM(Q61)</f>
        <v>2787.2047475587246</v>
      </c>
      <c r="F31" s="198">
        <v>2400</v>
      </c>
      <c r="G31" s="136">
        <f t="shared" si="1"/>
        <v>1794.4</v>
      </c>
      <c r="H31" s="136">
        <f t="shared" si="2"/>
        <v>605.6</v>
      </c>
      <c r="I31" s="137">
        <f>SUM(J31*E16)</f>
        <v>151.4</v>
      </c>
      <c r="J31" s="138">
        <v>2</v>
      </c>
      <c r="K31" s="136">
        <f t="shared" si="3"/>
        <v>1249.3600000000001</v>
      </c>
      <c r="L31" s="136">
        <f t="shared" si="5"/>
        <v>545.04</v>
      </c>
      <c r="M31" s="137">
        <f>SUM(N31*E16)</f>
        <v>60.56</v>
      </c>
      <c r="N31" s="139">
        <v>0.8</v>
      </c>
      <c r="O31" s="140">
        <f t="shared" si="4"/>
        <v>312.34000000000003</v>
      </c>
      <c r="P31" s="141">
        <f>SUM(O31/E16)</f>
        <v>4.1260237780713345</v>
      </c>
      <c r="S31" s="63"/>
      <c r="T31" s="63"/>
      <c r="U31" s="63"/>
      <c r="V31" s="63"/>
      <c r="W31" s="63"/>
      <c r="X31" s="63"/>
      <c r="Y31" s="63"/>
      <c r="Z31" s="102"/>
      <c r="AE31" s="92"/>
      <c r="AF31" s="147"/>
      <c r="AG31" s="147"/>
      <c r="AH31" s="146"/>
      <c r="AI31" s="126"/>
      <c r="AJ31" s="92"/>
      <c r="AK31" s="92"/>
      <c r="AL31" s="92"/>
      <c r="AM31" s="92"/>
      <c r="AN31" s="92"/>
      <c r="AO31" s="104"/>
      <c r="AQ31" s="98"/>
      <c r="AR31" s="98"/>
    </row>
    <row r="32" spans="1:46" ht="20.100000000000001" customHeight="1">
      <c r="D32" s="135" t="s">
        <v>88</v>
      </c>
      <c r="E32" s="136">
        <f>SUM(Q65)</f>
        <v>2459.5222053087246</v>
      </c>
      <c r="F32" s="198">
        <v>2400</v>
      </c>
      <c r="G32" s="136">
        <f t="shared" si="1"/>
        <v>1794.4</v>
      </c>
      <c r="H32" s="136">
        <f t="shared" si="2"/>
        <v>605.6</v>
      </c>
      <c r="I32" s="137">
        <f>SUM(J32*E16)</f>
        <v>151.4</v>
      </c>
      <c r="J32" s="138">
        <v>2</v>
      </c>
      <c r="K32" s="136">
        <f t="shared" si="3"/>
        <v>1249.3600000000001</v>
      </c>
      <c r="L32" s="136">
        <f t="shared" si="5"/>
        <v>545.04</v>
      </c>
      <c r="M32" s="137">
        <f>SUM(N32*E16)</f>
        <v>60.56</v>
      </c>
      <c r="N32" s="139">
        <v>0.8</v>
      </c>
      <c r="O32" s="140">
        <f t="shared" si="4"/>
        <v>312.34000000000003</v>
      </c>
      <c r="P32" s="141">
        <f>SUM(O32/E16)</f>
        <v>4.1260237780713345</v>
      </c>
      <c r="S32" s="63"/>
      <c r="T32" s="63"/>
      <c r="U32" s="63"/>
      <c r="V32" s="63"/>
      <c r="W32" s="63"/>
      <c r="X32" s="63"/>
      <c r="Y32" s="63"/>
      <c r="Z32" s="102"/>
      <c r="AE32" s="92"/>
      <c r="AF32" s="92"/>
      <c r="AG32" s="147"/>
      <c r="AH32" s="146"/>
      <c r="AI32" s="126"/>
      <c r="AJ32" s="92"/>
      <c r="AK32" s="92"/>
      <c r="AL32" s="92"/>
      <c r="AM32" s="92"/>
      <c r="AN32" s="92"/>
      <c r="AO32" s="104"/>
      <c r="AQ32" s="98"/>
      <c r="AR32" s="98"/>
    </row>
    <row r="33" spans="2:44" ht="20.100000000000001" customHeight="1">
      <c r="D33" s="135" t="s">
        <v>89</v>
      </c>
      <c r="E33" s="136">
        <f>SUM(Q69)</f>
        <v>2459.5222053087246</v>
      </c>
      <c r="F33" s="198">
        <v>2400</v>
      </c>
      <c r="G33" s="136">
        <f t="shared" si="1"/>
        <v>1794.4</v>
      </c>
      <c r="H33" s="136">
        <f t="shared" si="2"/>
        <v>605.6</v>
      </c>
      <c r="I33" s="137">
        <f>SUM(J33*E16)</f>
        <v>151.4</v>
      </c>
      <c r="J33" s="138">
        <v>2</v>
      </c>
      <c r="K33" s="136">
        <f t="shared" si="3"/>
        <v>1249.3600000000001</v>
      </c>
      <c r="L33" s="136">
        <f t="shared" si="5"/>
        <v>545.04</v>
      </c>
      <c r="M33" s="137">
        <f>SUM(N33*E16)</f>
        <v>60.56</v>
      </c>
      <c r="N33" s="139">
        <v>0.8</v>
      </c>
      <c r="O33" s="140">
        <f t="shared" si="4"/>
        <v>312.34000000000003</v>
      </c>
      <c r="P33" s="141">
        <f>SUM(O33/E16)</f>
        <v>4.1260237780713345</v>
      </c>
      <c r="S33" s="63"/>
      <c r="T33" s="63"/>
      <c r="U33" s="63"/>
      <c r="V33" s="63"/>
      <c r="W33" s="63"/>
      <c r="X33" s="63"/>
      <c r="Y33" s="63"/>
      <c r="Z33" s="102"/>
      <c r="AE33" s="92"/>
      <c r="AF33" s="92"/>
      <c r="AG33" s="147"/>
      <c r="AH33" s="146"/>
      <c r="AI33" s="126"/>
      <c r="AJ33" s="92"/>
      <c r="AK33" s="92"/>
      <c r="AL33" s="92"/>
      <c r="AM33" s="92"/>
      <c r="AN33" s="92"/>
      <c r="AO33" s="104"/>
      <c r="AQ33" s="98"/>
      <c r="AR33" s="98"/>
    </row>
    <row r="34" spans="2:44" ht="20.100000000000001" customHeight="1">
      <c r="D34" s="148" t="s">
        <v>90</v>
      </c>
      <c r="E34" s="149">
        <f>SUM(E27:E33)</f>
        <v>18527.385606161071</v>
      </c>
      <c r="F34" s="149">
        <f>SUM(F27:F33)</f>
        <v>16800</v>
      </c>
      <c r="G34" s="150"/>
      <c r="H34" s="151">
        <f>SUM(H27+H28+H29+H30+H31+H32+H33)/7</f>
        <v>605.6</v>
      </c>
      <c r="I34" s="152">
        <f>SUM(I27+I28+I29+I30+I31+I32+I33)/7</f>
        <v>151.4</v>
      </c>
      <c r="J34" s="151"/>
      <c r="K34" s="151"/>
      <c r="L34" s="151">
        <f>SUM(L27+L28+L29+L30+L31+L32+L33)/7</f>
        <v>545.04</v>
      </c>
      <c r="M34" s="152">
        <f>SUM(M27+M28+M29+M30+M31+M32+M33)/7</f>
        <v>60.56</v>
      </c>
      <c r="N34" s="153"/>
      <c r="O34" s="152">
        <f>SUM(O27+O28+O29+O30+O31+O32+O33)/7</f>
        <v>312.34000000000009</v>
      </c>
      <c r="P34" s="152">
        <f>SUM(P27+P28+P29+P30+P31+P32+P33)/7</f>
        <v>4.1260237780713345</v>
      </c>
      <c r="S34" s="63"/>
      <c r="T34" s="63"/>
      <c r="U34" s="63"/>
      <c r="V34" s="63"/>
      <c r="W34" s="63"/>
      <c r="X34" s="63"/>
      <c r="Y34" s="63"/>
      <c r="Z34" s="102"/>
      <c r="AE34" s="92"/>
      <c r="AF34" s="147"/>
      <c r="AG34" s="147"/>
      <c r="AH34" s="146"/>
      <c r="AI34" s="126"/>
      <c r="AJ34" s="92"/>
      <c r="AK34" s="92"/>
      <c r="AL34" s="92"/>
      <c r="AM34" s="92"/>
      <c r="AN34" s="92"/>
      <c r="AO34" s="104"/>
      <c r="AQ34" s="98"/>
      <c r="AR34" s="98"/>
    </row>
    <row r="35" spans="2:44" ht="38.1" customHeight="1">
      <c r="D35" s="273" t="s">
        <v>91</v>
      </c>
      <c r="E35" s="154">
        <f>SUM(E34/7)</f>
        <v>2646.7693723087245</v>
      </c>
      <c r="F35" s="154">
        <f>SUM(F34/7)</f>
        <v>2400</v>
      </c>
      <c r="I35" s="155">
        <f>SUM(H34/F$35)</f>
        <v>0.25233333333333335</v>
      </c>
      <c r="J35" s="156">
        <f>SUM(I34-W24)</f>
        <v>151.4</v>
      </c>
      <c r="K35" s="157"/>
      <c r="L35" s="157"/>
      <c r="M35" s="155">
        <f>SUM(L34/F$35)</f>
        <v>0.2271</v>
      </c>
      <c r="N35" s="157"/>
      <c r="O35" s="155">
        <f>SUM((F35-L34-H34)/F$35)</f>
        <v>0.52056666666666673</v>
      </c>
      <c r="S35" s="63"/>
      <c r="T35" s="63"/>
      <c r="U35" s="63"/>
      <c r="V35" s="63"/>
      <c r="W35" s="63"/>
      <c r="X35" s="63"/>
      <c r="Y35" s="63"/>
      <c r="Z35" s="158"/>
      <c r="AC35" s="159"/>
      <c r="AD35" s="159"/>
      <c r="AE35" s="89"/>
      <c r="AF35" s="160"/>
      <c r="AG35" s="160"/>
      <c r="AH35" s="160"/>
      <c r="AI35" s="126"/>
      <c r="AJ35" s="92"/>
      <c r="AK35" s="92"/>
      <c r="AL35" s="92"/>
      <c r="AM35" s="92"/>
      <c r="AN35" s="92"/>
      <c r="AO35" s="92"/>
    </row>
    <row r="36" spans="2:44" ht="18" customHeight="1">
      <c r="D36" s="199" t="s">
        <v>92</v>
      </c>
      <c r="E36" s="199"/>
      <c r="F36" s="154"/>
      <c r="I36" s="155"/>
      <c r="J36" s="156"/>
      <c r="K36" s="157"/>
      <c r="L36" s="157"/>
      <c r="M36" s="155"/>
      <c r="N36" s="157"/>
      <c r="O36" s="155"/>
      <c r="S36" s="63"/>
      <c r="T36" s="63"/>
      <c r="U36" s="63"/>
      <c r="V36" s="63"/>
      <c r="W36" s="63"/>
      <c r="X36" s="63"/>
      <c r="Y36" s="63"/>
      <c r="Z36" s="158"/>
      <c r="AC36" s="159"/>
      <c r="AD36" s="159"/>
      <c r="AE36" s="89"/>
      <c r="AF36" s="160"/>
      <c r="AG36" s="160"/>
      <c r="AH36" s="160"/>
      <c r="AI36" s="126"/>
      <c r="AJ36" s="92"/>
      <c r="AK36" s="92"/>
      <c r="AL36" s="92"/>
      <c r="AM36" s="92"/>
      <c r="AN36" s="92"/>
      <c r="AO36" s="92"/>
    </row>
    <row r="37" spans="2:44" ht="9" customHeight="1">
      <c r="D37" s="213"/>
      <c r="E37" s="213"/>
      <c r="F37" s="154"/>
      <c r="I37" s="155"/>
      <c r="J37" s="156"/>
      <c r="K37" s="157"/>
      <c r="L37" s="157"/>
      <c r="M37" s="155"/>
      <c r="N37" s="157"/>
      <c r="O37" s="155"/>
      <c r="S37" s="63"/>
      <c r="T37" s="63"/>
      <c r="U37" s="63"/>
      <c r="V37" s="63"/>
      <c r="W37" s="63"/>
      <c r="X37" s="63"/>
      <c r="Y37" s="63"/>
      <c r="Z37" s="158"/>
      <c r="AC37" s="159"/>
      <c r="AD37" s="159"/>
      <c r="AE37" s="89"/>
      <c r="AF37" s="160"/>
      <c r="AG37" s="160"/>
      <c r="AH37" s="160"/>
      <c r="AI37" s="126"/>
      <c r="AJ37" s="92"/>
      <c r="AK37" s="92"/>
      <c r="AL37" s="92"/>
      <c r="AM37" s="92"/>
      <c r="AN37" s="92"/>
      <c r="AO37" s="92"/>
    </row>
    <row r="38" spans="2:44" ht="38.1" customHeight="1">
      <c r="D38" s="265" t="s">
        <v>93</v>
      </c>
      <c r="E38" s="265" t="s">
        <v>83</v>
      </c>
      <c r="F38" s="265" t="s">
        <v>84</v>
      </c>
      <c r="G38" s="265" t="s">
        <v>85</v>
      </c>
      <c r="H38" s="265" t="s">
        <v>86</v>
      </c>
      <c r="I38" s="265" t="s">
        <v>87</v>
      </c>
      <c r="J38" s="265" t="s">
        <v>88</v>
      </c>
      <c r="K38" s="265" t="s">
        <v>89</v>
      </c>
      <c r="L38" s="157"/>
      <c r="M38" s="297"/>
      <c r="N38" s="297"/>
      <c r="O38" s="297" t="s">
        <v>94</v>
      </c>
      <c r="P38" s="297"/>
      <c r="S38" s="63"/>
      <c r="T38" s="63"/>
      <c r="U38" s="63"/>
      <c r="V38" s="63"/>
      <c r="W38" s="63"/>
      <c r="X38" s="63"/>
      <c r="Y38" s="63"/>
      <c r="Z38" s="158"/>
      <c r="AC38" s="159"/>
      <c r="AD38" s="159"/>
      <c r="AE38" s="89"/>
      <c r="AF38" s="160"/>
      <c r="AG38" s="160"/>
      <c r="AH38" s="160"/>
      <c r="AI38" s="126"/>
      <c r="AJ38" s="92"/>
      <c r="AK38" s="92"/>
      <c r="AL38" s="92"/>
      <c r="AM38" s="92"/>
      <c r="AN38" s="92"/>
      <c r="AO38" s="92"/>
    </row>
    <row r="39" spans="2:44" ht="38.1" customHeight="1">
      <c r="D39" s="265" t="s">
        <v>95</v>
      </c>
      <c r="E39" s="214">
        <v>7000</v>
      </c>
      <c r="F39" s="214">
        <v>7000</v>
      </c>
      <c r="G39" s="214">
        <v>7000</v>
      </c>
      <c r="H39" s="214">
        <v>7000</v>
      </c>
      <c r="I39" s="214">
        <v>7000</v>
      </c>
      <c r="J39" s="214">
        <v>7000</v>
      </c>
      <c r="K39" s="214">
        <v>7000</v>
      </c>
      <c r="L39" s="157"/>
      <c r="M39" s="297" t="s">
        <v>96</v>
      </c>
      <c r="N39" s="297"/>
      <c r="O39" s="298">
        <f>IF(P39=0,SUM(E39:K39)/7,P39)</f>
        <v>7000</v>
      </c>
      <c r="P39" s="298"/>
      <c r="S39" s="63"/>
      <c r="T39" s="63"/>
      <c r="U39" s="63"/>
      <c r="V39" s="63"/>
      <c r="W39" s="63"/>
      <c r="X39" s="63"/>
      <c r="Y39" s="63"/>
      <c r="Z39" s="158"/>
      <c r="AC39" s="159"/>
      <c r="AD39" s="159"/>
      <c r="AE39" s="89"/>
      <c r="AF39" s="160"/>
      <c r="AG39" s="160"/>
      <c r="AH39" s="160"/>
      <c r="AI39" s="126"/>
      <c r="AJ39" s="92"/>
      <c r="AK39" s="92"/>
      <c r="AL39" s="92"/>
      <c r="AM39" s="92"/>
      <c r="AN39" s="92"/>
      <c r="AO39" s="92"/>
    </row>
    <row r="40" spans="2:44" ht="38.1" customHeight="1">
      <c r="D40" s="265" t="s">
        <v>97</v>
      </c>
      <c r="E40" s="215">
        <f t="shared" ref="E40:K40" si="6">E39/83.33*3/60*$E$16</f>
        <v>317.95271810872441</v>
      </c>
      <c r="F40" s="215">
        <f t="shared" si="6"/>
        <v>317.95271810872441</v>
      </c>
      <c r="G40" s="215">
        <f t="shared" si="6"/>
        <v>317.95271810872441</v>
      </c>
      <c r="H40" s="215">
        <f t="shared" si="6"/>
        <v>317.95271810872441</v>
      </c>
      <c r="I40" s="215">
        <f t="shared" si="6"/>
        <v>317.95271810872441</v>
      </c>
      <c r="J40" s="215">
        <f t="shared" si="6"/>
        <v>317.95271810872441</v>
      </c>
      <c r="K40" s="215">
        <f t="shared" si="6"/>
        <v>317.95271810872441</v>
      </c>
      <c r="L40" s="157"/>
      <c r="M40" s="297" t="s">
        <v>98</v>
      </c>
      <c r="N40" s="297"/>
      <c r="O40" s="299">
        <f>IF(P40="",O39/83.33*3/60*$E$16,P40)</f>
        <v>317.95271810872441</v>
      </c>
      <c r="P40" s="299"/>
      <c r="S40" s="63"/>
      <c r="T40" s="63"/>
      <c r="U40" s="63"/>
      <c r="V40" s="63"/>
      <c r="W40" s="63"/>
      <c r="X40" s="63"/>
      <c r="Y40" s="63"/>
      <c r="Z40" s="158"/>
      <c r="AC40" s="159"/>
      <c r="AD40" s="159"/>
      <c r="AE40" s="89"/>
      <c r="AF40" s="160"/>
      <c r="AG40" s="160"/>
      <c r="AH40" s="160"/>
      <c r="AI40" s="126"/>
      <c r="AJ40" s="92"/>
      <c r="AK40" s="92"/>
      <c r="AL40" s="92"/>
      <c r="AM40" s="92"/>
      <c r="AN40" s="92"/>
      <c r="AO40" s="92"/>
    </row>
    <row r="41" spans="2:44" ht="38.1" customHeight="1">
      <c r="D41" s="273"/>
      <c r="E41" s="196"/>
      <c r="F41" s="196"/>
      <c r="G41" s="196"/>
      <c r="H41" s="196"/>
      <c r="I41" s="196"/>
      <c r="J41" s="196"/>
      <c r="K41" s="196"/>
      <c r="L41" s="157"/>
      <c r="M41" s="155"/>
      <c r="N41" s="157"/>
      <c r="O41" s="155"/>
      <c r="S41" s="63"/>
      <c r="T41" s="63"/>
      <c r="U41" s="63"/>
      <c r="V41" s="63"/>
      <c r="W41" s="63"/>
      <c r="X41" s="63"/>
      <c r="Y41" s="63"/>
      <c r="Z41" s="158"/>
      <c r="AC41" s="159"/>
      <c r="AD41" s="159"/>
      <c r="AE41" s="89"/>
      <c r="AF41" s="160"/>
      <c r="AG41" s="160"/>
      <c r="AH41" s="160"/>
      <c r="AI41" s="126"/>
      <c r="AJ41" s="92"/>
      <c r="AK41" s="92"/>
      <c r="AL41" s="92"/>
      <c r="AM41" s="92"/>
      <c r="AN41" s="92"/>
      <c r="AO41" s="92"/>
    </row>
    <row r="42" spans="2:44" ht="35.1" customHeight="1">
      <c r="D42" s="372" t="s">
        <v>99</v>
      </c>
      <c r="E42" s="372"/>
      <c r="F42" s="154"/>
      <c r="I42" s="155"/>
      <c r="J42" s="156"/>
      <c r="K42" s="157"/>
      <c r="L42" s="205"/>
      <c r="M42" s="155"/>
      <c r="N42" s="157"/>
      <c r="O42" s="155"/>
      <c r="Y42" s="61"/>
      <c r="Z42" s="158"/>
      <c r="AC42" s="159"/>
      <c r="AD42" s="159"/>
      <c r="AE42" s="89"/>
      <c r="AF42" s="160"/>
      <c r="AG42" s="160"/>
      <c r="AH42" s="160"/>
      <c r="AI42" s="126"/>
      <c r="AJ42" s="92"/>
      <c r="AK42" s="92"/>
      <c r="AL42" s="92"/>
      <c r="AM42" s="92"/>
      <c r="AN42" s="92"/>
      <c r="AO42" s="92"/>
    </row>
    <row r="43" spans="2:44" ht="20.100000000000001" customHeight="1">
      <c r="D43" s="369" t="s">
        <v>93</v>
      </c>
      <c r="E43" s="367" t="s">
        <v>100</v>
      </c>
      <c r="F43" s="367" t="s">
        <v>101</v>
      </c>
      <c r="G43" s="161"/>
      <c r="H43" s="162"/>
      <c r="I43" s="162"/>
      <c r="J43" s="162"/>
      <c r="K43" s="274" t="s">
        <v>102</v>
      </c>
      <c r="L43" s="274" t="s">
        <v>103</v>
      </c>
      <c r="M43" s="206" t="s">
        <v>104</v>
      </c>
      <c r="N43" s="163"/>
      <c r="O43" s="313" t="s">
        <v>105</v>
      </c>
      <c r="P43" s="314"/>
      <c r="Q43" s="300" t="s">
        <v>106</v>
      </c>
      <c r="Y43" s="61"/>
      <c r="Z43" s="102"/>
      <c r="AE43" s="89"/>
      <c r="AF43" s="160"/>
      <c r="AG43" s="160"/>
      <c r="AH43" s="160"/>
      <c r="AI43" s="126"/>
      <c r="AJ43" s="92"/>
      <c r="AK43" s="92"/>
      <c r="AL43" s="92"/>
      <c r="AM43" s="92"/>
      <c r="AN43" s="92"/>
      <c r="AO43" s="92"/>
    </row>
    <row r="44" spans="2:44" ht="37.200000000000003">
      <c r="D44" s="370"/>
      <c r="E44" s="368"/>
      <c r="F44" s="368"/>
      <c r="G44" s="272" t="s">
        <v>107</v>
      </c>
      <c r="H44" s="272" t="s">
        <v>108</v>
      </c>
      <c r="I44" s="272" t="s">
        <v>109</v>
      </c>
      <c r="J44" s="272" t="s">
        <v>110</v>
      </c>
      <c r="K44" s="362" t="s">
        <v>111</v>
      </c>
      <c r="L44" s="363"/>
      <c r="M44" s="363"/>
      <c r="N44" s="216" t="s">
        <v>112</v>
      </c>
      <c r="O44" s="216" t="s">
        <v>113</v>
      </c>
      <c r="P44" s="217" t="s">
        <v>114</v>
      </c>
      <c r="Q44" s="301"/>
      <c r="R44" s="69"/>
      <c r="Y44" s="61"/>
      <c r="Z44" s="164"/>
      <c r="AC44" s="165"/>
      <c r="AD44" s="165"/>
      <c r="AE44" s="166"/>
      <c r="AF44" s="167"/>
      <c r="AG44" s="167"/>
      <c r="AH44" s="167"/>
      <c r="AI44" s="91"/>
      <c r="AJ44" s="92"/>
      <c r="AK44" s="92"/>
      <c r="AL44" s="92"/>
      <c r="AM44" s="92"/>
      <c r="AN44" s="92"/>
      <c r="AO44" s="92"/>
    </row>
    <row r="45" spans="2:44" ht="20.399999999999999" customHeight="1">
      <c r="B45" s="195"/>
      <c r="C45" s="76"/>
      <c r="D45" s="356" t="s">
        <v>83</v>
      </c>
      <c r="E45" s="168" t="s">
        <v>4</v>
      </c>
      <c r="F45" s="169" t="s">
        <v>115</v>
      </c>
      <c r="G45" s="170">
        <f>IF(H45&lt;"","",IFERROR(VLOOKUP(F45,'Metabolic equivalents'!$C:$D,2,FALSE),""))</f>
        <v>6</v>
      </c>
      <c r="H45" s="170" t="str">
        <f>IF(I45="","",(IF(E13="Male",(-95.7735+(0.271*$E$14)+(0.394*$E$16)+(0.404*$E$21)+(0.634*I45))/4.184,IF($E$13="Female",(-59.3954+(0.274*$E$14)+(0.103*$E$16)+(0.38*$E$21)+(0.45*I45))/4.184))))</f>
        <v/>
      </c>
      <c r="I45" s="171"/>
      <c r="J45" s="172">
        <v>45</v>
      </c>
      <c r="K45" s="173">
        <f t="shared" ref="K45:K72" si="7">IF(G45="","",IF(M45= "", SUM(J45*G45/60*E$16),"") )</f>
        <v>340.65000000000003</v>
      </c>
      <c r="L45" s="173" t="str">
        <f>IF(H45="","",IF(M45= "", SUM(H45*J45),"") )</f>
        <v/>
      </c>
      <c r="M45" s="174"/>
      <c r="N45" s="302">
        <f>SUM(K45:M48)-(1.3*SUM(J45:J48)/60*E16)+(SUM(J45:J48)/1440*N19)</f>
        <v>327.68254225000004</v>
      </c>
      <c r="O45" s="291">
        <f>SUM(F27-N45)/F19</f>
        <v>31.538474358369502</v>
      </c>
      <c r="P45" s="291">
        <f>SUM(F27-N45)/F19</f>
        <v>31.538474358369502</v>
      </c>
      <c r="Q45" s="294">
        <f>SUM(G23+N45)</f>
        <v>2787.2047475587246</v>
      </c>
      <c r="R45" s="69"/>
      <c r="Y45" s="61"/>
      <c r="Z45" s="175"/>
      <c r="AC45" s="176"/>
      <c r="AD45" s="176"/>
      <c r="AE45" s="166"/>
      <c r="AF45" s="167"/>
      <c r="AG45" s="167"/>
      <c r="AH45" s="167"/>
      <c r="AI45" s="91"/>
      <c r="AJ45" s="92"/>
      <c r="AK45" s="92"/>
      <c r="AL45" s="92"/>
      <c r="AM45" s="92"/>
      <c r="AN45" s="92"/>
      <c r="AO45" s="92"/>
    </row>
    <row r="46" spans="2:44" ht="20.399999999999999" customHeight="1">
      <c r="C46" s="76"/>
      <c r="D46" s="357"/>
      <c r="E46" s="168"/>
      <c r="F46" s="169"/>
      <c r="G46" s="170" t="str">
        <f>IF(H46&lt;"","",IFERROR(VLOOKUP(F46,'Metabolic equivalents'!$C:$D,2,FALSE),""))</f>
        <v/>
      </c>
      <c r="H46" s="170" t="str">
        <f>IF(I46="","",(IF(E13="Male",(-95.7735+(0.271*$E$14)+(0.394*$E$16)+(0.404*$E$21)+(0.634*I46))/4.184,IF($E$13="Female",(-59.3954+(0.274*$E$14)+(0.103*$E$16)+(0.38*$E$21)+(0.45*I46))/4.184))))</f>
        <v/>
      </c>
      <c r="I46" s="171"/>
      <c r="J46" s="172"/>
      <c r="K46" s="173" t="str">
        <f t="shared" si="7"/>
        <v/>
      </c>
      <c r="L46" s="173" t="str">
        <f t="shared" ref="L46:L72" si="8">IF(H46="","",IF(M46= "", SUM(H46*J46),"") )</f>
        <v/>
      </c>
      <c r="M46" s="174"/>
      <c r="N46" s="303"/>
      <c r="O46" s="292"/>
      <c r="P46" s="292"/>
      <c r="Q46" s="295"/>
      <c r="R46" s="69"/>
      <c r="Y46" s="61"/>
      <c r="Z46" s="177"/>
      <c r="AC46" s="178"/>
      <c r="AD46" s="178"/>
      <c r="AE46" s="166"/>
      <c r="AF46" s="167"/>
      <c r="AG46" s="167"/>
      <c r="AH46" s="167"/>
      <c r="AI46" s="91"/>
      <c r="AJ46" s="92"/>
      <c r="AK46" s="92"/>
      <c r="AL46" s="92"/>
      <c r="AM46" s="92"/>
      <c r="AN46" s="92"/>
      <c r="AO46" s="92"/>
    </row>
    <row r="47" spans="2:44" ht="20.399999999999999" customHeight="1">
      <c r="C47" s="76"/>
      <c r="D47" s="357"/>
      <c r="E47" s="168"/>
      <c r="F47" s="169"/>
      <c r="G47" s="170" t="str">
        <f>IF(H47&lt;"","",IFERROR(VLOOKUP(F47,'Metabolic equivalents'!$C:$D,2,FALSE),""))</f>
        <v/>
      </c>
      <c r="H47" s="170" t="str">
        <f>IF(I47="","",(IF(E13="Male",(-95.7735+(0.271*$E$14)+(0.394*$E$16)+(0.404*$E$21)+(0.634*I47))/4.184,IF($E$13="Female",(-59.3954+(0.274*$E$14)+(0.103*$E$16)+(0.38*$E$21)+(0.45*I47))/4.184))))</f>
        <v/>
      </c>
      <c r="I47" s="171"/>
      <c r="J47" s="172"/>
      <c r="K47" s="173" t="str">
        <f t="shared" si="7"/>
        <v/>
      </c>
      <c r="L47" s="173" t="str">
        <f t="shared" si="8"/>
        <v/>
      </c>
      <c r="M47" s="174"/>
      <c r="N47" s="303"/>
      <c r="O47" s="292"/>
      <c r="P47" s="292"/>
      <c r="Q47" s="295"/>
      <c r="R47" s="69"/>
      <c r="Y47" s="61"/>
      <c r="Z47" s="175"/>
      <c r="AC47" s="176"/>
      <c r="AD47" s="176"/>
      <c r="AE47" s="166"/>
      <c r="AF47" s="167"/>
      <c r="AG47" s="167"/>
      <c r="AH47" s="167"/>
      <c r="AI47" s="91"/>
      <c r="AJ47" s="92"/>
      <c r="AK47" s="92"/>
      <c r="AL47" s="92"/>
      <c r="AM47" s="92"/>
      <c r="AN47" s="92"/>
      <c r="AO47" s="92"/>
    </row>
    <row r="48" spans="2:44" ht="20.399999999999999" customHeight="1">
      <c r="C48" s="76"/>
      <c r="D48" s="357"/>
      <c r="E48" s="168"/>
      <c r="F48" s="169"/>
      <c r="G48" s="170" t="str">
        <f>IF(H48&lt;"","",IFERROR(VLOOKUP(F48,'Metabolic equivalents'!$C:$D,2,FALSE),""))</f>
        <v/>
      </c>
      <c r="H48" s="170" t="str">
        <f>IF(I48="","",(IF(E13="Male",(-95.7735+(0.271*$E$14)+(0.394*$E$16)+(0.404*$E$21)+(0.634*I48))/4.184,IF($E$13="Female",(-59.3954+(0.274*$E$14)+(0.103*$E$16)+(0.38*$E$21)+(0.45*I48))/4.184))))</f>
        <v/>
      </c>
      <c r="I48" s="171"/>
      <c r="J48" s="172"/>
      <c r="K48" s="173" t="str">
        <f t="shared" si="7"/>
        <v/>
      </c>
      <c r="L48" s="173" t="str">
        <f t="shared" si="8"/>
        <v/>
      </c>
      <c r="M48" s="174"/>
      <c r="N48" s="304"/>
      <c r="O48" s="293"/>
      <c r="P48" s="293"/>
      <c r="Q48" s="295"/>
      <c r="R48" s="69"/>
      <c r="Y48" s="61"/>
      <c r="Z48" s="175"/>
      <c r="AC48" s="176"/>
      <c r="AD48" s="176"/>
      <c r="AE48" s="166"/>
      <c r="AF48" s="167"/>
      <c r="AG48" s="167"/>
      <c r="AH48" s="167"/>
      <c r="AI48" s="91"/>
      <c r="AJ48" s="92"/>
      <c r="AK48" s="92"/>
      <c r="AL48" s="92"/>
      <c r="AM48" s="92"/>
      <c r="AN48" s="92"/>
      <c r="AO48" s="92"/>
    </row>
    <row r="49" spans="3:41" ht="20.399999999999999" customHeight="1">
      <c r="C49" s="76"/>
      <c r="D49" s="356" t="s">
        <v>84</v>
      </c>
      <c r="E49" s="168" t="s">
        <v>4</v>
      </c>
      <c r="F49" s="169" t="s">
        <v>115</v>
      </c>
      <c r="G49" s="170">
        <f>IF(H49&lt;"","",IFERROR(VLOOKUP(F49,'Metabolic equivalents'!$C:$D,2,FALSE),""))</f>
        <v>6</v>
      </c>
      <c r="H49" s="170" t="str">
        <f>IF(I49="","",(IF(E13="Male",(-95.7735+(0.271*$E$14)+(0.394*$E$16)+(0.404*$E$21)+(0.634*I49))/4.184,IF($E$13="Female",(-59.3954+(0.274*$E$14)+(0.103*$E$16)+(0.38*$E$21)+(0.45*I49))/4.184))))</f>
        <v/>
      </c>
      <c r="I49" s="171"/>
      <c r="J49" s="172">
        <v>45</v>
      </c>
      <c r="K49" s="173">
        <f t="shared" si="7"/>
        <v>340.65000000000003</v>
      </c>
      <c r="L49" s="173" t="str">
        <f t="shared" si="8"/>
        <v/>
      </c>
      <c r="M49" s="174"/>
      <c r="N49" s="302">
        <f>SUM(K49:M52)-(1.3*SUM(J49:J52)/60*E16)+(SUM(J49:J52)/1440*N19)</f>
        <v>327.68254225000004</v>
      </c>
      <c r="O49" s="291">
        <f>SUM(F28-N49)/F19</f>
        <v>31.538474358369502</v>
      </c>
      <c r="P49" s="291">
        <f>SUM(F28-N49)/F19</f>
        <v>31.538474358369502</v>
      </c>
      <c r="Q49" s="294">
        <f>SUM(H23+N49)</f>
        <v>2787.2047475587246</v>
      </c>
      <c r="R49" s="69"/>
      <c r="S49" s="197"/>
      <c r="Y49" s="61"/>
      <c r="Z49" s="175"/>
      <c r="AC49" s="176"/>
      <c r="AD49" s="176"/>
      <c r="AE49" s="166"/>
      <c r="AF49" s="167"/>
      <c r="AG49" s="167"/>
      <c r="AH49" s="167"/>
      <c r="AI49" s="91"/>
      <c r="AJ49" s="92"/>
      <c r="AK49" s="92"/>
      <c r="AL49" s="92"/>
      <c r="AM49" s="92"/>
      <c r="AN49" s="92"/>
      <c r="AO49" s="92"/>
    </row>
    <row r="50" spans="3:41" ht="20.399999999999999" customHeight="1">
      <c r="C50" s="76"/>
      <c r="D50" s="357"/>
      <c r="E50" s="168"/>
      <c r="F50" s="169"/>
      <c r="G50" s="170" t="str">
        <f>IF(H50&lt;"","",IFERROR(VLOOKUP(F50,'Metabolic equivalents'!$C:$D,2,FALSE),""))</f>
        <v/>
      </c>
      <c r="H50" s="170" t="str">
        <f>IF(I50="","",(IF(E13="Male",(-95.7735+(0.271*$E$14)+(0.394*$E$16)+(0.404*$E$21)+(0.634*I50))/4.184,IF($E$13="Female",(-59.3954+(0.274*$E$14)+(0.103*$E$16)+(0.38*$E$21)+(0.45*I50))/4.184))))</f>
        <v/>
      </c>
      <c r="I50" s="171"/>
      <c r="J50" s="172"/>
      <c r="K50" s="173" t="str">
        <f t="shared" si="7"/>
        <v/>
      </c>
      <c r="L50" s="173" t="str">
        <f t="shared" si="8"/>
        <v/>
      </c>
      <c r="M50" s="174"/>
      <c r="N50" s="303"/>
      <c r="O50" s="292"/>
      <c r="P50" s="292"/>
      <c r="Q50" s="295"/>
      <c r="R50" s="69"/>
      <c r="Y50" s="61"/>
      <c r="Z50" s="179"/>
      <c r="AC50" s="180"/>
      <c r="AD50" s="180"/>
      <c r="AE50" s="166"/>
      <c r="AF50" s="167"/>
      <c r="AG50" s="167"/>
      <c r="AH50" s="167"/>
      <c r="AI50" s="91"/>
      <c r="AJ50" s="92"/>
      <c r="AK50" s="92"/>
      <c r="AL50" s="92"/>
      <c r="AM50" s="92"/>
      <c r="AN50" s="92"/>
      <c r="AO50" s="92"/>
    </row>
    <row r="51" spans="3:41" ht="20.399999999999999" customHeight="1">
      <c r="C51" s="76"/>
      <c r="D51" s="357"/>
      <c r="E51" s="168"/>
      <c r="F51" s="169"/>
      <c r="G51" s="170" t="str">
        <f>IF(H51&lt;"","",IFERROR(VLOOKUP(F51,'Metabolic equivalents'!$C:$D,2,FALSE),""))</f>
        <v/>
      </c>
      <c r="H51" s="170" t="str">
        <f>IF(I51="","",(IF(E13="Male",(-95.7735+(0.271*$E$14)+(0.394*$E$16)+(0.404*$E$21)+(0.634*I51))/4.184,IF($E$13="Female",(-59.3954+(0.274*$E$14)+(0.103*$E$16)+(0.38*$E$21)+(0.45*I51))/4.184))))</f>
        <v/>
      </c>
      <c r="I51" s="171"/>
      <c r="J51" s="172"/>
      <c r="K51" s="173" t="str">
        <f t="shared" si="7"/>
        <v/>
      </c>
      <c r="L51" s="173" t="str">
        <f t="shared" si="8"/>
        <v/>
      </c>
      <c r="M51" s="174"/>
      <c r="N51" s="303"/>
      <c r="O51" s="292"/>
      <c r="P51" s="292"/>
      <c r="Q51" s="295"/>
      <c r="R51" s="69"/>
      <c r="Y51" s="61"/>
      <c r="Z51" s="181"/>
      <c r="AC51" s="182"/>
      <c r="AD51" s="182"/>
      <c r="AE51" s="166"/>
      <c r="AF51" s="167"/>
      <c r="AG51" s="167"/>
      <c r="AH51" s="167"/>
      <c r="AI51" s="91"/>
      <c r="AJ51" s="92"/>
      <c r="AK51" s="92"/>
      <c r="AL51" s="92"/>
      <c r="AM51" s="92"/>
      <c r="AN51" s="92"/>
      <c r="AO51" s="92"/>
    </row>
    <row r="52" spans="3:41" ht="20.399999999999999" customHeight="1">
      <c r="C52" s="76"/>
      <c r="D52" s="358"/>
      <c r="E52" s="168"/>
      <c r="F52" s="169"/>
      <c r="G52" s="170" t="str">
        <f>IF(H52&lt;"","",IFERROR(VLOOKUP(F52,'Metabolic equivalents'!$C:$D,2,FALSE),""))</f>
        <v/>
      </c>
      <c r="H52" s="170" t="str">
        <f>IF(I52="","",(IF(E13="Male",(-95.7735+(0.271*$E$14)+(0.394*$E$16)+(0.404*$E$21)+(0.634*I52))/4.184,IF($E$13="Female",(-59.3954+(0.274*$E$14)+(0.103*$E$16)+(0.38*$E$21)+(0.45*I52))/4.184))))</f>
        <v/>
      </c>
      <c r="I52" s="171"/>
      <c r="J52" s="172"/>
      <c r="K52" s="173" t="str">
        <f t="shared" si="7"/>
        <v/>
      </c>
      <c r="L52" s="173" t="str">
        <f t="shared" si="8"/>
        <v/>
      </c>
      <c r="M52" s="174"/>
      <c r="N52" s="304"/>
      <c r="O52" s="293"/>
      <c r="P52" s="293"/>
      <c r="Q52" s="296"/>
      <c r="R52" s="69"/>
      <c r="Y52" s="61"/>
      <c r="Z52" s="183"/>
      <c r="AC52" s="184"/>
      <c r="AD52" s="184"/>
      <c r="AE52" s="166"/>
      <c r="AF52" s="167"/>
      <c r="AG52" s="167"/>
      <c r="AH52" s="167"/>
      <c r="AI52" s="91"/>
      <c r="AJ52" s="92"/>
      <c r="AK52" s="92"/>
      <c r="AL52" s="92"/>
      <c r="AM52" s="92"/>
      <c r="AN52" s="92"/>
      <c r="AO52" s="92"/>
    </row>
    <row r="53" spans="3:41" ht="21" customHeight="1">
      <c r="C53" s="76"/>
      <c r="D53" s="356" t="s">
        <v>85</v>
      </c>
      <c r="E53" s="168"/>
      <c r="F53" s="169"/>
      <c r="G53" s="170" t="str">
        <f>IF(H53&lt;"","",IFERROR(VLOOKUP(F53,'Metabolic equivalents'!$C:$D,2,FALSE),""))</f>
        <v/>
      </c>
      <c r="H53" s="170" t="str">
        <f>IF(I53="","",(IF(E13="Male",(-95.7735+(0.271*$E$14)+(0.394*$E$16)+(0.404*$E$21)+(0.634*I53))/4.184,IF($E$13="Female",(-59.3954+(0.274*$E$14)+(0.103*$E$16)+(0.38*$E$21)+(0.45*I53))/4.184))))</f>
        <v/>
      </c>
      <c r="I53" s="171"/>
      <c r="J53" s="172"/>
      <c r="K53" s="173" t="str">
        <f t="shared" si="7"/>
        <v/>
      </c>
      <c r="L53" s="173" t="str">
        <f t="shared" si="8"/>
        <v/>
      </c>
      <c r="M53" s="174"/>
      <c r="N53" s="302">
        <f>SUM(K53:M56)-(1.3*SUM(J53:J56)/60*E16)+(SUM(J53:J56)/1440*N19)</f>
        <v>0</v>
      </c>
      <c r="O53" s="291">
        <f>SUM(F29-N53)/F19</f>
        <v>36.52545519848541</v>
      </c>
      <c r="P53" s="291">
        <f>SUM(F29-N53)/F19</f>
        <v>36.52545519848541</v>
      </c>
      <c r="Q53" s="294">
        <f>SUM(I23+N53)</f>
        <v>2459.5222053087246</v>
      </c>
      <c r="R53" s="69"/>
      <c r="Z53" s="175"/>
      <c r="AC53" s="184"/>
      <c r="AD53" s="184"/>
      <c r="AE53" s="166"/>
      <c r="AF53" s="167"/>
      <c r="AG53" s="167"/>
      <c r="AH53" s="167"/>
      <c r="AI53" s="91"/>
      <c r="AJ53" s="92"/>
      <c r="AK53" s="92"/>
      <c r="AL53" s="92"/>
      <c r="AM53" s="92"/>
      <c r="AN53" s="92"/>
      <c r="AO53" s="92"/>
    </row>
    <row r="54" spans="3:41" ht="21" customHeight="1">
      <c r="C54" s="76"/>
      <c r="D54" s="357"/>
      <c r="E54" s="168"/>
      <c r="F54" s="169"/>
      <c r="G54" s="170" t="str">
        <f>IF(H54&lt;"","",IFERROR(VLOOKUP(F54,'Metabolic equivalents'!$C:$D,2,FALSE),""))</f>
        <v/>
      </c>
      <c r="H54" s="170" t="str">
        <f>IF(I54="","",(IF(E13="Male",(-95.7735+(0.271*$E$14)+(0.394*$E$16)+(0.404*$E$21)+(0.634*I54))/4.184,IF($E$13="Female",(-59.3954+(0.274*$E$14)+(0.103*$E$16)+(0.38*$E$21)+(0.45*I54))/4.184))))</f>
        <v/>
      </c>
      <c r="I54" s="171"/>
      <c r="J54" s="172"/>
      <c r="K54" s="173" t="str">
        <f t="shared" si="7"/>
        <v/>
      </c>
      <c r="L54" s="173" t="str">
        <f t="shared" si="8"/>
        <v/>
      </c>
      <c r="M54" s="174"/>
      <c r="N54" s="303"/>
      <c r="O54" s="292"/>
      <c r="P54" s="292"/>
      <c r="Q54" s="295"/>
      <c r="R54" s="69"/>
      <c r="Z54" s="175"/>
      <c r="AE54" s="166"/>
      <c r="AF54" s="167"/>
      <c r="AG54" s="167"/>
      <c r="AH54" s="167"/>
      <c r="AI54" s="91"/>
      <c r="AJ54" s="92"/>
      <c r="AK54" s="92"/>
      <c r="AL54" s="92"/>
      <c r="AM54" s="92"/>
      <c r="AN54" s="92"/>
      <c r="AO54" s="92"/>
    </row>
    <row r="55" spans="3:41" ht="21" customHeight="1">
      <c r="C55" s="76"/>
      <c r="D55" s="357"/>
      <c r="E55" s="168"/>
      <c r="F55" s="169"/>
      <c r="G55" s="170" t="str">
        <f>IF(H55&lt;"","",IFERROR(VLOOKUP(F55,'Metabolic equivalents'!$C:$D,2,FALSE),""))</f>
        <v/>
      </c>
      <c r="H55" s="170" t="str">
        <f>IF(I55="","",(IF(E13="Male",(-95.7735+(0.271*$E$14)+(0.394*$E$16)+(0.404*$E$21)+(0.634*I55))/4.184,IF($E$13="Female",(-59.3954+(0.274*$E$14)+(0.103*$E$16)+(0.38*$E$21)+(0.45*I55))/4.184))))</f>
        <v/>
      </c>
      <c r="I55" s="171"/>
      <c r="J55" s="172"/>
      <c r="K55" s="173" t="str">
        <f t="shared" si="7"/>
        <v/>
      </c>
      <c r="L55" s="173" t="str">
        <f t="shared" si="8"/>
        <v/>
      </c>
      <c r="M55" s="174"/>
      <c r="N55" s="303"/>
      <c r="O55" s="292"/>
      <c r="P55" s="292"/>
      <c r="Q55" s="295"/>
      <c r="R55" s="69"/>
      <c r="Z55" s="175"/>
      <c r="AE55" s="166"/>
      <c r="AF55" s="167"/>
      <c r="AG55" s="167"/>
      <c r="AH55" s="167"/>
      <c r="AI55" s="91"/>
      <c r="AJ55" s="92"/>
      <c r="AK55" s="92"/>
      <c r="AL55" s="92"/>
      <c r="AM55" s="92"/>
      <c r="AN55" s="92"/>
      <c r="AO55" s="92"/>
    </row>
    <row r="56" spans="3:41" ht="21" customHeight="1">
      <c r="C56" s="76"/>
      <c r="D56" s="358"/>
      <c r="E56" s="168"/>
      <c r="F56" s="169"/>
      <c r="G56" s="170" t="str">
        <f>IF(H56&lt;"","",IFERROR(VLOOKUP(F56,'Metabolic equivalents'!$C:$D,2,FALSE),""))</f>
        <v/>
      </c>
      <c r="H56" s="170" t="str">
        <f>IF(I56="","",(IF(E13="Male",(-95.7735+(0.271*$E$14)+(0.394*$E$16)+(0.404*$E$21)+(0.634*I56))/4.184,IF($E$13="Female",(-59.3954+(0.274*$E$14)+(0.103*$E$16)+(0.38*$E$21)+(0.45*I56))/4.184))))</f>
        <v/>
      </c>
      <c r="I56" s="171"/>
      <c r="J56" s="172"/>
      <c r="K56" s="173" t="str">
        <f t="shared" si="7"/>
        <v/>
      </c>
      <c r="L56" s="173" t="str">
        <f>IF(H56="","",IF(M56= "", SUM(H56*J56),"") )</f>
        <v/>
      </c>
      <c r="M56" s="174"/>
      <c r="N56" s="304"/>
      <c r="O56" s="293"/>
      <c r="P56" s="293"/>
      <c r="Q56" s="296"/>
      <c r="R56" s="69"/>
      <c r="Z56" s="179"/>
      <c r="AE56" s="92"/>
      <c r="AF56" s="92"/>
      <c r="AG56" s="167"/>
      <c r="AH56" s="167"/>
      <c r="AI56" s="91"/>
      <c r="AJ56" s="92"/>
      <c r="AK56" s="92"/>
      <c r="AL56" s="92"/>
      <c r="AM56" s="92"/>
      <c r="AN56" s="92"/>
      <c r="AO56" s="92"/>
    </row>
    <row r="57" spans="3:41" ht="20.399999999999999" customHeight="1">
      <c r="C57" s="76"/>
      <c r="D57" s="356" t="s">
        <v>86</v>
      </c>
      <c r="E57" s="168" t="s">
        <v>4</v>
      </c>
      <c r="F57" s="169" t="s">
        <v>115</v>
      </c>
      <c r="G57" s="170">
        <f>IF(H57&lt;"","",IFERROR(VLOOKUP(F57,'Metabolic equivalents'!$C:$D,2,FALSE),""))</f>
        <v>6</v>
      </c>
      <c r="H57" s="170" t="str">
        <f>IF(I57="","",(IF(E13="Male",(-95.7735+(0.271*$E$14)+(0.394*$E$16)+(0.404*$E$21)+(0.634*I57))/4.184,IF($E$13="Female",(-59.3954+(0.274*$E$14)+(0.103*$E$16)+(0.38*$E$21)+(0.45*I57))/4.184))))</f>
        <v/>
      </c>
      <c r="I57" s="171"/>
      <c r="J57" s="172">
        <v>45</v>
      </c>
      <c r="K57" s="173">
        <f t="shared" si="7"/>
        <v>340.65000000000003</v>
      </c>
      <c r="L57" s="173" t="str">
        <f>IF(H57="","",IF(M57= "", SUM(H57*J57),"") )</f>
        <v/>
      </c>
      <c r="M57" s="174"/>
      <c r="N57" s="302">
        <f>SUM(K57:M60)-(1.3*SUM(J57:J60)/60*E16)+(SUM(J57:J60)/1440*N19)</f>
        <v>327.68254225000004</v>
      </c>
      <c r="O57" s="291">
        <f>SUM(F30-N57)/F19</f>
        <v>31.538474358369502</v>
      </c>
      <c r="P57" s="291">
        <f>SUM(F30-N57)/F19</f>
        <v>31.538474358369502</v>
      </c>
      <c r="Q57" s="294">
        <f>SUM(J23+N57)</f>
        <v>2787.2047475587246</v>
      </c>
      <c r="R57" s="69"/>
      <c r="Z57" s="181"/>
      <c r="AE57" s="92"/>
      <c r="AF57" s="92"/>
      <c r="AG57" s="167"/>
      <c r="AH57" s="167"/>
      <c r="AI57" s="91"/>
      <c r="AJ57" s="92"/>
      <c r="AK57" s="92"/>
      <c r="AL57" s="92"/>
      <c r="AM57" s="92"/>
      <c r="AN57" s="92"/>
      <c r="AO57" s="92"/>
    </row>
    <row r="58" spans="3:41" ht="21" customHeight="1">
      <c r="C58" s="76"/>
      <c r="D58" s="357"/>
      <c r="E58" s="168"/>
      <c r="F58" s="169"/>
      <c r="G58" s="170" t="str">
        <f>IF(H58&lt;"","",IFERROR(VLOOKUP(F58,'Metabolic equivalents'!$C:$D,2,FALSE),""))</f>
        <v/>
      </c>
      <c r="H58" s="170" t="str">
        <f>IF(I58="","",(IF(E13="Male",(-95.7735+(0.271*$E$14)+(0.394*$E$16)+(0.404*$E$21)+(0.634*I58))/4.184,IF($E$13="Female",(-59.3954+(0.274*$E$14)+(0.103*$E$16)+(0.38*$E$21)+(0.45*I58))/4.184))))</f>
        <v/>
      </c>
      <c r="I58" s="171"/>
      <c r="J58" s="172"/>
      <c r="K58" s="173" t="str">
        <f t="shared" si="7"/>
        <v/>
      </c>
      <c r="L58" s="173" t="str">
        <f t="shared" si="8"/>
        <v/>
      </c>
      <c r="M58" s="174"/>
      <c r="N58" s="303"/>
      <c r="O58" s="292"/>
      <c r="P58" s="292"/>
      <c r="Q58" s="295"/>
      <c r="R58" s="69"/>
      <c r="Z58" s="183"/>
      <c r="AE58" s="61"/>
      <c r="AF58" s="61"/>
      <c r="AG58" s="185"/>
      <c r="AH58" s="185"/>
      <c r="AI58" s="69"/>
    </row>
    <row r="59" spans="3:41" ht="21" customHeight="1">
      <c r="C59" s="76"/>
      <c r="D59" s="357"/>
      <c r="E59" s="168"/>
      <c r="F59" s="169"/>
      <c r="G59" s="170" t="str">
        <f>IF(H59&lt;"","",IFERROR(VLOOKUP(F59,'Metabolic equivalents'!$C:$D,2,FALSE),""))</f>
        <v/>
      </c>
      <c r="H59" s="170" t="str">
        <f>IF(I59="","",(IF(E13="Male",(-95.7735+(0.271*$E$14)+(0.394*$E$16)+(0.404*$E$21)+(0.634*I59))/4.184,IF($E$13="Female",(-59.3954+(0.274*$E$14)+(0.103*$E$16)+(0.38*$E$21)+(0.45*I59))/4.184))))</f>
        <v/>
      </c>
      <c r="I59" s="171"/>
      <c r="J59" s="172"/>
      <c r="K59" s="173" t="str">
        <f t="shared" si="7"/>
        <v/>
      </c>
      <c r="L59" s="173" t="str">
        <f t="shared" si="8"/>
        <v/>
      </c>
      <c r="M59" s="174"/>
      <c r="N59" s="303"/>
      <c r="O59" s="292"/>
      <c r="P59" s="292"/>
      <c r="Q59" s="295"/>
      <c r="R59" s="69"/>
      <c r="Z59" s="183"/>
      <c r="AE59" s="61"/>
      <c r="AF59" s="61"/>
      <c r="AG59" s="185"/>
      <c r="AH59" s="185"/>
      <c r="AI59" s="69"/>
    </row>
    <row r="60" spans="3:41" ht="21" customHeight="1">
      <c r="C60" s="76"/>
      <c r="D60" s="357"/>
      <c r="E60" s="168"/>
      <c r="F60" s="169"/>
      <c r="G60" s="170" t="str">
        <f>IF(H60&lt;"","",IFERROR(VLOOKUP(F60,'Metabolic equivalents'!$C:$D,2,FALSE),""))</f>
        <v/>
      </c>
      <c r="H60" s="170" t="str">
        <f>IF(I60="","",(IF(E13="Male",(-95.7735+(0.271*$E$14)+(0.394*$E$16)+(0.404*$E$21)+(0.634*I60))/4.184,IF($E$13="Female",(-59.3954+(0.274*$E$14)+(0.103*$E$16)+(0.38*$E$21)+(0.45*I60))/4.184))))</f>
        <v/>
      </c>
      <c r="I60" s="171"/>
      <c r="J60" s="172"/>
      <c r="K60" s="173" t="str">
        <f t="shared" si="7"/>
        <v/>
      </c>
      <c r="L60" s="173" t="str">
        <f t="shared" si="8"/>
        <v/>
      </c>
      <c r="M60" s="174"/>
      <c r="N60" s="304"/>
      <c r="O60" s="293"/>
      <c r="P60" s="293"/>
      <c r="Q60" s="296"/>
      <c r="R60" s="69"/>
      <c r="Z60" s="102"/>
      <c r="AE60" s="61"/>
      <c r="AF60" s="61"/>
      <c r="AG60" s="185"/>
      <c r="AH60" s="185"/>
      <c r="AI60" s="69"/>
    </row>
    <row r="61" spans="3:41" ht="18" customHeight="1">
      <c r="C61" s="76"/>
      <c r="D61" s="356" t="s">
        <v>87</v>
      </c>
      <c r="E61" s="168" t="s">
        <v>4</v>
      </c>
      <c r="F61" s="169" t="s">
        <v>115</v>
      </c>
      <c r="G61" s="170">
        <f>IF(H61&lt;"","",IFERROR(VLOOKUP(F61,'Metabolic equivalents'!$C:$D,2,FALSE),""))</f>
        <v>6</v>
      </c>
      <c r="H61" s="170" t="str">
        <f>IF(I61="","",(IF(E13="Male",(-95.7735+(0.271*$E$14)+(0.394*$E$16)+(0.404*$E$21)+(0.634*I61))/4.184,IF($E$13="Female",(-59.3954+(0.274*$E$14)+(0.103*$E$16)+(0.38*$E$21)+(0.45*I61))/4.184))))</f>
        <v/>
      </c>
      <c r="I61" s="171"/>
      <c r="J61" s="172">
        <v>45</v>
      </c>
      <c r="K61" s="173">
        <f t="shared" si="7"/>
        <v>340.65000000000003</v>
      </c>
      <c r="L61" s="173" t="str">
        <f t="shared" si="8"/>
        <v/>
      </c>
      <c r="M61" s="174"/>
      <c r="N61" s="302">
        <f>SUM(K61:M64)-(1.3*SUM(J61:J64)/60*E16)+(SUM(J61:J64)/1440*N19)</f>
        <v>327.68254225000004</v>
      </c>
      <c r="O61" s="291">
        <f>SUM(F31-N61)/F19</f>
        <v>31.538474358369502</v>
      </c>
      <c r="P61" s="291">
        <f>SUM(F31-N61)/F19</f>
        <v>31.538474358369502</v>
      </c>
      <c r="Q61" s="294">
        <f>SUM(K23+N61)</f>
        <v>2787.2047475587246</v>
      </c>
      <c r="R61" s="69"/>
      <c r="Z61" s="186"/>
      <c r="AC61" s="187"/>
      <c r="AD61" s="187"/>
      <c r="AE61" s="61"/>
      <c r="AF61" s="61"/>
      <c r="AG61" s="185"/>
      <c r="AH61" s="185"/>
      <c r="AI61" s="69"/>
    </row>
    <row r="62" spans="3:41" ht="20.399999999999999" customHeight="1">
      <c r="C62" s="76"/>
      <c r="D62" s="357"/>
      <c r="E62" s="168"/>
      <c r="F62" s="169"/>
      <c r="G62" s="170" t="str">
        <f>IF(H62&lt;"","",IFERROR(VLOOKUP(F62,'Metabolic equivalents'!$C:$D,2,FALSE),""))</f>
        <v/>
      </c>
      <c r="H62" s="170" t="str">
        <f>IF(I62="","",(IF(E13="Male",(-95.7735+(0.271*$E$14)+(0.394*$E$16)+(0.404*$E$21)+(0.634*I62))/4.184,IF($E$13="Female",(-59.3954+(0.274*$E$14)+(0.103*$E$16)+(0.38*$E$21)+(0.45*I62))/4.184))))</f>
        <v/>
      </c>
      <c r="I62" s="171"/>
      <c r="J62" s="172"/>
      <c r="K62" s="173" t="str">
        <f t="shared" si="7"/>
        <v/>
      </c>
      <c r="L62" s="173" t="str">
        <f t="shared" si="8"/>
        <v/>
      </c>
      <c r="M62" s="174"/>
      <c r="N62" s="303"/>
      <c r="O62" s="292"/>
      <c r="P62" s="292"/>
      <c r="Q62" s="295"/>
      <c r="R62" s="69"/>
      <c r="Z62" s="186"/>
      <c r="AC62" s="187"/>
      <c r="AD62" s="187"/>
      <c r="AE62" s="61"/>
      <c r="AF62" s="61"/>
      <c r="AG62" s="185"/>
      <c r="AH62" s="185"/>
      <c r="AI62" s="69"/>
    </row>
    <row r="63" spans="3:41" ht="20.399999999999999" customHeight="1">
      <c r="C63" s="76"/>
      <c r="D63" s="357"/>
      <c r="E63" s="168"/>
      <c r="F63" s="169"/>
      <c r="G63" s="170" t="str">
        <f>IF(H63&lt;"","",IFERROR(VLOOKUP(F63,'Metabolic equivalents'!$C:$D,2,FALSE),""))</f>
        <v/>
      </c>
      <c r="H63" s="170" t="str">
        <f>IF(I63="","",(IF(E13="Male",(-95.7735+(0.271*$E$14)+(0.394*$E$16)+(0.404*$E$21)+(0.634*I63))/4.184,IF($E$13="Female",(-59.3954+(0.274*$E$14)+(0.103*$E$16)+(0.38*$E$21)+(0.45*I63))/4.184))))</f>
        <v/>
      </c>
      <c r="I63" s="171"/>
      <c r="J63" s="172"/>
      <c r="K63" s="173" t="str">
        <f t="shared" si="7"/>
        <v/>
      </c>
      <c r="L63" s="173" t="str">
        <f t="shared" si="8"/>
        <v/>
      </c>
      <c r="M63" s="174"/>
      <c r="N63" s="303"/>
      <c r="O63" s="292"/>
      <c r="P63" s="292"/>
      <c r="Q63" s="295"/>
      <c r="R63" s="69"/>
      <c r="Z63" s="186"/>
      <c r="AC63" s="187"/>
      <c r="AD63" s="187"/>
      <c r="AE63" s="61"/>
      <c r="AF63" s="61"/>
      <c r="AG63" s="185"/>
      <c r="AH63" s="185"/>
      <c r="AI63" s="69"/>
    </row>
    <row r="64" spans="3:41" ht="20.399999999999999" customHeight="1">
      <c r="C64" s="76"/>
      <c r="D64" s="358"/>
      <c r="E64" s="168"/>
      <c r="F64" s="169"/>
      <c r="G64" s="170" t="str">
        <f>IF(H64&lt;"","",IFERROR(VLOOKUP(F64,'Metabolic equivalents'!$C:$D,2,FALSE),""))</f>
        <v/>
      </c>
      <c r="H64" s="170" t="str">
        <f>IF(I64="","",(IF(E13="Male",(-95.7735+(0.271*$E$14)+(0.394*$E$16)+(0.404*$E$21)+(0.634*I64))/4.184,IF($E$13="Female",(-59.3954+(0.274*$E$14)+(0.103*$E$16)+(0.38*$E$21)+(0.45*I64))/4.184))))</f>
        <v/>
      </c>
      <c r="I64" s="171"/>
      <c r="J64" s="172"/>
      <c r="K64" s="173" t="str">
        <f t="shared" si="7"/>
        <v/>
      </c>
      <c r="L64" s="173" t="str">
        <f t="shared" si="8"/>
        <v/>
      </c>
      <c r="M64" s="174"/>
      <c r="N64" s="304"/>
      <c r="O64" s="293"/>
      <c r="P64" s="293"/>
      <c r="Q64" s="296"/>
      <c r="R64" s="69"/>
      <c r="Z64" s="186"/>
      <c r="AC64" s="187"/>
      <c r="AD64" s="187"/>
      <c r="AE64" s="61"/>
      <c r="AF64" s="61"/>
      <c r="AG64" s="185"/>
      <c r="AH64" s="185"/>
      <c r="AI64" s="69"/>
    </row>
    <row r="65" spans="1:35" ht="20.399999999999999" customHeight="1">
      <c r="C65" s="76"/>
      <c r="D65" s="356" t="s">
        <v>88</v>
      </c>
      <c r="E65" s="168"/>
      <c r="F65" s="169"/>
      <c r="G65" s="170" t="str">
        <f>IF(H65&lt;"","",IFERROR(VLOOKUP(F65,'Metabolic equivalents'!$C:$D,2,FALSE),""))</f>
        <v/>
      </c>
      <c r="H65" s="170" t="str">
        <f>IF(I65="","",(IF(E13="Male",(-95.7735+(0.271*$E$14)+(0.394*$E$16)+(0.404*$E$21)+(0.634*I65))/4.184,IF($E$13="Female",(-59.3954+(0.274*$E$14)+(0.103*$E$16)+(0.38*$E$21)+(0.45*I65))/4.184))))</f>
        <v/>
      </c>
      <c r="I65" s="171"/>
      <c r="J65" s="172"/>
      <c r="K65" s="173" t="str">
        <f t="shared" si="7"/>
        <v/>
      </c>
      <c r="L65" s="173" t="str">
        <f t="shared" si="8"/>
        <v/>
      </c>
      <c r="M65" s="174"/>
      <c r="N65" s="302">
        <f>SUM(K65:M68)-(1.3*SUM(J65:J68)/60*E16)+(SUM(J65:J68)/1440*N19)</f>
        <v>0</v>
      </c>
      <c r="O65" s="291">
        <f>SUM(F32-N65)/F19</f>
        <v>36.52545519848541</v>
      </c>
      <c r="P65" s="291">
        <f>SUM(F32-N65)/F19</f>
        <v>36.52545519848541</v>
      </c>
      <c r="Q65" s="294">
        <f>SUM(L23+N65)</f>
        <v>2459.5222053087246</v>
      </c>
      <c r="R65" s="69"/>
      <c r="Z65" s="186"/>
      <c r="AC65" s="187"/>
      <c r="AD65" s="187"/>
      <c r="AE65" s="61"/>
      <c r="AF65" s="61"/>
      <c r="AG65" s="185"/>
      <c r="AH65" s="185"/>
      <c r="AI65" s="69"/>
    </row>
    <row r="66" spans="1:35" ht="20.399999999999999" customHeight="1">
      <c r="C66" s="76"/>
      <c r="D66" s="357"/>
      <c r="E66" s="168"/>
      <c r="F66" s="169"/>
      <c r="G66" s="170" t="str">
        <f>IF(H66&lt;"","",IFERROR(VLOOKUP(F66,'Metabolic equivalents'!$C:$D,2,FALSE),""))</f>
        <v/>
      </c>
      <c r="H66" s="170" t="str">
        <f>IF(I66="","",(IF(E13="Male",(-95.7735+(0.271*$E$14)+(0.394*$E$16)+(0.404*$E$21)+(0.634*I66))/4.184,IF($E$13="Female",(-59.3954+(0.274*$E$14)+(0.103*$E$16)+(0.38*$E$21)+(0.45*I66))/4.184))))</f>
        <v/>
      </c>
      <c r="I66" s="171"/>
      <c r="J66" s="172"/>
      <c r="K66" s="173" t="str">
        <f t="shared" si="7"/>
        <v/>
      </c>
      <c r="L66" s="173" t="str">
        <f t="shared" si="8"/>
        <v/>
      </c>
      <c r="M66" s="174"/>
      <c r="N66" s="303"/>
      <c r="O66" s="292"/>
      <c r="P66" s="292"/>
      <c r="Q66" s="295"/>
      <c r="R66" s="69"/>
      <c r="Z66" s="186"/>
      <c r="AC66" s="187"/>
      <c r="AD66" s="187"/>
      <c r="AE66" s="61"/>
      <c r="AF66" s="61"/>
      <c r="AG66" s="185"/>
      <c r="AH66" s="185"/>
      <c r="AI66" s="69"/>
    </row>
    <row r="67" spans="1:35" ht="20.399999999999999" customHeight="1">
      <c r="C67" s="76"/>
      <c r="D67" s="357"/>
      <c r="E67" s="168"/>
      <c r="F67" s="169"/>
      <c r="G67" s="170" t="str">
        <f>IF(H67&lt;"","",IFERROR(VLOOKUP(F67,'Metabolic equivalents'!$C:$D,2,FALSE),""))</f>
        <v/>
      </c>
      <c r="H67" s="170" t="str">
        <f>IF(I67="","",(IF(E13="Male",(-95.7735+(0.271*$E$14)+(0.394*$E$16)+(0.404*$E$21)+(0.634*I67))/4.184,IF($E$13="Female",(-59.3954+(0.274*$E$14)+(0.103*$E$16)+(0.38*$E$21)+(0.45*I67))/4.184))))</f>
        <v/>
      </c>
      <c r="I67" s="171"/>
      <c r="J67" s="172"/>
      <c r="K67" s="173" t="str">
        <f t="shared" si="7"/>
        <v/>
      </c>
      <c r="L67" s="173" t="str">
        <f t="shared" si="8"/>
        <v/>
      </c>
      <c r="M67" s="174"/>
      <c r="N67" s="303"/>
      <c r="O67" s="292"/>
      <c r="P67" s="292"/>
      <c r="Q67" s="295"/>
      <c r="R67" s="69"/>
      <c r="Z67" s="186"/>
      <c r="AC67" s="187"/>
      <c r="AD67" s="187"/>
      <c r="AE67" s="61"/>
      <c r="AF67" s="185"/>
      <c r="AG67" s="185"/>
      <c r="AH67" s="185"/>
      <c r="AI67" s="69"/>
    </row>
    <row r="68" spans="1:35" ht="20.399999999999999" customHeight="1">
      <c r="C68" s="76"/>
      <c r="D68" s="358"/>
      <c r="E68" s="168"/>
      <c r="F68" s="169"/>
      <c r="G68" s="170" t="str">
        <f>IF(H68&lt;"","",IFERROR(VLOOKUP(F68,'Metabolic equivalents'!$C:$D,2,FALSE),""))</f>
        <v/>
      </c>
      <c r="H68" s="170" t="str">
        <f>IF(I68="","",(IF(E13="Male",(-95.7735+(0.271*$E$14)+(0.394*$E$16)+(0.404*$E$21)+(0.634*I68))/4.184,IF($E$13="Female",(-59.3954+(0.274*$E$14)+(0.103*$E$16)+(0.38*$E$21)+(0.45*I68))/4.184))))</f>
        <v/>
      </c>
      <c r="I68" s="171"/>
      <c r="J68" s="172"/>
      <c r="K68" s="173" t="str">
        <f t="shared" si="7"/>
        <v/>
      </c>
      <c r="L68" s="173" t="str">
        <f t="shared" si="8"/>
        <v/>
      </c>
      <c r="M68" s="174"/>
      <c r="N68" s="304"/>
      <c r="O68" s="293"/>
      <c r="P68" s="293"/>
      <c r="Q68" s="296"/>
      <c r="R68" s="69"/>
      <c r="Y68" s="187"/>
      <c r="Z68" s="186"/>
      <c r="AC68" s="187"/>
      <c r="AD68" s="187"/>
      <c r="AE68" s="130"/>
      <c r="AF68" s="185"/>
      <c r="AG68" s="185"/>
      <c r="AH68" s="185"/>
      <c r="AI68" s="69"/>
    </row>
    <row r="69" spans="1:35" ht="20.399999999999999" customHeight="1">
      <c r="B69" s="79"/>
      <c r="C69" s="76"/>
      <c r="D69" s="356" t="s">
        <v>89</v>
      </c>
      <c r="E69" s="168"/>
      <c r="F69" s="169"/>
      <c r="G69" s="170" t="str">
        <f>IF(H69&lt;"","",IFERROR(VLOOKUP(F69,'Metabolic equivalents'!$C:$D,2,FALSE),""))</f>
        <v/>
      </c>
      <c r="H69" s="170" t="str">
        <f>IF(I69="","",(IF(E13="Male",(-95.7735+(0.271*$E$14)+(0.394*$E$16)+(0.404*$E$21)+(0.634*I69))/4.184,IF($E$13="Female",(-59.3954+(0.274*$E$14)+(0.103*$E$16)+(0.38*$E$21)+(0.45*I69))/4.184))))</f>
        <v/>
      </c>
      <c r="I69" s="171"/>
      <c r="J69" s="172"/>
      <c r="K69" s="173" t="str">
        <f t="shared" si="7"/>
        <v/>
      </c>
      <c r="L69" s="173" t="str">
        <f t="shared" si="8"/>
        <v/>
      </c>
      <c r="M69" s="174"/>
      <c r="N69" s="302">
        <f>SUM(K69:M72)-(1.3*SUM(J69:J72)/60*E16)+(SUM(J69:J72)/1440*N19)</f>
        <v>0</v>
      </c>
      <c r="O69" s="291">
        <f>SUM(F33-N69)/F19</f>
        <v>36.52545519848541</v>
      </c>
      <c r="P69" s="291">
        <f>SUM(F33-N69)/F19</f>
        <v>36.52545519848541</v>
      </c>
      <c r="Q69" s="294">
        <f>SUM(M23+N69)</f>
        <v>2459.5222053087246</v>
      </c>
      <c r="R69" s="69"/>
      <c r="W69" s="273"/>
      <c r="X69" s="273"/>
      <c r="Y69" s="187"/>
      <c r="Z69" s="186"/>
      <c r="AC69" s="187"/>
      <c r="AD69" s="187"/>
      <c r="AE69" s="76"/>
      <c r="AF69" s="188"/>
      <c r="AG69" s="188"/>
      <c r="AH69" s="188"/>
      <c r="AI69" s="76"/>
    </row>
    <row r="70" spans="1:35" ht="20.399999999999999" customHeight="1">
      <c r="B70" s="79"/>
      <c r="C70" s="76"/>
      <c r="D70" s="357"/>
      <c r="E70" s="168"/>
      <c r="F70" s="169"/>
      <c r="G70" s="170" t="str">
        <f>IF(H70&lt;"","",IFERROR(VLOOKUP(F70,'Metabolic equivalents'!$C:$D,2,FALSE),""))</f>
        <v/>
      </c>
      <c r="H70" s="170" t="str">
        <f>IF(I70="","",(IF(E13="Male",(-95.7735+(0.271*$E$14)+(0.394*$E$16)+(0.404*$E$21)+(0.634*I70))/4.184,IF($E$13="Female",(-59.3954+(0.274*$E$14)+(0.103*$E$16)+(0.38*$E$21)+(0.45*I70))/4.184))))</f>
        <v/>
      </c>
      <c r="I70" s="171"/>
      <c r="J70" s="172"/>
      <c r="K70" s="173" t="str">
        <f t="shared" si="7"/>
        <v/>
      </c>
      <c r="L70" s="173" t="str">
        <f t="shared" si="8"/>
        <v/>
      </c>
      <c r="M70" s="174"/>
      <c r="N70" s="303"/>
      <c r="O70" s="292"/>
      <c r="P70" s="292"/>
      <c r="Q70" s="295"/>
      <c r="R70" s="69"/>
      <c r="W70" s="273"/>
      <c r="X70" s="273"/>
      <c r="Y70" s="187"/>
      <c r="Z70" s="186"/>
      <c r="AC70" s="187"/>
      <c r="AD70" s="187"/>
      <c r="AE70" s="76"/>
      <c r="AF70" s="188"/>
      <c r="AG70" s="188"/>
      <c r="AH70" s="188"/>
      <c r="AI70" s="76"/>
    </row>
    <row r="71" spans="1:35" ht="20.399999999999999" customHeight="1">
      <c r="B71" s="79"/>
      <c r="C71" s="76"/>
      <c r="D71" s="357"/>
      <c r="E71" s="168"/>
      <c r="F71" s="169"/>
      <c r="G71" s="170" t="str">
        <f>IF(H71&lt;"","",IFERROR(VLOOKUP(F71,'Metabolic equivalents'!$C:$D,2,FALSE),""))</f>
        <v/>
      </c>
      <c r="H71" s="170" t="str">
        <f>IF(I71="","",(IF(E13="Male",(-95.7735+(0.271*$E$14)+(0.394*$E$16)+(0.404*$E$21)+(0.634*I71))/4.184,IF($E$13="Female",(-59.3954+(0.274*$E$14)+(0.103*$E$16)+(0.38*$E$21)+(0.45*I71))/4.184))))</f>
        <v/>
      </c>
      <c r="I71" s="171"/>
      <c r="J71" s="172"/>
      <c r="K71" s="173" t="str">
        <f t="shared" si="7"/>
        <v/>
      </c>
      <c r="L71" s="173" t="str">
        <f t="shared" si="8"/>
        <v/>
      </c>
      <c r="M71" s="174"/>
      <c r="N71" s="303"/>
      <c r="O71" s="292"/>
      <c r="P71" s="292"/>
      <c r="Q71" s="295"/>
      <c r="R71" s="69"/>
      <c r="S71" s="273"/>
      <c r="T71" s="189"/>
      <c r="U71" s="93"/>
      <c r="V71" s="273"/>
      <c r="W71" s="273"/>
      <c r="X71" s="273"/>
      <c r="Y71" s="187"/>
      <c r="Z71" s="186"/>
      <c r="AC71" s="187"/>
      <c r="AD71" s="187"/>
      <c r="AE71" s="76"/>
      <c r="AF71" s="188"/>
      <c r="AG71" s="188"/>
      <c r="AH71" s="188"/>
      <c r="AI71" s="76"/>
    </row>
    <row r="72" spans="1:35" ht="20.399999999999999" customHeight="1">
      <c r="B72" s="79"/>
      <c r="C72" s="76"/>
      <c r="D72" s="358"/>
      <c r="E72" s="168"/>
      <c r="F72" s="169"/>
      <c r="G72" s="170" t="str">
        <f>IF(H72&lt;"","",IFERROR(VLOOKUP(F72,'Metabolic equivalents'!$C:$D,2,FALSE),""))</f>
        <v/>
      </c>
      <c r="H72" s="170" t="str">
        <f>IF(I72="","",(IF(E13="Male",(-95.7735+(0.271*$E$14)+(0.394*$E$16)+(0.404*$E$21)+(0.634*I72))/4.184,IF($E$13="Female",(-59.3954+(0.274*$E$14)+(0.103*$E$16)+(0.38*$E$21)+(0.45*I72))/4.184))))</f>
        <v/>
      </c>
      <c r="I72" s="171"/>
      <c r="J72" s="172"/>
      <c r="K72" s="173" t="str">
        <f t="shared" si="7"/>
        <v/>
      </c>
      <c r="L72" s="173" t="str">
        <f t="shared" si="8"/>
        <v/>
      </c>
      <c r="M72" s="174"/>
      <c r="N72" s="304"/>
      <c r="O72" s="293"/>
      <c r="P72" s="293"/>
      <c r="Q72" s="296"/>
      <c r="R72" s="69"/>
      <c r="S72" s="273"/>
      <c r="T72" s="189"/>
      <c r="U72" s="93"/>
      <c r="V72" s="273"/>
      <c r="W72" s="273"/>
      <c r="X72" s="273"/>
      <c r="Y72" s="187"/>
      <c r="Z72" s="186"/>
      <c r="AC72" s="187"/>
      <c r="AD72" s="187"/>
      <c r="AE72" s="69"/>
      <c r="AF72" s="77"/>
      <c r="AG72" s="77"/>
      <c r="AH72" s="77"/>
      <c r="AI72" s="76"/>
    </row>
    <row r="73" spans="1:35" ht="19.2">
      <c r="C73" s="76"/>
      <c r="D73" s="354" t="s">
        <v>116</v>
      </c>
      <c r="E73" s="374"/>
      <c r="F73" s="374"/>
      <c r="G73" s="355"/>
      <c r="H73" s="269"/>
      <c r="I73" s="269"/>
      <c r="J73" s="190">
        <f>SUM(J45:J72)</f>
        <v>180</v>
      </c>
      <c r="K73" s="359">
        <f>AVERAGE(K45:M72)</f>
        <v>340.65000000000003</v>
      </c>
      <c r="L73" s="360"/>
      <c r="M73" s="361"/>
      <c r="N73" s="190">
        <f>SUM(N45:N72)</f>
        <v>1310.7301690000002</v>
      </c>
      <c r="O73" s="191"/>
      <c r="P73" s="354"/>
      <c r="Q73" s="355"/>
      <c r="R73" s="69"/>
      <c r="S73" s="273"/>
      <c r="T73" s="189"/>
      <c r="U73" s="93"/>
      <c r="V73" s="273"/>
      <c r="W73" s="273"/>
      <c r="X73" s="273"/>
      <c r="Y73" s="187"/>
      <c r="Z73" s="186"/>
      <c r="AC73" s="187"/>
      <c r="AD73" s="187"/>
      <c r="AE73" s="76"/>
      <c r="AF73" s="188"/>
      <c r="AG73" s="188"/>
      <c r="AH73" s="188"/>
      <c r="AI73" s="76"/>
    </row>
    <row r="74" spans="1:35" ht="18.600000000000001">
      <c r="C74" s="76"/>
      <c r="D74" s="79"/>
      <c r="M74" s="79"/>
      <c r="R74" s="69"/>
      <c r="S74" s="76"/>
      <c r="T74" s="76"/>
      <c r="U74" s="76"/>
      <c r="V74" s="76"/>
      <c r="W74" s="76"/>
      <c r="X74" s="76"/>
      <c r="Y74" s="188"/>
      <c r="Z74" s="192"/>
      <c r="AC74" s="188"/>
      <c r="AD74" s="188"/>
      <c r="AE74" s="76"/>
      <c r="AF74" s="188"/>
      <c r="AG74" s="188"/>
      <c r="AH74" s="188"/>
      <c r="AI74" s="76"/>
    </row>
    <row r="75" spans="1:35" ht="20.100000000000001" customHeight="1">
      <c r="C75" s="79"/>
      <c r="E75" s="79"/>
      <c r="F75" s="79"/>
      <c r="G75" s="79"/>
      <c r="H75" s="79"/>
      <c r="I75" s="79"/>
      <c r="J75" s="79"/>
      <c r="K75" s="79"/>
      <c r="L75" s="79"/>
      <c r="N75" s="79"/>
      <c r="O75" s="79"/>
      <c r="P75" s="79"/>
      <c r="Q75" s="79"/>
      <c r="R75" s="79"/>
      <c r="S75" s="79"/>
      <c r="T75" s="79"/>
      <c r="U75" s="79"/>
      <c r="V75" s="79"/>
      <c r="W75" s="79"/>
      <c r="X75" s="79"/>
      <c r="Y75" s="80"/>
      <c r="Z75" s="192"/>
      <c r="AC75" s="80"/>
      <c r="AD75" s="80"/>
      <c r="AI75" s="79"/>
    </row>
    <row r="76" spans="1:35" ht="20.100000000000001" customHeight="1">
      <c r="D76" s="79"/>
      <c r="Z76" s="192"/>
    </row>
    <row r="77" spans="1:35" ht="20.100000000000001" customHeight="1">
      <c r="Z77" s="192"/>
    </row>
    <row r="78" spans="1:35" ht="20.100000000000001" customHeight="1">
      <c r="Z78" s="192"/>
    </row>
    <row r="79" spans="1:35" ht="20.100000000000001" customHeight="1">
      <c r="Z79" s="192"/>
    </row>
    <row r="80" spans="1:35" ht="20.100000000000001" customHeight="1">
      <c r="A80" s="218"/>
      <c r="B80" s="218"/>
      <c r="C80" s="218"/>
      <c r="D80" s="218"/>
      <c r="E80" s="218"/>
      <c r="F80" s="218"/>
      <c r="G80" s="218"/>
      <c r="H80" s="218"/>
      <c r="I80" s="218"/>
      <c r="J80" s="218"/>
      <c r="K80" s="218"/>
      <c r="L80" s="218"/>
      <c r="M80" s="218"/>
      <c r="N80" s="218"/>
      <c r="O80" s="218"/>
      <c r="P80" s="218"/>
      <c r="Q80" s="218"/>
      <c r="R80" s="218"/>
      <c r="S80" s="218"/>
      <c r="T80" s="218"/>
      <c r="U80" s="218"/>
      <c r="V80" s="218"/>
      <c r="W80" s="218"/>
      <c r="X80" s="218"/>
      <c r="Y80" s="219"/>
      <c r="Z80" s="220"/>
    </row>
  </sheetData>
  <sheetProtection algorithmName="SHA-512" hashValue="jKepGYwvPVn1zOSTCjJMJ2d5uOIi4BLU2Tiqiwb8NlXe+43G1nULLaj6x6QbJwRL7EL8+Sp5JdETllRoIQSI6A==" saltValue="t2kyn9OCII1uuxL/qQdIEw==" spinCount="100000" sheet="1" objects="1" scenarios="1"/>
  <mergeCells count="84">
    <mergeCell ref="K73:M73"/>
    <mergeCell ref="M40:N40"/>
    <mergeCell ref="M38:N38"/>
    <mergeCell ref="K44:M44"/>
    <mergeCell ref="A20:B20"/>
    <mergeCell ref="A22:B22"/>
    <mergeCell ref="A23:B23"/>
    <mergeCell ref="A24:B24"/>
    <mergeCell ref="E43:E44"/>
    <mergeCell ref="D43:D44"/>
    <mergeCell ref="A25:B25"/>
    <mergeCell ref="A26:B26"/>
    <mergeCell ref="D42:E42"/>
    <mergeCell ref="F43:F44"/>
    <mergeCell ref="D25:E25"/>
    <mergeCell ref="D73:G73"/>
    <mergeCell ref="D45:D48"/>
    <mergeCell ref="D69:D72"/>
    <mergeCell ref="D65:D68"/>
    <mergeCell ref="D49:D52"/>
    <mergeCell ref="D53:D56"/>
    <mergeCell ref="D57:D60"/>
    <mergeCell ref="D61:D64"/>
    <mergeCell ref="N57:N60"/>
    <mergeCell ref="N53:N56"/>
    <mergeCell ref="P73:Q73"/>
    <mergeCell ref="P61:P64"/>
    <mergeCell ref="Q61:Q64"/>
    <mergeCell ref="P65:P68"/>
    <mergeCell ref="Q65:Q68"/>
    <mergeCell ref="P69:P72"/>
    <mergeCell ref="Q69:Q72"/>
    <mergeCell ref="O61:O64"/>
    <mergeCell ref="O65:O68"/>
    <mergeCell ref="O69:O72"/>
    <mergeCell ref="N69:N72"/>
    <mergeCell ref="N65:N68"/>
    <mergeCell ref="N61:N64"/>
    <mergeCell ref="Q53:Q56"/>
    <mergeCell ref="AC11:AO12"/>
    <mergeCell ref="H12:J12"/>
    <mergeCell ref="G11:M11"/>
    <mergeCell ref="S3:S4"/>
    <mergeCell ref="P12:Q14"/>
    <mergeCell ref="T5:V5"/>
    <mergeCell ref="H13:J16"/>
    <mergeCell ref="K13:K16"/>
    <mergeCell ref="P15:Q15"/>
    <mergeCell ref="P16:Q16"/>
    <mergeCell ref="T19:U19"/>
    <mergeCell ref="P17:Q17"/>
    <mergeCell ref="P18:Q18"/>
    <mergeCell ref="P19:Q19"/>
    <mergeCell ref="G19:H19"/>
    <mergeCell ref="L19:M19"/>
    <mergeCell ref="I19:J19"/>
    <mergeCell ref="D11:E11"/>
    <mergeCell ref="G12:G16"/>
    <mergeCell ref="L13:L16"/>
    <mergeCell ref="M13:M16"/>
    <mergeCell ref="G18:H18"/>
    <mergeCell ref="I18:J18"/>
    <mergeCell ref="L18:M18"/>
    <mergeCell ref="P49:P52"/>
    <mergeCell ref="O43:P43"/>
    <mergeCell ref="O45:O48"/>
    <mergeCell ref="O49:O52"/>
    <mergeCell ref="Q49:Q52"/>
    <mergeCell ref="N45:N48"/>
    <mergeCell ref="N49:N52"/>
    <mergeCell ref="G20:M20"/>
    <mergeCell ref="G21:M22"/>
    <mergeCell ref="M39:N39"/>
    <mergeCell ref="O38:P38"/>
    <mergeCell ref="O39:P39"/>
    <mergeCell ref="O40:P40"/>
    <mergeCell ref="Q45:Q48"/>
    <mergeCell ref="P45:P48"/>
    <mergeCell ref="Q43:Q44"/>
    <mergeCell ref="O53:O56"/>
    <mergeCell ref="O57:O60"/>
    <mergeCell ref="P57:P60"/>
    <mergeCell ref="P53:P56"/>
    <mergeCell ref="Q57:Q60"/>
  </mergeCells>
  <phoneticPr fontId="68" type="noConversion"/>
  <conditionalFormatting sqref="P45 P49 P53 P57 P61 P65 P69">
    <cfRule type="cellIs" dxfId="8" priority="8" operator="greaterThanOrEqual">
      <formula>45</formula>
    </cfRule>
    <cfRule type="cellIs" dxfId="7" priority="9" operator="between">
      <formula>30.1</formula>
      <formula>44.9</formula>
    </cfRule>
    <cfRule type="cellIs" dxfId="6" priority="10" operator="lessThan">
      <formula>30</formula>
    </cfRule>
  </conditionalFormatting>
  <conditionalFormatting sqref="O45 O49 O53 O57 O65 O69">
    <cfRule type="cellIs" dxfId="5" priority="5" operator="greaterThanOrEqual">
      <formula>40</formula>
    </cfRule>
    <cfRule type="cellIs" dxfId="4" priority="6" operator="between">
      <formula>20.1</formula>
      <formula>39.9</formula>
    </cfRule>
    <cfRule type="cellIs" dxfId="3" priority="7" operator="lessThanOrEqual">
      <formula>20</formula>
    </cfRule>
  </conditionalFormatting>
  <conditionalFormatting sqref="O61">
    <cfRule type="cellIs" dxfId="2" priority="2" operator="greaterThanOrEqual">
      <formula>40</formula>
    </cfRule>
    <cfRule type="cellIs" dxfId="1" priority="3" operator="between">
      <formula>20.1</formula>
      <formula>39.9</formula>
    </cfRule>
    <cfRule type="cellIs" dxfId="0" priority="4" operator="lessThanOrEqual">
      <formula>20</formula>
    </cfRule>
  </conditionalFormatting>
  <dataValidations count="8">
    <dataValidation showDropDown="1" showInputMessage="1" showErrorMessage="1" sqref="E22" xr:uid="{00000000-0002-0000-0200-000000000000}"/>
    <dataValidation type="list" allowBlank="1" showInputMessage="1" showErrorMessage="1" sqref="N27:N33" xr:uid="{00000000-0002-0000-0200-000001000000}">
      <formula1>Fatlist</formula1>
    </dataValidation>
    <dataValidation type="whole" operator="greaterThanOrEqual" allowBlank="1" showInputMessage="1" showErrorMessage="1" sqref="F27:F33" xr:uid="{00000000-0002-0000-0200-000002000000}">
      <formula1>0</formula1>
    </dataValidation>
    <dataValidation type="list" allowBlank="1" showInputMessage="1" showErrorMessage="1" sqref="J27:J33" xr:uid="{00000000-0002-0000-0200-000004000000}">
      <formula1 xml:space="preserve"> Proteinlist</formula1>
    </dataValidation>
    <dataValidation type="list" allowBlank="1" showInputMessage="1" showErrorMessage="1" sqref="E45:E72" xr:uid="{00000000-0002-0000-0200-000003000000}">
      <formula1>Activitylist</formula1>
    </dataValidation>
    <dataValidation type="decimal" operator="greaterThanOrEqual" allowBlank="1" showInputMessage="1" showErrorMessage="1" sqref="M45:M72 J45:J72" xr:uid="{00000000-0002-0000-0200-000005000000}">
      <formula1>0</formula1>
    </dataValidation>
    <dataValidation type="list" allowBlank="1" showInputMessage="1" showErrorMessage="1" sqref="E13" xr:uid="{03E31596-11BA-4CEB-9CAF-E43CAD5525C7}">
      <formula1>"Female,Male"</formula1>
    </dataValidation>
    <dataValidation type="list" allowBlank="1" showInputMessage="1" showErrorMessage="1" sqref="G19:H19" xr:uid="{9142B86D-87F1-4425-8AE0-ABAA6028E95F}">
      <formula1>"FFM-Based Equation, BW-Based Equation"</formula1>
    </dataValidation>
  </dataValidations>
  <hyperlinks>
    <hyperlink ref="T4:U4" r:id="rId1" display="Tutor: Alex Ritson MSc, ISSN, CISSN" xr:uid="{9B12343A-D373-E748-AB40-D748DB2987EC}"/>
  </hyperlinks>
  <pageMargins left="0.75" right="0.75" top="1" bottom="1" header="0.5" footer="0.5"/>
  <pageSetup orientation="landscape" r:id="rId2"/>
  <headerFooter>
    <oddFooter>&amp;L&amp;"Helvetica Neue,Regular"&amp;10&amp;K000000	&amp;P</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2052" r:id="rId5" name="Option Button 4">
              <controlPr defaultSize="0" autoFill="0" autoLine="0" autoPict="0">
                <anchor moveWithCells="1">
                  <from>
                    <xdr:col>28</xdr:col>
                    <xdr:colOff>1280160</xdr:colOff>
                    <xdr:row>22</xdr:row>
                    <xdr:rowOff>213360</xdr:rowOff>
                  </from>
                  <to>
                    <xdr:col>437</xdr:col>
                    <xdr:colOff>662940</xdr:colOff>
                    <xdr:row>24</xdr:row>
                    <xdr:rowOff>99060</xdr:rowOff>
                  </to>
                </anchor>
              </controlPr>
            </control>
          </mc:Choice>
        </mc:AlternateContent>
        <mc:AlternateContent xmlns:mc="http://schemas.openxmlformats.org/markup-compatibility/2006">
          <mc:Choice Requires="x14">
            <control shapeId="2053" r:id="rId6" name="Option Button 5">
              <controlPr defaultSize="0" autoFill="0" autoLine="0" autoPict="0">
                <anchor moveWithCells="1">
                  <from>
                    <xdr:col>32</xdr:col>
                    <xdr:colOff>304800</xdr:colOff>
                    <xdr:row>22</xdr:row>
                    <xdr:rowOff>213360</xdr:rowOff>
                  </from>
                  <to>
                    <xdr:col>437</xdr:col>
                    <xdr:colOff>548640</xdr:colOff>
                    <xdr:row>24</xdr:row>
                    <xdr:rowOff>99060</xdr:rowOff>
                  </to>
                </anchor>
              </controlPr>
            </control>
          </mc:Choice>
        </mc:AlternateContent>
        <mc:AlternateContent xmlns:mc="http://schemas.openxmlformats.org/markup-compatibility/2006">
          <mc:Choice Requires="x14">
            <control shapeId="2054" r:id="rId7" name="Option Button 6">
              <controlPr defaultSize="0" autoFill="0" autoLine="0" autoPict="0">
                <anchor moveWithCells="1">
                  <from>
                    <xdr:col>34</xdr:col>
                    <xdr:colOff>327660</xdr:colOff>
                    <xdr:row>22</xdr:row>
                    <xdr:rowOff>205740</xdr:rowOff>
                  </from>
                  <to>
                    <xdr:col>437</xdr:col>
                    <xdr:colOff>632460</xdr:colOff>
                    <xdr:row>24</xdr:row>
                    <xdr:rowOff>99060</xdr:rowOff>
                  </to>
                </anchor>
              </controlPr>
            </control>
          </mc:Choice>
        </mc:AlternateContent>
        <mc:AlternateContent xmlns:mc="http://schemas.openxmlformats.org/markup-compatibility/2006">
          <mc:Choice Requires="x14">
            <control shapeId="2069" r:id="rId8" name="Option Button 21">
              <controlPr defaultSize="0" autoFill="0" autoLine="0" autoPict="0">
                <anchor moveWithCells="1">
                  <from>
                    <xdr:col>28</xdr:col>
                    <xdr:colOff>1295400</xdr:colOff>
                    <xdr:row>34</xdr:row>
                    <xdr:rowOff>327660</xdr:rowOff>
                  </from>
                  <to>
                    <xdr:col>437</xdr:col>
                    <xdr:colOff>685800</xdr:colOff>
                    <xdr:row>36</xdr:row>
                    <xdr:rowOff>91440</xdr:rowOff>
                  </to>
                </anchor>
              </controlPr>
            </control>
          </mc:Choice>
        </mc:AlternateContent>
        <mc:AlternateContent xmlns:mc="http://schemas.openxmlformats.org/markup-compatibility/2006">
          <mc:Choice Requires="x14">
            <control shapeId="2070" r:id="rId9" name="Option Button 22">
              <controlPr defaultSize="0" autoFill="0" autoLine="0" autoPict="0">
                <anchor moveWithCells="1">
                  <from>
                    <xdr:col>32</xdr:col>
                    <xdr:colOff>320040</xdr:colOff>
                    <xdr:row>34</xdr:row>
                    <xdr:rowOff>327660</xdr:rowOff>
                  </from>
                  <to>
                    <xdr:col>437</xdr:col>
                    <xdr:colOff>556260</xdr:colOff>
                    <xdr:row>36</xdr:row>
                    <xdr:rowOff>91440</xdr:rowOff>
                  </to>
                </anchor>
              </controlPr>
            </control>
          </mc:Choice>
        </mc:AlternateContent>
        <mc:AlternateContent xmlns:mc="http://schemas.openxmlformats.org/markup-compatibility/2006">
          <mc:Choice Requires="x14">
            <control shapeId="2071" r:id="rId10" name="Option Button 23">
              <controlPr defaultSize="0" autoFill="0" autoLine="0" autoPict="0">
                <anchor moveWithCells="1">
                  <from>
                    <xdr:col>34</xdr:col>
                    <xdr:colOff>342900</xdr:colOff>
                    <xdr:row>34</xdr:row>
                    <xdr:rowOff>320040</xdr:rowOff>
                  </from>
                  <to>
                    <xdr:col>437</xdr:col>
                    <xdr:colOff>632460</xdr:colOff>
                    <xdr:row>36</xdr:row>
                    <xdr:rowOff>60960</xdr:rowOff>
                  </to>
                </anchor>
              </controlPr>
            </control>
          </mc:Choice>
        </mc:AlternateContent>
        <mc:AlternateContent xmlns:mc="http://schemas.openxmlformats.org/markup-compatibility/2006">
          <mc:Choice Requires="x14">
            <control shapeId="2072" r:id="rId11" name="Option Button 24">
              <controlPr defaultSize="0" autoFill="0" autoLine="0" autoPict="0">
                <anchor moveWithCells="1">
                  <from>
                    <xdr:col>37</xdr:col>
                    <xdr:colOff>777240</xdr:colOff>
                    <xdr:row>34</xdr:row>
                    <xdr:rowOff>320040</xdr:rowOff>
                  </from>
                  <to>
                    <xdr:col>437</xdr:col>
                    <xdr:colOff>662940</xdr:colOff>
                    <xdr:row>36</xdr:row>
                    <xdr:rowOff>60960</xdr:rowOff>
                  </to>
                </anchor>
              </controlPr>
            </control>
          </mc:Choice>
        </mc:AlternateContent>
        <mc:AlternateContent xmlns:mc="http://schemas.openxmlformats.org/markup-compatibility/2006">
          <mc:Choice Requires="x14">
            <control shapeId="2073" r:id="rId12" name="Option Button 25">
              <controlPr defaultSize="0" autoFill="0" autoLine="0" autoPict="0">
                <anchor moveWithCells="1">
                  <from>
                    <xdr:col>28</xdr:col>
                    <xdr:colOff>1318260</xdr:colOff>
                    <xdr:row>53</xdr:row>
                    <xdr:rowOff>60960</xdr:rowOff>
                  </from>
                  <to>
                    <xdr:col>437</xdr:col>
                    <xdr:colOff>662940</xdr:colOff>
                    <xdr:row>54</xdr:row>
                    <xdr:rowOff>251460</xdr:rowOff>
                  </to>
                </anchor>
              </controlPr>
            </control>
          </mc:Choice>
        </mc:AlternateContent>
        <mc:AlternateContent xmlns:mc="http://schemas.openxmlformats.org/markup-compatibility/2006">
          <mc:Choice Requires="x14">
            <control shapeId="2074" r:id="rId13" name="Option Button 26">
              <controlPr defaultSize="0" autoFill="0" autoLine="0" autoPict="0">
                <anchor moveWithCells="1">
                  <from>
                    <xdr:col>32</xdr:col>
                    <xdr:colOff>327660</xdr:colOff>
                    <xdr:row>53</xdr:row>
                    <xdr:rowOff>60960</xdr:rowOff>
                  </from>
                  <to>
                    <xdr:col>437</xdr:col>
                    <xdr:colOff>586740</xdr:colOff>
                    <xdr:row>54</xdr:row>
                    <xdr:rowOff>251460</xdr:rowOff>
                  </to>
                </anchor>
              </controlPr>
            </control>
          </mc:Choice>
        </mc:AlternateContent>
        <mc:AlternateContent xmlns:mc="http://schemas.openxmlformats.org/markup-compatibility/2006">
          <mc:Choice Requires="x14">
            <control shapeId="2075" r:id="rId14" name="Option Button 27">
              <controlPr defaultSize="0" autoFill="0" autoLine="0" autoPict="0">
                <anchor moveWithCells="1">
                  <from>
                    <xdr:col>34</xdr:col>
                    <xdr:colOff>358140</xdr:colOff>
                    <xdr:row>53</xdr:row>
                    <xdr:rowOff>38100</xdr:rowOff>
                  </from>
                  <to>
                    <xdr:col>437</xdr:col>
                    <xdr:colOff>609600</xdr:colOff>
                    <xdr:row>54</xdr:row>
                    <xdr:rowOff>228600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6BB1251B-4D9A-466B-A308-E3E2992000BD}">
          <x14:formula1>
            <xm:f>OFFSET('Metabolic equivalents'!$G$8,MATCH(G19,'Metabolic equivalents'!$G$8:$G$19,0)-1,1,COUNTIFS('Metabolic equivalents'!$G$8:$G$19,G19),1)</xm:f>
          </x14:formula1>
          <xm:sqref>I19:J19</xm:sqref>
        </x14:dataValidation>
        <x14:dataValidation type="list" allowBlank="1" showInputMessage="1" showErrorMessage="1" xr:uid="{00000000-0002-0000-0200-000006000000}">
          <x14:formula1>
            <xm:f>OFFSET('Metabolic equivalents'!$B$9,MATCH(E45,'Metabolic equivalents'!$B$9:$B$1066,0)-1,1,COUNTIFS('Metabolic equivalents'!$B$9:$B$1066,E45),1)</xm:f>
          </x14:formula1>
          <xm:sqref>F45:F72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14B54-E14F-422B-B6C7-C7682989BE08}">
  <dimension ref="A1:AG61"/>
  <sheetViews>
    <sheetView workbookViewId="0">
      <selection activeCell="K37" sqref="K37"/>
    </sheetView>
  </sheetViews>
  <sheetFormatPr defaultRowHeight="16.2"/>
  <cols>
    <col min="12" max="12" width="11.69140625" customWidth="1"/>
    <col min="20" max="20" width="9.61328125" customWidth="1"/>
    <col min="23" max="23" width="11.23046875" customWidth="1"/>
    <col min="25" max="25" width="10.765625" customWidth="1"/>
    <col min="27" max="27" width="10.3828125" customWidth="1"/>
    <col min="29" max="29" width="12.23046875" customWidth="1"/>
    <col min="31" max="31" width="12" customWidth="1"/>
    <col min="33" max="33" width="11" customWidth="1"/>
  </cols>
  <sheetData>
    <row r="1" spans="1:33" ht="23.25" customHeight="1">
      <c r="A1" t="s">
        <v>117</v>
      </c>
      <c r="B1" t="s">
        <v>118</v>
      </c>
      <c r="C1" t="s">
        <v>119</v>
      </c>
    </row>
    <row r="2" spans="1:33" ht="41.4">
      <c r="A2" s="246" t="s">
        <v>120</v>
      </c>
      <c r="B2" s="231" t="s">
        <v>121</v>
      </c>
      <c r="C2" s="247" t="s">
        <v>122</v>
      </c>
      <c r="D2" s="248" t="s">
        <v>123</v>
      </c>
      <c r="F2" s="249" t="s">
        <v>124</v>
      </c>
      <c r="G2" s="231" t="s">
        <v>125</v>
      </c>
      <c r="H2" s="250" t="s">
        <v>122</v>
      </c>
      <c r="I2" s="249" t="s">
        <v>126</v>
      </c>
      <c r="J2" s="251"/>
      <c r="K2" s="252" t="s">
        <v>127</v>
      </c>
      <c r="L2" s="231" t="s">
        <v>128</v>
      </c>
      <c r="M2" s="250" t="s">
        <v>122</v>
      </c>
      <c r="N2" s="248" t="s">
        <v>129</v>
      </c>
      <c r="O2" s="239"/>
      <c r="P2" s="239"/>
      <c r="Q2" s="241" t="s">
        <v>130</v>
      </c>
      <c r="R2" s="241"/>
      <c r="S2" s="241"/>
      <c r="T2" s="241"/>
    </row>
    <row r="3" spans="1:33" ht="32.4">
      <c r="A3" s="259">
        <f>(Calculator!O27/9*2)*0.8</f>
        <v>55.527111111111118</v>
      </c>
      <c r="B3" s="232" t="s">
        <v>131</v>
      </c>
      <c r="C3" s="233">
        <f t="shared" ref="C3:C15" si="0">100*A3/D3</f>
        <v>91.02805100182151</v>
      </c>
      <c r="D3" s="229">
        <v>61</v>
      </c>
      <c r="E3" s="228"/>
      <c r="F3" s="261">
        <f>(Calculator!I27/9*2)*0.8</f>
        <v>26.915555555555557</v>
      </c>
      <c r="G3" s="243" t="s">
        <v>132</v>
      </c>
      <c r="H3" s="244">
        <f t="shared" ref="H3:H27" si="1">100*F3/I3</f>
        <v>384.50793650793651</v>
      </c>
      <c r="I3" s="229">
        <v>7</v>
      </c>
      <c r="J3" s="230"/>
      <c r="K3" s="261">
        <f>(Calculator!M27/9*2)*0.8</f>
        <v>10.766222222222224</v>
      </c>
      <c r="L3" s="234" t="s">
        <v>133</v>
      </c>
      <c r="M3" s="245">
        <f t="shared" ref="M3:M15" si="2">100*K3/N3</f>
        <v>19.937448559670784</v>
      </c>
      <c r="N3" s="229">
        <v>54</v>
      </c>
      <c r="O3" s="239"/>
      <c r="P3" s="239"/>
      <c r="S3" t="s">
        <v>134</v>
      </c>
      <c r="T3" s="241"/>
    </row>
    <row r="4" spans="1:33" ht="48.6">
      <c r="A4" s="259">
        <f t="shared" ref="A4:A15" si="3">$A$3</f>
        <v>55.527111111111118</v>
      </c>
      <c r="B4" s="235" t="s">
        <v>135</v>
      </c>
      <c r="C4" s="233">
        <f t="shared" si="0"/>
        <v>370.18074074074076</v>
      </c>
      <c r="D4" s="229">
        <v>15</v>
      </c>
      <c r="E4" s="228"/>
      <c r="F4" s="261">
        <f t="shared" ref="F4:F27" si="4">$F$3</f>
        <v>26.915555555555557</v>
      </c>
      <c r="G4" s="243" t="s">
        <v>136</v>
      </c>
      <c r="H4" s="244">
        <f t="shared" si="1"/>
        <v>117.02415458937199</v>
      </c>
      <c r="I4" s="229">
        <v>23</v>
      </c>
      <c r="J4" s="230"/>
      <c r="K4" s="261">
        <f t="shared" ref="K4:K14" si="5">$K$3</f>
        <v>10.766222222222224</v>
      </c>
      <c r="L4" s="234" t="s">
        <v>137</v>
      </c>
      <c r="M4" s="245">
        <f t="shared" si="2"/>
        <v>21.532444444444444</v>
      </c>
      <c r="N4" s="229">
        <v>50</v>
      </c>
      <c r="O4" s="239"/>
      <c r="P4" s="239"/>
      <c r="Q4" s="241" t="s">
        <v>138</v>
      </c>
      <c r="R4" s="241" t="s">
        <v>139</v>
      </c>
      <c r="S4" s="262">
        <f>A3</f>
        <v>55.527111111111118</v>
      </c>
      <c r="T4" s="241"/>
      <c r="U4" t="s">
        <v>140</v>
      </c>
      <c r="W4" t="s">
        <v>141</v>
      </c>
      <c r="Y4" t="s">
        <v>141</v>
      </c>
      <c r="AA4" t="s">
        <v>141</v>
      </c>
      <c r="AC4" s="263" t="s">
        <v>141</v>
      </c>
      <c r="AE4" t="s">
        <v>142</v>
      </c>
      <c r="AG4" t="s">
        <v>143</v>
      </c>
    </row>
    <row r="5" spans="1:33" ht="32.4">
      <c r="A5" s="259">
        <f t="shared" si="3"/>
        <v>55.527111111111118</v>
      </c>
      <c r="B5" s="235" t="s">
        <v>144</v>
      </c>
      <c r="C5" s="233">
        <f t="shared" si="0"/>
        <v>111.05422222222224</v>
      </c>
      <c r="D5" s="229">
        <v>50</v>
      </c>
      <c r="E5" s="228"/>
      <c r="F5" s="261">
        <f t="shared" si="4"/>
        <v>26.915555555555557</v>
      </c>
      <c r="G5" s="243" t="s">
        <v>145</v>
      </c>
      <c r="H5" s="244">
        <f t="shared" si="1"/>
        <v>122.34343434343435</v>
      </c>
      <c r="I5" s="229">
        <v>22</v>
      </c>
      <c r="J5" s="230"/>
      <c r="K5" s="261">
        <f t="shared" si="5"/>
        <v>10.766222222222224</v>
      </c>
      <c r="L5" s="234" t="s">
        <v>146</v>
      </c>
      <c r="M5" s="245">
        <f t="shared" si="2"/>
        <v>71.774814814814818</v>
      </c>
      <c r="N5" s="229">
        <v>15</v>
      </c>
      <c r="O5" s="239"/>
      <c r="P5" s="239"/>
      <c r="Q5" s="241"/>
      <c r="R5" s="241" t="s">
        <v>147</v>
      </c>
      <c r="S5" s="262">
        <f>F3</f>
        <v>26.915555555555557</v>
      </c>
      <c r="T5" s="241"/>
      <c r="U5" t="s">
        <v>148</v>
      </c>
      <c r="W5" t="s">
        <v>149</v>
      </c>
      <c r="Y5" t="s">
        <v>150</v>
      </c>
      <c r="AA5" t="s">
        <v>149</v>
      </c>
      <c r="AC5" t="s">
        <v>151</v>
      </c>
      <c r="AE5" t="s">
        <v>152</v>
      </c>
      <c r="AG5" t="s">
        <v>152</v>
      </c>
    </row>
    <row r="6" spans="1:33">
      <c r="A6" s="259">
        <f t="shared" si="3"/>
        <v>55.527111111111118</v>
      </c>
      <c r="B6" s="235" t="s">
        <v>153</v>
      </c>
      <c r="C6" s="233">
        <f t="shared" si="0"/>
        <v>396.62222222222226</v>
      </c>
      <c r="D6" s="229">
        <v>14</v>
      </c>
      <c r="E6" s="228"/>
      <c r="F6" s="261">
        <f t="shared" si="4"/>
        <v>26.915555555555557</v>
      </c>
      <c r="G6" s="243" t="s">
        <v>154</v>
      </c>
      <c r="H6" s="244">
        <f t="shared" si="1"/>
        <v>224.2962962962963</v>
      </c>
      <c r="I6" s="229">
        <v>12</v>
      </c>
      <c r="J6" s="230"/>
      <c r="K6" s="261">
        <f t="shared" si="5"/>
        <v>10.766222222222224</v>
      </c>
      <c r="L6" s="234" t="s">
        <v>155</v>
      </c>
      <c r="M6" s="245">
        <f t="shared" si="2"/>
        <v>16.06898839137645</v>
      </c>
      <c r="N6" s="236">
        <v>67</v>
      </c>
      <c r="O6" s="239"/>
      <c r="P6" s="239"/>
      <c r="R6" s="241" t="s">
        <v>156</v>
      </c>
      <c r="S6" s="262">
        <f>K3</f>
        <v>10.766222222222224</v>
      </c>
      <c r="T6" s="241"/>
      <c r="U6" t="s">
        <v>157</v>
      </c>
      <c r="W6" t="s">
        <v>158</v>
      </c>
      <c r="Y6" t="s">
        <v>159</v>
      </c>
      <c r="AA6" t="s">
        <v>146</v>
      </c>
      <c r="AC6" t="s">
        <v>160</v>
      </c>
      <c r="AG6" t="s">
        <v>161</v>
      </c>
    </row>
    <row r="7" spans="1:33">
      <c r="A7" s="259">
        <f t="shared" si="3"/>
        <v>55.527111111111118</v>
      </c>
      <c r="B7" s="235" t="s">
        <v>162</v>
      </c>
      <c r="C7" s="233">
        <f t="shared" si="0"/>
        <v>138.81777777777779</v>
      </c>
      <c r="D7" s="229">
        <v>40</v>
      </c>
      <c r="E7" s="228"/>
      <c r="F7" s="261">
        <f t="shared" si="4"/>
        <v>26.915555555555557</v>
      </c>
      <c r="G7" s="243" t="s">
        <v>163</v>
      </c>
      <c r="H7" s="244">
        <f t="shared" si="1"/>
        <v>149.53086419753086</v>
      </c>
      <c r="I7" s="229">
        <v>18</v>
      </c>
      <c r="J7" s="230"/>
      <c r="K7" s="261">
        <f t="shared" si="5"/>
        <v>10.766222222222224</v>
      </c>
      <c r="L7" s="243" t="s">
        <v>164</v>
      </c>
      <c r="M7" s="245">
        <f t="shared" si="2"/>
        <v>24.46868686868687</v>
      </c>
      <c r="N7" s="229">
        <v>44</v>
      </c>
      <c r="O7" s="239"/>
      <c r="P7" s="239"/>
      <c r="Q7" s="241"/>
      <c r="R7" s="241"/>
      <c r="S7" s="241"/>
      <c r="T7" s="241"/>
    </row>
    <row r="8" spans="1:33">
      <c r="A8" s="259">
        <f t="shared" si="3"/>
        <v>55.527111111111118</v>
      </c>
      <c r="B8" s="235" t="s">
        <v>165</v>
      </c>
      <c r="C8" s="233">
        <f t="shared" si="0"/>
        <v>326.63006535947716</v>
      </c>
      <c r="D8" s="229">
        <v>17</v>
      </c>
      <c r="E8" s="228"/>
      <c r="F8" s="261">
        <f t="shared" si="4"/>
        <v>26.915555555555557</v>
      </c>
      <c r="G8" s="243" t="s">
        <v>166</v>
      </c>
      <c r="H8" s="244">
        <f t="shared" si="1"/>
        <v>244.68686868686871</v>
      </c>
      <c r="I8" s="229">
        <v>11</v>
      </c>
      <c r="J8" s="230"/>
      <c r="K8" s="261">
        <f t="shared" si="5"/>
        <v>10.766222222222224</v>
      </c>
      <c r="L8" s="243" t="s">
        <v>167</v>
      </c>
      <c r="M8" s="245">
        <f t="shared" si="2"/>
        <v>10.766222222222222</v>
      </c>
      <c r="N8" s="229">
        <v>100</v>
      </c>
      <c r="O8" s="239"/>
      <c r="P8" s="239"/>
      <c r="Q8" s="241"/>
      <c r="R8" s="241"/>
      <c r="S8" s="241"/>
      <c r="T8" s="241"/>
    </row>
    <row r="9" spans="1:33" ht="26.4">
      <c r="A9" s="259">
        <f t="shared" si="3"/>
        <v>55.527111111111118</v>
      </c>
      <c r="B9" s="237" t="s">
        <v>168</v>
      </c>
      <c r="C9" s="233">
        <f t="shared" si="0"/>
        <v>84.131986531986541</v>
      </c>
      <c r="D9" s="229">
        <v>66</v>
      </c>
      <c r="E9" s="228"/>
      <c r="F9" s="261">
        <f t="shared" si="4"/>
        <v>26.915555555555557</v>
      </c>
      <c r="G9" s="243" t="s">
        <v>169</v>
      </c>
      <c r="H9" s="244">
        <f t="shared" si="1"/>
        <v>134.57777777777778</v>
      </c>
      <c r="I9" s="229">
        <v>20</v>
      </c>
      <c r="J9" s="230"/>
      <c r="K9" s="261">
        <f t="shared" si="5"/>
        <v>10.766222222222224</v>
      </c>
      <c r="L9" s="234" t="s">
        <v>170</v>
      </c>
      <c r="M9" s="245">
        <f t="shared" si="2"/>
        <v>17.649544626593809</v>
      </c>
      <c r="N9" s="229">
        <v>61</v>
      </c>
      <c r="O9" s="239"/>
      <c r="P9" s="239"/>
      <c r="T9" s="241"/>
    </row>
    <row r="10" spans="1:33" ht="26.4">
      <c r="A10" s="259">
        <f t="shared" si="3"/>
        <v>55.527111111111118</v>
      </c>
      <c r="B10" s="235" t="s">
        <v>171</v>
      </c>
      <c r="C10" s="233">
        <f t="shared" si="0"/>
        <v>308.48395061728399</v>
      </c>
      <c r="D10" s="229">
        <v>18</v>
      </c>
      <c r="E10" s="228"/>
      <c r="F10" s="261">
        <f t="shared" si="4"/>
        <v>26.915555555555557</v>
      </c>
      <c r="G10" s="243" t="s">
        <v>172</v>
      </c>
      <c r="H10" s="244">
        <f t="shared" si="1"/>
        <v>179.43703703703704</v>
      </c>
      <c r="I10" s="229">
        <v>15</v>
      </c>
      <c r="J10" s="230"/>
      <c r="K10" s="261">
        <f t="shared" si="5"/>
        <v>10.766222222222224</v>
      </c>
      <c r="L10" s="234" t="s">
        <v>173</v>
      </c>
      <c r="M10" s="245">
        <f t="shared" si="2"/>
        <v>22.906855791962176</v>
      </c>
      <c r="N10" s="229">
        <v>47</v>
      </c>
      <c r="O10" s="239"/>
      <c r="P10" s="239"/>
      <c r="T10" s="241"/>
    </row>
    <row r="11" spans="1:33">
      <c r="A11" s="259">
        <f t="shared" si="3"/>
        <v>55.527111111111118</v>
      </c>
      <c r="B11" s="235" t="s">
        <v>174</v>
      </c>
      <c r="C11" s="233">
        <f t="shared" si="0"/>
        <v>75.036636636636644</v>
      </c>
      <c r="D11" s="229">
        <v>74</v>
      </c>
      <c r="E11" s="228"/>
      <c r="F11" s="261">
        <f t="shared" si="4"/>
        <v>26.915555555555557</v>
      </c>
      <c r="G11" s="243" t="s">
        <v>175</v>
      </c>
      <c r="H11" s="244">
        <f t="shared" si="1"/>
        <v>107.66222222222223</v>
      </c>
      <c r="I11" s="229">
        <v>25</v>
      </c>
      <c r="J11" s="230"/>
      <c r="K11" s="261">
        <f t="shared" si="5"/>
        <v>10.766222222222224</v>
      </c>
      <c r="L11" s="243" t="s">
        <v>176</v>
      </c>
      <c r="M11" s="245">
        <f t="shared" si="2"/>
        <v>10.766222222222222</v>
      </c>
      <c r="N11" s="229">
        <v>100</v>
      </c>
      <c r="O11" s="239"/>
      <c r="P11" s="239"/>
      <c r="T11" s="241"/>
    </row>
    <row r="12" spans="1:33">
      <c r="A12" s="259">
        <f t="shared" si="3"/>
        <v>55.527111111111118</v>
      </c>
      <c r="B12" s="237" t="s">
        <v>177</v>
      </c>
      <c r="C12" s="233">
        <f t="shared" si="0"/>
        <v>694.08888888888896</v>
      </c>
      <c r="D12" s="229">
        <v>8</v>
      </c>
      <c r="E12" s="228"/>
      <c r="F12" s="261">
        <f t="shared" si="4"/>
        <v>26.915555555555557</v>
      </c>
      <c r="G12" s="243" t="s">
        <v>178</v>
      </c>
      <c r="H12" s="244">
        <f t="shared" si="1"/>
        <v>224.2962962962963</v>
      </c>
      <c r="I12" s="229">
        <v>12</v>
      </c>
      <c r="J12" s="230"/>
      <c r="K12" s="261">
        <f t="shared" si="5"/>
        <v>10.766222222222224</v>
      </c>
      <c r="L12" s="234" t="s">
        <v>179</v>
      </c>
      <c r="M12" s="245">
        <f t="shared" si="2"/>
        <v>44.859259259259261</v>
      </c>
      <c r="N12" s="229">
        <v>24</v>
      </c>
      <c r="O12" s="239"/>
      <c r="P12" s="239"/>
      <c r="T12" s="241"/>
    </row>
    <row r="13" spans="1:33">
      <c r="A13" s="259">
        <f t="shared" si="3"/>
        <v>55.527111111111118</v>
      </c>
      <c r="B13" s="235" t="s">
        <v>180</v>
      </c>
      <c r="C13" s="233">
        <f t="shared" si="0"/>
        <v>80.474074074074082</v>
      </c>
      <c r="D13" s="229">
        <v>69</v>
      </c>
      <c r="E13" s="228"/>
      <c r="F13" s="261">
        <f>$F$3</f>
        <v>26.915555555555557</v>
      </c>
      <c r="G13" s="243" t="s">
        <v>181</v>
      </c>
      <c r="H13" s="244">
        <f t="shared" si="1"/>
        <v>128.16931216931218</v>
      </c>
      <c r="I13" s="229">
        <v>21</v>
      </c>
      <c r="J13" s="230"/>
      <c r="K13" s="261">
        <f t="shared" si="5"/>
        <v>10.766222222222224</v>
      </c>
      <c r="L13" s="243" t="s">
        <v>182</v>
      </c>
      <c r="M13" s="245">
        <f t="shared" si="2"/>
        <v>24.46868686868687</v>
      </c>
      <c r="N13" s="229">
        <v>44</v>
      </c>
      <c r="O13" s="239"/>
      <c r="P13" s="239"/>
      <c r="Q13" s="241"/>
      <c r="R13" s="241"/>
      <c r="S13" s="241"/>
      <c r="T13" s="241"/>
    </row>
    <row r="14" spans="1:33" ht="26.4">
      <c r="A14" s="260">
        <f t="shared" si="3"/>
        <v>55.527111111111118</v>
      </c>
      <c r="B14" s="255" t="s">
        <v>183</v>
      </c>
      <c r="C14" s="256">
        <f t="shared" si="0"/>
        <v>82.876285240464355</v>
      </c>
      <c r="D14" s="257">
        <v>67</v>
      </c>
      <c r="E14" s="228"/>
      <c r="F14" s="261">
        <f t="shared" si="4"/>
        <v>26.915555555555557</v>
      </c>
      <c r="G14" s="243" t="s">
        <v>184</v>
      </c>
      <c r="H14" s="244">
        <f t="shared" si="1"/>
        <v>81.562289562289564</v>
      </c>
      <c r="I14" s="229">
        <v>33</v>
      </c>
      <c r="J14" s="230"/>
      <c r="K14" s="261">
        <f t="shared" si="5"/>
        <v>10.766222222222224</v>
      </c>
      <c r="L14" s="243" t="s">
        <v>185</v>
      </c>
      <c r="M14" s="245">
        <f t="shared" si="2"/>
        <v>10.766222222222222</v>
      </c>
      <c r="N14" s="229">
        <v>100</v>
      </c>
      <c r="O14" s="239"/>
      <c r="P14" s="239"/>
      <c r="Q14" s="241"/>
      <c r="R14" s="241"/>
      <c r="S14" s="241"/>
      <c r="T14" s="241"/>
    </row>
    <row r="15" spans="1:33" ht="26.4">
      <c r="A15" s="259">
        <f t="shared" si="3"/>
        <v>55.527111111111118</v>
      </c>
      <c r="B15" s="258" t="s">
        <v>141</v>
      </c>
      <c r="C15" s="253">
        <f t="shared" si="0"/>
        <v>113.32063492063493</v>
      </c>
      <c r="D15" s="254">
        <v>49</v>
      </c>
      <c r="E15" s="238"/>
      <c r="F15" s="261">
        <f t="shared" si="4"/>
        <v>26.915555555555557</v>
      </c>
      <c r="G15" s="243" t="s">
        <v>186</v>
      </c>
      <c r="H15" s="244">
        <f t="shared" si="1"/>
        <v>299.06172839506172</v>
      </c>
      <c r="I15" s="229">
        <v>9</v>
      </c>
      <c r="J15" s="230"/>
      <c r="K15" s="261">
        <f>$K$3</f>
        <v>10.766222222222224</v>
      </c>
      <c r="L15" s="243" t="s">
        <v>187</v>
      </c>
      <c r="M15" s="245">
        <f t="shared" si="2"/>
        <v>16.563418803418806</v>
      </c>
      <c r="N15" s="229">
        <v>65</v>
      </c>
      <c r="O15" s="239"/>
      <c r="P15" s="239"/>
      <c r="Q15" s="241"/>
      <c r="R15" s="241"/>
      <c r="S15" s="241"/>
      <c r="T15" s="241"/>
    </row>
    <row r="16" spans="1:33">
      <c r="A16" s="238"/>
      <c r="B16" s="240"/>
      <c r="C16" s="240"/>
      <c r="D16" s="240"/>
      <c r="E16" s="239"/>
      <c r="F16" s="261">
        <f t="shared" si="4"/>
        <v>26.915555555555557</v>
      </c>
      <c r="G16" s="243" t="s">
        <v>188</v>
      </c>
      <c r="H16" s="244">
        <f t="shared" si="1"/>
        <v>141.66081871345031</v>
      </c>
      <c r="I16" s="229">
        <v>19</v>
      </c>
      <c r="J16" s="239"/>
      <c r="K16" s="239"/>
      <c r="L16" s="239"/>
      <c r="M16" s="239"/>
      <c r="N16" s="239"/>
      <c r="O16" s="239"/>
      <c r="P16" s="239"/>
      <c r="Q16" s="241"/>
      <c r="R16" s="241"/>
      <c r="S16" s="241"/>
      <c r="T16" s="241"/>
    </row>
    <row r="17" spans="1:20">
      <c r="A17" s="240"/>
      <c r="B17" s="240"/>
      <c r="C17" s="240"/>
      <c r="D17" s="240"/>
      <c r="E17" s="239"/>
      <c r="F17" s="261">
        <f t="shared" si="4"/>
        <v>26.915555555555557</v>
      </c>
      <c r="G17" s="243" t="s">
        <v>189</v>
      </c>
      <c r="H17" s="244">
        <f t="shared" si="1"/>
        <v>107.66222222222223</v>
      </c>
      <c r="I17" s="229">
        <v>25</v>
      </c>
      <c r="J17" s="239"/>
      <c r="K17" s="239"/>
      <c r="L17" s="239"/>
      <c r="M17" s="239"/>
      <c r="N17" s="239"/>
      <c r="O17" s="239"/>
      <c r="P17" s="239"/>
      <c r="Q17" s="241"/>
      <c r="R17" s="241"/>
      <c r="S17" s="241"/>
      <c r="T17" s="241"/>
    </row>
    <row r="18" spans="1:20" ht="26.4">
      <c r="A18" s="239"/>
      <c r="B18" s="239"/>
      <c r="C18" s="239"/>
      <c r="D18" s="239"/>
      <c r="E18" s="240"/>
      <c r="F18" s="261">
        <f t="shared" si="4"/>
        <v>26.915555555555557</v>
      </c>
      <c r="G18" s="243" t="s">
        <v>190</v>
      </c>
      <c r="H18" s="244">
        <f t="shared" si="1"/>
        <v>141.66081871345031</v>
      </c>
      <c r="I18" s="229">
        <v>19</v>
      </c>
      <c r="J18" s="239"/>
      <c r="K18" s="239"/>
      <c r="L18" s="239"/>
      <c r="M18" s="239"/>
      <c r="N18" s="239"/>
      <c r="O18" s="239"/>
      <c r="P18" s="239"/>
      <c r="Q18" s="241"/>
      <c r="R18" s="241"/>
      <c r="S18" s="241"/>
      <c r="T18" s="241"/>
    </row>
    <row r="19" spans="1:20">
      <c r="A19" s="239"/>
      <c r="B19" s="239"/>
      <c r="C19" s="239"/>
      <c r="D19" s="239"/>
      <c r="E19" s="240"/>
      <c r="F19" s="261">
        <f t="shared" si="4"/>
        <v>26.915555555555557</v>
      </c>
      <c r="G19" s="234" t="s">
        <v>191</v>
      </c>
      <c r="H19" s="244">
        <f t="shared" si="1"/>
        <v>149.53086419753086</v>
      </c>
      <c r="I19" s="229">
        <v>18</v>
      </c>
      <c r="J19" s="239"/>
      <c r="K19" s="239"/>
      <c r="L19" s="239"/>
      <c r="M19" s="239"/>
      <c r="N19" s="239"/>
      <c r="O19" s="239"/>
      <c r="P19" s="239"/>
      <c r="Q19" s="241"/>
      <c r="R19" s="241"/>
      <c r="S19" s="241"/>
      <c r="T19" s="241"/>
    </row>
    <row r="20" spans="1:20">
      <c r="A20" s="239"/>
      <c r="B20" s="239"/>
      <c r="C20" s="239"/>
      <c r="D20" s="239"/>
      <c r="E20" s="240"/>
      <c r="F20" s="261">
        <f>$F$3</f>
        <v>26.915555555555557</v>
      </c>
      <c r="G20" s="243" t="s">
        <v>192</v>
      </c>
      <c r="H20" s="244">
        <f t="shared" si="1"/>
        <v>141.66081871345031</v>
      </c>
      <c r="I20" s="229">
        <v>19</v>
      </c>
      <c r="J20" s="239"/>
      <c r="K20" s="239"/>
      <c r="L20" s="239"/>
      <c r="M20" s="239"/>
      <c r="N20" s="239"/>
      <c r="O20" s="239"/>
      <c r="P20" s="239"/>
      <c r="Q20" s="241"/>
      <c r="R20" s="241"/>
      <c r="S20" s="241"/>
      <c r="T20" s="241"/>
    </row>
    <row r="21" spans="1:20">
      <c r="A21" s="239"/>
      <c r="B21" s="239"/>
      <c r="C21" s="239"/>
      <c r="D21" s="239"/>
      <c r="E21" s="240"/>
      <c r="F21" s="261">
        <f t="shared" si="4"/>
        <v>26.915555555555557</v>
      </c>
      <c r="G21" s="243" t="s">
        <v>193</v>
      </c>
      <c r="H21" s="244">
        <f t="shared" si="1"/>
        <v>149.53086419753086</v>
      </c>
      <c r="I21" s="229">
        <v>18</v>
      </c>
      <c r="J21" s="239"/>
      <c r="K21" s="239"/>
      <c r="L21" s="239"/>
      <c r="M21" s="239"/>
      <c r="N21" s="239"/>
      <c r="O21" s="239"/>
      <c r="P21" s="239"/>
      <c r="Q21" s="241"/>
      <c r="R21" s="241"/>
      <c r="S21" s="241"/>
      <c r="T21" s="241"/>
    </row>
    <row r="22" spans="1:20">
      <c r="A22" s="239"/>
      <c r="B22" s="239"/>
      <c r="C22" s="239"/>
      <c r="D22" s="239"/>
      <c r="E22" s="240"/>
      <c r="F22" s="261">
        <f t="shared" si="4"/>
        <v>26.915555555555557</v>
      </c>
      <c r="G22" s="243" t="s">
        <v>194</v>
      </c>
      <c r="H22" s="244">
        <f t="shared" si="1"/>
        <v>107.66222222222223</v>
      </c>
      <c r="I22" s="229">
        <v>25</v>
      </c>
      <c r="J22" s="239"/>
      <c r="K22" s="239"/>
      <c r="L22" s="239"/>
      <c r="M22" s="239"/>
      <c r="N22" s="239"/>
      <c r="O22" s="239"/>
      <c r="P22" s="239"/>
      <c r="Q22" s="241"/>
      <c r="R22" s="241"/>
      <c r="S22" s="241"/>
      <c r="T22" s="241"/>
    </row>
    <row r="23" spans="1:20">
      <c r="A23" s="239"/>
      <c r="B23" s="239"/>
      <c r="C23" s="239"/>
      <c r="D23" s="239"/>
      <c r="E23" s="240"/>
      <c r="F23" s="261">
        <f t="shared" si="4"/>
        <v>26.915555555555557</v>
      </c>
      <c r="G23" s="243" t="s">
        <v>195</v>
      </c>
      <c r="H23" s="244">
        <f t="shared" si="1"/>
        <v>107.66222222222223</v>
      </c>
      <c r="I23" s="229">
        <v>25</v>
      </c>
      <c r="J23" s="239"/>
      <c r="K23" s="239"/>
      <c r="L23" s="239"/>
      <c r="M23" s="239"/>
      <c r="N23" s="239"/>
      <c r="O23" s="239"/>
      <c r="P23" s="239"/>
      <c r="Q23" s="241"/>
      <c r="R23" s="241"/>
      <c r="S23" s="241"/>
      <c r="T23" s="241"/>
    </row>
    <row r="24" spans="1:20">
      <c r="A24" s="239"/>
      <c r="B24" s="239"/>
      <c r="C24" s="239"/>
      <c r="D24" s="239"/>
      <c r="E24" s="240"/>
      <c r="F24" s="261">
        <f t="shared" si="4"/>
        <v>26.915555555555557</v>
      </c>
      <c r="G24" s="243" t="s">
        <v>196</v>
      </c>
      <c r="H24" s="244">
        <f t="shared" si="1"/>
        <v>86.82437275985663</v>
      </c>
      <c r="I24" s="229">
        <v>31</v>
      </c>
      <c r="J24" s="239"/>
      <c r="K24" s="239"/>
      <c r="L24" s="239"/>
      <c r="M24" s="239"/>
      <c r="N24" s="239"/>
      <c r="O24" s="239"/>
      <c r="P24" s="239"/>
      <c r="Q24" s="241"/>
      <c r="R24" s="241"/>
      <c r="S24" s="241"/>
      <c r="T24" s="241"/>
    </row>
    <row r="25" spans="1:20">
      <c r="A25" s="239"/>
      <c r="B25" s="239"/>
      <c r="C25" s="239"/>
      <c r="D25" s="239"/>
      <c r="E25" s="240"/>
      <c r="F25" s="261">
        <f t="shared" si="4"/>
        <v>26.915555555555557</v>
      </c>
      <c r="G25" s="243" t="s">
        <v>197</v>
      </c>
      <c r="H25" s="244">
        <f t="shared" si="1"/>
        <v>81.562289562289564</v>
      </c>
      <c r="I25" s="229">
        <v>33</v>
      </c>
      <c r="J25" s="239"/>
      <c r="K25" s="239"/>
      <c r="L25" s="239"/>
      <c r="M25" s="239"/>
      <c r="N25" s="239"/>
      <c r="O25" s="239"/>
      <c r="P25" s="239"/>
      <c r="Q25" s="241"/>
      <c r="R25" s="241"/>
      <c r="S25" s="241"/>
      <c r="T25" s="241"/>
    </row>
    <row r="26" spans="1:20">
      <c r="A26" s="239"/>
      <c r="B26" s="239"/>
      <c r="C26" s="239"/>
      <c r="D26" s="239"/>
      <c r="E26" s="240"/>
      <c r="F26" s="261">
        <f>$F$3</f>
        <v>26.915555555555557</v>
      </c>
      <c r="G26" s="243" t="s">
        <v>198</v>
      </c>
      <c r="H26" s="244">
        <f t="shared" si="1"/>
        <v>92.812260536398469</v>
      </c>
      <c r="I26" s="229">
        <v>29</v>
      </c>
      <c r="J26" s="239"/>
      <c r="K26" s="239"/>
      <c r="L26" s="239"/>
      <c r="M26" s="239"/>
      <c r="N26" s="239"/>
      <c r="O26" s="239"/>
      <c r="P26" s="239"/>
      <c r="Q26" s="241"/>
      <c r="R26" s="241"/>
      <c r="S26" s="241"/>
      <c r="T26" s="241"/>
    </row>
    <row r="27" spans="1:20" ht="26.4">
      <c r="A27" s="239"/>
      <c r="B27" s="239"/>
      <c r="C27" s="239"/>
      <c r="D27" s="239"/>
      <c r="E27" s="240"/>
      <c r="F27" s="261">
        <f t="shared" si="4"/>
        <v>26.915555555555557</v>
      </c>
      <c r="G27" s="234" t="s">
        <v>199</v>
      </c>
      <c r="H27" s="244">
        <f t="shared" si="1"/>
        <v>38.450793650793649</v>
      </c>
      <c r="I27" s="229">
        <v>70</v>
      </c>
      <c r="J27" s="239"/>
      <c r="K27" s="239"/>
      <c r="L27" s="239"/>
      <c r="M27" s="239"/>
      <c r="N27" s="239"/>
      <c r="O27" s="239"/>
      <c r="P27" s="239"/>
      <c r="Q27" s="241"/>
      <c r="R27" s="241"/>
      <c r="S27" s="241"/>
      <c r="T27" s="241"/>
    </row>
    <row r="28" spans="1:20">
      <c r="A28" s="239"/>
      <c r="B28" s="239"/>
      <c r="C28" s="239"/>
      <c r="D28" s="239"/>
      <c r="E28" s="240"/>
      <c r="F28" s="240"/>
      <c r="G28" s="240"/>
      <c r="H28" s="240"/>
      <c r="I28" s="240"/>
      <c r="J28" s="239"/>
      <c r="K28" s="239"/>
      <c r="L28" s="239"/>
      <c r="M28" s="239"/>
      <c r="N28" s="239"/>
      <c r="O28" s="239"/>
      <c r="P28" s="239"/>
      <c r="Q28" s="241"/>
      <c r="R28" s="241"/>
      <c r="S28" s="241"/>
      <c r="T28" s="241"/>
    </row>
    <row r="29" spans="1:20">
      <c r="A29" s="239"/>
      <c r="B29" s="239"/>
      <c r="C29" s="239"/>
      <c r="D29" s="239"/>
      <c r="E29" s="240"/>
      <c r="F29" s="239"/>
      <c r="G29" s="239"/>
      <c r="H29" s="239"/>
      <c r="I29" s="239"/>
      <c r="J29" s="239"/>
      <c r="K29" s="239"/>
      <c r="L29" s="239"/>
      <c r="M29" s="239"/>
      <c r="N29" s="239"/>
      <c r="O29" s="239"/>
      <c r="P29" s="239"/>
      <c r="Q29" s="241"/>
      <c r="R29" s="241"/>
      <c r="S29" s="241"/>
      <c r="T29" s="241"/>
    </row>
    <row r="30" spans="1:20">
      <c r="A30" s="239"/>
      <c r="B30" s="239"/>
      <c r="C30" s="239"/>
      <c r="D30" s="239"/>
      <c r="E30" s="240"/>
      <c r="F30" s="239"/>
      <c r="G30" s="239"/>
      <c r="H30" s="239"/>
      <c r="I30" s="239"/>
      <c r="J30" s="239"/>
      <c r="K30" s="239"/>
      <c r="L30" s="239"/>
      <c r="M30" s="239"/>
      <c r="N30" s="239"/>
      <c r="O30" s="239"/>
      <c r="P30" s="239"/>
      <c r="Q30" s="241"/>
      <c r="R30" s="241"/>
      <c r="S30" s="241"/>
      <c r="T30" s="241"/>
    </row>
    <row r="31" spans="1:20">
      <c r="A31" s="239"/>
      <c r="B31" s="239"/>
      <c r="C31" s="239"/>
      <c r="D31" s="239"/>
      <c r="E31" s="240"/>
      <c r="F31" s="239"/>
      <c r="G31" s="239"/>
      <c r="H31" s="239"/>
      <c r="I31" s="239"/>
      <c r="J31" s="239"/>
      <c r="K31" s="239"/>
      <c r="L31" s="239"/>
      <c r="M31" s="239"/>
      <c r="N31" s="239"/>
      <c r="O31" s="227"/>
      <c r="P31" s="227"/>
    </row>
    <row r="32" spans="1:20">
      <c r="A32" s="239"/>
      <c r="B32" s="239"/>
      <c r="C32" s="239"/>
      <c r="D32" s="239"/>
      <c r="E32" s="240"/>
      <c r="F32" s="239"/>
      <c r="G32" s="239"/>
      <c r="H32" s="239"/>
      <c r="I32" s="239"/>
      <c r="J32" s="239"/>
      <c r="K32" s="239"/>
      <c r="L32" s="239"/>
      <c r="M32" s="239"/>
      <c r="N32" s="239"/>
      <c r="O32" s="227"/>
      <c r="P32" s="227"/>
    </row>
    <row r="33" spans="1:14">
      <c r="E33" s="242"/>
      <c r="F33" s="241"/>
      <c r="G33" s="241"/>
      <c r="H33" s="241"/>
      <c r="I33" s="241"/>
      <c r="J33" s="241"/>
      <c r="K33" s="241"/>
      <c r="L33" s="241"/>
      <c r="M33" s="241"/>
      <c r="N33" s="241"/>
    </row>
    <row r="34" spans="1:14">
      <c r="A34" t="s">
        <v>200</v>
      </c>
      <c r="B34" t="s">
        <v>201</v>
      </c>
      <c r="C34" t="s">
        <v>202</v>
      </c>
      <c r="E34" s="242"/>
      <c r="F34" s="241"/>
      <c r="G34" s="241"/>
      <c r="H34" s="241"/>
      <c r="I34" s="241"/>
      <c r="J34" s="241"/>
      <c r="K34" s="241"/>
      <c r="L34" s="241"/>
      <c r="M34" s="241"/>
      <c r="N34" s="241"/>
    </row>
    <row r="35" spans="1:14" ht="41.4">
      <c r="A35" s="246" t="s">
        <v>120</v>
      </c>
      <c r="B35" s="231" t="s">
        <v>121</v>
      </c>
      <c r="C35" s="247" t="s">
        <v>122</v>
      </c>
      <c r="D35" s="248" t="s">
        <v>123</v>
      </c>
      <c r="F35" s="249" t="s">
        <v>124</v>
      </c>
      <c r="G35" s="231" t="s">
        <v>125</v>
      </c>
      <c r="H35" s="250" t="s">
        <v>122</v>
      </c>
      <c r="I35" s="249" t="s">
        <v>126</v>
      </c>
      <c r="J35" s="251"/>
      <c r="K35" s="252" t="s">
        <v>127</v>
      </c>
      <c r="L35" s="231" t="s">
        <v>128</v>
      </c>
      <c r="M35" s="250" t="s">
        <v>122</v>
      </c>
      <c r="N35" s="248" t="s">
        <v>129</v>
      </c>
    </row>
    <row r="36" spans="1:14" ht="26.4">
      <c r="A36" s="259">
        <f>(Calculator!O27/9)*0.8</f>
        <v>27.763555555555559</v>
      </c>
      <c r="B36" s="232" t="s">
        <v>131</v>
      </c>
      <c r="C36" s="233">
        <f t="shared" ref="C36:C48" si="6">100*A36/D36</f>
        <v>45.514025500910755</v>
      </c>
      <c r="D36" s="229">
        <v>61</v>
      </c>
      <c r="E36" s="228"/>
      <c r="F36" s="261">
        <f>(Calculator!I27/9)*0.8</f>
        <v>13.457777777777778</v>
      </c>
      <c r="G36" s="243" t="s">
        <v>132</v>
      </c>
      <c r="H36" s="244">
        <f t="shared" ref="H36:H60" si="7">100*F36/I36</f>
        <v>192.25396825396825</v>
      </c>
      <c r="I36" s="229">
        <v>7</v>
      </c>
      <c r="J36" s="230"/>
      <c r="K36" s="261">
        <f>(Calculator!M27/9)*0.8</f>
        <v>5.3831111111111118</v>
      </c>
      <c r="L36" s="234" t="s">
        <v>133</v>
      </c>
      <c r="M36" s="245">
        <f t="shared" ref="M36:M48" si="8">100*K36/N36</f>
        <v>9.9687242798353921</v>
      </c>
      <c r="N36" s="229">
        <v>54</v>
      </c>
    </row>
    <row r="37" spans="1:14" ht="26.4">
      <c r="A37" s="259">
        <f>$A$36</f>
        <v>27.763555555555559</v>
      </c>
      <c r="B37" s="235" t="s">
        <v>135</v>
      </c>
      <c r="C37" s="233">
        <f t="shared" si="6"/>
        <v>185.09037037037038</v>
      </c>
      <c r="D37" s="229">
        <v>15</v>
      </c>
      <c r="E37" s="228"/>
      <c r="F37" s="261">
        <f>$F$36</f>
        <v>13.457777777777778</v>
      </c>
      <c r="G37" s="243" t="s">
        <v>136</v>
      </c>
      <c r="H37" s="244">
        <f t="shared" si="7"/>
        <v>58.512077294685994</v>
      </c>
      <c r="I37" s="229">
        <v>23</v>
      </c>
      <c r="J37" s="230"/>
      <c r="K37" s="261">
        <f>$K$36</f>
        <v>5.3831111111111118</v>
      </c>
      <c r="L37" s="234" t="s">
        <v>137</v>
      </c>
      <c r="M37" s="245">
        <f t="shared" si="8"/>
        <v>10.766222222222222</v>
      </c>
      <c r="N37" s="229">
        <v>50</v>
      </c>
    </row>
    <row r="38" spans="1:14">
      <c r="A38" s="259">
        <f t="shared" ref="A38:A48" si="9">$A$36</f>
        <v>27.763555555555559</v>
      </c>
      <c r="B38" s="235" t="s">
        <v>144</v>
      </c>
      <c r="C38" s="233">
        <f t="shared" si="6"/>
        <v>55.527111111111118</v>
      </c>
      <c r="D38" s="229">
        <v>50</v>
      </c>
      <c r="E38" s="228"/>
      <c r="F38" s="261">
        <f t="shared" ref="F38:F60" si="10">$F$36</f>
        <v>13.457777777777778</v>
      </c>
      <c r="G38" s="243" t="s">
        <v>145</v>
      </c>
      <c r="H38" s="244">
        <f t="shared" si="7"/>
        <v>61.171717171717177</v>
      </c>
      <c r="I38" s="229">
        <v>22</v>
      </c>
      <c r="J38" s="230"/>
      <c r="K38" s="261">
        <f t="shared" ref="K38:K48" si="11">$K$36</f>
        <v>5.3831111111111118</v>
      </c>
      <c r="L38" s="234" t="s">
        <v>146</v>
      </c>
      <c r="M38" s="245">
        <f t="shared" si="8"/>
        <v>35.887407407407409</v>
      </c>
      <c r="N38" s="229">
        <v>15</v>
      </c>
    </row>
    <row r="39" spans="1:14">
      <c r="A39" s="259">
        <f t="shared" si="9"/>
        <v>27.763555555555559</v>
      </c>
      <c r="B39" s="235" t="s">
        <v>153</v>
      </c>
      <c r="C39" s="233">
        <f t="shared" si="6"/>
        <v>198.31111111111113</v>
      </c>
      <c r="D39" s="229">
        <v>14</v>
      </c>
      <c r="E39" s="228"/>
      <c r="F39" s="261">
        <f t="shared" si="10"/>
        <v>13.457777777777778</v>
      </c>
      <c r="G39" s="243" t="s">
        <v>154</v>
      </c>
      <c r="H39" s="244">
        <f t="shared" si="7"/>
        <v>112.14814814814815</v>
      </c>
      <c r="I39" s="229">
        <v>12</v>
      </c>
      <c r="J39" s="230"/>
      <c r="K39" s="261">
        <f t="shared" si="11"/>
        <v>5.3831111111111118</v>
      </c>
      <c r="L39" s="234" t="s">
        <v>155</v>
      </c>
      <c r="M39" s="245">
        <f t="shared" si="8"/>
        <v>8.0344941956882252</v>
      </c>
      <c r="N39" s="236">
        <v>67</v>
      </c>
    </row>
    <row r="40" spans="1:14">
      <c r="A40" s="259">
        <f t="shared" si="9"/>
        <v>27.763555555555559</v>
      </c>
      <c r="B40" s="235" t="s">
        <v>162</v>
      </c>
      <c r="C40" s="233">
        <f t="shared" si="6"/>
        <v>69.408888888888896</v>
      </c>
      <c r="D40" s="229">
        <v>40</v>
      </c>
      <c r="E40" s="228"/>
      <c r="F40" s="261">
        <f t="shared" si="10"/>
        <v>13.457777777777778</v>
      </c>
      <c r="G40" s="243" t="s">
        <v>163</v>
      </c>
      <c r="H40" s="244">
        <f t="shared" si="7"/>
        <v>74.76543209876543</v>
      </c>
      <c r="I40" s="229">
        <v>18</v>
      </c>
      <c r="J40" s="230"/>
      <c r="K40" s="261">
        <f t="shared" si="11"/>
        <v>5.3831111111111118</v>
      </c>
      <c r="L40" s="243" t="s">
        <v>164</v>
      </c>
      <c r="M40" s="245">
        <f t="shared" si="8"/>
        <v>12.234343434343435</v>
      </c>
      <c r="N40" s="229">
        <v>44</v>
      </c>
    </row>
    <row r="41" spans="1:14">
      <c r="A41" s="259">
        <f t="shared" si="9"/>
        <v>27.763555555555559</v>
      </c>
      <c r="B41" s="235" t="s">
        <v>165</v>
      </c>
      <c r="C41" s="233">
        <f t="shared" si="6"/>
        <v>163.31503267973858</v>
      </c>
      <c r="D41" s="229">
        <v>17</v>
      </c>
      <c r="E41" s="228"/>
      <c r="F41" s="261">
        <f t="shared" si="10"/>
        <v>13.457777777777778</v>
      </c>
      <c r="G41" s="243" t="s">
        <v>166</v>
      </c>
      <c r="H41" s="244">
        <f t="shared" si="7"/>
        <v>122.34343434343435</v>
      </c>
      <c r="I41" s="229">
        <v>11</v>
      </c>
      <c r="J41" s="230"/>
      <c r="K41" s="261">
        <f t="shared" si="11"/>
        <v>5.3831111111111118</v>
      </c>
      <c r="L41" s="243" t="s">
        <v>167</v>
      </c>
      <c r="M41" s="245">
        <f t="shared" si="8"/>
        <v>5.383111111111111</v>
      </c>
      <c r="N41" s="229">
        <v>100</v>
      </c>
    </row>
    <row r="42" spans="1:14" ht="26.4">
      <c r="A42" s="259">
        <f t="shared" si="9"/>
        <v>27.763555555555559</v>
      </c>
      <c r="B42" s="237" t="s">
        <v>168</v>
      </c>
      <c r="C42" s="233">
        <f t="shared" si="6"/>
        <v>42.065993265993271</v>
      </c>
      <c r="D42" s="229">
        <v>66</v>
      </c>
      <c r="E42" s="228"/>
      <c r="F42" s="261">
        <f t="shared" si="10"/>
        <v>13.457777777777778</v>
      </c>
      <c r="G42" s="243" t="s">
        <v>169</v>
      </c>
      <c r="H42" s="244">
        <f t="shared" si="7"/>
        <v>67.288888888888891</v>
      </c>
      <c r="I42" s="229">
        <v>20</v>
      </c>
      <c r="J42" s="230"/>
      <c r="K42" s="261">
        <f t="shared" si="11"/>
        <v>5.3831111111111118</v>
      </c>
      <c r="L42" s="234" t="s">
        <v>170</v>
      </c>
      <c r="M42" s="245">
        <f t="shared" si="8"/>
        <v>8.8247723132969043</v>
      </c>
      <c r="N42" s="229">
        <v>61</v>
      </c>
    </row>
    <row r="43" spans="1:14" ht="26.4">
      <c r="A43" s="259">
        <f t="shared" si="9"/>
        <v>27.763555555555559</v>
      </c>
      <c r="B43" s="235" t="s">
        <v>171</v>
      </c>
      <c r="C43" s="233">
        <f t="shared" si="6"/>
        <v>154.241975308642</v>
      </c>
      <c r="D43" s="229">
        <v>18</v>
      </c>
      <c r="E43" s="228"/>
      <c r="F43" s="261">
        <f t="shared" si="10"/>
        <v>13.457777777777778</v>
      </c>
      <c r="G43" s="243" t="s">
        <v>172</v>
      </c>
      <c r="H43" s="244">
        <f t="shared" si="7"/>
        <v>89.718518518518522</v>
      </c>
      <c r="I43" s="229">
        <v>15</v>
      </c>
      <c r="J43" s="230"/>
      <c r="K43" s="261">
        <f t="shared" si="11"/>
        <v>5.3831111111111118</v>
      </c>
      <c r="L43" s="234" t="s">
        <v>173</v>
      </c>
      <c r="M43" s="245">
        <f t="shared" si="8"/>
        <v>11.453427895981088</v>
      </c>
      <c r="N43" s="229">
        <v>47</v>
      </c>
    </row>
    <row r="44" spans="1:14">
      <c r="A44" s="259">
        <f t="shared" si="9"/>
        <v>27.763555555555559</v>
      </c>
      <c r="B44" s="235" t="s">
        <v>174</v>
      </c>
      <c r="C44" s="233">
        <f t="shared" si="6"/>
        <v>37.518318318318322</v>
      </c>
      <c r="D44" s="229">
        <v>74</v>
      </c>
      <c r="E44" s="228"/>
      <c r="F44" s="261">
        <f t="shared" si="10"/>
        <v>13.457777777777778</v>
      </c>
      <c r="G44" s="243" t="s">
        <v>175</v>
      </c>
      <c r="H44" s="244">
        <f t="shared" si="7"/>
        <v>53.831111111111113</v>
      </c>
      <c r="I44" s="229">
        <v>25</v>
      </c>
      <c r="J44" s="230"/>
      <c r="K44" s="261">
        <f t="shared" si="11"/>
        <v>5.3831111111111118</v>
      </c>
      <c r="L44" s="243" t="s">
        <v>176</v>
      </c>
      <c r="M44" s="245">
        <f t="shared" si="8"/>
        <v>5.383111111111111</v>
      </c>
      <c r="N44" s="229">
        <v>100</v>
      </c>
    </row>
    <row r="45" spans="1:14">
      <c r="A45" s="259">
        <f t="shared" si="9"/>
        <v>27.763555555555559</v>
      </c>
      <c r="B45" s="237" t="s">
        <v>177</v>
      </c>
      <c r="C45" s="233">
        <f t="shared" si="6"/>
        <v>347.04444444444448</v>
      </c>
      <c r="D45" s="229">
        <v>8</v>
      </c>
      <c r="E45" s="228"/>
      <c r="F45" s="261">
        <f t="shared" si="10"/>
        <v>13.457777777777778</v>
      </c>
      <c r="G45" s="243" t="s">
        <v>178</v>
      </c>
      <c r="H45" s="244">
        <f t="shared" si="7"/>
        <v>112.14814814814815</v>
      </c>
      <c r="I45" s="229">
        <v>12</v>
      </c>
      <c r="J45" s="230"/>
      <c r="K45" s="261">
        <f t="shared" si="11"/>
        <v>5.3831111111111118</v>
      </c>
      <c r="L45" s="234" t="s">
        <v>179</v>
      </c>
      <c r="M45" s="245">
        <f t="shared" si="8"/>
        <v>22.42962962962963</v>
      </c>
      <c r="N45" s="229">
        <v>24</v>
      </c>
    </row>
    <row r="46" spans="1:14">
      <c r="A46" s="259">
        <f t="shared" si="9"/>
        <v>27.763555555555559</v>
      </c>
      <c r="B46" s="235" t="s">
        <v>180</v>
      </c>
      <c r="C46" s="233">
        <f t="shared" si="6"/>
        <v>40.237037037037041</v>
      </c>
      <c r="D46" s="229">
        <v>69</v>
      </c>
      <c r="E46" s="228"/>
      <c r="F46" s="261">
        <f t="shared" si="10"/>
        <v>13.457777777777778</v>
      </c>
      <c r="G46" s="243" t="s">
        <v>181</v>
      </c>
      <c r="H46" s="244">
        <f t="shared" si="7"/>
        <v>64.084656084656089</v>
      </c>
      <c r="I46" s="229">
        <v>21</v>
      </c>
      <c r="J46" s="230"/>
      <c r="K46" s="261">
        <f t="shared" si="11"/>
        <v>5.3831111111111118</v>
      </c>
      <c r="L46" s="243" t="s">
        <v>182</v>
      </c>
      <c r="M46" s="245">
        <f t="shared" si="8"/>
        <v>12.234343434343435</v>
      </c>
      <c r="N46" s="229">
        <v>44</v>
      </c>
    </row>
    <row r="47" spans="1:14" ht="26.4">
      <c r="A47" s="259">
        <f t="shared" si="9"/>
        <v>27.763555555555559</v>
      </c>
      <c r="B47" s="255" t="s">
        <v>183</v>
      </c>
      <c r="C47" s="256">
        <f t="shared" si="6"/>
        <v>41.438142620232178</v>
      </c>
      <c r="D47" s="257">
        <v>67</v>
      </c>
      <c r="E47" s="228"/>
      <c r="F47" s="261">
        <f t="shared" si="10"/>
        <v>13.457777777777778</v>
      </c>
      <c r="G47" s="243" t="s">
        <v>184</v>
      </c>
      <c r="H47" s="244">
        <f t="shared" si="7"/>
        <v>40.781144781144782</v>
      </c>
      <c r="I47" s="229">
        <v>33</v>
      </c>
      <c r="J47" s="230"/>
      <c r="K47" s="261">
        <f t="shared" si="11"/>
        <v>5.3831111111111118</v>
      </c>
      <c r="L47" s="243" t="s">
        <v>185</v>
      </c>
      <c r="M47" s="245">
        <f t="shared" si="8"/>
        <v>5.383111111111111</v>
      </c>
      <c r="N47" s="229">
        <v>100</v>
      </c>
    </row>
    <row r="48" spans="1:14" ht="26.4">
      <c r="A48" s="259">
        <f t="shared" si="9"/>
        <v>27.763555555555559</v>
      </c>
      <c r="B48" s="258" t="s">
        <v>141</v>
      </c>
      <c r="C48" s="253">
        <f t="shared" si="6"/>
        <v>56.660317460317465</v>
      </c>
      <c r="D48" s="254">
        <v>49</v>
      </c>
      <c r="E48" s="238"/>
      <c r="F48" s="261">
        <f t="shared" si="10"/>
        <v>13.457777777777778</v>
      </c>
      <c r="G48" s="243" t="s">
        <v>186</v>
      </c>
      <c r="H48" s="244">
        <f t="shared" si="7"/>
        <v>149.53086419753086</v>
      </c>
      <c r="I48" s="229">
        <v>9</v>
      </c>
      <c r="J48" s="230"/>
      <c r="K48" s="261">
        <f t="shared" si="11"/>
        <v>5.3831111111111118</v>
      </c>
      <c r="L48" s="243" t="s">
        <v>187</v>
      </c>
      <c r="M48" s="245">
        <f t="shared" si="8"/>
        <v>8.2817094017094028</v>
      </c>
      <c r="N48" s="229">
        <v>65</v>
      </c>
    </row>
    <row r="49" spans="1:14">
      <c r="A49" s="238"/>
      <c r="B49" s="240"/>
      <c r="C49" s="240"/>
      <c r="D49" s="240"/>
      <c r="E49" s="239"/>
      <c r="F49" s="261">
        <f t="shared" si="10"/>
        <v>13.457777777777778</v>
      </c>
      <c r="G49" s="243" t="s">
        <v>188</v>
      </c>
      <c r="H49" s="244">
        <f t="shared" si="7"/>
        <v>70.830409356725156</v>
      </c>
      <c r="I49" s="229">
        <v>19</v>
      </c>
      <c r="J49" s="239"/>
      <c r="K49" s="239"/>
      <c r="L49" s="239"/>
      <c r="M49" s="239"/>
      <c r="N49" s="239"/>
    </row>
    <row r="50" spans="1:14">
      <c r="A50" s="240"/>
      <c r="B50" s="240"/>
      <c r="C50" s="240"/>
      <c r="D50" s="240"/>
      <c r="E50" s="239"/>
      <c r="F50" s="261">
        <f t="shared" si="10"/>
        <v>13.457777777777778</v>
      </c>
      <c r="G50" s="243" t="s">
        <v>189</v>
      </c>
      <c r="H50" s="244">
        <f t="shared" si="7"/>
        <v>53.831111111111113</v>
      </c>
      <c r="I50" s="229">
        <v>25</v>
      </c>
      <c r="J50" s="239"/>
      <c r="K50" s="239"/>
      <c r="L50" s="239"/>
      <c r="M50" s="239"/>
      <c r="N50" s="239"/>
    </row>
    <row r="51" spans="1:14" ht="26.4">
      <c r="A51" s="239"/>
      <c r="B51" s="239"/>
      <c r="C51" s="239"/>
      <c r="D51" s="239"/>
      <c r="E51" s="240"/>
      <c r="F51" s="261">
        <f t="shared" si="10"/>
        <v>13.457777777777778</v>
      </c>
      <c r="G51" s="243" t="s">
        <v>190</v>
      </c>
      <c r="H51" s="244">
        <f t="shared" si="7"/>
        <v>70.830409356725156</v>
      </c>
      <c r="I51" s="229">
        <v>19</v>
      </c>
      <c r="J51" s="239"/>
      <c r="K51" s="239"/>
      <c r="L51" s="239"/>
      <c r="M51" s="239"/>
      <c r="N51" s="239"/>
    </row>
    <row r="52" spans="1:14">
      <c r="A52" s="239"/>
      <c r="B52" s="239"/>
      <c r="C52" s="239"/>
      <c r="D52" s="239"/>
      <c r="E52" s="240"/>
      <c r="F52" s="261">
        <f t="shared" si="10"/>
        <v>13.457777777777778</v>
      </c>
      <c r="G52" s="234" t="s">
        <v>191</v>
      </c>
      <c r="H52" s="244">
        <f t="shared" si="7"/>
        <v>74.76543209876543</v>
      </c>
      <c r="I52" s="229">
        <v>18</v>
      </c>
      <c r="J52" s="239"/>
      <c r="K52" s="239"/>
      <c r="L52" s="239"/>
      <c r="M52" s="239"/>
      <c r="N52" s="239"/>
    </row>
    <row r="53" spans="1:14">
      <c r="A53" s="239"/>
      <c r="B53" s="239"/>
      <c r="C53" s="239"/>
      <c r="D53" s="239"/>
      <c r="E53" s="240"/>
      <c r="F53" s="261">
        <f t="shared" si="10"/>
        <v>13.457777777777778</v>
      </c>
      <c r="G53" s="243" t="s">
        <v>192</v>
      </c>
      <c r="H53" s="244">
        <f t="shared" si="7"/>
        <v>70.830409356725156</v>
      </c>
      <c r="I53" s="229">
        <v>19</v>
      </c>
      <c r="J53" s="239"/>
      <c r="K53" s="239"/>
      <c r="L53" s="239"/>
      <c r="M53" s="239"/>
      <c r="N53" s="239"/>
    </row>
    <row r="54" spans="1:14">
      <c r="A54" s="239"/>
      <c r="B54" s="239"/>
      <c r="C54" s="239"/>
      <c r="D54" s="239"/>
      <c r="E54" s="240"/>
      <c r="F54" s="261">
        <f t="shared" si="10"/>
        <v>13.457777777777778</v>
      </c>
      <c r="G54" s="243" t="s">
        <v>193</v>
      </c>
      <c r="H54" s="244">
        <f t="shared" si="7"/>
        <v>74.76543209876543</v>
      </c>
      <c r="I54" s="229">
        <v>18</v>
      </c>
      <c r="J54" s="239"/>
      <c r="K54" s="239"/>
      <c r="L54" s="239"/>
      <c r="M54" s="239"/>
      <c r="N54" s="239"/>
    </row>
    <row r="55" spans="1:14">
      <c r="A55" s="239"/>
      <c r="B55" s="239"/>
      <c r="C55" s="239"/>
      <c r="D55" s="239"/>
      <c r="E55" s="240"/>
      <c r="F55" s="261">
        <f t="shared" si="10"/>
        <v>13.457777777777778</v>
      </c>
      <c r="G55" s="243" t="s">
        <v>194</v>
      </c>
      <c r="H55" s="244">
        <f t="shared" si="7"/>
        <v>53.831111111111113</v>
      </c>
      <c r="I55" s="229">
        <v>25</v>
      </c>
      <c r="J55" s="239"/>
      <c r="K55" s="239"/>
      <c r="L55" s="239"/>
      <c r="M55" s="239"/>
      <c r="N55" s="239"/>
    </row>
    <row r="56" spans="1:14">
      <c r="A56" s="239"/>
      <c r="B56" s="239"/>
      <c r="C56" s="239"/>
      <c r="D56" s="239"/>
      <c r="E56" s="240"/>
      <c r="F56" s="261">
        <f t="shared" si="10"/>
        <v>13.457777777777778</v>
      </c>
      <c r="G56" s="243" t="s">
        <v>195</v>
      </c>
      <c r="H56" s="244">
        <f t="shared" si="7"/>
        <v>53.831111111111113</v>
      </c>
      <c r="I56" s="229">
        <v>25</v>
      </c>
      <c r="J56" s="239"/>
      <c r="K56" s="239"/>
      <c r="L56" s="239"/>
      <c r="M56" s="239"/>
      <c r="N56" s="239"/>
    </row>
    <row r="57" spans="1:14">
      <c r="A57" s="239"/>
      <c r="B57" s="239"/>
      <c r="C57" s="239"/>
      <c r="D57" s="239"/>
      <c r="E57" s="240"/>
      <c r="F57" s="261">
        <f t="shared" si="10"/>
        <v>13.457777777777778</v>
      </c>
      <c r="G57" s="243" t="s">
        <v>196</v>
      </c>
      <c r="H57" s="244">
        <f t="shared" si="7"/>
        <v>43.412186379928315</v>
      </c>
      <c r="I57" s="229">
        <v>31</v>
      </c>
      <c r="J57" s="239"/>
      <c r="K57" s="239"/>
      <c r="L57" s="239"/>
      <c r="M57" s="239"/>
      <c r="N57" s="239"/>
    </row>
    <row r="58" spans="1:14">
      <c r="A58" s="239"/>
      <c r="B58" s="239"/>
      <c r="C58" s="239"/>
      <c r="D58" s="239"/>
      <c r="E58" s="240"/>
      <c r="F58" s="261">
        <f t="shared" si="10"/>
        <v>13.457777777777778</v>
      </c>
      <c r="G58" s="243" t="s">
        <v>197</v>
      </c>
      <c r="H58" s="244">
        <f t="shared" si="7"/>
        <v>40.781144781144782</v>
      </c>
      <c r="I58" s="229">
        <v>33</v>
      </c>
      <c r="J58" s="239"/>
      <c r="K58" s="239"/>
      <c r="L58" s="239"/>
      <c r="M58" s="239"/>
      <c r="N58" s="239"/>
    </row>
    <row r="59" spans="1:14">
      <c r="A59" s="239"/>
      <c r="B59" s="239"/>
      <c r="C59" s="239"/>
      <c r="D59" s="239"/>
      <c r="E59" s="240"/>
      <c r="F59" s="261">
        <f t="shared" si="10"/>
        <v>13.457777777777778</v>
      </c>
      <c r="G59" s="243" t="s">
        <v>198</v>
      </c>
      <c r="H59" s="244">
        <f t="shared" si="7"/>
        <v>46.406130268199234</v>
      </c>
      <c r="I59" s="229">
        <v>29</v>
      </c>
      <c r="J59" s="239"/>
      <c r="K59" s="239"/>
      <c r="L59" s="239"/>
      <c r="M59" s="239"/>
      <c r="N59" s="239"/>
    </row>
    <row r="60" spans="1:14" ht="26.4">
      <c r="A60" s="239"/>
      <c r="B60" s="239"/>
      <c r="C60" s="239"/>
      <c r="D60" s="239"/>
      <c r="E60" s="240"/>
      <c r="F60" s="261">
        <f t="shared" si="10"/>
        <v>13.457777777777778</v>
      </c>
      <c r="G60" s="234" t="s">
        <v>199</v>
      </c>
      <c r="H60" s="244">
        <f t="shared" si="7"/>
        <v>19.225396825396825</v>
      </c>
      <c r="I60" s="229">
        <v>70</v>
      </c>
      <c r="J60" s="239"/>
      <c r="K60" s="239"/>
      <c r="L60" s="239"/>
      <c r="M60" s="239"/>
      <c r="N60" s="239"/>
    </row>
    <row r="61" spans="1:14">
      <c r="A61" s="211"/>
      <c r="B61" s="211"/>
      <c r="C61" s="211"/>
      <c r="D61" s="211"/>
      <c r="E61" s="211"/>
    </row>
  </sheetData>
  <sortState xmlns:xlrd2="http://schemas.microsoft.com/office/spreadsheetml/2017/richdata2" ref="A3:D15">
    <sortCondition ref="B3:B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B050"/>
    <pageSetUpPr fitToPage="1"/>
  </sheetPr>
  <dimension ref="B1:M149"/>
  <sheetViews>
    <sheetView showGridLines="0" topLeftCell="A119" zoomScale="80" zoomScaleNormal="80" zoomScalePageLayoutView="80" workbookViewId="0">
      <selection activeCell="B151" sqref="B151"/>
    </sheetView>
  </sheetViews>
  <sheetFormatPr defaultColWidth="7.23046875" defaultRowHeight="14.1" customHeight="1"/>
  <cols>
    <col min="2" max="2" width="34.4609375" style="1" customWidth="1"/>
    <col min="3" max="3" width="89.4609375" style="1" customWidth="1"/>
    <col min="4" max="4" width="5.69140625" style="1" customWidth="1"/>
    <col min="5" max="5" width="18.69140625" style="1" customWidth="1"/>
    <col min="6" max="6" width="23.23046875" style="1" bestFit="1" customWidth="1"/>
    <col min="7" max="7" width="20.61328125" style="48" customWidth="1"/>
    <col min="8" max="8" width="25.3828125" style="48" hidden="1" customWidth="1"/>
    <col min="9" max="9" width="7.23046875" style="48" hidden="1" customWidth="1"/>
    <col min="10" max="13" width="7.23046875" style="36" hidden="1" customWidth="1"/>
    <col min="14" max="257" width="7.23046875" customWidth="1"/>
  </cols>
  <sheetData>
    <row r="1" spans="2:13" ht="20.100000000000001" customHeight="1">
      <c r="B1" s="2"/>
      <c r="C1" s="6"/>
      <c r="D1" s="6"/>
      <c r="E1" s="6"/>
      <c r="F1" s="6"/>
      <c r="G1" s="43"/>
      <c r="H1" s="43"/>
      <c r="I1" s="43"/>
      <c r="J1" s="37"/>
      <c r="K1" s="37"/>
      <c r="L1" s="37"/>
      <c r="M1" s="38"/>
    </row>
    <row r="2" spans="2:13" ht="20.100000000000001" customHeight="1">
      <c r="B2" s="3"/>
      <c r="C2"/>
      <c r="D2"/>
      <c r="E2" s="25"/>
      <c r="F2" s="26"/>
      <c r="G2" s="44"/>
      <c r="H2" s="45"/>
      <c r="I2" s="45"/>
      <c r="J2" s="39"/>
      <c r="K2" s="39"/>
      <c r="L2" s="39"/>
      <c r="M2" s="40"/>
    </row>
    <row r="3" spans="2:13" ht="27" customHeight="1">
      <c r="B3" s="7"/>
      <c r="C3"/>
      <c r="E3" s="24" t="s">
        <v>33</v>
      </c>
      <c r="F3" s="24"/>
      <c r="G3" s="46"/>
      <c r="H3" s="46"/>
      <c r="I3" s="47"/>
      <c r="J3" s="41"/>
      <c r="K3" s="41"/>
      <c r="L3" s="41"/>
      <c r="M3" s="42"/>
    </row>
    <row r="4" spans="2:13" ht="20.100000000000001" customHeight="1">
      <c r="B4" s="8"/>
      <c r="C4" s="9"/>
      <c r="D4" s="14"/>
      <c r="E4" s="375" t="s">
        <v>203</v>
      </c>
      <c r="F4" s="375"/>
      <c r="G4" s="47"/>
      <c r="H4" s="45"/>
      <c r="I4" s="47"/>
      <c r="J4" s="41"/>
      <c r="K4" s="41"/>
      <c r="L4" s="41"/>
      <c r="M4" s="42"/>
    </row>
    <row r="5" spans="2:13" ht="12.9" customHeight="1">
      <c r="B5" s="3"/>
      <c r="C5" s="4"/>
      <c r="D5" s="4"/>
      <c r="E5" s="4"/>
      <c r="F5" s="4"/>
      <c r="G5" s="47"/>
      <c r="H5" s="47"/>
      <c r="I5" s="47"/>
      <c r="J5" s="41"/>
      <c r="K5" s="41"/>
      <c r="L5" s="41"/>
      <c r="M5" s="42"/>
    </row>
    <row r="6" spans="2:13" ht="15.9" customHeight="1">
      <c r="B6" s="3"/>
      <c r="C6" s="4"/>
      <c r="D6" s="10"/>
      <c r="E6" s="10"/>
      <c r="F6" s="39"/>
      <c r="G6" s="41"/>
      <c r="H6" s="39"/>
      <c r="I6" s="41"/>
      <c r="J6" s="41"/>
      <c r="K6" s="41"/>
      <c r="L6" s="41"/>
      <c r="M6" s="42"/>
    </row>
    <row r="7" spans="2:13" ht="15.9" customHeight="1">
      <c r="B7" s="3"/>
      <c r="C7" s="4"/>
      <c r="D7" s="4"/>
      <c r="E7" s="4"/>
      <c r="F7" s="41"/>
      <c r="G7" s="54" t="s">
        <v>204</v>
      </c>
      <c r="H7" s="54"/>
      <c r="I7" s="41"/>
      <c r="J7" s="41"/>
      <c r="K7" s="41"/>
      <c r="L7" s="41"/>
      <c r="M7" s="42"/>
    </row>
    <row r="8" spans="2:13" ht="20.100000000000001" customHeight="1">
      <c r="B8" s="221"/>
      <c r="C8" s="222"/>
      <c r="D8" s="222"/>
      <c r="F8" s="36"/>
      <c r="G8" s="55" t="s">
        <v>65</v>
      </c>
      <c r="H8" s="56" t="s">
        <v>205</v>
      </c>
      <c r="I8" s="49">
        <f>21.6*(Calculator!E19/2.2)+370</f>
        <v>1790.574418327273</v>
      </c>
      <c r="J8" s="41"/>
      <c r="K8" s="41"/>
      <c r="L8" s="41"/>
      <c r="M8" s="42"/>
    </row>
    <row r="9" spans="2:13" ht="22.35" customHeight="1">
      <c r="B9" s="22" t="s">
        <v>100</v>
      </c>
      <c r="C9" s="20" t="s">
        <v>206</v>
      </c>
      <c r="D9" s="23" t="s">
        <v>107</v>
      </c>
      <c r="F9" s="36"/>
      <c r="G9" s="55" t="s">
        <v>65</v>
      </c>
      <c r="H9" s="56" t="s">
        <v>66</v>
      </c>
      <c r="I9" s="50">
        <f>22*(Calculator!E19/2.2)+500</f>
        <v>1946.8813520000001</v>
      </c>
      <c r="J9" s="41"/>
      <c r="K9" s="41"/>
      <c r="L9" s="41"/>
      <c r="M9" s="42"/>
    </row>
    <row r="10" spans="2:13" ht="14.1" customHeight="1">
      <c r="B10" s="15" t="s">
        <v>3</v>
      </c>
      <c r="C10" s="16" t="s">
        <v>207</v>
      </c>
      <c r="D10" s="20">
        <v>4</v>
      </c>
      <c r="F10" s="36"/>
      <c r="G10" s="55" t="s">
        <v>65</v>
      </c>
      <c r="H10" s="56" t="s">
        <v>208</v>
      </c>
      <c r="I10" s="50">
        <f>19.7*(Calculator!E19/2.2)+413</f>
        <v>1708.6164833818182</v>
      </c>
      <c r="J10" s="41"/>
      <c r="K10" s="41"/>
      <c r="L10" s="41"/>
      <c r="M10" s="42"/>
    </row>
    <row r="11" spans="2:13" ht="15" customHeight="1">
      <c r="B11" s="15" t="s">
        <v>3</v>
      </c>
      <c r="C11" s="16" t="s">
        <v>209</v>
      </c>
      <c r="D11" s="20">
        <v>15.8</v>
      </c>
      <c r="F11" s="36"/>
      <c r="G11" s="55" t="s">
        <v>65</v>
      </c>
      <c r="H11" s="56" t="s">
        <v>210</v>
      </c>
      <c r="I11" s="50">
        <f>22.3*(Calculator!E19/2.2)+290</f>
        <v>1756.6115522545456</v>
      </c>
      <c r="J11" s="41"/>
      <c r="K11" s="41"/>
      <c r="L11" s="41"/>
      <c r="M11" s="42"/>
    </row>
    <row r="12" spans="2:13" ht="16.2">
      <c r="B12" s="15" t="s">
        <v>3</v>
      </c>
      <c r="C12" s="17" t="s">
        <v>211</v>
      </c>
      <c r="D12" s="20">
        <v>6.8</v>
      </c>
      <c r="F12" s="36"/>
      <c r="G12" s="55" t="s">
        <v>65</v>
      </c>
      <c r="H12" s="56" t="s">
        <v>212</v>
      </c>
      <c r="I12" s="50">
        <f>19.7*(Calculator!E19/2.2)+334</f>
        <v>1629.6164833818182</v>
      </c>
      <c r="J12" s="41"/>
      <c r="K12" s="41"/>
      <c r="L12" s="41"/>
      <c r="M12" s="42"/>
    </row>
    <row r="13" spans="2:13" ht="17.100000000000001" customHeight="1">
      <c r="B13" s="15" t="s">
        <v>3</v>
      </c>
      <c r="C13" s="18" t="s">
        <v>213</v>
      </c>
      <c r="D13" s="20">
        <v>8.5</v>
      </c>
      <c r="F13" s="36"/>
      <c r="G13" s="55" t="s">
        <v>65</v>
      </c>
      <c r="H13" s="57" t="s">
        <v>214</v>
      </c>
      <c r="I13" s="36">
        <f>370+(21.6*(Calculator!E17/2.2))</f>
        <v>2006.6064727272726</v>
      </c>
      <c r="J13" s="41"/>
      <c r="K13" s="41"/>
      <c r="L13" s="41"/>
      <c r="M13" s="42"/>
    </row>
    <row r="14" spans="2:13" ht="17.100000000000001" customHeight="1">
      <c r="B14" s="15" t="s">
        <v>3</v>
      </c>
      <c r="C14" s="16" t="s">
        <v>215</v>
      </c>
      <c r="D14" s="20">
        <v>8</v>
      </c>
      <c r="F14" s="36"/>
      <c r="G14" s="58" t="s">
        <v>216</v>
      </c>
      <c r="H14" s="56" t="s">
        <v>217</v>
      </c>
      <c r="I14" s="51">
        <f>9.99*Calculator!E16+ 6.25*Calculator!E15-4.92*Calculator!E14+5</f>
        <v>1696.623</v>
      </c>
      <c r="J14" s="41"/>
      <c r="K14" s="41"/>
      <c r="L14" s="41"/>
      <c r="M14" s="42"/>
    </row>
    <row r="15" spans="2:13" ht="15.9" customHeight="1">
      <c r="B15" s="15" t="s">
        <v>3</v>
      </c>
      <c r="C15" s="16" t="s">
        <v>218</v>
      </c>
      <c r="D15" s="20">
        <v>10</v>
      </c>
      <c r="F15" s="36"/>
      <c r="G15" s="58" t="s">
        <v>216</v>
      </c>
      <c r="H15" s="56" t="s">
        <v>219</v>
      </c>
      <c r="I15" s="52">
        <f>9.99*Calculator!E16+ 6.25*Calculator!E15-4.92*Calculator!E14-161</f>
        <v>1530.623</v>
      </c>
      <c r="J15" s="41"/>
      <c r="K15" s="41"/>
      <c r="L15" s="41"/>
      <c r="M15" s="42"/>
    </row>
    <row r="16" spans="2:13" ht="18" customHeight="1">
      <c r="B16" s="15" t="s">
        <v>3</v>
      </c>
      <c r="C16" s="16" t="s">
        <v>220</v>
      </c>
      <c r="D16" s="20">
        <v>12</v>
      </c>
      <c r="F16" s="36"/>
      <c r="G16" s="58" t="s">
        <v>216</v>
      </c>
      <c r="H16" s="56" t="s">
        <v>221</v>
      </c>
      <c r="I16" s="52">
        <f>13.75*Calculator!E16+5*Calculator!E15-6.76*Calculator!E14+66.47</f>
        <v>1753.9850000000001</v>
      </c>
      <c r="J16" s="41"/>
      <c r="K16" s="41"/>
      <c r="L16" s="41"/>
      <c r="M16" s="42"/>
    </row>
    <row r="17" spans="2:13" ht="16.2">
      <c r="B17" s="15" t="s">
        <v>3</v>
      </c>
      <c r="C17" s="17" t="s">
        <v>222</v>
      </c>
      <c r="D17" s="20">
        <v>8.5</v>
      </c>
      <c r="F17" s="36"/>
      <c r="G17" s="58" t="s">
        <v>216</v>
      </c>
      <c r="H17" s="59" t="s">
        <v>223</v>
      </c>
      <c r="I17" s="52">
        <f>9.56*Calculator!E16+1.85*Calculator!E15-4.68*Calculator!E14+655.1</f>
        <v>1539.6120000000001</v>
      </c>
      <c r="J17" s="41"/>
      <c r="K17" s="41"/>
      <c r="L17" s="41"/>
      <c r="M17" s="42"/>
    </row>
    <row r="18" spans="2:13" ht="17.100000000000001" customHeight="1">
      <c r="B18" s="15" t="s">
        <v>3</v>
      </c>
      <c r="C18" s="16" t="s">
        <v>224</v>
      </c>
      <c r="D18" s="20">
        <v>7.5</v>
      </c>
      <c r="F18" s="36"/>
      <c r="G18" s="58" t="s">
        <v>216</v>
      </c>
      <c r="H18" s="59" t="s">
        <v>225</v>
      </c>
      <c r="I18" s="52">
        <f>15.3*Calculator!E16+679</f>
        <v>1837.21</v>
      </c>
      <c r="J18" s="41"/>
      <c r="K18" s="41"/>
      <c r="L18" s="41"/>
      <c r="M18" s="42"/>
    </row>
    <row r="19" spans="2:13" ht="16.2">
      <c r="B19" s="15" t="s">
        <v>3</v>
      </c>
      <c r="C19" s="17" t="s">
        <v>226</v>
      </c>
      <c r="D19" s="20">
        <v>3.5</v>
      </c>
      <c r="E19" s="36"/>
      <c r="F19" s="36"/>
      <c r="G19" s="58" t="s">
        <v>216</v>
      </c>
      <c r="H19" s="59" t="s">
        <v>227</v>
      </c>
      <c r="I19" s="53">
        <f>14.7*Calculator!E16+496</f>
        <v>1608.79</v>
      </c>
      <c r="J19" s="41"/>
      <c r="K19" s="41"/>
      <c r="L19" s="41"/>
      <c r="M19" s="42"/>
    </row>
    <row r="20" spans="2:13" ht="16.2">
      <c r="B20" s="15" t="s">
        <v>3</v>
      </c>
      <c r="C20" s="17" t="s">
        <v>228</v>
      </c>
      <c r="D20" s="20">
        <v>5.8</v>
      </c>
      <c r="E20" s="36"/>
      <c r="F20" s="36"/>
      <c r="G20" s="36"/>
      <c r="H20" s="36"/>
      <c r="I20" s="36"/>
      <c r="J20" s="41"/>
      <c r="K20" s="41"/>
      <c r="L20" s="41"/>
      <c r="M20" s="42"/>
    </row>
    <row r="21" spans="2:13" ht="16.2">
      <c r="B21" s="15" t="s">
        <v>3</v>
      </c>
      <c r="C21" s="17" t="s">
        <v>229</v>
      </c>
      <c r="D21" s="20">
        <v>16</v>
      </c>
      <c r="E21" s="36"/>
      <c r="F21" s="36"/>
      <c r="G21" s="36"/>
      <c r="H21" s="36"/>
      <c r="I21" s="36"/>
      <c r="J21" s="41"/>
      <c r="K21" s="41"/>
      <c r="L21" s="41"/>
      <c r="M21" s="42"/>
    </row>
    <row r="22" spans="2:13" ht="16.2">
      <c r="B22" s="15" t="s">
        <v>3</v>
      </c>
      <c r="C22" s="17" t="s">
        <v>230</v>
      </c>
      <c r="D22" s="20">
        <v>8.5</v>
      </c>
      <c r="E22" s="36"/>
      <c r="F22" s="36"/>
      <c r="G22" s="36"/>
      <c r="H22" s="36"/>
      <c r="I22" s="36"/>
      <c r="J22" s="41"/>
      <c r="K22" s="41"/>
      <c r="L22" s="41"/>
      <c r="M22" s="42"/>
    </row>
    <row r="23" spans="2:13" ht="16.2">
      <c r="B23" s="15" t="s">
        <v>3</v>
      </c>
      <c r="C23" s="17" t="s">
        <v>230</v>
      </c>
      <c r="D23" s="20">
        <v>7</v>
      </c>
      <c r="E23" s="36"/>
      <c r="F23" s="36"/>
      <c r="G23" s="36"/>
      <c r="H23" s="36"/>
      <c r="I23" s="36"/>
      <c r="J23" s="41"/>
      <c r="K23" s="41"/>
      <c r="L23" s="41"/>
      <c r="M23" s="42"/>
    </row>
    <row r="24" spans="2:13" ht="16.2">
      <c r="B24" s="15" t="s">
        <v>3</v>
      </c>
      <c r="C24" s="17" t="s">
        <v>231</v>
      </c>
      <c r="D24" s="20">
        <v>14</v>
      </c>
      <c r="E24" s="36"/>
      <c r="F24" s="36"/>
      <c r="G24" s="36"/>
      <c r="H24" s="36"/>
      <c r="I24" s="36"/>
      <c r="J24" s="41"/>
      <c r="K24" s="41"/>
      <c r="L24" s="41"/>
      <c r="M24" s="42"/>
    </row>
    <row r="25" spans="2:13" ht="17.100000000000001" customHeight="1">
      <c r="B25" s="15" t="s">
        <v>3</v>
      </c>
      <c r="C25" s="16" t="s">
        <v>232</v>
      </c>
      <c r="D25" s="20">
        <v>5.8</v>
      </c>
      <c r="E25"/>
      <c r="F25" s="36"/>
      <c r="G25" s="36"/>
      <c r="H25" s="36"/>
      <c r="I25" s="36"/>
      <c r="J25" s="41"/>
      <c r="K25" s="41"/>
      <c r="L25" s="41"/>
      <c r="M25" s="42"/>
    </row>
    <row r="26" spans="2:13" ht="18" customHeight="1">
      <c r="B26" s="15" t="s">
        <v>3</v>
      </c>
      <c r="C26" s="16" t="s">
        <v>233</v>
      </c>
      <c r="D26" s="20">
        <v>6.8</v>
      </c>
      <c r="E26"/>
      <c r="F26" s="36"/>
      <c r="G26" s="36"/>
      <c r="H26" s="36"/>
      <c r="I26" s="36"/>
      <c r="J26" s="41"/>
      <c r="K26" s="41"/>
      <c r="L26" s="41"/>
      <c r="M26" s="42"/>
    </row>
    <row r="27" spans="2:13" ht="16.2">
      <c r="B27" s="19" t="s">
        <v>4</v>
      </c>
      <c r="C27" s="17" t="s">
        <v>234</v>
      </c>
      <c r="D27" s="21">
        <v>7</v>
      </c>
      <c r="E27"/>
      <c r="F27" s="36"/>
      <c r="G27" s="36"/>
      <c r="H27" s="36"/>
      <c r="I27" s="36"/>
      <c r="J27" s="41"/>
      <c r="K27" s="41"/>
      <c r="L27" s="41"/>
      <c r="M27" s="42"/>
    </row>
    <row r="28" spans="2:13" ht="16.2">
      <c r="B28" s="19" t="s">
        <v>4</v>
      </c>
      <c r="C28" s="17" t="s">
        <v>235</v>
      </c>
      <c r="D28" s="21">
        <v>8.5</v>
      </c>
      <c r="E28"/>
      <c r="F28" s="36"/>
      <c r="G28" s="36"/>
      <c r="H28" s="36"/>
      <c r="I28" s="36"/>
      <c r="J28" s="41"/>
      <c r="K28" s="41"/>
      <c r="L28" s="41"/>
      <c r="M28" s="42"/>
    </row>
    <row r="29" spans="2:13" ht="16.2">
      <c r="B29" s="19" t="s">
        <v>4</v>
      </c>
      <c r="C29" s="17" t="s">
        <v>236</v>
      </c>
      <c r="D29" s="21">
        <v>12</v>
      </c>
      <c r="E29"/>
      <c r="F29" s="36"/>
      <c r="G29" s="36"/>
      <c r="H29" s="36"/>
      <c r="I29" s="36"/>
      <c r="J29" s="41"/>
      <c r="K29" s="41"/>
      <c r="L29" s="41"/>
      <c r="M29" s="42"/>
    </row>
    <row r="30" spans="2:13" ht="16.2">
      <c r="B30" s="19" t="s">
        <v>4</v>
      </c>
      <c r="C30" s="17" t="s">
        <v>237</v>
      </c>
      <c r="D30" s="21">
        <v>8.8000000000000007</v>
      </c>
      <c r="E30"/>
      <c r="F30" s="36"/>
      <c r="G30" s="36"/>
      <c r="H30" s="36"/>
      <c r="I30" s="36"/>
      <c r="J30" s="41"/>
      <c r="K30" s="41"/>
      <c r="L30" s="41"/>
      <c r="M30" s="42"/>
    </row>
    <row r="31" spans="2:13" ht="16.2">
      <c r="B31" s="19" t="s">
        <v>4</v>
      </c>
      <c r="C31" s="17" t="s">
        <v>238</v>
      </c>
      <c r="D31" s="21">
        <v>11</v>
      </c>
      <c r="E31"/>
      <c r="F31" s="36"/>
      <c r="G31" s="36"/>
      <c r="H31" s="36"/>
      <c r="I31" s="36"/>
      <c r="J31" s="41"/>
      <c r="K31" s="41"/>
      <c r="L31" s="41"/>
      <c r="M31" s="42"/>
    </row>
    <row r="32" spans="2:13" ht="16.2">
      <c r="B32" s="19" t="s">
        <v>4</v>
      </c>
      <c r="C32" s="17" t="s">
        <v>239</v>
      </c>
      <c r="D32" s="21">
        <v>14</v>
      </c>
      <c r="E32"/>
      <c r="F32" s="36"/>
      <c r="G32" s="36"/>
      <c r="H32" s="36"/>
      <c r="I32" s="36"/>
      <c r="J32" s="41"/>
      <c r="K32" s="41"/>
      <c r="L32" s="41"/>
      <c r="M32" s="42"/>
    </row>
    <row r="33" spans="2:13" ht="16.2">
      <c r="B33" s="19" t="s">
        <v>4</v>
      </c>
      <c r="C33" s="17" t="s">
        <v>240</v>
      </c>
      <c r="D33" s="21">
        <v>3.5</v>
      </c>
      <c r="E33"/>
      <c r="F33" s="36"/>
      <c r="G33" s="36"/>
      <c r="H33" s="36"/>
      <c r="I33" s="36"/>
      <c r="J33" s="41"/>
      <c r="K33" s="41"/>
      <c r="L33" s="41"/>
      <c r="M33" s="42"/>
    </row>
    <row r="34" spans="2:13" ht="16.2">
      <c r="B34" s="19" t="s">
        <v>4</v>
      </c>
      <c r="C34" s="17" t="s">
        <v>241</v>
      </c>
      <c r="D34" s="21">
        <v>4.8</v>
      </c>
      <c r="E34"/>
      <c r="F34" s="36"/>
      <c r="G34" s="36"/>
      <c r="H34" s="36"/>
      <c r="I34" s="36"/>
      <c r="J34" s="41"/>
      <c r="K34" s="41"/>
      <c r="L34" s="41"/>
      <c r="M34" s="42"/>
    </row>
    <row r="35" spans="2:13" ht="16.2">
      <c r="B35" s="19" t="s">
        <v>4</v>
      </c>
      <c r="C35" s="17" t="s">
        <v>242</v>
      </c>
      <c r="D35" s="21">
        <v>6.8</v>
      </c>
      <c r="E35"/>
      <c r="F35" s="36"/>
      <c r="G35" s="36"/>
      <c r="H35" s="36"/>
      <c r="I35" s="36"/>
      <c r="J35" s="41"/>
      <c r="K35" s="41"/>
      <c r="L35" s="41"/>
      <c r="M35" s="42"/>
    </row>
    <row r="36" spans="2:13" ht="16.2">
      <c r="B36" s="19" t="s">
        <v>4</v>
      </c>
      <c r="C36" s="17" t="s">
        <v>243</v>
      </c>
      <c r="D36" s="21">
        <v>8.5</v>
      </c>
      <c r="E36"/>
      <c r="F36" s="36"/>
      <c r="G36" s="36"/>
      <c r="H36" s="36"/>
      <c r="I36" s="36"/>
      <c r="J36" s="41"/>
      <c r="K36" s="41"/>
      <c r="L36" s="41"/>
      <c r="M36" s="42"/>
    </row>
    <row r="37" spans="2:13" ht="20.100000000000001" customHeight="1">
      <c r="B37" s="15" t="s">
        <v>4</v>
      </c>
      <c r="C37" s="16" t="s">
        <v>244</v>
      </c>
      <c r="D37" s="21">
        <v>8</v>
      </c>
      <c r="E37"/>
      <c r="F37"/>
      <c r="J37" s="41"/>
      <c r="K37" s="41"/>
      <c r="L37" s="41"/>
      <c r="M37" s="42"/>
    </row>
    <row r="38" spans="2:13" ht="16.2">
      <c r="B38" s="15" t="s">
        <v>4</v>
      </c>
      <c r="C38" s="17" t="s">
        <v>245</v>
      </c>
      <c r="D38" s="20">
        <v>3.8</v>
      </c>
      <c r="E38"/>
      <c r="F38"/>
      <c r="J38" s="41"/>
      <c r="K38" s="41"/>
      <c r="L38" s="41"/>
      <c r="M38" s="42"/>
    </row>
    <row r="39" spans="2:13" ht="16.2">
      <c r="B39" s="15" t="s">
        <v>4</v>
      </c>
      <c r="C39" s="17" t="s">
        <v>246</v>
      </c>
      <c r="D39" s="20">
        <v>2.8</v>
      </c>
      <c r="E39"/>
      <c r="F39"/>
      <c r="J39" s="41"/>
      <c r="K39" s="41"/>
      <c r="L39" s="41"/>
      <c r="M39" s="42"/>
    </row>
    <row r="40" spans="2:13" ht="16.2">
      <c r="B40" s="15" t="s">
        <v>4</v>
      </c>
      <c r="C40" s="17" t="s">
        <v>247</v>
      </c>
      <c r="D40" s="20">
        <v>3.5</v>
      </c>
      <c r="E40"/>
      <c r="F40"/>
      <c r="J40" s="41"/>
      <c r="K40" s="41"/>
      <c r="L40" s="41"/>
      <c r="M40" s="42"/>
    </row>
    <row r="41" spans="2:13" ht="16.2">
      <c r="B41" s="15" t="s">
        <v>4</v>
      </c>
      <c r="C41" s="17" t="s">
        <v>248</v>
      </c>
      <c r="D41" s="20">
        <v>8</v>
      </c>
      <c r="E41"/>
      <c r="F41"/>
      <c r="J41" s="41"/>
      <c r="K41" s="41"/>
      <c r="L41" s="41"/>
      <c r="M41" s="42"/>
    </row>
    <row r="42" spans="2:13" ht="16.2">
      <c r="B42" s="15" t="s">
        <v>4</v>
      </c>
      <c r="C42" s="17" t="s">
        <v>249</v>
      </c>
      <c r="D42" s="20">
        <v>4.3</v>
      </c>
      <c r="E42"/>
      <c r="F42"/>
      <c r="J42" s="41"/>
      <c r="K42" s="41"/>
      <c r="L42" s="41"/>
      <c r="M42" s="42"/>
    </row>
    <row r="43" spans="2:13" ht="16.2">
      <c r="B43" s="15" t="s">
        <v>4</v>
      </c>
      <c r="C43" s="17" t="s">
        <v>250</v>
      </c>
      <c r="D43" s="20">
        <v>5</v>
      </c>
      <c r="E43"/>
      <c r="F43"/>
      <c r="J43" s="41"/>
      <c r="K43" s="41"/>
      <c r="L43" s="41"/>
      <c r="M43" s="42"/>
    </row>
    <row r="44" spans="2:13" ht="16.2">
      <c r="B44" s="15" t="s">
        <v>4</v>
      </c>
      <c r="C44" s="17" t="s">
        <v>115</v>
      </c>
      <c r="D44" s="20">
        <v>6</v>
      </c>
      <c r="E44"/>
      <c r="F44"/>
      <c r="J44" s="41"/>
      <c r="K44" s="41"/>
      <c r="L44" s="41"/>
      <c r="M44" s="42"/>
    </row>
    <row r="45" spans="2:13" ht="16.2">
      <c r="B45" s="15" t="s">
        <v>4</v>
      </c>
      <c r="C45" s="17" t="s">
        <v>251</v>
      </c>
      <c r="D45" s="20">
        <v>5</v>
      </c>
      <c r="E45"/>
      <c r="F45"/>
      <c r="J45" s="41"/>
      <c r="K45" s="41"/>
      <c r="L45" s="41"/>
      <c r="M45" s="42"/>
    </row>
    <row r="46" spans="2:13" ht="16.2">
      <c r="B46" s="15" t="s">
        <v>4</v>
      </c>
      <c r="C46" s="17" t="s">
        <v>252</v>
      </c>
      <c r="D46" s="20">
        <v>3.5</v>
      </c>
      <c r="E46"/>
      <c r="F46"/>
      <c r="J46" s="41"/>
      <c r="K46" s="41"/>
      <c r="L46" s="41"/>
      <c r="M46" s="42"/>
    </row>
    <row r="47" spans="2:13" ht="16.2">
      <c r="B47" s="15" t="s">
        <v>4</v>
      </c>
      <c r="C47" s="17" t="s">
        <v>253</v>
      </c>
      <c r="D47" s="20">
        <v>5.5</v>
      </c>
      <c r="E47"/>
      <c r="F47"/>
      <c r="J47" s="41"/>
      <c r="K47" s="41"/>
      <c r="L47" s="41"/>
      <c r="M47" s="42"/>
    </row>
    <row r="48" spans="2:13" ht="16.2">
      <c r="B48" s="15" t="s">
        <v>4</v>
      </c>
      <c r="C48" s="17" t="s">
        <v>254</v>
      </c>
      <c r="D48" s="20">
        <v>5</v>
      </c>
      <c r="E48"/>
      <c r="F48"/>
      <c r="J48" s="41"/>
      <c r="K48" s="41"/>
      <c r="L48" s="41"/>
      <c r="M48" s="42"/>
    </row>
    <row r="49" spans="2:13" ht="16.2">
      <c r="B49" s="15" t="s">
        <v>4</v>
      </c>
      <c r="C49" s="17" t="s">
        <v>255</v>
      </c>
      <c r="D49" s="20">
        <v>3.8</v>
      </c>
      <c r="E49"/>
      <c r="F49"/>
      <c r="J49" s="41"/>
      <c r="K49" s="41"/>
      <c r="L49" s="41"/>
      <c r="M49" s="42"/>
    </row>
    <row r="50" spans="2:13" ht="16.2">
      <c r="B50" s="15" t="s">
        <v>4</v>
      </c>
      <c r="C50" s="17" t="s">
        <v>256</v>
      </c>
      <c r="D50" s="20">
        <v>9</v>
      </c>
      <c r="E50"/>
      <c r="F50"/>
      <c r="J50" s="41"/>
      <c r="K50" s="41"/>
      <c r="L50" s="41"/>
      <c r="M50" s="42"/>
    </row>
    <row r="51" spans="2:13" ht="16.2">
      <c r="B51" s="15" t="s">
        <v>4</v>
      </c>
      <c r="C51" s="17" t="s">
        <v>257</v>
      </c>
      <c r="D51" s="20">
        <v>12.3</v>
      </c>
      <c r="E51"/>
      <c r="F51"/>
      <c r="J51" s="41"/>
      <c r="K51" s="41"/>
      <c r="L51" s="41"/>
      <c r="M51" s="42"/>
    </row>
    <row r="52" spans="2:13" ht="16.2">
      <c r="B52" s="15" t="s">
        <v>4</v>
      </c>
      <c r="C52" s="17" t="s">
        <v>258</v>
      </c>
      <c r="D52" s="20">
        <v>6</v>
      </c>
      <c r="E52"/>
      <c r="F52"/>
      <c r="J52" s="41"/>
      <c r="K52" s="41"/>
      <c r="L52" s="41"/>
      <c r="M52" s="42"/>
    </row>
    <row r="53" spans="2:13" ht="16.2">
      <c r="B53" s="15" t="s">
        <v>4</v>
      </c>
      <c r="C53" s="17" t="s">
        <v>259</v>
      </c>
      <c r="D53" s="20">
        <v>4.8</v>
      </c>
      <c r="E53"/>
      <c r="F53"/>
      <c r="J53" s="41"/>
      <c r="K53" s="41"/>
      <c r="L53" s="41"/>
      <c r="M53" s="42"/>
    </row>
    <row r="54" spans="2:13" ht="16.2">
      <c r="B54" s="15" t="s">
        <v>4</v>
      </c>
      <c r="C54" s="17" t="s">
        <v>260</v>
      </c>
      <c r="D54" s="20">
        <v>6.8</v>
      </c>
      <c r="E54"/>
      <c r="F54"/>
      <c r="J54" s="41"/>
      <c r="K54" s="41"/>
      <c r="L54" s="41"/>
      <c r="M54" s="42"/>
    </row>
    <row r="55" spans="2:13" ht="16.2">
      <c r="B55" s="15" t="s">
        <v>4</v>
      </c>
      <c r="C55" s="17" t="s">
        <v>261</v>
      </c>
      <c r="D55" s="20">
        <v>3</v>
      </c>
      <c r="E55"/>
      <c r="F55"/>
      <c r="J55" s="41"/>
      <c r="K55" s="41"/>
      <c r="L55" s="41"/>
      <c r="M55" s="42"/>
    </row>
    <row r="56" spans="2:13" ht="16.2">
      <c r="B56" s="15" t="s">
        <v>4</v>
      </c>
      <c r="C56" s="17" t="s">
        <v>262</v>
      </c>
      <c r="D56" s="20">
        <v>6.8</v>
      </c>
      <c r="E56"/>
      <c r="F56"/>
      <c r="J56" s="41"/>
      <c r="K56" s="41"/>
      <c r="L56" s="41"/>
      <c r="M56" s="42"/>
    </row>
    <row r="57" spans="2:13" ht="16.2">
      <c r="B57" s="15" t="s">
        <v>4</v>
      </c>
      <c r="C57" s="17" t="s">
        <v>263</v>
      </c>
      <c r="D57" s="20">
        <v>2.8</v>
      </c>
      <c r="E57"/>
      <c r="F57"/>
      <c r="J57" s="41"/>
      <c r="K57" s="41"/>
      <c r="L57" s="41"/>
      <c r="M57" s="42"/>
    </row>
    <row r="58" spans="2:13" ht="16.2">
      <c r="B58" s="15" t="s">
        <v>4</v>
      </c>
      <c r="C58" s="17" t="s">
        <v>264</v>
      </c>
      <c r="D58" s="20">
        <v>4.3</v>
      </c>
      <c r="E58"/>
      <c r="F58"/>
      <c r="J58" s="41"/>
      <c r="K58" s="41"/>
      <c r="L58" s="41"/>
      <c r="M58" s="42"/>
    </row>
    <row r="59" spans="2:13" ht="16.2">
      <c r="B59" s="15" t="s">
        <v>4</v>
      </c>
      <c r="C59" s="17" t="s">
        <v>265</v>
      </c>
      <c r="D59" s="20">
        <v>2.5</v>
      </c>
      <c r="E59"/>
      <c r="F59"/>
      <c r="J59" s="41"/>
      <c r="K59" s="41"/>
      <c r="L59" s="41"/>
      <c r="M59" s="42"/>
    </row>
    <row r="60" spans="2:13" ht="16.2">
      <c r="B60" s="15" t="s">
        <v>4</v>
      </c>
      <c r="C60" s="17" t="s">
        <v>266</v>
      </c>
      <c r="D60" s="20">
        <v>4</v>
      </c>
      <c r="E60"/>
      <c r="F60"/>
      <c r="J60" s="41"/>
      <c r="K60" s="41"/>
      <c r="L60" s="41"/>
      <c r="M60" s="42"/>
    </row>
    <row r="61" spans="2:13" ht="16.2">
      <c r="B61" s="15" t="s">
        <v>4</v>
      </c>
      <c r="C61" s="17" t="s">
        <v>267</v>
      </c>
      <c r="D61" s="20">
        <v>2</v>
      </c>
      <c r="E61"/>
      <c r="F61"/>
      <c r="J61" s="41"/>
      <c r="K61" s="41"/>
      <c r="L61" s="41"/>
      <c r="M61" s="42"/>
    </row>
    <row r="62" spans="2:13" ht="16.2">
      <c r="B62" s="15" t="s">
        <v>4</v>
      </c>
      <c r="C62" s="17" t="s">
        <v>268</v>
      </c>
      <c r="D62" s="20">
        <v>3.3</v>
      </c>
      <c r="E62"/>
      <c r="F62"/>
      <c r="J62" s="41"/>
      <c r="K62" s="41"/>
      <c r="L62" s="41"/>
      <c r="M62" s="42"/>
    </row>
    <row r="63" spans="2:13" ht="16.2">
      <c r="B63" s="15" t="s">
        <v>5</v>
      </c>
      <c r="C63" s="17" t="s">
        <v>269</v>
      </c>
      <c r="D63" s="20">
        <v>1.3</v>
      </c>
      <c r="E63"/>
      <c r="F63"/>
      <c r="J63" s="41"/>
      <c r="K63" s="41"/>
      <c r="L63" s="41"/>
      <c r="M63" s="42"/>
    </row>
    <row r="64" spans="2:13" ht="16.2">
      <c r="B64" s="15" t="s">
        <v>6</v>
      </c>
      <c r="C64" s="17" t="s">
        <v>270</v>
      </c>
      <c r="D64" s="21">
        <v>3.3</v>
      </c>
      <c r="E64"/>
      <c r="F64"/>
      <c r="J64" s="41"/>
      <c r="K64" s="41"/>
      <c r="L64" s="41"/>
      <c r="M64" s="42"/>
    </row>
    <row r="65" spans="2:13" ht="16.2">
      <c r="B65" s="15" t="s">
        <v>6</v>
      </c>
      <c r="C65" s="17" t="s">
        <v>271</v>
      </c>
      <c r="D65" s="20">
        <v>3</v>
      </c>
      <c r="E65"/>
      <c r="F65"/>
      <c r="J65" s="41"/>
      <c r="K65" s="41"/>
      <c r="L65" s="41"/>
      <c r="M65" s="42"/>
    </row>
    <row r="66" spans="2:13" ht="16.2">
      <c r="B66" s="15" t="s">
        <v>6</v>
      </c>
      <c r="C66" s="17" t="s">
        <v>272</v>
      </c>
      <c r="D66" s="21">
        <v>3.5</v>
      </c>
      <c r="E66" s="4"/>
      <c r="F66" s="4"/>
      <c r="G66" s="47"/>
      <c r="H66" s="47"/>
      <c r="I66" s="47"/>
      <c r="J66" s="41"/>
      <c r="K66" s="41"/>
      <c r="L66" s="41"/>
      <c r="M66" s="42"/>
    </row>
    <row r="67" spans="2:13" ht="16.2">
      <c r="B67" s="15" t="s">
        <v>6</v>
      </c>
      <c r="C67" s="17" t="s">
        <v>273</v>
      </c>
      <c r="D67" s="21">
        <v>5.3</v>
      </c>
      <c r="E67" s="4"/>
      <c r="F67" s="4"/>
      <c r="G67" s="47"/>
      <c r="H67" s="47"/>
      <c r="I67" s="47"/>
      <c r="J67" s="41"/>
      <c r="K67" s="41"/>
      <c r="L67" s="41"/>
      <c r="M67" s="42"/>
    </row>
    <row r="68" spans="2:13" ht="16.2">
      <c r="B68" s="15" t="s">
        <v>6</v>
      </c>
      <c r="C68" s="17" t="s">
        <v>274</v>
      </c>
      <c r="D68" s="21">
        <v>8</v>
      </c>
      <c r="E68" s="4"/>
      <c r="F68" s="4"/>
      <c r="G68" s="47"/>
      <c r="H68" s="47"/>
      <c r="I68" s="47"/>
      <c r="J68" s="41"/>
      <c r="K68" s="41"/>
      <c r="L68" s="41"/>
      <c r="M68" s="42"/>
    </row>
    <row r="69" spans="2:13" ht="16.2">
      <c r="B69" s="15" t="s">
        <v>6</v>
      </c>
      <c r="C69" s="17" t="s">
        <v>275</v>
      </c>
      <c r="D69" s="21">
        <v>4.3</v>
      </c>
      <c r="E69" s="4"/>
      <c r="F69" s="4"/>
      <c r="G69" s="47"/>
      <c r="H69" s="47"/>
      <c r="I69" s="47"/>
      <c r="J69" s="41"/>
      <c r="K69" s="41"/>
      <c r="L69" s="41"/>
      <c r="M69" s="42"/>
    </row>
    <row r="70" spans="2:13" ht="16.2">
      <c r="B70" s="15" t="s">
        <v>6</v>
      </c>
      <c r="C70" s="17" t="s">
        <v>276</v>
      </c>
      <c r="D70" s="21">
        <v>5</v>
      </c>
      <c r="E70" s="4"/>
      <c r="F70" s="4"/>
      <c r="G70" s="47"/>
      <c r="H70" s="47"/>
      <c r="I70" s="47"/>
      <c r="J70" s="41"/>
      <c r="K70" s="41"/>
      <c r="L70" s="41"/>
      <c r="M70" s="42"/>
    </row>
    <row r="71" spans="2:13" ht="16.2">
      <c r="B71" s="15" t="s">
        <v>6</v>
      </c>
      <c r="C71" s="17" t="s">
        <v>277</v>
      </c>
      <c r="D71" s="21">
        <v>7</v>
      </c>
      <c r="E71" s="4"/>
      <c r="F71" s="4"/>
      <c r="G71" s="47"/>
      <c r="H71" s="47"/>
      <c r="I71" s="47"/>
      <c r="J71" s="41"/>
      <c r="K71" s="41"/>
      <c r="L71" s="41"/>
      <c r="M71" s="42"/>
    </row>
    <row r="72" spans="2:13" ht="16.2">
      <c r="B72" s="15" t="s">
        <v>6</v>
      </c>
      <c r="C72" s="17" t="s">
        <v>278</v>
      </c>
      <c r="D72" s="21">
        <v>8.3000000000000007</v>
      </c>
      <c r="E72" s="4"/>
      <c r="F72" s="4"/>
      <c r="G72" s="47"/>
      <c r="H72" s="47"/>
      <c r="I72" s="47"/>
      <c r="J72" s="41"/>
      <c r="K72" s="41"/>
      <c r="L72" s="41"/>
      <c r="M72" s="42"/>
    </row>
    <row r="73" spans="2:13" ht="16.2">
      <c r="B73" s="15" t="s">
        <v>6</v>
      </c>
      <c r="C73" s="17" t="s">
        <v>279</v>
      </c>
      <c r="D73" s="21">
        <v>9.8000000000000007</v>
      </c>
      <c r="E73" s="223"/>
      <c r="F73" s="223"/>
      <c r="G73" s="224"/>
      <c r="H73" s="224"/>
      <c r="I73" s="224"/>
      <c r="J73" s="225"/>
      <c r="K73" s="225"/>
      <c r="L73" s="225"/>
      <c r="M73" s="226"/>
    </row>
    <row r="74" spans="2:13" ht="16.2">
      <c r="B74" s="15" t="s">
        <v>6</v>
      </c>
      <c r="C74" s="17" t="s">
        <v>280</v>
      </c>
      <c r="D74" s="21">
        <v>4.8</v>
      </c>
      <c r="E74" s="13"/>
    </row>
    <row r="75" spans="2:13" ht="16.2">
      <c r="B75" s="15" t="s">
        <v>6</v>
      </c>
      <c r="C75" s="17" t="s">
        <v>281</v>
      </c>
      <c r="D75" s="21">
        <v>9.5</v>
      </c>
      <c r="E75" s="13"/>
    </row>
    <row r="76" spans="2:13" ht="16.2">
      <c r="B76" s="15" t="s">
        <v>6</v>
      </c>
      <c r="C76" s="17" t="s">
        <v>282</v>
      </c>
      <c r="D76" s="21">
        <v>3.5</v>
      </c>
      <c r="E76" s="13"/>
    </row>
    <row r="77" spans="2:13" ht="16.2">
      <c r="B77" s="15" t="s">
        <v>6</v>
      </c>
      <c r="C77" s="17" t="s">
        <v>283</v>
      </c>
      <c r="D77" s="21">
        <v>4.8</v>
      </c>
      <c r="E77" s="13"/>
    </row>
    <row r="78" spans="2:13" ht="16.2">
      <c r="B78" s="15" t="s">
        <v>6</v>
      </c>
      <c r="C78" s="17" t="s">
        <v>284</v>
      </c>
      <c r="D78" s="21">
        <v>4.5</v>
      </c>
      <c r="E78" s="13"/>
    </row>
    <row r="79" spans="2:13" ht="16.2">
      <c r="B79" s="19" t="s">
        <v>7</v>
      </c>
      <c r="C79" s="17" t="s">
        <v>285</v>
      </c>
      <c r="D79" s="21">
        <v>14.5</v>
      </c>
      <c r="E79" s="13"/>
    </row>
    <row r="80" spans="2:13" ht="16.2">
      <c r="B80" s="19" t="s">
        <v>7</v>
      </c>
      <c r="C80" s="17" t="s">
        <v>286</v>
      </c>
      <c r="D80" s="21">
        <v>16</v>
      </c>
      <c r="E80" s="13"/>
    </row>
    <row r="81" spans="2:5" ht="16.2">
      <c r="B81" s="19" t="s">
        <v>7</v>
      </c>
      <c r="C81" s="17" t="s">
        <v>287</v>
      </c>
      <c r="D81" s="21">
        <v>19</v>
      </c>
      <c r="E81" s="13"/>
    </row>
    <row r="82" spans="2:5" ht="16.2">
      <c r="B82" s="19" t="s">
        <v>7</v>
      </c>
      <c r="C82" s="17" t="s">
        <v>288</v>
      </c>
      <c r="D82" s="21">
        <v>19.8</v>
      </c>
      <c r="E82" s="13"/>
    </row>
    <row r="83" spans="2:5" ht="16.2">
      <c r="B83" s="19" t="s">
        <v>7</v>
      </c>
      <c r="C83" s="17" t="s">
        <v>289</v>
      </c>
      <c r="D83" s="21">
        <v>23</v>
      </c>
      <c r="E83" s="13"/>
    </row>
    <row r="84" spans="2:5" ht="16.2">
      <c r="B84" s="19" t="s">
        <v>7</v>
      </c>
      <c r="C84" s="17" t="s">
        <v>290</v>
      </c>
      <c r="D84" s="21">
        <v>6</v>
      </c>
      <c r="E84" s="13"/>
    </row>
    <row r="85" spans="2:5" ht="16.2">
      <c r="B85" s="19" t="s">
        <v>7</v>
      </c>
      <c r="C85" s="17" t="s">
        <v>291</v>
      </c>
      <c r="D85" s="21">
        <v>8.3000000000000007</v>
      </c>
      <c r="E85" s="13"/>
    </row>
    <row r="86" spans="2:5" ht="16.2">
      <c r="B86" s="19" t="s">
        <v>7</v>
      </c>
      <c r="C86" s="17" t="s">
        <v>292</v>
      </c>
      <c r="D86" s="21">
        <v>9</v>
      </c>
      <c r="E86" s="13"/>
    </row>
    <row r="87" spans="2:5" ht="16.2">
      <c r="B87" s="19" t="s">
        <v>7</v>
      </c>
      <c r="C87" s="17" t="s">
        <v>293</v>
      </c>
      <c r="D87" s="21">
        <v>9.8000000000000007</v>
      </c>
      <c r="E87" s="13"/>
    </row>
    <row r="88" spans="2:5" ht="16.2">
      <c r="B88" s="19" t="s">
        <v>7</v>
      </c>
      <c r="C88" s="17" t="s">
        <v>294</v>
      </c>
      <c r="D88" s="21">
        <v>10.5</v>
      </c>
      <c r="E88" s="13"/>
    </row>
    <row r="89" spans="2:5" ht="16.2">
      <c r="B89" s="19" t="s">
        <v>7</v>
      </c>
      <c r="C89" s="17" t="s">
        <v>295</v>
      </c>
      <c r="D89" s="21">
        <v>11</v>
      </c>
      <c r="E89" s="13"/>
    </row>
    <row r="90" spans="2:5" ht="16.2">
      <c r="B90" s="19" t="s">
        <v>7</v>
      </c>
      <c r="C90" s="17" t="s">
        <v>296</v>
      </c>
      <c r="D90" s="21">
        <v>11.5</v>
      </c>
      <c r="E90" s="13"/>
    </row>
    <row r="91" spans="2:5" ht="16.2">
      <c r="B91" s="19" t="s">
        <v>7</v>
      </c>
      <c r="C91" s="17" t="s">
        <v>297</v>
      </c>
      <c r="D91" s="21">
        <v>11.8</v>
      </c>
      <c r="E91" s="13"/>
    </row>
    <row r="92" spans="2:5" ht="16.2">
      <c r="B92" s="19" t="s">
        <v>7</v>
      </c>
      <c r="C92" s="17" t="s">
        <v>298</v>
      </c>
      <c r="D92" s="21">
        <v>12.3</v>
      </c>
      <c r="E92" s="13"/>
    </row>
    <row r="93" spans="2:5" ht="16.2">
      <c r="B93" s="19" t="s">
        <v>7</v>
      </c>
      <c r="C93" s="17" t="s">
        <v>299</v>
      </c>
      <c r="D93" s="21">
        <v>12.8</v>
      </c>
      <c r="E93" s="13"/>
    </row>
    <row r="94" spans="2:5" ht="16.2">
      <c r="B94" s="19" t="s">
        <v>7</v>
      </c>
      <c r="C94" s="17" t="s">
        <v>300</v>
      </c>
      <c r="D94" s="21">
        <v>9</v>
      </c>
      <c r="E94" s="13"/>
    </row>
    <row r="95" spans="2:5" ht="16.2">
      <c r="B95" s="19" t="s">
        <v>7</v>
      </c>
      <c r="C95" s="17" t="s">
        <v>301</v>
      </c>
      <c r="D95" s="21">
        <v>15</v>
      </c>
      <c r="E95" s="13"/>
    </row>
    <row r="96" spans="2:5" ht="16.2">
      <c r="B96" s="19" t="s">
        <v>7</v>
      </c>
      <c r="C96" s="17" t="s">
        <v>302</v>
      </c>
      <c r="D96" s="21">
        <v>10</v>
      </c>
      <c r="E96" s="13"/>
    </row>
    <row r="97" spans="2:5" ht="16.2">
      <c r="B97" s="19" t="s">
        <v>7</v>
      </c>
      <c r="C97" s="17" t="s">
        <v>303</v>
      </c>
      <c r="D97" s="21">
        <v>13.3</v>
      </c>
      <c r="E97" s="13"/>
    </row>
    <row r="98" spans="2:5" ht="16.2">
      <c r="B98" s="19" t="s">
        <v>8</v>
      </c>
      <c r="C98" s="17" t="s">
        <v>304</v>
      </c>
      <c r="D98" s="21">
        <v>10</v>
      </c>
      <c r="E98" s="13"/>
    </row>
    <row r="99" spans="2:5" ht="16.2">
      <c r="B99" s="15" t="s">
        <v>8</v>
      </c>
      <c r="C99" s="17" t="s">
        <v>305</v>
      </c>
      <c r="D99" s="20">
        <v>5.5</v>
      </c>
      <c r="E99" s="13"/>
    </row>
    <row r="100" spans="2:5" ht="16.2">
      <c r="B100" s="15" t="s">
        <v>8</v>
      </c>
      <c r="C100" s="17" t="s">
        <v>306</v>
      </c>
      <c r="D100" s="20">
        <v>12.8</v>
      </c>
      <c r="E100" s="13"/>
    </row>
    <row r="101" spans="2:5" ht="16.2">
      <c r="B101" s="15" t="s">
        <v>8</v>
      </c>
      <c r="C101" s="17" t="s">
        <v>307</v>
      </c>
      <c r="D101" s="20">
        <v>7.8</v>
      </c>
      <c r="E101" s="13"/>
    </row>
    <row r="102" spans="2:5" ht="18.899999999999999" customHeight="1">
      <c r="B102" s="15" t="s">
        <v>8</v>
      </c>
      <c r="C102" s="16" t="s">
        <v>308</v>
      </c>
      <c r="D102" s="20">
        <v>4.8</v>
      </c>
      <c r="E102" s="13"/>
    </row>
    <row r="103" spans="2:5" ht="18.899999999999999" customHeight="1">
      <c r="B103" s="15" t="s">
        <v>8</v>
      </c>
      <c r="C103" s="16" t="s">
        <v>309</v>
      </c>
      <c r="D103" s="20">
        <v>4.3</v>
      </c>
      <c r="E103" s="13"/>
    </row>
    <row r="104" spans="2:5" ht="18" customHeight="1">
      <c r="B104" s="15" t="s">
        <v>8</v>
      </c>
      <c r="C104" s="16" t="s">
        <v>310</v>
      </c>
      <c r="D104" s="20">
        <v>3.5</v>
      </c>
      <c r="E104" s="13"/>
    </row>
    <row r="105" spans="2:5" ht="16.2">
      <c r="B105" s="15" t="s">
        <v>8</v>
      </c>
      <c r="C105" s="17" t="s">
        <v>311</v>
      </c>
      <c r="D105" s="20">
        <v>3.8</v>
      </c>
      <c r="E105" s="13"/>
    </row>
    <row r="106" spans="2:5" ht="16.2">
      <c r="B106" s="15" t="s">
        <v>8</v>
      </c>
      <c r="C106" s="17" t="s">
        <v>312</v>
      </c>
      <c r="D106" s="20">
        <v>8.3000000000000007</v>
      </c>
      <c r="E106" s="13"/>
    </row>
    <row r="107" spans="2:5" ht="16.2">
      <c r="B107" s="15" t="s">
        <v>8</v>
      </c>
      <c r="C107" s="17" t="s">
        <v>313</v>
      </c>
      <c r="D107" s="20">
        <v>5</v>
      </c>
      <c r="E107" s="13"/>
    </row>
    <row r="108" spans="2:5" ht="16.2">
      <c r="B108" s="15" t="s">
        <v>8</v>
      </c>
      <c r="C108" s="17" t="s">
        <v>314</v>
      </c>
      <c r="D108" s="20">
        <v>4.5</v>
      </c>
      <c r="E108" s="13"/>
    </row>
    <row r="109" spans="2:5" ht="16.2">
      <c r="B109" s="15" t="s">
        <v>8</v>
      </c>
      <c r="C109" s="17" t="s">
        <v>315</v>
      </c>
      <c r="D109" s="20">
        <v>6</v>
      </c>
      <c r="E109" s="13"/>
    </row>
    <row r="110" spans="2:5" ht="16.2">
      <c r="B110" s="15" t="s">
        <v>8</v>
      </c>
      <c r="C110" s="17" t="s">
        <v>316</v>
      </c>
      <c r="D110" s="20">
        <v>8</v>
      </c>
      <c r="E110" s="13"/>
    </row>
    <row r="111" spans="2:5" ht="16.2">
      <c r="B111" s="15" t="s">
        <v>8</v>
      </c>
      <c r="C111" s="17" t="s">
        <v>317</v>
      </c>
      <c r="D111" s="20">
        <v>7.3</v>
      </c>
      <c r="E111" s="13"/>
    </row>
    <row r="112" spans="2:5" ht="16.2">
      <c r="B112" s="15" t="s">
        <v>8</v>
      </c>
      <c r="C112" s="17" t="s">
        <v>318</v>
      </c>
      <c r="D112" s="20">
        <v>4.3</v>
      </c>
      <c r="E112" s="13"/>
    </row>
    <row r="113" spans="2:5" ht="16.2">
      <c r="B113" s="15" t="s">
        <v>8</v>
      </c>
      <c r="C113" s="17" t="s">
        <v>319</v>
      </c>
      <c r="D113" s="20">
        <v>7</v>
      </c>
      <c r="E113" s="13"/>
    </row>
    <row r="114" spans="2:5" ht="16.2">
      <c r="B114" s="15" t="s">
        <v>8</v>
      </c>
      <c r="C114" s="17" t="s">
        <v>320</v>
      </c>
      <c r="D114" s="20">
        <v>5.5</v>
      </c>
      <c r="E114" s="13"/>
    </row>
    <row r="115" spans="2:5" ht="16.2">
      <c r="B115" s="15" t="s">
        <v>8</v>
      </c>
      <c r="C115" s="17" t="s">
        <v>321</v>
      </c>
      <c r="D115" s="20">
        <v>8</v>
      </c>
      <c r="E115" s="13"/>
    </row>
    <row r="116" spans="2:5" ht="16.2">
      <c r="B116" s="15" t="s">
        <v>8</v>
      </c>
      <c r="C116" s="17" t="s">
        <v>322</v>
      </c>
      <c r="D116" s="20">
        <v>6</v>
      </c>
      <c r="E116" s="13"/>
    </row>
    <row r="117" spans="2:5" ht="16.2">
      <c r="B117" s="15" t="s">
        <v>8</v>
      </c>
      <c r="C117" s="17" t="s">
        <v>323</v>
      </c>
      <c r="D117" s="20">
        <v>6.5</v>
      </c>
      <c r="E117" s="13"/>
    </row>
    <row r="118" spans="2:5" ht="16.2">
      <c r="B118" s="15" t="s">
        <v>8</v>
      </c>
      <c r="C118" s="17" t="s">
        <v>324</v>
      </c>
      <c r="D118" s="20">
        <v>7</v>
      </c>
      <c r="E118" s="13"/>
    </row>
    <row r="119" spans="2:5" ht="16.2">
      <c r="B119" s="15" t="s">
        <v>8</v>
      </c>
      <c r="C119" s="17" t="s">
        <v>325</v>
      </c>
      <c r="D119" s="20">
        <v>4.5</v>
      </c>
      <c r="E119" s="13"/>
    </row>
    <row r="120" spans="2:5" ht="16.2">
      <c r="B120" s="15" t="s">
        <v>8</v>
      </c>
      <c r="C120" s="17" t="s">
        <v>326</v>
      </c>
      <c r="D120" s="20">
        <v>9.3000000000000007</v>
      </c>
      <c r="E120" s="13"/>
    </row>
    <row r="121" spans="2:5" ht="16.2">
      <c r="B121" s="15" t="s">
        <v>8</v>
      </c>
      <c r="C121" s="17" t="s">
        <v>327</v>
      </c>
      <c r="D121" s="20">
        <v>7.8</v>
      </c>
      <c r="E121" s="13"/>
    </row>
    <row r="122" spans="2:5" ht="16.2">
      <c r="B122" s="15" t="s">
        <v>8</v>
      </c>
      <c r="C122" s="17" t="s">
        <v>328</v>
      </c>
      <c r="D122" s="20">
        <v>6</v>
      </c>
      <c r="E122" s="13"/>
    </row>
    <row r="123" spans="2:5" ht="16.2">
      <c r="B123" s="15" t="s">
        <v>8</v>
      </c>
      <c r="C123" s="17" t="s">
        <v>329</v>
      </c>
      <c r="D123" s="20">
        <v>6</v>
      </c>
      <c r="E123" s="13"/>
    </row>
    <row r="124" spans="2:5" ht="16.2">
      <c r="B124" s="15" t="s">
        <v>8</v>
      </c>
      <c r="C124" s="17" t="s">
        <v>330</v>
      </c>
      <c r="D124" s="20">
        <v>8</v>
      </c>
      <c r="E124" s="13"/>
    </row>
    <row r="125" spans="2:5" ht="16.2">
      <c r="B125" s="15" t="s">
        <v>8</v>
      </c>
      <c r="C125" s="17" t="s">
        <v>331</v>
      </c>
      <c r="D125" s="20">
        <v>7.8</v>
      </c>
      <c r="E125" s="13"/>
    </row>
    <row r="126" spans="2:5" ht="16.2">
      <c r="B126" s="15" t="s">
        <v>8</v>
      </c>
      <c r="C126" s="17" t="s">
        <v>332</v>
      </c>
      <c r="D126" s="20">
        <v>8</v>
      </c>
      <c r="E126" s="13"/>
    </row>
    <row r="127" spans="2:5" ht="16.2">
      <c r="B127" s="15" t="s">
        <v>8</v>
      </c>
      <c r="C127" s="17" t="s">
        <v>333</v>
      </c>
      <c r="D127" s="20">
        <v>10</v>
      </c>
      <c r="E127" s="13"/>
    </row>
    <row r="128" spans="2:5" ht="16.2">
      <c r="B128" s="15" t="s">
        <v>8</v>
      </c>
      <c r="C128" s="17" t="s">
        <v>334</v>
      </c>
      <c r="D128" s="20">
        <v>5.8</v>
      </c>
      <c r="E128" s="13"/>
    </row>
    <row r="129" spans="2:5" ht="16.2">
      <c r="B129" s="15" t="s">
        <v>8</v>
      </c>
      <c r="C129" s="17" t="s">
        <v>335</v>
      </c>
      <c r="D129" s="20">
        <v>5.5</v>
      </c>
      <c r="E129" s="13"/>
    </row>
    <row r="130" spans="2:5" ht="16.2">
      <c r="B130" s="15" t="s">
        <v>8</v>
      </c>
      <c r="C130" s="17" t="s">
        <v>336</v>
      </c>
      <c r="D130" s="20">
        <v>3.8</v>
      </c>
      <c r="E130" s="13"/>
    </row>
    <row r="131" spans="2:5" ht="16.2">
      <c r="B131" s="15" t="s">
        <v>8</v>
      </c>
      <c r="C131" s="17" t="s">
        <v>337</v>
      </c>
      <c r="D131" s="20">
        <v>5.3</v>
      </c>
      <c r="E131" s="13"/>
    </row>
    <row r="132" spans="2:5" ht="16.2">
      <c r="B132" s="15" t="s">
        <v>8</v>
      </c>
      <c r="C132" s="17" t="s">
        <v>338</v>
      </c>
      <c r="D132" s="20">
        <v>10.3</v>
      </c>
      <c r="E132" s="13"/>
    </row>
    <row r="133" spans="2:5" ht="16.2">
      <c r="B133" s="15" t="s">
        <v>8</v>
      </c>
      <c r="C133" s="17" t="s">
        <v>339</v>
      </c>
      <c r="D133" s="20">
        <v>8</v>
      </c>
      <c r="E133" s="13"/>
    </row>
    <row r="134" spans="2:5" ht="16.2">
      <c r="B134" s="15" t="s">
        <v>8</v>
      </c>
      <c r="C134" s="17" t="s">
        <v>340</v>
      </c>
      <c r="D134" s="20">
        <v>5</v>
      </c>
      <c r="E134" s="13"/>
    </row>
    <row r="135" spans="2:5" ht="16.2">
      <c r="B135" s="15" t="s">
        <v>8</v>
      </c>
      <c r="C135" s="17" t="s">
        <v>341</v>
      </c>
      <c r="D135" s="20">
        <v>6</v>
      </c>
      <c r="E135" s="13"/>
    </row>
    <row r="136" spans="2:5" ht="16.2">
      <c r="B136" s="15" t="s">
        <v>8</v>
      </c>
      <c r="C136" s="17" t="s">
        <v>342</v>
      </c>
      <c r="D136" s="20">
        <v>4</v>
      </c>
      <c r="E136" s="13"/>
    </row>
    <row r="137" spans="2:5" ht="16.2">
      <c r="B137" s="15" t="s">
        <v>8</v>
      </c>
      <c r="C137" s="17" t="s">
        <v>343</v>
      </c>
      <c r="D137" s="20">
        <v>3</v>
      </c>
      <c r="E137" s="13"/>
    </row>
    <row r="138" spans="2:5" ht="16.2">
      <c r="B138" s="15" t="s">
        <v>8</v>
      </c>
      <c r="C138" s="17" t="s">
        <v>344</v>
      </c>
      <c r="D138" s="20">
        <v>1.5</v>
      </c>
      <c r="E138" s="13"/>
    </row>
    <row r="139" spans="2:5" ht="16.2">
      <c r="B139" s="15" t="s">
        <v>8</v>
      </c>
      <c r="C139" s="17" t="s">
        <v>345</v>
      </c>
      <c r="D139" s="20">
        <v>4</v>
      </c>
      <c r="E139" s="13"/>
    </row>
    <row r="140" spans="2:5" ht="16.2">
      <c r="B140" s="15" t="s">
        <v>8</v>
      </c>
      <c r="C140" s="17" t="s">
        <v>346</v>
      </c>
      <c r="D140" s="20">
        <v>6</v>
      </c>
      <c r="E140" s="13"/>
    </row>
    <row r="141" spans="2:5" ht="16.2">
      <c r="B141" s="15" t="s">
        <v>8</v>
      </c>
      <c r="C141" s="17" t="s">
        <v>347</v>
      </c>
      <c r="D141" s="20">
        <v>3</v>
      </c>
      <c r="E141" s="13"/>
    </row>
    <row r="142" spans="2:5" ht="16.2">
      <c r="B142" s="15" t="s">
        <v>8</v>
      </c>
      <c r="C142" s="17" t="s">
        <v>348</v>
      </c>
      <c r="D142" s="20">
        <v>6</v>
      </c>
      <c r="E142" s="13"/>
    </row>
    <row r="143" spans="2:5" ht="16.2">
      <c r="B143" s="15" t="s">
        <v>8</v>
      </c>
      <c r="C143" s="17" t="s">
        <v>349</v>
      </c>
      <c r="D143" s="20">
        <v>4</v>
      </c>
      <c r="E143" s="13"/>
    </row>
    <row r="144" spans="2:5" ht="16.2">
      <c r="B144" s="15" t="s">
        <v>8</v>
      </c>
      <c r="C144" s="17" t="s">
        <v>350</v>
      </c>
      <c r="D144" s="20">
        <v>6</v>
      </c>
      <c r="E144" s="13"/>
    </row>
    <row r="145" spans="2:5" ht="16.2">
      <c r="B145" s="15" t="s">
        <v>8</v>
      </c>
      <c r="C145" s="17" t="s">
        <v>351</v>
      </c>
      <c r="D145" s="20">
        <v>10</v>
      </c>
      <c r="E145" s="13"/>
    </row>
    <row r="146" spans="2:5" ht="16.2">
      <c r="B146" s="19" t="s">
        <v>8</v>
      </c>
      <c r="C146" s="17" t="s">
        <v>352</v>
      </c>
      <c r="D146" s="21">
        <v>9.8000000000000007</v>
      </c>
      <c r="E146" s="13"/>
    </row>
    <row r="147" spans="2:5" ht="16.2">
      <c r="B147" s="19" t="s">
        <v>8</v>
      </c>
      <c r="C147" s="17" t="s">
        <v>353</v>
      </c>
      <c r="D147" s="21">
        <v>5.8</v>
      </c>
      <c r="E147" s="13"/>
    </row>
    <row r="148" spans="2:5" ht="16.2">
      <c r="B148" s="19" t="s">
        <v>8</v>
      </c>
      <c r="C148" s="17" t="s">
        <v>354</v>
      </c>
      <c r="D148" s="21">
        <v>10</v>
      </c>
      <c r="E148" s="13"/>
    </row>
    <row r="149" spans="2:5" ht="18.899999999999999" customHeight="1">
      <c r="B149" s="19" t="s">
        <v>8</v>
      </c>
      <c r="C149" s="16" t="s">
        <v>355</v>
      </c>
      <c r="D149" s="21">
        <v>8.3000000000000007</v>
      </c>
      <c r="E149" s="13"/>
    </row>
  </sheetData>
  <sheetProtection algorithmName="SHA-512" hashValue="8FLTk3apQERZXzd5U57ImeYR8L/ITd8Q/Rk6P6SS1T640GWELaKmkTErNvfq5s3nudOQkJseNrEmQFzost8jjg==" saltValue="ovLln9RdWyT7bSx+1pe3EA==" spinCount="100000" sheet="1" objects="1" scenarios="1"/>
  <sortState xmlns:xlrd2="http://schemas.microsoft.com/office/spreadsheetml/2017/richdata2" ref="B9:D146">
    <sortCondition ref="B9:B146"/>
    <sortCondition ref="C9:C146"/>
  </sortState>
  <mergeCells count="1">
    <mergeCell ref="E4:F4"/>
  </mergeCells>
  <hyperlinks>
    <hyperlink ref="E3:H3" r:id="rId1" display="Tutor: Alex Ritson MSc, ISSN, CISSN" xr:uid="{556E8634-9B7E-8D46-90A8-A8500AE207A6}"/>
  </hyperlinks>
  <pageMargins left="0.75" right="0.75" top="1" bottom="1" header="0.5" footer="0.5"/>
  <pageSetup orientation="portrait"/>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5</vt:i4>
      </vt:variant>
    </vt:vector>
  </HeadingPairs>
  <TitlesOfParts>
    <vt:vector size="5" baseType="lpstr">
      <vt:lpstr>Lookups</vt:lpstr>
      <vt:lpstr>Instructions</vt:lpstr>
      <vt:lpstr>Calculator</vt:lpstr>
      <vt:lpstr>Foglio1</vt:lpstr>
      <vt:lpstr>Metabolic equivalents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holness</dc:creator>
  <cp:keywords/>
  <dc:description/>
  <cp:lastModifiedBy>niccolo salvini</cp:lastModifiedBy>
  <cp:revision/>
  <dcterms:created xsi:type="dcterms:W3CDTF">2015-11-02T19:04:25Z</dcterms:created>
  <dcterms:modified xsi:type="dcterms:W3CDTF">2021-06-21T15:30:58Z</dcterms:modified>
  <cp:category/>
  <cp:contentStatus/>
</cp:coreProperties>
</file>