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outh Korea vs Spain" sheetId="2" r:id="rId1"/>
    <sheet name="Italy vs South Korea" sheetId="1" r:id="rId2"/>
  </sheets>
  <calcPr calcId="145621"/>
</workbook>
</file>

<file path=xl/calcChain.xml><?xml version="1.0" encoding="utf-8"?>
<calcChain xmlns="http://schemas.openxmlformats.org/spreadsheetml/2006/main">
  <c r="B18" i="1" l="1"/>
  <c r="B16" i="1"/>
  <c r="B12" i="1"/>
  <c r="B10" i="1"/>
  <c r="F112" i="2"/>
  <c r="F86" i="2"/>
  <c r="B14" i="1" l="1"/>
  <c r="E57" i="2"/>
  <c r="D57" i="2"/>
  <c r="F50" i="2" s="1"/>
  <c r="G50" i="2" s="1"/>
  <c r="B100" i="2"/>
  <c r="B99" i="2"/>
  <c r="B98" i="2"/>
  <c r="B97" i="2"/>
  <c r="B96" i="2"/>
  <c r="B95" i="2"/>
  <c r="B94" i="2"/>
  <c r="B93" i="2"/>
  <c r="B92" i="2"/>
  <c r="B74" i="2"/>
  <c r="B73" i="2"/>
  <c r="B72" i="2"/>
  <c r="B71" i="2"/>
  <c r="B70" i="2"/>
  <c r="B69" i="2"/>
  <c r="B68" i="2"/>
  <c r="B67" i="2"/>
  <c r="B66" i="2"/>
  <c r="E41" i="2"/>
  <c r="D41" i="2"/>
  <c r="G40" i="2"/>
  <c r="F40" i="2"/>
  <c r="B40" i="2"/>
  <c r="G39" i="2"/>
  <c r="F39" i="2"/>
  <c r="B39" i="2"/>
  <c r="G38" i="2"/>
  <c r="F38" i="2"/>
  <c r="B38" i="2"/>
  <c r="G37" i="2"/>
  <c r="F37" i="2"/>
  <c r="B37" i="2"/>
  <c r="G36" i="2"/>
  <c r="F36" i="2"/>
  <c r="B36" i="2"/>
  <c r="G35" i="2"/>
  <c r="F35" i="2"/>
  <c r="B35" i="2"/>
  <c r="G34" i="2"/>
  <c r="F34" i="2"/>
  <c r="B34" i="2"/>
  <c r="G33" i="2"/>
  <c r="F33" i="2"/>
  <c r="B33" i="2"/>
  <c r="G32" i="2"/>
  <c r="F32" i="2"/>
  <c r="B32" i="2"/>
  <c r="B55" i="2"/>
  <c r="B54" i="2"/>
  <c r="B53" i="2"/>
  <c r="B52" i="2"/>
  <c r="B51" i="2"/>
  <c r="B50" i="2"/>
  <c r="B49" i="2"/>
  <c r="B48" i="2"/>
  <c r="B47" i="2"/>
  <c r="F88" i="1"/>
  <c r="F114" i="1"/>
  <c r="B102" i="1"/>
  <c r="B101" i="1"/>
  <c r="B100" i="1"/>
  <c r="B99" i="1"/>
  <c r="B98" i="1"/>
  <c r="B97" i="1"/>
  <c r="B96" i="1"/>
  <c r="B95" i="1"/>
  <c r="B94" i="1"/>
  <c r="B76" i="1"/>
  <c r="B75" i="1"/>
  <c r="B74" i="1"/>
  <c r="B73" i="1"/>
  <c r="B72" i="1"/>
  <c r="B71" i="1"/>
  <c r="B70" i="1"/>
  <c r="B69" i="1"/>
  <c r="B68" i="1"/>
  <c r="E59" i="1"/>
  <c r="D59" i="1"/>
  <c r="E44" i="1"/>
  <c r="D44" i="1"/>
  <c r="F39" i="1" s="1"/>
  <c r="G51" i="1"/>
  <c r="G52" i="1"/>
  <c r="G53" i="1"/>
  <c r="G54" i="1"/>
  <c r="G55" i="1"/>
  <c r="G56" i="1"/>
  <c r="G57" i="1"/>
  <c r="G58" i="1"/>
  <c r="G50" i="1"/>
  <c r="F51" i="1"/>
  <c r="F52" i="1"/>
  <c r="F53" i="1"/>
  <c r="F54" i="1"/>
  <c r="F55" i="1"/>
  <c r="F56" i="1"/>
  <c r="F57" i="1"/>
  <c r="F58" i="1"/>
  <c r="F50" i="1"/>
  <c r="B58" i="1"/>
  <c r="B57" i="1"/>
  <c r="B56" i="1"/>
  <c r="B55" i="1"/>
  <c r="B54" i="1"/>
  <c r="B53" i="1"/>
  <c r="B52" i="1"/>
  <c r="B51" i="1"/>
  <c r="B50" i="1"/>
  <c r="G36" i="1"/>
  <c r="G37" i="1"/>
  <c r="G38" i="1"/>
  <c r="G39" i="1"/>
  <c r="G40" i="1"/>
  <c r="G41" i="1"/>
  <c r="G42" i="1"/>
  <c r="G43" i="1"/>
  <c r="G35" i="1"/>
  <c r="B43" i="1"/>
  <c r="B42" i="1"/>
  <c r="B41" i="1"/>
  <c r="B40" i="1"/>
  <c r="B39" i="1"/>
  <c r="B38" i="1"/>
  <c r="B36" i="1"/>
  <c r="B37" i="1"/>
  <c r="B35" i="1"/>
  <c r="D73" i="1" l="1"/>
  <c r="G44" i="1"/>
  <c r="D109" i="1" s="1"/>
  <c r="D69" i="1"/>
  <c r="D74" i="1"/>
  <c r="D70" i="1"/>
  <c r="F55" i="2"/>
  <c r="G55" i="2" s="1"/>
  <c r="D74" i="2" s="1"/>
  <c r="F52" i="2"/>
  <c r="G52" i="2" s="1"/>
  <c r="D71" i="2" s="1"/>
  <c r="F51" i="2"/>
  <c r="G51" i="2" s="1"/>
  <c r="E96" i="2" s="1"/>
  <c r="F47" i="2"/>
  <c r="G47" i="2" s="1"/>
  <c r="E92" i="2" s="1"/>
  <c r="F49" i="2"/>
  <c r="G49" i="2" s="1"/>
  <c r="D68" i="2" s="1"/>
  <c r="G41" i="2"/>
  <c r="B7" i="2" s="1"/>
  <c r="F53" i="2"/>
  <c r="F48" i="2"/>
  <c r="D93" i="2" s="1"/>
  <c r="F54" i="2"/>
  <c r="G54" i="2" s="1"/>
  <c r="D73" i="2" s="1"/>
  <c r="E102" i="1"/>
  <c r="E98" i="1"/>
  <c r="D75" i="1"/>
  <c r="D71" i="1"/>
  <c r="D98" i="1"/>
  <c r="F59" i="1"/>
  <c r="D76" i="1"/>
  <c r="D72" i="1"/>
  <c r="E101" i="1"/>
  <c r="E97" i="1"/>
  <c r="G59" i="1"/>
  <c r="B119" i="1" s="1"/>
  <c r="E100" i="1"/>
  <c r="E96" i="1"/>
  <c r="E72" i="1"/>
  <c r="E94" i="1"/>
  <c r="E99" i="1"/>
  <c r="E95" i="1"/>
  <c r="D68" i="1"/>
  <c r="D83" i="1"/>
  <c r="E94" i="2"/>
  <c r="G57" i="2"/>
  <c r="B9" i="2" s="1"/>
  <c r="E95" i="2"/>
  <c r="F41" i="2"/>
  <c r="D97" i="2"/>
  <c r="D69" i="2"/>
  <c r="F42" i="1"/>
  <c r="F38" i="1"/>
  <c r="F41" i="1"/>
  <c r="F37" i="1"/>
  <c r="F35" i="1"/>
  <c r="F40" i="1"/>
  <c r="F36" i="1"/>
  <c r="F43" i="1"/>
  <c r="E71" i="2" l="1"/>
  <c r="D110" i="2"/>
  <c r="E103" i="1"/>
  <c r="D111" i="1" s="1"/>
  <c r="E97" i="2"/>
  <c r="D70" i="2"/>
  <c r="D66" i="2"/>
  <c r="B11" i="2"/>
  <c r="E100" i="2"/>
  <c r="D94" i="2"/>
  <c r="E68" i="2"/>
  <c r="E99" i="2"/>
  <c r="G48" i="2"/>
  <c r="E93" i="2" s="1"/>
  <c r="G53" i="2"/>
  <c r="D72" i="2" s="1"/>
  <c r="D98" i="2"/>
  <c r="D84" i="2"/>
  <c r="B117" i="2"/>
  <c r="E67" i="2"/>
  <c r="F57" i="2"/>
  <c r="D77" i="1"/>
  <c r="D84" i="1" s="1"/>
  <c r="D102" i="1"/>
  <c r="E76" i="1"/>
  <c r="D96" i="1"/>
  <c r="E70" i="1"/>
  <c r="D95" i="1"/>
  <c r="E69" i="1"/>
  <c r="D86" i="1"/>
  <c r="D112" i="1"/>
  <c r="D100" i="1"/>
  <c r="E74" i="1"/>
  <c r="D97" i="1"/>
  <c r="E71" i="1"/>
  <c r="D99" i="1"/>
  <c r="E73" i="1"/>
  <c r="F44" i="1"/>
  <c r="D94" i="1"/>
  <c r="E68" i="1"/>
  <c r="D101" i="1"/>
  <c r="E75" i="1"/>
  <c r="E72" i="2"/>
  <c r="D107" i="2"/>
  <c r="D81" i="2"/>
  <c r="E66" i="2"/>
  <c r="D92" i="2"/>
  <c r="E74" i="2"/>
  <c r="D100" i="2"/>
  <c r="D99" i="2"/>
  <c r="E73" i="2"/>
  <c r="D95" i="2"/>
  <c r="E69" i="2"/>
  <c r="E70" i="2"/>
  <c r="D96" i="2"/>
  <c r="D67" i="2" l="1"/>
  <c r="D75" i="2" s="1"/>
  <c r="D82" i="2" s="1"/>
  <c r="E98" i="2"/>
  <c r="E101" i="2" s="1"/>
  <c r="D109" i="2" s="1"/>
  <c r="E77" i="1"/>
  <c r="D85" i="1" s="1"/>
  <c r="D88" i="1" s="1"/>
  <c r="B123" i="1" s="1"/>
  <c r="D103" i="1"/>
  <c r="D110" i="1" s="1"/>
  <c r="D114" i="1" s="1"/>
  <c r="B127" i="1" s="1"/>
  <c r="E75" i="2"/>
  <c r="D83" i="2" s="1"/>
  <c r="D101" i="2"/>
  <c r="D108" i="2" s="1"/>
  <c r="D127" i="1" l="1"/>
  <c r="D86" i="2"/>
  <c r="B121" i="2" s="1"/>
  <c r="D112" i="2"/>
  <c r="B125" i="2" s="1"/>
  <c r="D123" i="1"/>
  <c r="D125" i="2" l="1"/>
  <c r="B15" i="2" s="1"/>
  <c r="D121" i="2"/>
  <c r="B13" i="2" s="1"/>
</calcChain>
</file>

<file path=xl/sharedStrings.xml><?xml version="1.0" encoding="utf-8"?>
<sst xmlns="http://schemas.openxmlformats.org/spreadsheetml/2006/main" count="132" uniqueCount="69">
  <si>
    <t>Age group</t>
  </si>
  <si>
    <t>Decomposing the difference between the Italian and the South Korean CFR</t>
  </si>
  <si>
    <t>Source Italy:</t>
  </si>
  <si>
    <t>Source South Korea:</t>
  </si>
  <si>
    <t>https://www.epicentro.iss.it/coronavirus/bollettino/Bollettino%20sorveglianza%20integrata%20COVID-19_16%20marzo%202020.pdf</t>
  </si>
  <si>
    <t>16 March 2020</t>
  </si>
  <si>
    <t xml:space="preserve">Date Italy: </t>
  </si>
  <si>
    <t>17 March 2020</t>
  </si>
  <si>
    <t>https://www.cdc.go.kr/board/board.es?mid=a30402000000&amp;bid=0030&amp;act=view&amp;list_no=366578</t>
  </si>
  <si>
    <t>Cases</t>
  </si>
  <si>
    <t>Deaths</t>
  </si>
  <si>
    <t>Age distribution</t>
  </si>
  <si>
    <t>Total</t>
  </si>
  <si>
    <t>(Age-specific) CFR</t>
  </si>
  <si>
    <t>CFR IT</t>
  </si>
  <si>
    <t>CFR SK</t>
  </si>
  <si>
    <t>Alpha</t>
  </si>
  <si>
    <t>Hyp.1 IT</t>
  </si>
  <si>
    <t>Hyp.1 SK</t>
  </si>
  <si>
    <t>Hyp.1 IT = (Age-specific) CFR of Italy if it had South Korea's age distribution</t>
  </si>
  <si>
    <t>Hyp.1 SK = (Age-specific) CFR of South Korea if it had Italy's age distribution</t>
  </si>
  <si>
    <t>Hyp.2 IT</t>
  </si>
  <si>
    <t>Hyp.2 SK</t>
  </si>
  <si>
    <t>Hyp.2 IT = (Age-specific) CFR of Italy if it had South Korea's age-specific fatality rates</t>
  </si>
  <si>
    <t>Hyp.2 SK = (Age-specific) CFR of South Korea if it had Italy's age-specific fatality rates</t>
  </si>
  <si>
    <t>Total difference (CFR Italy minus CFR South Korea)</t>
  </si>
  <si>
    <t>Absolute</t>
  </si>
  <si>
    <t>Relative</t>
  </si>
  <si>
    <t>Delta</t>
  </si>
  <si>
    <t xml:space="preserve">Date Spain: </t>
  </si>
  <si>
    <t>26 March 2020</t>
  </si>
  <si>
    <t>Source Spain:</t>
  </si>
  <si>
    <t>https://www.cdc.go.kr/board/board.es?mid=a30402000000&amp;bid=0030</t>
  </si>
  <si>
    <t>https://www.mscbs.gob.es/profesionales/saludPublica/ccayes/alertasActual/nCov-China/documentos/Actualizacion_57_COVID-19.pdf</t>
  </si>
  <si>
    <t>Hyp.1 ES</t>
  </si>
  <si>
    <t>Hyp.1 ES = (Age-specific) CFR of Spain if it had South Korea's age distribution</t>
  </si>
  <si>
    <t>Hyp.1 SK = (Age-specific) CFR of South Korea if it had Spain's age distribution</t>
  </si>
  <si>
    <t>Hyp.2 ES</t>
  </si>
  <si>
    <t>Hyp.2 ES = (Age-specific) CFR of Spain if it had South Korea's age-specific fatality rates</t>
  </si>
  <si>
    <t>Hyp.2 SK = (Age-specific) CFR of South Korea if it had Spain's age-specific fatality rates</t>
  </si>
  <si>
    <t>CFR ES</t>
  </si>
  <si>
    <t>Unknown</t>
  </si>
  <si>
    <t>Total difference (CFR South Korea - CFR Spain)</t>
  </si>
  <si>
    <t>Case fatality rate in South Korea:</t>
  </si>
  <si>
    <t>Case fatality rate in Spain:</t>
  </si>
  <si>
    <t>Difference in CFRs (SK minus ES):</t>
  </si>
  <si>
    <t>Proportion of difference explained by age structure of cases (Alpha):</t>
  </si>
  <si>
    <t>Proportion of difference explained by age-specific case fatality (Delta):</t>
  </si>
  <si>
    <t>1. Summary</t>
  </si>
  <si>
    <t>2. Data sources</t>
  </si>
  <si>
    <t xml:space="preserve">Date South Korea: </t>
  </si>
  <si>
    <t>Case fatality rate in Italy:</t>
  </si>
  <si>
    <t>Difference in CFRs (IT minus SK):</t>
  </si>
  <si>
    <t>3. Input data</t>
  </si>
  <si>
    <t>3.1 Italy</t>
  </si>
  <si>
    <t>3.2 South Korea</t>
  </si>
  <si>
    <t>4. Decompositions</t>
  </si>
  <si>
    <t>4.1 Age component (Alpha)</t>
  </si>
  <si>
    <t>4.2 Fatality component (Delta)</t>
  </si>
  <si>
    <t>4.3 Decomposition and contributions</t>
  </si>
  <si>
    <t>3.1 South Korea</t>
  </si>
  <si>
    <t>3.2 Spain</t>
  </si>
  <si>
    <t>4. Decomposition</t>
  </si>
  <si>
    <t xml:space="preserve">Note: </t>
  </si>
  <si>
    <t>This is an additional example using data not discussed in the paper. The methods, however, are the same.</t>
  </si>
  <si>
    <t>To keep this example simpler, Italian cases and deaths with unknown age were ignored</t>
  </si>
  <si>
    <t>Decomposing the difference between CFRs in South Korea and Spain</t>
  </si>
  <si>
    <t>Age distribution (Alpha component)</t>
  </si>
  <si>
    <t>Age-specific fatality (Delta 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</si>
</sst>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2"/>
    <xf numFmtId="17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6" fillId="0" borderId="0" xfId="0" applyFont="1"/>
    <xf numFmtId="0" fontId="0" fillId="0" borderId="2" xfId="0" applyBorder="1"/>
    <xf numFmtId="0" fontId="2" fillId="0" borderId="2" xfId="0" applyFont="1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picentro.iss.it/coronavirus/bollettino/Bollettino%20sorveglianza%20integrata%20COVID-19_16%20marzo%202020.pdf" TargetMode="External"/><Relationship Id="rId1" Type="http://schemas.openxmlformats.org/officeDocument/2006/relationships/hyperlink" Target="https://www.cdc.go.kr/board/board.es?mid=a30402000000&amp;bid=0030&amp;act=view&amp;list_no=366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selection activeCell="G7" sqref="G7"/>
    </sheetView>
  </sheetViews>
  <sheetFormatPr defaultRowHeight="15" x14ac:dyDescent="0.25"/>
  <cols>
    <col min="2" max="2" width="10" bestFit="1" customWidth="1"/>
    <col min="3" max="3" width="2.140625" customWidth="1"/>
    <col min="4" max="4" width="10.28515625" bestFit="1" customWidth="1"/>
    <col min="5" max="5" width="11.42578125" bestFit="1" customWidth="1"/>
    <col min="6" max="6" width="15.42578125" bestFit="1" customWidth="1"/>
    <col min="7" max="7" width="17.28515625" bestFit="1" customWidth="1"/>
    <col min="8" max="8" width="15" bestFit="1" customWidth="1"/>
  </cols>
  <sheetData>
    <row r="1" spans="1:5" ht="21" x14ac:dyDescent="0.35">
      <c r="A1" s="7" t="s">
        <v>66</v>
      </c>
    </row>
    <row r="4" spans="1:5" s="8" customFormat="1" ht="18.75" x14ac:dyDescent="0.3">
      <c r="A4" s="9" t="s">
        <v>48</v>
      </c>
    </row>
    <row r="6" spans="1:5" x14ac:dyDescent="0.25">
      <c r="A6" s="1" t="s">
        <v>43</v>
      </c>
    </row>
    <row r="7" spans="1:5" x14ac:dyDescent="0.25">
      <c r="A7" s="1"/>
      <c r="B7" s="15">
        <f>G41</f>
        <v>1.4175954983226923E-2</v>
      </c>
      <c r="E7" s="5"/>
    </row>
    <row r="8" spans="1:5" x14ac:dyDescent="0.25">
      <c r="A8" s="1" t="s">
        <v>44</v>
      </c>
    </row>
    <row r="9" spans="1:5" x14ac:dyDescent="0.25">
      <c r="A9" s="1"/>
      <c r="B9" s="15">
        <f>G57</f>
        <v>7.5836338375560031E-2</v>
      </c>
      <c r="E9" s="5"/>
    </row>
    <row r="10" spans="1:5" x14ac:dyDescent="0.25">
      <c r="A10" s="1" t="s">
        <v>45</v>
      </c>
    </row>
    <row r="11" spans="1:5" x14ac:dyDescent="0.25">
      <c r="A11" s="1"/>
      <c r="B11" s="15">
        <f>B7-B9</f>
        <v>-6.166038339233311E-2</v>
      </c>
      <c r="E11" s="5"/>
    </row>
    <row r="12" spans="1:5" x14ac:dyDescent="0.25">
      <c r="A12" s="1" t="s">
        <v>46</v>
      </c>
      <c r="E12" s="5"/>
    </row>
    <row r="13" spans="1:5" x14ac:dyDescent="0.25">
      <c r="A13" s="1"/>
      <c r="B13" s="15">
        <f>D121</f>
        <v>0.56427055420919481</v>
      </c>
      <c r="E13" s="5"/>
    </row>
    <row r="14" spans="1:5" x14ac:dyDescent="0.25">
      <c r="A14" s="1" t="s">
        <v>47</v>
      </c>
      <c r="E14" s="5"/>
    </row>
    <row r="15" spans="1:5" x14ac:dyDescent="0.25">
      <c r="B15" s="15">
        <f>D125</f>
        <v>0.43572944579080514</v>
      </c>
    </row>
    <row r="18" spans="1:7" s="8" customFormat="1" ht="18.75" x14ac:dyDescent="0.3">
      <c r="A18" s="9" t="s">
        <v>49</v>
      </c>
    </row>
    <row r="20" spans="1:7" x14ac:dyDescent="0.25">
      <c r="A20" s="1" t="s">
        <v>3</v>
      </c>
      <c r="D20" s="3" t="s">
        <v>32</v>
      </c>
    </row>
    <row r="21" spans="1:7" x14ac:dyDescent="0.25">
      <c r="A21" s="1" t="s">
        <v>50</v>
      </c>
      <c r="D21" t="s">
        <v>30</v>
      </c>
    </row>
    <row r="22" spans="1:7" x14ac:dyDescent="0.25">
      <c r="A22" s="1" t="s">
        <v>31</v>
      </c>
      <c r="D22" s="3" t="s">
        <v>33</v>
      </c>
    </row>
    <row r="23" spans="1:7" x14ac:dyDescent="0.25">
      <c r="A23" s="1" t="s">
        <v>29</v>
      </c>
      <c r="D23" t="s">
        <v>30</v>
      </c>
    </row>
    <row r="24" spans="1:7" x14ac:dyDescent="0.25">
      <c r="A24" s="1"/>
      <c r="D24" s="3"/>
    </row>
    <row r="26" spans="1:7" s="8" customFormat="1" ht="18.75" x14ac:dyDescent="0.3">
      <c r="A26" s="9" t="s">
        <v>53</v>
      </c>
    </row>
    <row r="28" spans="1:7" ht="15.75" x14ac:dyDescent="0.25">
      <c r="A28" s="11" t="s">
        <v>60</v>
      </c>
    </row>
    <row r="30" spans="1:7" x14ac:dyDescent="0.25">
      <c r="B30" s="6" t="s">
        <v>0</v>
      </c>
      <c r="C30" s="6"/>
      <c r="D30" s="6" t="s">
        <v>9</v>
      </c>
      <c r="E30" s="6" t="s">
        <v>10</v>
      </c>
      <c r="F30" s="6" t="s">
        <v>11</v>
      </c>
      <c r="G30" s="6" t="s">
        <v>13</v>
      </c>
    </row>
    <row r="32" spans="1:7" x14ac:dyDescent="0.25">
      <c r="B32" t="str">
        <f>"0-9"</f>
        <v>0-9</v>
      </c>
      <c r="D32">
        <v>106</v>
      </c>
      <c r="E32">
        <v>0</v>
      </c>
      <c r="F32" s="5">
        <f>D32/SUM($D$32:$D$40)</f>
        <v>1.1470620062763771E-2</v>
      </c>
      <c r="G32" s="5">
        <f>E32/D32</f>
        <v>0</v>
      </c>
    </row>
    <row r="33" spans="1:7" x14ac:dyDescent="0.25">
      <c r="B33" s="4" t="str">
        <f>"10-19"</f>
        <v>10-19</v>
      </c>
      <c r="D33">
        <v>488</v>
      </c>
      <c r="E33">
        <v>0</v>
      </c>
      <c r="F33" s="5">
        <f>D33/SUM($D$32:$D$40)</f>
        <v>5.2808137647440752E-2</v>
      </c>
      <c r="G33" s="5">
        <f t="shared" ref="G33:G40" si="0">E33/D33</f>
        <v>0</v>
      </c>
    </row>
    <row r="34" spans="1:7" x14ac:dyDescent="0.25">
      <c r="B34" t="str">
        <f>"20-29"</f>
        <v>20-29</v>
      </c>
      <c r="D34">
        <v>2508</v>
      </c>
      <c r="E34">
        <v>0</v>
      </c>
      <c r="F34" s="5">
        <f>D34/SUM($D$32:$D$40)</f>
        <v>0.27139919922086353</v>
      </c>
      <c r="G34" s="5">
        <f t="shared" si="0"/>
        <v>0</v>
      </c>
    </row>
    <row r="35" spans="1:7" x14ac:dyDescent="0.25">
      <c r="B35" t="str">
        <f>"30-39"</f>
        <v>30-39</v>
      </c>
      <c r="D35">
        <v>955</v>
      </c>
      <c r="E35">
        <v>1</v>
      </c>
      <c r="F35" s="5">
        <f>D35/SUM($D$32:$D$40)</f>
        <v>0.10334379396169245</v>
      </c>
      <c r="G35" s="5">
        <f t="shared" si="0"/>
        <v>1.0471204188481676E-3</v>
      </c>
    </row>
    <row r="36" spans="1:7" x14ac:dyDescent="0.25">
      <c r="B36" t="str">
        <f>"40-49"</f>
        <v>40-49</v>
      </c>
      <c r="D36">
        <v>1252</v>
      </c>
      <c r="E36">
        <v>1</v>
      </c>
      <c r="F36" s="5">
        <f>D36/SUM($D$32:$D$40)</f>
        <v>0.13548317281679473</v>
      </c>
      <c r="G36" s="5">
        <f t="shared" si="0"/>
        <v>7.9872204472843447E-4</v>
      </c>
    </row>
    <row r="37" spans="1:7" x14ac:dyDescent="0.25">
      <c r="B37" t="str">
        <f>"50-59"</f>
        <v>50-59</v>
      </c>
      <c r="D37">
        <v>1738</v>
      </c>
      <c r="E37">
        <v>10</v>
      </c>
      <c r="F37" s="5">
        <f>D37/SUM($D$32:$D$40)</f>
        <v>0.18807488367059841</v>
      </c>
      <c r="G37" s="5">
        <f t="shared" si="0"/>
        <v>5.7537399309551211E-3</v>
      </c>
    </row>
    <row r="38" spans="1:7" x14ac:dyDescent="0.25">
      <c r="B38" t="str">
        <f>"60-69"</f>
        <v>60-69</v>
      </c>
      <c r="D38">
        <v>1162</v>
      </c>
      <c r="E38">
        <v>20</v>
      </c>
      <c r="F38" s="5">
        <f>D38/SUM($D$32:$D$40)</f>
        <v>0.12574396710312738</v>
      </c>
      <c r="G38" s="5">
        <f t="shared" si="0"/>
        <v>1.7211703958691909E-2</v>
      </c>
    </row>
    <row r="39" spans="1:7" x14ac:dyDescent="0.25">
      <c r="B39" t="str">
        <f>"70-79"</f>
        <v>70-79</v>
      </c>
      <c r="D39">
        <v>616</v>
      </c>
      <c r="E39">
        <v>41</v>
      </c>
      <c r="F39" s="5">
        <f>D39/SUM($D$32:$D$40)</f>
        <v>6.6659452440212097E-2</v>
      </c>
      <c r="G39" s="5">
        <f t="shared" si="0"/>
        <v>6.6558441558441553E-2</v>
      </c>
    </row>
    <row r="40" spans="1:7" x14ac:dyDescent="0.25">
      <c r="B40" t="str">
        <f>"80+"</f>
        <v>80+</v>
      </c>
      <c r="D40">
        <v>416</v>
      </c>
      <c r="E40">
        <v>58</v>
      </c>
      <c r="F40" s="5">
        <f>D40/SUM($D$32:$D$40)</f>
        <v>4.5016773076506873E-2</v>
      </c>
      <c r="G40" s="5">
        <f t="shared" si="0"/>
        <v>0.13942307692307693</v>
      </c>
    </row>
    <row r="41" spans="1:7" x14ac:dyDescent="0.25">
      <c r="B41" s="8" t="s">
        <v>12</v>
      </c>
      <c r="C41" s="8"/>
      <c r="D41" s="8">
        <f>SUM(D32:D40)</f>
        <v>9241</v>
      </c>
      <c r="E41" s="8">
        <f>SUM(E32:E40)</f>
        <v>131</v>
      </c>
      <c r="F41" s="10">
        <f>SUM(F32:F40)</f>
        <v>1</v>
      </c>
      <c r="G41" s="10">
        <f>E41/D41</f>
        <v>1.4175954983226923E-2</v>
      </c>
    </row>
    <row r="42" spans="1:7" x14ac:dyDescent="0.25">
      <c r="B42" s="13"/>
      <c r="C42" s="13"/>
      <c r="D42" s="13"/>
      <c r="E42" s="13"/>
      <c r="F42" s="14"/>
      <c r="G42" s="14"/>
    </row>
    <row r="43" spans="1:7" ht="15.75" x14ac:dyDescent="0.25">
      <c r="A43" s="11" t="s">
        <v>61</v>
      </c>
    </row>
    <row r="45" spans="1:7" x14ac:dyDescent="0.25">
      <c r="B45" s="6" t="s">
        <v>0</v>
      </c>
      <c r="C45" s="6"/>
      <c r="D45" s="6" t="s">
        <v>9</v>
      </c>
      <c r="E45" s="6" t="s">
        <v>10</v>
      </c>
      <c r="F45" s="6" t="s">
        <v>11</v>
      </c>
      <c r="G45" s="6" t="s">
        <v>13</v>
      </c>
    </row>
    <row r="47" spans="1:7" x14ac:dyDescent="0.25">
      <c r="B47" t="str">
        <f>"0-9"</f>
        <v>0-9</v>
      </c>
      <c r="D47">
        <v>181</v>
      </c>
      <c r="E47">
        <v>0</v>
      </c>
      <c r="F47" s="5">
        <f>D47/($D$57-$D$56)</f>
        <v>5.2848258343309289E-3</v>
      </c>
      <c r="G47" s="5">
        <f>(E47+$E$56*E47/SUM($E$47:$E$55))/(D47+F47*$D$56)</f>
        <v>0</v>
      </c>
    </row>
    <row r="48" spans="1:7" x14ac:dyDescent="0.25">
      <c r="B48" s="4" t="str">
        <f>"10-19"</f>
        <v>10-19</v>
      </c>
      <c r="D48">
        <v>312</v>
      </c>
      <c r="E48">
        <v>1</v>
      </c>
      <c r="F48" s="5">
        <f t="shared" ref="F48:F55" si="1">D48/($D$57-$D$56)</f>
        <v>9.109755029343922E-3</v>
      </c>
      <c r="G48" s="5">
        <f t="shared" ref="G48:G55" si="2">(E48+$E$56*E48/SUM($E$47:$E$55))/(D48+F48*$D$56)</f>
        <v>6.0897875589081361E-3</v>
      </c>
    </row>
    <row r="49" spans="1:7" x14ac:dyDescent="0.25">
      <c r="B49" t="str">
        <f>"20-29"</f>
        <v>20-29</v>
      </c>
      <c r="D49">
        <v>2011</v>
      </c>
      <c r="E49">
        <v>4</v>
      </c>
      <c r="F49" s="5">
        <f t="shared" si="1"/>
        <v>5.87170428333674E-2</v>
      </c>
      <c r="G49" s="5">
        <f t="shared" si="2"/>
        <v>3.7792416079151432E-3</v>
      </c>
    </row>
    <row r="50" spans="1:7" x14ac:dyDescent="0.25">
      <c r="B50" t="str">
        <f>"30-39"</f>
        <v>30-39</v>
      </c>
      <c r="D50">
        <v>3575</v>
      </c>
      <c r="E50">
        <v>7</v>
      </c>
      <c r="F50" s="5">
        <f t="shared" si="1"/>
        <v>0.10438260971123245</v>
      </c>
      <c r="G50" s="5">
        <f t="shared" si="2"/>
        <v>3.7203065814420612E-3</v>
      </c>
    </row>
    <row r="51" spans="1:7" x14ac:dyDescent="0.25">
      <c r="B51" t="str">
        <f>"40-49"</f>
        <v>40-49</v>
      </c>
      <c r="D51">
        <v>5242</v>
      </c>
      <c r="E51">
        <v>19</v>
      </c>
      <c r="F51" s="5">
        <f t="shared" si="1"/>
        <v>0.15305556366609244</v>
      </c>
      <c r="G51" s="5">
        <f t="shared" si="2"/>
        <v>6.8867341948125587E-3</v>
      </c>
    </row>
    <row r="52" spans="1:7" x14ac:dyDescent="0.25">
      <c r="B52" t="str">
        <f>"50-59"</f>
        <v>50-59</v>
      </c>
      <c r="D52">
        <v>6030</v>
      </c>
      <c r="E52">
        <v>35</v>
      </c>
      <c r="F52" s="5">
        <f t="shared" si="1"/>
        <v>0.17606353470174313</v>
      </c>
      <c r="G52" s="5">
        <f t="shared" si="2"/>
        <v>1.1028271997226674E-2</v>
      </c>
    </row>
    <row r="53" spans="1:7" x14ac:dyDescent="0.25">
      <c r="B53" t="str">
        <f>"60-69"</f>
        <v>60-69</v>
      </c>
      <c r="D53">
        <v>5633</v>
      </c>
      <c r="E53">
        <v>119</v>
      </c>
      <c r="F53" s="5">
        <f t="shared" si="1"/>
        <v>0.1644719553855587</v>
      </c>
      <c r="G53" s="5">
        <f t="shared" si="2"/>
        <v>4.0138759539701981E-2</v>
      </c>
    </row>
    <row r="54" spans="1:7" x14ac:dyDescent="0.25">
      <c r="B54" t="str">
        <f>"70-79"</f>
        <v>70-79</v>
      </c>
      <c r="D54">
        <v>5620</v>
      </c>
      <c r="E54">
        <v>319</v>
      </c>
      <c r="F54" s="5">
        <f t="shared" si="1"/>
        <v>0.16409238225933603</v>
      </c>
      <c r="G54" s="5">
        <f t="shared" si="2"/>
        <v>0.10784775376565997</v>
      </c>
    </row>
    <row r="55" spans="1:7" x14ac:dyDescent="0.25">
      <c r="B55" t="str">
        <f>"80+"</f>
        <v>80+</v>
      </c>
      <c r="D55">
        <v>5645</v>
      </c>
      <c r="E55">
        <v>863</v>
      </c>
      <c r="F55" s="5">
        <f t="shared" si="1"/>
        <v>0.16482233057899501</v>
      </c>
      <c r="G55" s="5">
        <f t="shared" si="2"/>
        <v>0.29047153923142055</v>
      </c>
    </row>
    <row r="56" spans="1:7" x14ac:dyDescent="0.25">
      <c r="B56" t="s">
        <v>41</v>
      </c>
      <c r="D56">
        <v>29810</v>
      </c>
      <c r="E56">
        <v>3491</v>
      </c>
      <c r="F56" s="5"/>
      <c r="G56" s="5"/>
    </row>
    <row r="57" spans="1:7" x14ac:dyDescent="0.25">
      <c r="B57" s="8" t="s">
        <v>12</v>
      </c>
      <c r="C57" s="8"/>
      <c r="D57" s="8">
        <f>SUM(D47:D56)</f>
        <v>64059</v>
      </c>
      <c r="E57" s="8">
        <f>SUM(E47:E56)</f>
        <v>4858</v>
      </c>
      <c r="F57" s="10">
        <f>SUM(F47:F56)</f>
        <v>1.0000000000000002</v>
      </c>
      <c r="G57" s="10">
        <f>E57/D57</f>
        <v>7.5836338375560031E-2</v>
      </c>
    </row>
    <row r="58" spans="1:7" x14ac:dyDescent="0.25">
      <c r="F58" s="5"/>
      <c r="G58" s="5"/>
    </row>
    <row r="60" spans="1:7" s="8" customFormat="1" ht="18.75" x14ac:dyDescent="0.3">
      <c r="A60" s="9" t="s">
        <v>62</v>
      </c>
    </row>
    <row r="62" spans="1:7" ht="15.75" x14ac:dyDescent="0.25">
      <c r="A62" s="12" t="s">
        <v>57</v>
      </c>
    </row>
    <row r="64" spans="1:7" x14ac:dyDescent="0.25">
      <c r="B64" s="6" t="s">
        <v>0</v>
      </c>
      <c r="C64" s="6"/>
      <c r="D64" s="6" t="s">
        <v>34</v>
      </c>
      <c r="E64" s="6" t="s">
        <v>18</v>
      </c>
    </row>
    <row r="66" spans="2:5" x14ac:dyDescent="0.25">
      <c r="B66" t="str">
        <f>"0-9"</f>
        <v>0-9</v>
      </c>
      <c r="D66" s="5">
        <f>F32*G47</f>
        <v>0</v>
      </c>
      <c r="E66" s="5">
        <f>F47*G32</f>
        <v>0</v>
      </c>
    </row>
    <row r="67" spans="2:5" x14ac:dyDescent="0.25">
      <c r="B67" s="4" t="str">
        <f>"10-19"</f>
        <v>10-19</v>
      </c>
      <c r="D67" s="5">
        <f>F33*G48</f>
        <v>3.2159033965449308E-4</v>
      </c>
      <c r="E67" s="5">
        <f>F48*G33</f>
        <v>0</v>
      </c>
    </row>
    <row r="68" spans="2:5" x14ac:dyDescent="0.25">
      <c r="B68" t="str">
        <f>"20-29"</f>
        <v>20-29</v>
      </c>
      <c r="D68" s="5">
        <f>F34*G49</f>
        <v>1.0256831460503386E-3</v>
      </c>
      <c r="E68" s="5">
        <f>F49*G34</f>
        <v>0</v>
      </c>
    </row>
    <row r="69" spans="2:5" x14ac:dyDescent="0.25">
      <c r="B69" t="str">
        <f>"30-39"</f>
        <v>30-39</v>
      </c>
      <c r="D69" s="5">
        <f>F35*G50</f>
        <v>3.8447059682687675E-4</v>
      </c>
      <c r="E69" s="5">
        <f>F50*G35</f>
        <v>1.0930116200129053E-4</v>
      </c>
    </row>
    <row r="70" spans="2:5" x14ac:dyDescent="0.25">
      <c r="B70" t="str">
        <f>"40-49"</f>
        <v>40-49</v>
      </c>
      <c r="D70" s="5">
        <f>F36*G51</f>
        <v>9.3303659905911963E-4</v>
      </c>
      <c r="E70" s="5">
        <f>F51*G36</f>
        <v>1.2224885276844444E-4</v>
      </c>
    </row>
    <row r="71" spans="2:5" x14ac:dyDescent="0.25">
      <c r="B71" t="str">
        <f>"50-59"</f>
        <v>50-59</v>
      </c>
      <c r="D71" s="5">
        <f>F37*G52</f>
        <v>2.0741409729661247E-3</v>
      </c>
      <c r="E71" s="5">
        <f>F52*G37</f>
        <v>1.0130237899985222E-3</v>
      </c>
    </row>
    <row r="72" spans="2:5" x14ac:dyDescent="0.25">
      <c r="B72" t="str">
        <f>"60-69"</f>
        <v>60-69</v>
      </c>
      <c r="D72" s="5">
        <f>F38*G53</f>
        <v>5.0472068591206265E-3</v>
      </c>
      <c r="E72" s="5">
        <f>F53*G38</f>
        <v>2.8308426056034195E-3</v>
      </c>
    </row>
    <row r="73" spans="2:5" x14ac:dyDescent="0.25">
      <c r="B73" t="str">
        <f>"70-79"</f>
        <v>70-79</v>
      </c>
      <c r="D73" s="5">
        <f>F39*G54</f>
        <v>7.1890722129257156E-3</v>
      </c>
      <c r="E73" s="5">
        <f>F54*G39</f>
        <v>1.0921733234793469E-2</v>
      </c>
    </row>
    <row r="74" spans="2:5" x14ac:dyDescent="0.25">
      <c r="B74" t="str">
        <f>"80+"</f>
        <v>80+</v>
      </c>
      <c r="D74" s="5">
        <f>F40*G55</f>
        <v>1.3076091366764523E-2</v>
      </c>
      <c r="E74" s="5">
        <f>F55*G40</f>
        <v>2.2980036474956035E-2</v>
      </c>
    </row>
    <row r="75" spans="2:5" x14ac:dyDescent="0.25">
      <c r="B75" s="8" t="s">
        <v>12</v>
      </c>
      <c r="C75" s="8"/>
      <c r="D75" s="10">
        <f>SUM(D66:D74)</f>
        <v>3.0051292093367817E-2</v>
      </c>
      <c r="E75" s="10">
        <f>SUM(E66:E74)</f>
        <v>3.797718612012118E-2</v>
      </c>
    </row>
    <row r="77" spans="2:5" x14ac:dyDescent="0.25">
      <c r="B77" t="s">
        <v>35</v>
      </c>
    </row>
    <row r="78" spans="2:5" x14ac:dyDescent="0.25">
      <c r="B78" t="s">
        <v>36</v>
      </c>
    </row>
    <row r="81" spans="1:6" x14ac:dyDescent="0.25">
      <c r="B81" t="s">
        <v>40</v>
      </c>
      <c r="D81" s="5">
        <f>G57</f>
        <v>7.5836338375560031E-2</v>
      </c>
    </row>
    <row r="82" spans="1:6" x14ac:dyDescent="0.25">
      <c r="B82" t="s">
        <v>34</v>
      </c>
      <c r="D82" s="5">
        <f>D75</f>
        <v>3.0051292093367817E-2</v>
      </c>
    </row>
    <row r="83" spans="1:6" x14ac:dyDescent="0.25">
      <c r="B83" t="s">
        <v>18</v>
      </c>
      <c r="D83" s="5">
        <f>E75</f>
        <v>3.797718612012118E-2</v>
      </c>
    </row>
    <row r="84" spans="1:6" x14ac:dyDescent="0.25">
      <c r="B84" t="s">
        <v>15</v>
      </c>
      <c r="D84" s="5">
        <f>G41</f>
        <v>1.4175954983226923E-2</v>
      </c>
    </row>
    <row r="86" spans="1:6" x14ac:dyDescent="0.25">
      <c r="B86" s="1" t="s">
        <v>16</v>
      </c>
      <c r="D86" s="5">
        <f>0.5*(D84-D83+D82-D81)</f>
        <v>-3.4793138709543238E-2</v>
      </c>
      <c r="F86" t="str">
        <f>"Formula = 0.5*(CFR SK- Hyp.1 SK + Hyp.1 ES - CFR ES)"</f>
        <v>Formula = 0.5*(CFR SK- Hyp.1 SK + Hyp.1 ES - CFR ES)</v>
      </c>
    </row>
    <row r="87" spans="1:6" x14ac:dyDescent="0.25">
      <c r="B87" s="1"/>
      <c r="D87" s="5"/>
    </row>
    <row r="88" spans="1:6" ht="15.75" x14ac:dyDescent="0.25">
      <c r="A88" s="12" t="s">
        <v>58</v>
      </c>
    </row>
    <row r="90" spans="1:6" x14ac:dyDescent="0.25">
      <c r="B90" s="6" t="s">
        <v>0</v>
      </c>
      <c r="C90" s="6"/>
      <c r="D90" s="6" t="s">
        <v>37</v>
      </c>
      <c r="E90" s="6" t="s">
        <v>22</v>
      </c>
    </row>
    <row r="92" spans="1:6" x14ac:dyDescent="0.25">
      <c r="B92" t="str">
        <f>"0-9"</f>
        <v>0-9</v>
      </c>
      <c r="D92" s="5">
        <f>F47*G32</f>
        <v>0</v>
      </c>
      <c r="E92" s="5">
        <f>F32*G47</f>
        <v>0</v>
      </c>
    </row>
    <row r="93" spans="1:6" x14ac:dyDescent="0.25">
      <c r="B93" s="4" t="str">
        <f>"10-19"</f>
        <v>10-19</v>
      </c>
      <c r="D93" s="5">
        <f>F48*G33</f>
        <v>0</v>
      </c>
      <c r="E93" s="5">
        <f>F33*G48</f>
        <v>3.2159033965449308E-4</v>
      </c>
    </row>
    <row r="94" spans="1:6" x14ac:dyDescent="0.25">
      <c r="B94" t="str">
        <f>"20-29"</f>
        <v>20-29</v>
      </c>
      <c r="D94" s="5">
        <f>F49*G34</f>
        <v>0</v>
      </c>
      <c r="E94" s="5">
        <f>F34*G49</f>
        <v>1.0256831460503386E-3</v>
      </c>
    </row>
    <row r="95" spans="1:6" x14ac:dyDescent="0.25">
      <c r="B95" t="str">
        <f>"30-39"</f>
        <v>30-39</v>
      </c>
      <c r="D95" s="5">
        <f>F50*G35</f>
        <v>1.0930116200129053E-4</v>
      </c>
      <c r="E95" s="5">
        <f>F35*G50</f>
        <v>3.8447059682687675E-4</v>
      </c>
    </row>
    <row r="96" spans="1:6" x14ac:dyDescent="0.25">
      <c r="B96" t="str">
        <f>"40-49"</f>
        <v>40-49</v>
      </c>
      <c r="D96" s="5">
        <f>F51*G36</f>
        <v>1.2224885276844444E-4</v>
      </c>
      <c r="E96" s="5">
        <f>F36*G51</f>
        <v>9.3303659905911963E-4</v>
      </c>
    </row>
    <row r="97" spans="2:6" x14ac:dyDescent="0.25">
      <c r="B97" t="str">
        <f>"50-59"</f>
        <v>50-59</v>
      </c>
      <c r="D97" s="5">
        <f>F52*G37</f>
        <v>1.0130237899985222E-3</v>
      </c>
      <c r="E97" s="5">
        <f>F37*G52</f>
        <v>2.0741409729661247E-3</v>
      </c>
    </row>
    <row r="98" spans="2:6" x14ac:dyDescent="0.25">
      <c r="B98" t="str">
        <f>"60-69"</f>
        <v>60-69</v>
      </c>
      <c r="D98" s="5">
        <f>F53*G38</f>
        <v>2.8308426056034195E-3</v>
      </c>
      <c r="E98" s="5">
        <f>F38*G53</f>
        <v>5.0472068591206265E-3</v>
      </c>
    </row>
    <row r="99" spans="2:6" x14ac:dyDescent="0.25">
      <c r="B99" t="str">
        <f>"70-79"</f>
        <v>70-79</v>
      </c>
      <c r="D99" s="5">
        <f>F54*G39</f>
        <v>1.0921733234793469E-2</v>
      </c>
      <c r="E99" s="5">
        <f>F39*G54</f>
        <v>7.1890722129257156E-3</v>
      </c>
    </row>
    <row r="100" spans="2:6" x14ac:dyDescent="0.25">
      <c r="B100" t="str">
        <f>"80+"</f>
        <v>80+</v>
      </c>
      <c r="D100" s="5">
        <f>F55*G40</f>
        <v>2.2980036474956035E-2</v>
      </c>
      <c r="E100" s="5">
        <f>F40*G55</f>
        <v>1.3076091366764523E-2</v>
      </c>
    </row>
    <row r="101" spans="2:6" x14ac:dyDescent="0.25">
      <c r="B101" s="8" t="s">
        <v>12</v>
      </c>
      <c r="C101" s="8"/>
      <c r="D101" s="10">
        <f>SUM(D92:D100)</f>
        <v>3.797718612012118E-2</v>
      </c>
      <c r="E101" s="10">
        <f>SUM(E92:E100)</f>
        <v>3.0051292093367817E-2</v>
      </c>
    </row>
    <row r="103" spans="2:6" x14ac:dyDescent="0.25">
      <c r="B103" t="s">
        <v>38</v>
      </c>
    </row>
    <row r="104" spans="2:6" x14ac:dyDescent="0.25">
      <c r="B104" t="s">
        <v>39</v>
      </c>
    </row>
    <row r="107" spans="2:6" x14ac:dyDescent="0.25">
      <c r="B107" t="s">
        <v>40</v>
      </c>
      <c r="D107" s="5">
        <f>G57</f>
        <v>7.5836338375560031E-2</v>
      </c>
    </row>
    <row r="108" spans="2:6" x14ac:dyDescent="0.25">
      <c r="B108" t="s">
        <v>37</v>
      </c>
      <c r="D108" s="5">
        <f>D101</f>
        <v>3.797718612012118E-2</v>
      </c>
    </row>
    <row r="109" spans="2:6" x14ac:dyDescent="0.25">
      <c r="B109" t="s">
        <v>22</v>
      </c>
      <c r="D109" s="5">
        <f>E101</f>
        <v>3.0051292093367817E-2</v>
      </c>
    </row>
    <row r="110" spans="2:6" x14ac:dyDescent="0.25">
      <c r="B110" t="s">
        <v>15</v>
      </c>
      <c r="D110" s="5">
        <f>G41</f>
        <v>1.4175954983226923E-2</v>
      </c>
    </row>
    <row r="112" spans="2:6" x14ac:dyDescent="0.25">
      <c r="B112" s="1" t="s">
        <v>28</v>
      </c>
      <c r="D112" s="5">
        <f>0.5*(D110-D109+D108-D107)</f>
        <v>-2.6867244682789872E-2</v>
      </c>
      <c r="F112" t="str">
        <f>"Formula = 0.5*(CFR SK - Hyp.2 SK + Hyp.2 ES - CFR ES)"</f>
        <v>Formula = 0.5*(CFR SK - Hyp.2 SK + Hyp.2 ES - CFR ES)</v>
      </c>
    </row>
    <row r="114" spans="1:4" ht="15.75" x14ac:dyDescent="0.25">
      <c r="A114" s="12" t="s">
        <v>59</v>
      </c>
    </row>
    <row r="116" spans="1:4" x14ac:dyDescent="0.25">
      <c r="B116" s="2" t="s">
        <v>42</v>
      </c>
    </row>
    <row r="117" spans="1:4" x14ac:dyDescent="0.25">
      <c r="B117" s="5">
        <f>G41-G57</f>
        <v>-6.166038339233311E-2</v>
      </c>
    </row>
    <row r="119" spans="1:4" x14ac:dyDescent="0.25">
      <c r="B119" s="2" t="s">
        <v>67</v>
      </c>
    </row>
    <row r="120" spans="1:4" x14ac:dyDescent="0.25">
      <c r="B120" s="1" t="s">
        <v>26</v>
      </c>
      <c r="D120" s="1" t="s">
        <v>27</v>
      </c>
    </row>
    <row r="121" spans="1:4" x14ac:dyDescent="0.25">
      <c r="B121" s="5">
        <f>D86</f>
        <v>-3.4793138709543238E-2</v>
      </c>
      <c r="D121" s="15">
        <f>ABS(B121)/(ABS(B121)+ABS(B125))</f>
        <v>0.56427055420919481</v>
      </c>
    </row>
    <row r="123" spans="1:4" x14ac:dyDescent="0.25">
      <c r="B123" s="2" t="s">
        <v>68</v>
      </c>
    </row>
    <row r="124" spans="1:4" x14ac:dyDescent="0.25">
      <c r="B124" s="1" t="s">
        <v>26</v>
      </c>
      <c r="D124" s="1" t="s">
        <v>27</v>
      </c>
    </row>
    <row r="125" spans="1:4" x14ac:dyDescent="0.25">
      <c r="B125" s="5">
        <f>D112</f>
        <v>-2.6867244682789872E-2</v>
      </c>
      <c r="D125" s="15">
        <f>ABS(B125)/(ABS(B121)+ABS(B125))</f>
        <v>0.43572944579080514</v>
      </c>
    </row>
    <row r="127" spans="1:4" x14ac:dyDescent="0.25">
      <c r="B127" s="5"/>
    </row>
    <row r="128" spans="1:4" s="8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workbookViewId="0">
      <selection activeCell="K4" sqref="K4"/>
    </sheetView>
  </sheetViews>
  <sheetFormatPr defaultRowHeight="15" x14ac:dyDescent="0.25"/>
  <cols>
    <col min="2" max="2" width="10" bestFit="1" customWidth="1"/>
    <col min="3" max="3" width="2.140625" customWidth="1"/>
    <col min="4" max="4" width="10.28515625" bestFit="1" customWidth="1"/>
    <col min="5" max="5" width="11.42578125" bestFit="1" customWidth="1"/>
    <col min="6" max="6" width="15.42578125" bestFit="1" customWidth="1"/>
    <col min="7" max="7" width="17.28515625" bestFit="1" customWidth="1"/>
    <col min="8" max="8" width="15" bestFit="1" customWidth="1"/>
  </cols>
  <sheetData>
    <row r="1" spans="1:5" ht="21" x14ac:dyDescent="0.35">
      <c r="A1" s="7" t="s">
        <v>1</v>
      </c>
    </row>
    <row r="3" spans="1:5" x14ac:dyDescent="0.25">
      <c r="A3" s="1" t="s">
        <v>63</v>
      </c>
      <c r="B3" t="s">
        <v>64</v>
      </c>
    </row>
    <row r="4" spans="1:5" x14ac:dyDescent="0.25">
      <c r="A4" s="1"/>
      <c r="B4" t="s">
        <v>65</v>
      </c>
    </row>
    <row r="5" spans="1:5" x14ac:dyDescent="0.25">
      <c r="A5" s="1"/>
    </row>
    <row r="7" spans="1:5" s="8" customFormat="1" ht="18.75" x14ac:dyDescent="0.3">
      <c r="A7" s="9" t="s">
        <v>48</v>
      </c>
    </row>
    <row r="9" spans="1:5" x14ac:dyDescent="0.25">
      <c r="A9" s="1" t="s">
        <v>51</v>
      </c>
    </row>
    <row r="10" spans="1:5" x14ac:dyDescent="0.25">
      <c r="A10" s="1"/>
      <c r="B10" s="15">
        <f>G45</f>
        <v>0</v>
      </c>
      <c r="E10" s="5"/>
    </row>
    <row r="11" spans="1:5" x14ac:dyDescent="0.25">
      <c r="A11" s="1" t="s">
        <v>43</v>
      </c>
    </row>
    <row r="12" spans="1:5" x14ac:dyDescent="0.25">
      <c r="A12" s="1"/>
      <c r="B12" s="15">
        <f>G60</f>
        <v>0</v>
      </c>
      <c r="E12" s="5"/>
    </row>
    <row r="13" spans="1:5" x14ac:dyDescent="0.25">
      <c r="A13" s="1" t="s">
        <v>52</v>
      </c>
    </row>
    <row r="14" spans="1:5" x14ac:dyDescent="0.25">
      <c r="A14" s="1"/>
      <c r="B14" s="15">
        <f>B10-B12</f>
        <v>0</v>
      </c>
      <c r="E14" s="5"/>
    </row>
    <row r="15" spans="1:5" x14ac:dyDescent="0.25">
      <c r="A15" s="1" t="s">
        <v>46</v>
      </c>
      <c r="E15" s="5"/>
    </row>
    <row r="16" spans="1:5" x14ac:dyDescent="0.25">
      <c r="A16" s="1"/>
      <c r="B16" s="15">
        <f>D124</f>
        <v>0</v>
      </c>
      <c r="E16" s="5"/>
    </row>
    <row r="17" spans="1:5" x14ac:dyDescent="0.25">
      <c r="A17" s="1" t="s">
        <v>47</v>
      </c>
      <c r="E17" s="5"/>
    </row>
    <row r="18" spans="1:5" x14ac:dyDescent="0.25">
      <c r="B18" s="15">
        <f>D128</f>
        <v>0</v>
      </c>
    </row>
    <row r="19" spans="1:5" x14ac:dyDescent="0.25">
      <c r="B19" s="15"/>
    </row>
    <row r="21" spans="1:5" s="8" customFormat="1" ht="18.75" x14ac:dyDescent="0.3">
      <c r="A21" s="9" t="s">
        <v>49</v>
      </c>
    </row>
    <row r="23" spans="1:5" x14ac:dyDescent="0.25">
      <c r="A23" s="1" t="s">
        <v>6</v>
      </c>
      <c r="D23" t="s">
        <v>5</v>
      </c>
    </row>
    <row r="24" spans="1:5" x14ac:dyDescent="0.25">
      <c r="A24" s="1" t="s">
        <v>2</v>
      </c>
      <c r="D24" s="3" t="s">
        <v>4</v>
      </c>
    </row>
    <row r="25" spans="1:5" x14ac:dyDescent="0.25">
      <c r="A25" s="1" t="s">
        <v>50</v>
      </c>
      <c r="D25" t="s">
        <v>7</v>
      </c>
    </row>
    <row r="26" spans="1:5" x14ac:dyDescent="0.25">
      <c r="A26" s="1" t="s">
        <v>3</v>
      </c>
      <c r="D26" s="3" t="s">
        <v>8</v>
      </c>
    </row>
    <row r="27" spans="1:5" x14ac:dyDescent="0.25">
      <c r="A27" s="1"/>
      <c r="D27" s="3"/>
    </row>
    <row r="29" spans="1:5" s="8" customFormat="1" ht="18.75" x14ac:dyDescent="0.3">
      <c r="A29" s="9" t="s">
        <v>53</v>
      </c>
    </row>
    <row r="31" spans="1:5" ht="15.75" x14ac:dyDescent="0.25">
      <c r="A31" s="11" t="s">
        <v>54</v>
      </c>
    </row>
    <row r="33" spans="1:7" x14ac:dyDescent="0.25">
      <c r="B33" s="6" t="s">
        <v>0</v>
      </c>
      <c r="C33" s="6"/>
      <c r="D33" s="6" t="s">
        <v>9</v>
      </c>
      <c r="E33" s="6" t="s">
        <v>10</v>
      </c>
      <c r="F33" s="6" t="s">
        <v>11</v>
      </c>
      <c r="G33" s="6" t="s">
        <v>13</v>
      </c>
    </row>
    <row r="35" spans="1:7" x14ac:dyDescent="0.25">
      <c r="B35" t="str">
        <f>"0-9"</f>
        <v>0-9</v>
      </c>
      <c r="D35">
        <v>121</v>
      </c>
      <c r="E35">
        <v>0</v>
      </c>
      <c r="F35" s="5">
        <f>D35/$D$44</f>
        <v>4.8635395313316454E-3</v>
      </c>
      <c r="G35" s="5">
        <f>E35/D35</f>
        <v>0</v>
      </c>
    </row>
    <row r="36" spans="1:7" x14ac:dyDescent="0.25">
      <c r="B36" s="4" t="str">
        <f>"10-19"</f>
        <v>10-19</v>
      </c>
      <c r="D36">
        <v>186</v>
      </c>
      <c r="E36">
        <v>0</v>
      </c>
      <c r="F36" s="5">
        <f t="shared" ref="F36:F43" si="0">D36/$D$44</f>
        <v>7.4761847341131074E-3</v>
      </c>
      <c r="G36" s="5">
        <f t="shared" ref="G36:G43" si="1">E36/D36</f>
        <v>0</v>
      </c>
    </row>
    <row r="37" spans="1:7" x14ac:dyDescent="0.25">
      <c r="B37" t="str">
        <f>"20-29"</f>
        <v>20-29</v>
      </c>
      <c r="D37">
        <v>970</v>
      </c>
      <c r="E37">
        <v>0</v>
      </c>
      <c r="F37" s="5">
        <f t="shared" si="0"/>
        <v>3.8988705333815668E-2</v>
      </c>
      <c r="G37" s="5">
        <f t="shared" si="1"/>
        <v>0</v>
      </c>
    </row>
    <row r="38" spans="1:7" x14ac:dyDescent="0.25">
      <c r="B38" t="str">
        <f>"30-39"</f>
        <v>30-39</v>
      </c>
      <c r="D38">
        <v>1676</v>
      </c>
      <c r="E38">
        <v>4</v>
      </c>
      <c r="F38" s="5">
        <f t="shared" si="0"/>
        <v>6.7366051690180478E-2</v>
      </c>
      <c r="G38" s="5">
        <f t="shared" si="1"/>
        <v>2.3866348448687352E-3</v>
      </c>
    </row>
    <row r="39" spans="1:7" x14ac:dyDescent="0.25">
      <c r="B39" t="str">
        <f>"40-49"</f>
        <v>40-49</v>
      </c>
      <c r="D39">
        <v>2995</v>
      </c>
      <c r="E39">
        <v>9</v>
      </c>
      <c r="F39" s="5">
        <f t="shared" si="0"/>
        <v>0.12038265203585354</v>
      </c>
      <c r="G39" s="5">
        <f t="shared" si="1"/>
        <v>3.0050083472454091E-3</v>
      </c>
    </row>
    <row r="40" spans="1:7" x14ac:dyDescent="0.25">
      <c r="B40" t="str">
        <f>"50-59"</f>
        <v>50-59</v>
      </c>
      <c r="D40">
        <v>4734</v>
      </c>
      <c r="E40">
        <v>46</v>
      </c>
      <c r="F40" s="5">
        <f t="shared" si="0"/>
        <v>0.19028095984565296</v>
      </c>
      <c r="G40" s="5">
        <f t="shared" si="1"/>
        <v>9.7169412758766373E-3</v>
      </c>
    </row>
    <row r="41" spans="1:7" x14ac:dyDescent="0.25">
      <c r="B41" t="str">
        <f>"60-69"</f>
        <v>60-69</v>
      </c>
      <c r="D41">
        <v>4438</v>
      </c>
      <c r="E41">
        <v>144</v>
      </c>
      <c r="F41" s="5">
        <f t="shared" si="0"/>
        <v>0.178383375537602</v>
      </c>
      <c r="G41" s="5">
        <f t="shared" si="1"/>
        <v>3.2447048219918881E-2</v>
      </c>
    </row>
    <row r="42" spans="1:7" x14ac:dyDescent="0.25">
      <c r="B42" t="str">
        <f>"70-79"</f>
        <v>70-79</v>
      </c>
      <c r="D42">
        <v>5123</v>
      </c>
      <c r="E42">
        <v>602</v>
      </c>
      <c r="F42" s="5">
        <f t="shared" si="0"/>
        <v>0.20591663652076048</v>
      </c>
      <c r="G42" s="5">
        <f t="shared" si="1"/>
        <v>0.11750927191098966</v>
      </c>
    </row>
    <row r="43" spans="1:7" x14ac:dyDescent="0.25">
      <c r="B43" t="str">
        <f>"80+"</f>
        <v>80+</v>
      </c>
      <c r="D43">
        <v>4636</v>
      </c>
      <c r="E43">
        <v>892</v>
      </c>
      <c r="F43" s="5">
        <f t="shared" si="0"/>
        <v>0.18634189477069013</v>
      </c>
      <c r="G43" s="5">
        <f t="shared" si="1"/>
        <v>0.19240724762726488</v>
      </c>
    </row>
    <row r="44" spans="1:7" x14ac:dyDescent="0.25">
      <c r="B44" s="8" t="s">
        <v>12</v>
      </c>
      <c r="C44" s="8"/>
      <c r="D44" s="8">
        <f>SUM(D35:D43)</f>
        <v>24879</v>
      </c>
      <c r="E44" s="8">
        <f>SUM(E35:E43)</f>
        <v>1697</v>
      </c>
      <c r="F44" s="10">
        <f>SUM(F35:F43)</f>
        <v>1</v>
      </c>
      <c r="G44" s="10">
        <f>E44/D44</f>
        <v>6.8210137063386786E-2</v>
      </c>
    </row>
    <row r="45" spans="1:7" x14ac:dyDescent="0.25">
      <c r="F45" s="5"/>
      <c r="G45" s="5"/>
    </row>
    <row r="46" spans="1:7" ht="15.75" x14ac:dyDescent="0.25">
      <c r="A46" s="11" t="s">
        <v>55</v>
      </c>
    </row>
    <row r="48" spans="1:7" x14ac:dyDescent="0.25">
      <c r="B48" s="6" t="s">
        <v>0</v>
      </c>
      <c r="C48" s="6"/>
      <c r="D48" s="6" t="s">
        <v>9</v>
      </c>
      <c r="E48" s="6" t="s">
        <v>10</v>
      </c>
      <c r="F48" s="6" t="s">
        <v>11</v>
      </c>
      <c r="G48" s="6" t="s">
        <v>13</v>
      </c>
    </row>
    <row r="50" spans="1:7" x14ac:dyDescent="0.25">
      <c r="B50" t="str">
        <f>"0-9"</f>
        <v>0-9</v>
      </c>
      <c r="D50">
        <v>86</v>
      </c>
      <c r="E50">
        <v>0</v>
      </c>
      <c r="F50" s="5">
        <f>D50/SUM($D$50:$D$58)</f>
        <v>1.0336538461538461E-2</v>
      </c>
      <c r="G50" s="5">
        <f>E50/D50</f>
        <v>0</v>
      </c>
    </row>
    <row r="51" spans="1:7" x14ac:dyDescent="0.25">
      <c r="B51" s="4" t="str">
        <f>"10-19"</f>
        <v>10-19</v>
      </c>
      <c r="D51">
        <v>436</v>
      </c>
      <c r="E51">
        <v>0</v>
      </c>
      <c r="F51" s="5">
        <f t="shared" ref="F51:F58" si="2">D51/SUM($D$50:$D$58)</f>
        <v>5.2403846153846155E-2</v>
      </c>
      <c r="G51" s="5">
        <f t="shared" ref="G51:G58" si="3">E51/D51</f>
        <v>0</v>
      </c>
    </row>
    <row r="52" spans="1:7" x14ac:dyDescent="0.25">
      <c r="B52" t="str">
        <f>"20-29"</f>
        <v>20-29</v>
      </c>
      <c r="D52">
        <v>2330</v>
      </c>
      <c r="E52">
        <v>0</v>
      </c>
      <c r="F52" s="5">
        <f t="shared" si="2"/>
        <v>0.28004807692307693</v>
      </c>
      <c r="G52" s="5">
        <f t="shared" si="3"/>
        <v>0</v>
      </c>
    </row>
    <row r="53" spans="1:7" x14ac:dyDescent="0.25">
      <c r="B53" t="str">
        <f>"30-39"</f>
        <v>30-39</v>
      </c>
      <c r="D53">
        <v>856</v>
      </c>
      <c r="E53">
        <v>1</v>
      </c>
      <c r="F53" s="5">
        <f t="shared" si="2"/>
        <v>0.10288461538461538</v>
      </c>
      <c r="G53" s="5">
        <f t="shared" si="3"/>
        <v>1.1682242990654205E-3</v>
      </c>
    </row>
    <row r="54" spans="1:7" x14ac:dyDescent="0.25">
      <c r="B54" t="str">
        <f>"40-49"</f>
        <v>40-49</v>
      </c>
      <c r="D54">
        <v>1164</v>
      </c>
      <c r="E54">
        <v>1</v>
      </c>
      <c r="F54" s="5">
        <f t="shared" si="2"/>
        <v>0.13990384615384616</v>
      </c>
      <c r="G54" s="5">
        <f t="shared" si="3"/>
        <v>8.5910652920962198E-4</v>
      </c>
    </row>
    <row r="55" spans="1:7" x14ac:dyDescent="0.25">
      <c r="B55" t="str">
        <f>"50-59"</f>
        <v>50-59</v>
      </c>
      <c r="D55">
        <v>1602</v>
      </c>
      <c r="E55">
        <v>6</v>
      </c>
      <c r="F55" s="5">
        <f t="shared" si="2"/>
        <v>0.19254807692307693</v>
      </c>
      <c r="G55" s="5">
        <f t="shared" si="3"/>
        <v>3.7453183520599251E-3</v>
      </c>
    </row>
    <row r="56" spans="1:7" x14ac:dyDescent="0.25">
      <c r="B56" t="str">
        <f>"60-69"</f>
        <v>60-69</v>
      </c>
      <c r="D56">
        <v>1033</v>
      </c>
      <c r="E56">
        <v>16</v>
      </c>
      <c r="F56" s="5">
        <f t="shared" si="2"/>
        <v>0.12415865384615385</v>
      </c>
      <c r="G56" s="5">
        <f t="shared" si="3"/>
        <v>1.5488867376573089E-2</v>
      </c>
    </row>
    <row r="57" spans="1:7" x14ac:dyDescent="0.25">
      <c r="B57" t="str">
        <f>"70-79"</f>
        <v>70-79</v>
      </c>
      <c r="D57">
        <v>539</v>
      </c>
      <c r="E57">
        <v>29</v>
      </c>
      <c r="F57" s="5">
        <f t="shared" si="2"/>
        <v>6.4783653846153852E-2</v>
      </c>
      <c r="G57" s="5">
        <f t="shared" si="3"/>
        <v>5.3803339517625233E-2</v>
      </c>
    </row>
    <row r="58" spans="1:7" x14ac:dyDescent="0.25">
      <c r="B58" t="str">
        <f>"80+"</f>
        <v>80+</v>
      </c>
      <c r="D58">
        <v>274</v>
      </c>
      <c r="E58">
        <v>28</v>
      </c>
      <c r="F58" s="5">
        <f t="shared" si="2"/>
        <v>3.2932692307692309E-2</v>
      </c>
      <c r="G58" s="5">
        <f t="shared" si="3"/>
        <v>0.10218978102189781</v>
      </c>
    </row>
    <row r="59" spans="1:7" x14ac:dyDescent="0.25">
      <c r="B59" s="8" t="s">
        <v>12</v>
      </c>
      <c r="C59" s="8"/>
      <c r="D59" s="8">
        <f>SUM(D50:D58)</f>
        <v>8320</v>
      </c>
      <c r="E59" s="8">
        <f>SUM(E50:E58)</f>
        <v>81</v>
      </c>
      <c r="F59" s="10">
        <f>SUM(F50:F58)</f>
        <v>1</v>
      </c>
      <c r="G59" s="10">
        <f>E59/D59</f>
        <v>9.7355769230769232E-3</v>
      </c>
    </row>
    <row r="60" spans="1:7" x14ac:dyDescent="0.25">
      <c r="B60" s="13"/>
      <c r="C60" s="13"/>
      <c r="D60" s="13"/>
      <c r="E60" s="13"/>
      <c r="F60" s="14"/>
      <c r="G60" s="14"/>
    </row>
    <row r="62" spans="1:7" s="8" customFormat="1" ht="18.75" x14ac:dyDescent="0.3">
      <c r="A62" s="9" t="s">
        <v>56</v>
      </c>
    </row>
    <row r="64" spans="1:7" ht="15.75" x14ac:dyDescent="0.25">
      <c r="A64" s="12" t="s">
        <v>57</v>
      </c>
    </row>
    <row r="66" spans="2:5" x14ac:dyDescent="0.25">
      <c r="B66" s="6" t="s">
        <v>0</v>
      </c>
      <c r="C66" s="6"/>
      <c r="D66" s="6" t="s">
        <v>17</v>
      </c>
      <c r="E66" s="6" t="s">
        <v>18</v>
      </c>
    </row>
    <row r="68" spans="2:5" x14ac:dyDescent="0.25">
      <c r="B68" t="str">
        <f>"0-9"</f>
        <v>0-9</v>
      </c>
      <c r="D68" s="5">
        <f>F50*G35</f>
        <v>0</v>
      </c>
      <c r="E68" s="5">
        <f>F35*G50</f>
        <v>0</v>
      </c>
    </row>
    <row r="69" spans="2:5" x14ac:dyDescent="0.25">
      <c r="B69" s="4" t="str">
        <f>"10-19"</f>
        <v>10-19</v>
      </c>
      <c r="D69" s="5">
        <f>F51*G36</f>
        <v>0</v>
      </c>
      <c r="E69" s="5">
        <f>F36*G51</f>
        <v>0</v>
      </c>
    </row>
    <row r="70" spans="2:5" x14ac:dyDescent="0.25">
      <c r="B70" t="str">
        <f>"20-29"</f>
        <v>20-29</v>
      </c>
      <c r="D70" s="5">
        <f>F52*G37</f>
        <v>0</v>
      </c>
      <c r="E70" s="5">
        <f>F37*G52</f>
        <v>0</v>
      </c>
    </row>
    <row r="71" spans="2:5" x14ac:dyDescent="0.25">
      <c r="B71" t="str">
        <f>"30-39"</f>
        <v>30-39</v>
      </c>
      <c r="D71" s="5">
        <f>F53*G38</f>
        <v>2.4554800807784102E-4</v>
      </c>
      <c r="E71" s="5">
        <f>F38*G53</f>
        <v>7.8698658516565968E-5</v>
      </c>
    </row>
    <row r="72" spans="2:5" x14ac:dyDescent="0.25">
      <c r="B72" t="str">
        <f>"40-49"</f>
        <v>40-49</v>
      </c>
      <c r="D72" s="5">
        <f>F54*G39</f>
        <v>4.2041222550404523E-4</v>
      </c>
      <c r="E72" s="5">
        <f>F39*G54</f>
        <v>1.0342152236757176E-4</v>
      </c>
    </row>
    <row r="73" spans="2:5" x14ac:dyDescent="0.25">
      <c r="B73" t="str">
        <f>"50-59"</f>
        <v>50-59</v>
      </c>
      <c r="D73" s="5">
        <f>F55*G40</f>
        <v>1.870978356244516E-3</v>
      </c>
      <c r="E73" s="5">
        <f>F40*G55</f>
        <v>7.126627709575017E-4</v>
      </c>
    </row>
    <row r="74" spans="2:5" x14ac:dyDescent="0.25">
      <c r="B74" t="str">
        <f>"60-69"</f>
        <v>60-69</v>
      </c>
      <c r="D74" s="5">
        <f>F56*G41</f>
        <v>4.0285818282663711E-3</v>
      </c>
      <c r="E74" s="5">
        <f>F41*G56</f>
        <v>2.7629564458873496E-3</v>
      </c>
    </row>
    <row r="75" spans="2:5" x14ac:dyDescent="0.25">
      <c r="B75" t="str">
        <f>"70-79"</f>
        <v>70-79</v>
      </c>
      <c r="D75" s="5">
        <f>F57*G42</f>
        <v>7.612679995195124E-3</v>
      </c>
      <c r="E75" s="5">
        <f>F42*G57</f>
        <v>1.1079002707053904E-2</v>
      </c>
    </row>
    <row r="76" spans="2:5" x14ac:dyDescent="0.25">
      <c r="B76" t="str">
        <f>"80+"</f>
        <v>80+</v>
      </c>
      <c r="D76" s="5">
        <f>F58*G43</f>
        <v>6.3364886838786754E-3</v>
      </c>
      <c r="E76" s="5">
        <f>F43*G58</f>
        <v>1.9042237421822348E-2</v>
      </c>
    </row>
    <row r="77" spans="2:5" x14ac:dyDescent="0.25">
      <c r="B77" s="8" t="s">
        <v>12</v>
      </c>
      <c r="C77" s="8"/>
      <c r="D77" s="10">
        <f>SUM(D68:D76)</f>
        <v>2.0514689097166573E-2</v>
      </c>
      <c r="E77" s="10">
        <f>SUM(E68:E76)</f>
        <v>3.3778979526605239E-2</v>
      </c>
    </row>
    <row r="79" spans="2:5" x14ac:dyDescent="0.25">
      <c r="B79" t="s">
        <v>19</v>
      </c>
    </row>
    <row r="80" spans="2:5" x14ac:dyDescent="0.25">
      <c r="B80" t="s">
        <v>20</v>
      </c>
    </row>
    <row r="83" spans="1:6" x14ac:dyDescent="0.25">
      <c r="B83" t="s">
        <v>14</v>
      </c>
      <c r="D83" s="5">
        <f>G44</f>
        <v>6.8210137063386786E-2</v>
      </c>
    </row>
    <row r="84" spans="1:6" x14ac:dyDescent="0.25">
      <c r="B84" t="s">
        <v>17</v>
      </c>
      <c r="D84" s="5">
        <f>D77</f>
        <v>2.0514689097166573E-2</v>
      </c>
    </row>
    <row r="85" spans="1:6" x14ac:dyDescent="0.25">
      <c r="B85" t="s">
        <v>18</v>
      </c>
      <c r="D85" s="5">
        <f>E77</f>
        <v>3.3778979526605239E-2</v>
      </c>
    </row>
    <row r="86" spans="1:6" x14ac:dyDescent="0.25">
      <c r="B86" t="s">
        <v>15</v>
      </c>
      <c r="D86" s="5">
        <f>G59</f>
        <v>9.7355769230769232E-3</v>
      </c>
    </row>
    <row r="88" spans="1:6" x14ac:dyDescent="0.25">
      <c r="B88" s="1" t="s">
        <v>16</v>
      </c>
      <c r="D88" s="5">
        <f>0.5*(D83-D84+D85-D86)</f>
        <v>3.5869425284874273E-2</v>
      </c>
      <c r="F88" t="str">
        <f>"Formula = 0.5*(CFR IT - Hyp.1 IT + Hyp.1 SK - CFR SK)"</f>
        <v>Formula = 0.5*(CFR IT - Hyp.1 IT + Hyp.1 SK - CFR SK)</v>
      </c>
    </row>
    <row r="89" spans="1:6" x14ac:dyDescent="0.25">
      <c r="B89" s="1"/>
      <c r="D89" s="5"/>
    </row>
    <row r="90" spans="1:6" ht="15.75" x14ac:dyDescent="0.25">
      <c r="A90" s="12" t="s">
        <v>58</v>
      </c>
    </row>
    <row r="92" spans="1:6" x14ac:dyDescent="0.25">
      <c r="B92" s="6" t="s">
        <v>0</v>
      </c>
      <c r="C92" s="6"/>
      <c r="D92" s="6" t="s">
        <v>21</v>
      </c>
      <c r="E92" s="6" t="s">
        <v>22</v>
      </c>
    </row>
    <row r="94" spans="1:6" x14ac:dyDescent="0.25">
      <c r="B94" t="str">
        <f>"0-9"</f>
        <v>0-9</v>
      </c>
      <c r="D94" s="5">
        <f>F35*G50</f>
        <v>0</v>
      </c>
      <c r="E94" s="5">
        <f>F50*G35</f>
        <v>0</v>
      </c>
    </row>
    <row r="95" spans="1:6" x14ac:dyDescent="0.25">
      <c r="B95" s="4" t="str">
        <f>"10-19"</f>
        <v>10-19</v>
      </c>
      <c r="D95" s="5">
        <f>F36*G51</f>
        <v>0</v>
      </c>
      <c r="E95" s="5">
        <f>F51*G36</f>
        <v>0</v>
      </c>
    </row>
    <row r="96" spans="1:6" x14ac:dyDescent="0.25">
      <c r="B96" t="str">
        <f>"20-29"</f>
        <v>20-29</v>
      </c>
      <c r="D96" s="5">
        <f>F37*G52</f>
        <v>0</v>
      </c>
      <c r="E96" s="5">
        <f>F52*G37</f>
        <v>0</v>
      </c>
    </row>
    <row r="97" spans="2:5" x14ac:dyDescent="0.25">
      <c r="B97" t="str">
        <f>"30-39"</f>
        <v>30-39</v>
      </c>
      <c r="D97" s="5">
        <f>F38*G53</f>
        <v>7.8698658516565968E-5</v>
      </c>
      <c r="E97" s="5">
        <f>F53*G38</f>
        <v>2.4554800807784102E-4</v>
      </c>
    </row>
    <row r="98" spans="2:5" x14ac:dyDescent="0.25">
      <c r="B98" t="str">
        <f>"40-49"</f>
        <v>40-49</v>
      </c>
      <c r="D98" s="5">
        <f>F39*G54</f>
        <v>1.0342152236757176E-4</v>
      </c>
      <c r="E98" s="5">
        <f>F54*G39</f>
        <v>4.2041222550404523E-4</v>
      </c>
    </row>
    <row r="99" spans="2:5" x14ac:dyDescent="0.25">
      <c r="B99" t="str">
        <f>"50-59"</f>
        <v>50-59</v>
      </c>
      <c r="D99" s="5">
        <f>F40*G55</f>
        <v>7.126627709575017E-4</v>
      </c>
      <c r="E99" s="5">
        <f>F55*G40</f>
        <v>1.870978356244516E-3</v>
      </c>
    </row>
    <row r="100" spans="2:5" x14ac:dyDescent="0.25">
      <c r="B100" t="str">
        <f>"60-69"</f>
        <v>60-69</v>
      </c>
      <c r="D100" s="5">
        <f>F41*G56</f>
        <v>2.7629564458873496E-3</v>
      </c>
      <c r="E100" s="5">
        <f>F56*G41</f>
        <v>4.0285818282663711E-3</v>
      </c>
    </row>
    <row r="101" spans="2:5" x14ac:dyDescent="0.25">
      <c r="B101" t="str">
        <f>"70-79"</f>
        <v>70-79</v>
      </c>
      <c r="D101" s="5">
        <f>F42*G57</f>
        <v>1.1079002707053904E-2</v>
      </c>
      <c r="E101" s="5">
        <f>F57*G42</f>
        <v>7.612679995195124E-3</v>
      </c>
    </row>
    <row r="102" spans="2:5" x14ac:dyDescent="0.25">
      <c r="B102" t="str">
        <f>"80+"</f>
        <v>80+</v>
      </c>
      <c r="D102" s="5">
        <f>F43*G58</f>
        <v>1.9042237421822348E-2</v>
      </c>
      <c r="E102" s="5">
        <f>F58*G43</f>
        <v>6.3364886838786754E-3</v>
      </c>
    </row>
    <row r="103" spans="2:5" x14ac:dyDescent="0.25">
      <c r="B103" s="8" t="s">
        <v>12</v>
      </c>
      <c r="C103" s="8"/>
      <c r="D103" s="10">
        <f>SUM(D94:D102)</f>
        <v>3.3778979526605239E-2</v>
      </c>
      <c r="E103" s="10">
        <f>SUM(E94:E102)</f>
        <v>2.0514689097166573E-2</v>
      </c>
    </row>
    <row r="105" spans="2:5" x14ac:dyDescent="0.25">
      <c r="B105" t="s">
        <v>23</v>
      </c>
    </row>
    <row r="106" spans="2:5" x14ac:dyDescent="0.25">
      <c r="B106" t="s">
        <v>24</v>
      </c>
    </row>
    <row r="109" spans="2:5" x14ac:dyDescent="0.25">
      <c r="B109" t="s">
        <v>14</v>
      </c>
      <c r="D109" s="5">
        <f>G44</f>
        <v>6.8210137063386786E-2</v>
      </c>
    </row>
    <row r="110" spans="2:5" x14ac:dyDescent="0.25">
      <c r="B110" t="s">
        <v>21</v>
      </c>
      <c r="D110" s="5">
        <f>D103</f>
        <v>3.3778979526605239E-2</v>
      </c>
    </row>
    <row r="111" spans="2:5" x14ac:dyDescent="0.25">
      <c r="B111" t="s">
        <v>22</v>
      </c>
      <c r="D111" s="5">
        <f>E103</f>
        <v>2.0514689097166573E-2</v>
      </c>
    </row>
    <row r="112" spans="2:5" x14ac:dyDescent="0.25">
      <c r="B112" t="s">
        <v>15</v>
      </c>
      <c r="D112" s="5">
        <f>G59</f>
        <v>9.7355769230769232E-3</v>
      </c>
    </row>
    <row r="114" spans="1:6" x14ac:dyDescent="0.25">
      <c r="B114" s="1" t="s">
        <v>28</v>
      </c>
      <c r="D114" s="5">
        <f>0.5*(D109-D110+D111-D112)</f>
        <v>2.26051348554356E-2</v>
      </c>
      <c r="F114" t="str">
        <f>"Formula = 0.5*(CFR IT - Hyp.2 IT + Hyp.2 SK - CFR SK)"</f>
        <v>Formula = 0.5*(CFR IT - Hyp.2 IT + Hyp.2 SK - CFR SK)</v>
      </c>
    </row>
    <row r="116" spans="1:6" ht="15.75" x14ac:dyDescent="0.25">
      <c r="A116" s="12" t="s">
        <v>59</v>
      </c>
    </row>
    <row r="118" spans="1:6" x14ac:dyDescent="0.25">
      <c r="B118" s="2" t="s">
        <v>25</v>
      </c>
    </row>
    <row r="119" spans="1:6" x14ac:dyDescent="0.25">
      <c r="B119" s="5">
        <f>G44-G59</f>
        <v>5.8474560140309863E-2</v>
      </c>
    </row>
    <row r="121" spans="1:6" x14ac:dyDescent="0.25">
      <c r="B121" s="2" t="s">
        <v>67</v>
      </c>
    </row>
    <row r="122" spans="1:6" x14ac:dyDescent="0.25">
      <c r="B122" s="1" t="s">
        <v>26</v>
      </c>
      <c r="D122" s="1" t="s">
        <v>27</v>
      </c>
    </row>
    <row r="123" spans="1:6" x14ac:dyDescent="0.25">
      <c r="B123" s="5">
        <f>D88</f>
        <v>3.5869425284874273E-2</v>
      </c>
      <c r="D123" s="15">
        <f>ABS(B123)/(ABS(B123)+ABS(B127))</f>
        <v>0.61341932626437012</v>
      </c>
    </row>
    <row r="125" spans="1:6" x14ac:dyDescent="0.25">
      <c r="B125" s="2" t="s">
        <v>68</v>
      </c>
    </row>
    <row r="126" spans="1:6" x14ac:dyDescent="0.25">
      <c r="B126" s="1" t="s">
        <v>26</v>
      </c>
      <c r="D126" s="1" t="s">
        <v>27</v>
      </c>
    </row>
    <row r="127" spans="1:6" x14ac:dyDescent="0.25">
      <c r="B127" s="5">
        <f>D114</f>
        <v>2.26051348554356E-2</v>
      </c>
      <c r="D127" s="15">
        <f>ABS(B127)/(ABS(B123)+ABS(B127))</f>
        <v>0.38658067373562993</v>
      </c>
    </row>
    <row r="129" spans="2:2" x14ac:dyDescent="0.25">
      <c r="B129" s="5"/>
    </row>
    <row r="130" spans="2:2" s="8" customFormat="1" x14ac:dyDescent="0.25"/>
  </sheetData>
  <hyperlinks>
    <hyperlink ref="D26" r:id="rId1"/>
    <hyperlink ref="D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 Korea vs Spain</vt:lpstr>
      <vt:lpstr>Italy vs South Korea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2020-03-28T14:50:18Z</dcterms:modified>
</cp:coreProperties>
</file>