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19110" windowHeight="1080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14">Calculation!$BM$2</definedName>
    <definedName name="JumpDate15">Calculation!$BQ$2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14">Contribution!$F$16</definedName>
    <definedName name="Jumpoverwrite15">Contribution!$F$17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14">Calculation!$BO$4</definedName>
    <definedName name="JumpSize15">Calculation!$BS$4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14">Calculation!$BO$1</definedName>
    <definedName name="JumpValue15">Calculation!$BS$1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">Contribution!$D$3:$D$16</definedName>
    <definedName name="LiveDataFeed">'General Settings'!$D$24</definedName>
    <definedName name="MinDistance">RateHelpers!$G$2:$G$36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RateHelpers!$D$2:$D$36</definedName>
    <definedName name="RateHelpersIncluded">RateHelpers!$E$2:$E$36</definedName>
    <definedName name="RateHelpersPriority">RateHelpers!$F$2:$F$36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BS6" i="4" l="1"/>
  <c r="BS7" i="4"/>
  <c r="BS8" i="4"/>
  <c r="BS9" i="4"/>
  <c r="BS10" i="4"/>
  <c r="BS11" i="4"/>
  <c r="BS12" i="4"/>
  <c r="BS13" i="4"/>
  <c r="BS14" i="4"/>
  <c r="BS15" i="4"/>
  <c r="BS16" i="4"/>
  <c r="BS17" i="4"/>
  <c r="BS18" i="4"/>
  <c r="BS19" i="4"/>
  <c r="BS20" i="4"/>
  <c r="BS21" i="4"/>
  <c r="BS23" i="4"/>
  <c r="BS24" i="4"/>
  <c r="BS25" i="4"/>
  <c r="BS26" i="4"/>
  <c r="BS27" i="4"/>
  <c r="BS28" i="4"/>
  <c r="BS29" i="4"/>
  <c r="BS30" i="4"/>
  <c r="BS31" i="4"/>
  <c r="BS32" i="4"/>
  <c r="BS33" i="4"/>
  <c r="BS34" i="4"/>
  <c r="BS35" i="4"/>
  <c r="BS36" i="4"/>
  <c r="BS37" i="4"/>
  <c r="BS38" i="4"/>
  <c r="BS39" i="4"/>
  <c r="BS40" i="4"/>
  <c r="BS41" i="4"/>
  <c r="BS42" i="4"/>
  <c r="BS43" i="4"/>
  <c r="BS44" i="4"/>
  <c r="BS45" i="4"/>
  <c r="BS46" i="4"/>
  <c r="BS47" i="4"/>
  <c r="BS48" i="4"/>
  <c r="BS49" i="4"/>
  <c r="BS50" i="4"/>
  <c r="BS51" i="4"/>
  <c r="BS52" i="4"/>
  <c r="BS53" i="4"/>
  <c r="BS54" i="4"/>
  <c r="BS55" i="4"/>
  <c r="BS56" i="4"/>
  <c r="BS57" i="4"/>
  <c r="BS58" i="4"/>
  <c r="BS59" i="4"/>
  <c r="BS60" i="4"/>
  <c r="BS61" i="4"/>
  <c r="BS62" i="4"/>
  <c r="BS63" i="4"/>
  <c r="BS64" i="4"/>
  <c r="BS65" i="4"/>
  <c r="BS66" i="4"/>
  <c r="BS67" i="4"/>
  <c r="BS68" i="4"/>
  <c r="BS69" i="4"/>
  <c r="BS70" i="4"/>
  <c r="BS71" i="4"/>
  <c r="BS72" i="4"/>
  <c r="BS73" i="4"/>
  <c r="BS74" i="4"/>
  <c r="BS75" i="4"/>
  <c r="BS76" i="4"/>
  <c r="BS77" i="4"/>
  <c r="BS78" i="4"/>
  <c r="BS79" i="4"/>
  <c r="BS80" i="4"/>
  <c r="BS81" i="4"/>
  <c r="BS82" i="4"/>
  <c r="BS83" i="4"/>
  <c r="BS84" i="4"/>
  <c r="BS85" i="4"/>
  <c r="BS86" i="4"/>
  <c r="BS87" i="4"/>
  <c r="BS88" i="4"/>
  <c r="BS89" i="4"/>
  <c r="BS90" i="4"/>
  <c r="BS91" i="4"/>
  <c r="BS92" i="4"/>
  <c r="BS93" i="4"/>
  <c r="BS94" i="4"/>
  <c r="BS95" i="4"/>
  <c r="BS96" i="4"/>
  <c r="BS97" i="4"/>
  <c r="BS98" i="4"/>
  <c r="BS99" i="4"/>
  <c r="BS100" i="4"/>
  <c r="BS101" i="4"/>
  <c r="BS102" i="4"/>
  <c r="BS103" i="4"/>
  <c r="BS104" i="4"/>
  <c r="BS105" i="4"/>
  <c r="BS106" i="4"/>
  <c r="BS107" i="4"/>
  <c r="BS108" i="4"/>
  <c r="BS109" i="4"/>
  <c r="BS110" i="4"/>
  <c r="BS111" i="4"/>
  <c r="BS112" i="4"/>
  <c r="BS113" i="4"/>
  <c r="BS114" i="4"/>
  <c r="BS115" i="4"/>
  <c r="BS116" i="4"/>
  <c r="BS117" i="4"/>
  <c r="BS118" i="4"/>
  <c r="BS119" i="4"/>
  <c r="BS120" i="4"/>
  <c r="BS121" i="4"/>
  <c r="BS122" i="4"/>
  <c r="BS123" i="4"/>
  <c r="BS124" i="4"/>
  <c r="BS125" i="4"/>
  <c r="BS126" i="4"/>
  <c r="BS127" i="4"/>
  <c r="BS128" i="4"/>
  <c r="BS129" i="4"/>
  <c r="BS5" i="4"/>
  <c r="BQ6" i="4"/>
  <c r="BQ7" i="4"/>
  <c r="BQ8" i="4"/>
  <c r="BQ9" i="4"/>
  <c r="BQ10" i="4"/>
  <c r="BQ11" i="4"/>
  <c r="BQ12" i="4"/>
  <c r="BQ13" i="4"/>
  <c r="BQ14" i="4"/>
  <c r="BQ15" i="4"/>
  <c r="BQ16" i="4"/>
  <c r="BQ17" i="4"/>
  <c r="BQ18" i="4"/>
  <c r="BQ19" i="4"/>
  <c r="BQ20" i="4"/>
  <c r="BQ21" i="4"/>
  <c r="BQ22" i="4"/>
  <c r="BQ23" i="4"/>
  <c r="BQ24" i="4"/>
  <c r="BQ25" i="4"/>
  <c r="BQ26" i="4"/>
  <c r="BQ27" i="4"/>
  <c r="BQ28" i="4"/>
  <c r="BQ29" i="4"/>
  <c r="BQ30" i="4"/>
  <c r="BQ31" i="4"/>
  <c r="BQ32" i="4"/>
  <c r="BQ33" i="4"/>
  <c r="BQ34" i="4"/>
  <c r="BQ35" i="4"/>
  <c r="BQ36" i="4"/>
  <c r="BQ37" i="4"/>
  <c r="BQ38" i="4"/>
  <c r="BQ39" i="4"/>
  <c r="BQ40" i="4"/>
  <c r="BQ41" i="4"/>
  <c r="BQ42" i="4"/>
  <c r="BQ43" i="4"/>
  <c r="BQ44" i="4"/>
  <c r="BQ45" i="4"/>
  <c r="BQ46" i="4"/>
  <c r="BQ47" i="4"/>
  <c r="BQ48" i="4"/>
  <c r="BQ49" i="4"/>
  <c r="BQ50" i="4"/>
  <c r="BQ51" i="4"/>
  <c r="BQ52" i="4"/>
  <c r="BQ53" i="4"/>
  <c r="BQ54" i="4"/>
  <c r="BQ55" i="4"/>
  <c r="BQ56" i="4"/>
  <c r="BQ57" i="4"/>
  <c r="BQ58" i="4"/>
  <c r="BQ59" i="4"/>
  <c r="BQ60" i="4"/>
  <c r="BQ61" i="4"/>
  <c r="BQ62" i="4"/>
  <c r="BQ63" i="4"/>
  <c r="BQ64" i="4"/>
  <c r="BQ65" i="4"/>
  <c r="BQ66" i="4"/>
  <c r="BQ67" i="4"/>
  <c r="BQ68" i="4"/>
  <c r="BQ69" i="4"/>
  <c r="BQ70" i="4"/>
  <c r="BQ71" i="4"/>
  <c r="BQ72" i="4"/>
  <c r="BQ73" i="4"/>
  <c r="BQ74" i="4"/>
  <c r="BQ75" i="4"/>
  <c r="BQ76" i="4"/>
  <c r="BQ77" i="4"/>
  <c r="BQ78" i="4"/>
  <c r="BQ79" i="4"/>
  <c r="BQ80" i="4"/>
  <c r="BQ81" i="4"/>
  <c r="BQ82" i="4"/>
  <c r="BQ83" i="4"/>
  <c r="BQ84" i="4"/>
  <c r="BQ85" i="4"/>
  <c r="BQ86" i="4"/>
  <c r="BQ87" i="4"/>
  <c r="BQ88" i="4"/>
  <c r="BQ89" i="4"/>
  <c r="BQ90" i="4"/>
  <c r="BQ91" i="4"/>
  <c r="BQ92" i="4"/>
  <c r="BQ93" i="4"/>
  <c r="BQ94" i="4"/>
  <c r="BQ95" i="4"/>
  <c r="BQ96" i="4"/>
  <c r="BQ97" i="4"/>
  <c r="BQ98" i="4"/>
  <c r="BQ99" i="4"/>
  <c r="BQ100" i="4"/>
  <c r="BQ101" i="4"/>
  <c r="BQ102" i="4"/>
  <c r="BQ103" i="4"/>
  <c r="BQ104" i="4"/>
  <c r="BQ105" i="4"/>
  <c r="BQ106" i="4"/>
  <c r="BQ107" i="4"/>
  <c r="BQ108" i="4"/>
  <c r="BQ109" i="4"/>
  <c r="BQ110" i="4"/>
  <c r="BQ111" i="4"/>
  <c r="BQ112" i="4"/>
  <c r="BQ113" i="4"/>
  <c r="BQ114" i="4"/>
  <c r="BQ115" i="4"/>
  <c r="BQ116" i="4"/>
  <c r="BQ117" i="4"/>
  <c r="BQ118" i="4"/>
  <c r="BQ119" i="4"/>
  <c r="BQ120" i="4"/>
  <c r="BQ121" i="4"/>
  <c r="BQ122" i="4"/>
  <c r="BQ123" i="4"/>
  <c r="BQ124" i="4"/>
  <c r="BQ125" i="4"/>
  <c r="BQ126" i="4"/>
  <c r="BQ127" i="4"/>
  <c r="BQ128" i="4"/>
  <c r="BQ129" i="4"/>
  <c r="BQ5" i="4"/>
  <c r="BS2" i="4"/>
  <c r="BQ2" i="4"/>
  <c r="BM2" i="4"/>
  <c r="BI2" i="4"/>
  <c r="D6" i="3" l="1"/>
  <c r="L1" i="2"/>
  <c r="D2" i="2"/>
  <c r="C2" i="2" l="1"/>
  <c r="J16" i="6" l="1"/>
  <c r="K16" i="6"/>
  <c r="H2" i="2"/>
  <c r="I2" i="2"/>
  <c r="C24" i="2" l="1"/>
  <c r="C23" i="2"/>
  <c r="C22" i="2"/>
  <c r="C21" i="2"/>
  <c r="C18" i="2"/>
  <c r="C17" i="2"/>
  <c r="C16" i="2"/>
  <c r="C15" i="2"/>
  <c r="C13" i="2"/>
  <c r="C10" i="2"/>
  <c r="C7" i="2"/>
  <c r="C6" i="2"/>
  <c r="C5" i="2"/>
  <c r="C8" i="2"/>
  <c r="C9" i="2"/>
  <c r="C14" i="2"/>
  <c r="C20" i="2"/>
  <c r="C25" i="2"/>
  <c r="C19" i="2"/>
  <c r="C3" i="2"/>
  <c r="C4" i="2"/>
  <c r="C11" i="2"/>
  <c r="C12" i="2"/>
  <c r="C26" i="2"/>
  <c r="C27" i="2"/>
  <c r="C28" i="2"/>
  <c r="C29" i="2"/>
  <c r="D19" i="2"/>
  <c r="D17" i="2"/>
  <c r="D8" i="2"/>
  <c r="D5" i="2"/>
  <c r="D14" i="2"/>
  <c r="D3" i="2"/>
  <c r="H3" i="2" s="1"/>
  <c r="D7" i="2"/>
  <c r="D20" i="2"/>
  <c r="D25" i="2"/>
  <c r="I25" i="2"/>
  <c r="D18" i="2"/>
  <c r="D12" i="2"/>
  <c r="H12" i="2" s="1"/>
  <c r="D24" i="2"/>
  <c r="D16" i="2"/>
  <c r="I12" i="2"/>
  <c r="D4" i="2"/>
  <c r="H4" i="2" s="1"/>
  <c r="D11" i="2"/>
  <c r="H11" i="2" s="1"/>
  <c r="I11" i="2"/>
  <c r="H18" i="2"/>
  <c r="D6" i="2"/>
  <c r="D21" i="2"/>
  <c r="H21" i="2" s="1"/>
  <c r="D26" i="2"/>
  <c r="H26" i="2" s="1"/>
  <c r="I26" i="2"/>
  <c r="D15" i="2"/>
  <c r="I5" i="2"/>
  <c r="I18" i="2"/>
  <c r="D13" i="2"/>
  <c r="D29" i="2"/>
  <c r="I4" i="2"/>
  <c r="D22" i="2"/>
  <c r="H5" i="2"/>
  <c r="D27" i="2"/>
  <c r="D23" i="2"/>
  <c r="D28" i="2"/>
  <c r="D10" i="2"/>
  <c r="D9" i="2"/>
  <c r="I3" i="2"/>
  <c r="H23" i="2"/>
  <c r="H28" i="2"/>
  <c r="I28" i="2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I23" i="2"/>
  <c r="I24" i="2"/>
  <c r="I20" i="2"/>
  <c r="H10" i="2"/>
  <c r="I27" i="2"/>
  <c r="H7" i="2"/>
  <c r="H25" i="2"/>
  <c r="H17" i="2"/>
  <c r="I22" i="2"/>
  <c r="I16" i="2"/>
  <c r="H9" i="2"/>
  <c r="I21" i="2"/>
  <c r="H15" i="2"/>
  <c r="I14" i="2"/>
  <c r="H6" i="2"/>
  <c r="I13" i="2"/>
  <c r="H16" i="2"/>
  <c r="I17" i="2"/>
  <c r="H20" i="2"/>
  <c r="H29" i="2"/>
  <c r="H24" i="2"/>
  <c r="I9" i="2"/>
  <c r="I10" i="2"/>
  <c r="H14" i="2"/>
  <c r="H8" i="2"/>
  <c r="I8" i="2"/>
  <c r="I15" i="2"/>
  <c r="I19" i="2"/>
  <c r="H13" i="2"/>
  <c r="H27" i="2"/>
  <c r="H19" i="2"/>
  <c r="H22" i="2"/>
  <c r="I7" i="2"/>
  <c r="I6" i="2"/>
  <c r="I29" i="2"/>
  <c r="D14" i="3" l="1"/>
  <c r="K8" i="6"/>
  <c r="K9" i="6"/>
  <c r="K12" i="6"/>
  <c r="K3" i="6"/>
  <c r="K7" i="6"/>
  <c r="K15" i="6"/>
  <c r="K14" i="6"/>
  <c r="K13" i="6"/>
  <c r="K11" i="6"/>
  <c r="K4" i="6"/>
  <c r="K6" i="6"/>
  <c r="I4" i="3"/>
  <c r="I5" i="3"/>
  <c r="K10" i="6"/>
  <c r="K5" i="6"/>
  <c r="Q3" i="6" l="1"/>
  <c r="Q4" i="6"/>
  <c r="B1" i="3"/>
  <c r="BK2" i="4"/>
  <c r="C16" i="6" l="1"/>
  <c r="C15" i="6"/>
  <c r="Q5" i="6"/>
  <c r="Q6" i="6" s="1"/>
  <c r="BO2" i="4"/>
  <c r="E6" i="2" l="1"/>
  <c r="E8" i="2"/>
  <c r="Q7" i="6"/>
  <c r="E7" i="2" l="1"/>
  <c r="E9" i="2"/>
  <c r="E10" i="2"/>
  <c r="Q8" i="6"/>
  <c r="Q9" i="6" s="1"/>
  <c r="E11" i="2" l="1"/>
  <c r="Q10" i="6"/>
  <c r="E12" i="2" l="1"/>
  <c r="Q11" i="6"/>
  <c r="A5" i="4" a="1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Q12" i="6"/>
  <c r="Q13" i="6" s="1"/>
  <c r="D47" i="4"/>
  <c r="C109" i="4"/>
  <c r="C87" i="4"/>
  <c r="C52" i="4"/>
  <c r="D75" i="4"/>
  <c r="D64" i="4"/>
  <c r="D120" i="4"/>
  <c r="D85" i="4"/>
  <c r="D49" i="4"/>
  <c r="D66" i="4"/>
  <c r="D128" i="4"/>
  <c r="D55" i="4"/>
  <c r="C77" i="4"/>
  <c r="C34" i="4"/>
  <c r="D77" i="4"/>
  <c r="C28" i="4"/>
  <c r="C127" i="4"/>
  <c r="D67" i="4"/>
  <c r="C42" i="4"/>
  <c r="C85" i="4"/>
  <c r="D22" i="4"/>
  <c r="D98" i="4"/>
  <c r="C44" i="4"/>
  <c r="C21" i="4"/>
  <c r="D82" i="4"/>
  <c r="D21" i="4"/>
  <c r="C47" i="4"/>
  <c r="D38" i="4"/>
  <c r="C115" i="4"/>
  <c r="D69" i="4"/>
  <c r="C58" i="4"/>
  <c r="C26" i="4"/>
  <c r="C7" i="4"/>
  <c r="D37" i="4"/>
  <c r="C35" i="4"/>
  <c r="D96" i="4"/>
  <c r="C128" i="4"/>
  <c r="D107" i="4"/>
  <c r="D91" i="4"/>
  <c r="D19" i="4"/>
  <c r="D119" i="4"/>
  <c r="C107" i="4"/>
  <c r="D101" i="4"/>
  <c r="Q14" i="6"/>
  <c r="D116" i="4"/>
  <c r="C74" i="4"/>
  <c r="D71" i="4"/>
  <c r="D126" i="4"/>
  <c r="C8" i="4"/>
  <c r="D112" i="4"/>
  <c r="C97" i="4"/>
  <c r="D30" i="4"/>
  <c r="C119" i="4"/>
  <c r="D92" i="4"/>
  <c r="C45" i="4"/>
  <c r="C80" i="4"/>
  <c r="D93" i="4"/>
  <c r="C20" i="4"/>
  <c r="C50" i="4"/>
  <c r="D123" i="4"/>
  <c r="D118" i="4"/>
  <c r="D39" i="4"/>
  <c r="C48" i="4"/>
  <c r="D102" i="4"/>
  <c r="C105" i="4"/>
  <c r="D122" i="4"/>
  <c r="C101" i="4"/>
  <c r="D34" i="4"/>
  <c r="D16" i="4"/>
  <c r="D110" i="4"/>
  <c r="C32" i="4"/>
  <c r="D53" i="4"/>
  <c r="D23" i="4"/>
  <c r="D14" i="4"/>
  <c r="C49" i="4"/>
  <c r="D5" i="4"/>
  <c r="D109" i="4"/>
  <c r="C53" i="4"/>
  <c r="C12" i="4"/>
  <c r="D24" i="4"/>
  <c r="D10" i="4"/>
  <c r="C94" i="4"/>
  <c r="D108" i="4"/>
  <c r="C116" i="4"/>
  <c r="D46" i="4"/>
  <c r="C46" i="4"/>
  <c r="D7" i="4"/>
  <c r="D13" i="4"/>
  <c r="D25" i="4"/>
  <c r="C29" i="4"/>
  <c r="C66" i="4"/>
  <c r="D114" i="4"/>
  <c r="C79" i="4"/>
  <c r="C36" i="4"/>
  <c r="D27" i="4"/>
  <c r="C60" i="4"/>
  <c r="D40" i="4"/>
  <c r="C125" i="4"/>
  <c r="D50" i="4"/>
  <c r="D68" i="4"/>
  <c r="C111" i="4"/>
  <c r="D12" i="4"/>
  <c r="D121" i="4"/>
  <c r="D42" i="4"/>
  <c r="C114" i="4"/>
  <c r="C16" i="4"/>
  <c r="D88" i="4"/>
  <c r="C103" i="4"/>
  <c r="C124" i="4"/>
  <c r="C39" i="4"/>
  <c r="D95" i="4"/>
  <c r="C82" i="4"/>
  <c r="D72" i="4"/>
  <c r="C11" i="4"/>
  <c r="C126" i="4"/>
  <c r="D124" i="4"/>
  <c r="C22" i="4"/>
  <c r="D52" i="4"/>
  <c r="D54" i="4"/>
  <c r="D65" i="4"/>
  <c r="D127" i="4"/>
  <c r="C81" i="4"/>
  <c r="C121" i="4"/>
  <c r="C62" i="4"/>
  <c r="C23" i="4"/>
  <c r="C98" i="4"/>
  <c r="C96" i="4"/>
  <c r="C106" i="4"/>
  <c r="D35" i="4"/>
  <c r="C88" i="4"/>
  <c r="D117" i="4"/>
  <c r="C10" i="4"/>
  <c r="D125" i="4"/>
  <c r="C110" i="4"/>
  <c r="D58" i="4"/>
  <c r="D61" i="4"/>
  <c r="C13" i="4"/>
  <c r="D73" i="4"/>
  <c r="D9" i="4"/>
  <c r="D32" i="4"/>
  <c r="D44" i="4"/>
  <c r="C112" i="4"/>
  <c r="C9" i="4"/>
  <c r="D36" i="4"/>
  <c r="C56" i="4"/>
  <c r="C90" i="4"/>
  <c r="C93" i="4"/>
  <c r="C37" i="4"/>
  <c r="C6" i="4"/>
  <c r="D104" i="4"/>
  <c r="D11" i="4"/>
  <c r="C73" i="4"/>
  <c r="D113" i="4"/>
  <c r="D18" i="4"/>
  <c r="D94" i="4"/>
  <c r="D97" i="4"/>
  <c r="D80" i="4"/>
  <c r="D56" i="4"/>
  <c r="D83" i="4"/>
  <c r="C122" i="4"/>
  <c r="C15" i="4"/>
  <c r="C118" i="4"/>
  <c r="C43" i="4"/>
  <c r="D100" i="4"/>
  <c r="C104" i="4"/>
  <c r="D99" i="4"/>
  <c r="D81" i="4"/>
  <c r="C89" i="4"/>
  <c r="D33" i="4"/>
  <c r="C40" i="4"/>
  <c r="C17" i="4"/>
  <c r="C108" i="4"/>
  <c r="D51" i="4"/>
  <c r="C24" i="4"/>
  <c r="C129" i="4"/>
  <c r="C91" i="4"/>
  <c r="C68" i="4"/>
  <c r="C59" i="4"/>
  <c r="C30" i="4"/>
  <c r="C69" i="4"/>
  <c r="D89" i="4"/>
  <c r="C18" i="4"/>
  <c r="C92" i="4"/>
  <c r="D45" i="4"/>
  <c r="C113" i="4"/>
  <c r="D20" i="4"/>
  <c r="D15" i="4"/>
  <c r="C86" i="4"/>
  <c r="D59" i="4"/>
  <c r="D115" i="4"/>
  <c r="C72" i="4"/>
  <c r="D6" i="4"/>
  <c r="C64" i="4"/>
  <c r="D8" i="4"/>
  <c r="D90" i="4"/>
  <c r="C70" i="4"/>
  <c r="C41" i="4"/>
  <c r="D84" i="4"/>
  <c r="D87" i="4"/>
  <c r="C83" i="4"/>
  <c r="D129" i="4"/>
  <c r="C102" i="4"/>
  <c r="C19" i="4"/>
  <c r="C55" i="4"/>
  <c r="C123" i="4"/>
  <c r="C95" i="4"/>
  <c r="C51" i="4"/>
  <c r="C84" i="4"/>
  <c r="D74" i="4"/>
  <c r="D111" i="4"/>
  <c r="D28" i="4"/>
  <c r="C75" i="4"/>
  <c r="C78" i="4"/>
  <c r="D62" i="4"/>
  <c r="C27" i="4"/>
  <c r="C61" i="4"/>
  <c r="D86" i="4"/>
  <c r="C25" i="4"/>
  <c r="D78" i="4"/>
  <c r="D43" i="4"/>
  <c r="C38" i="4"/>
  <c r="D63" i="4"/>
  <c r="C57" i="4"/>
  <c r="D70" i="4"/>
  <c r="C117" i="4"/>
  <c r="C76" i="4"/>
  <c r="D48" i="4"/>
  <c r="D29" i="4"/>
  <c r="C14" i="4"/>
  <c r="D26" i="4"/>
  <c r="C67" i="4"/>
  <c r="D60" i="4"/>
  <c r="C65" i="4"/>
  <c r="D79" i="4"/>
  <c r="D103" i="4"/>
  <c r="D17" i="4"/>
  <c r="C33" i="4"/>
  <c r="C71" i="4"/>
  <c r="D41" i="4"/>
  <c r="C54" i="4"/>
  <c r="D57" i="4"/>
  <c r="D106" i="4"/>
  <c r="C99" i="4"/>
  <c r="C120" i="4"/>
  <c r="C63" i="4"/>
  <c r="D76" i="4"/>
  <c r="D105" i="4"/>
  <c r="C100" i="4"/>
  <c r="C31" i="4"/>
  <c r="D31" i="4"/>
  <c r="C5" i="4"/>
  <c r="B66" i="4"/>
  <c r="B104" i="4"/>
  <c r="B105" i="4"/>
  <c r="B71" i="4"/>
  <c r="B119" i="4"/>
  <c r="B114" i="4"/>
  <c r="B124" i="4"/>
  <c r="B125" i="4"/>
  <c r="B84" i="4"/>
  <c r="B47" i="4"/>
  <c r="B49" i="4"/>
  <c r="B62" i="4"/>
  <c r="B101" i="4"/>
  <c r="B60" i="4"/>
  <c r="B82" i="4"/>
  <c r="B68" i="4"/>
  <c r="B93" i="4"/>
  <c r="B121" i="4"/>
  <c r="B54" i="4"/>
  <c r="B34" i="4"/>
  <c r="B70" i="4"/>
  <c r="B37" i="4"/>
  <c r="B126" i="4"/>
  <c r="B102" i="4"/>
  <c r="B69" i="4"/>
  <c r="B100" i="4"/>
  <c r="B67" i="4"/>
  <c r="B87" i="4"/>
  <c r="B127" i="4"/>
  <c r="B51" i="4"/>
  <c r="B53" i="4"/>
  <c r="B55" i="4"/>
  <c r="B76" i="4"/>
  <c r="B117" i="4"/>
  <c r="B65" i="4"/>
  <c r="B46" i="4"/>
  <c r="B110" i="4"/>
  <c r="B97" i="4"/>
  <c r="B42" i="4"/>
  <c r="B85" i="4"/>
  <c r="B89" i="4"/>
  <c r="B48" i="4"/>
  <c r="B96" i="4"/>
  <c r="B107" i="4"/>
  <c r="B35" i="4"/>
  <c r="B113" i="4"/>
  <c r="B58" i="4"/>
  <c r="B33" i="4"/>
  <c r="B98" i="4"/>
  <c r="B123" i="4"/>
  <c r="B91" i="4"/>
  <c r="B128" i="4"/>
  <c r="B52" i="4"/>
  <c r="B83" i="4"/>
  <c r="B108" i="4"/>
  <c r="B129" i="4"/>
  <c r="B88" i="4"/>
  <c r="B56" i="4"/>
  <c r="B40" i="4"/>
  <c r="B112" i="4"/>
  <c r="B118" i="4"/>
  <c r="B57" i="4"/>
  <c r="B109" i="4"/>
  <c r="B120" i="4"/>
  <c r="B73" i="4"/>
  <c r="B50" i="4"/>
  <c r="B78" i="4"/>
  <c r="B92" i="4"/>
  <c r="B90" i="4"/>
  <c r="B39" i="4"/>
  <c r="B45" i="4"/>
  <c r="B38" i="4"/>
  <c r="B81" i="4"/>
  <c r="B43" i="4"/>
  <c r="B94" i="4"/>
  <c r="B36" i="4"/>
  <c r="B41" i="4"/>
  <c r="B64" i="4"/>
  <c r="B61" i="4"/>
  <c r="B99" i="4"/>
  <c r="B74" i="4"/>
  <c r="B106" i="4"/>
  <c r="B103" i="4"/>
  <c r="B63" i="4"/>
  <c r="B44" i="4"/>
  <c r="B86" i="4"/>
  <c r="B80" i="4"/>
  <c r="B75" i="4"/>
  <c r="B116" i="4"/>
  <c r="B95" i="4"/>
  <c r="B79" i="4"/>
  <c r="B115" i="4"/>
  <c r="B72" i="4"/>
  <c r="B122" i="4"/>
  <c r="B59" i="4"/>
  <c r="B111" i="4"/>
  <c r="B77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F105" i="4"/>
  <c r="K105" i="4"/>
  <c r="BI105" i="4" s="1"/>
  <c r="F6" i="4"/>
  <c r="K6" i="4"/>
  <c r="BI6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BI31" i="4" s="1"/>
  <c r="F123" i="4"/>
  <c r="K123" i="4"/>
  <c r="BI123" i="4" s="1"/>
  <c r="F129" i="4"/>
  <c r="K129" i="4"/>
  <c r="I129" i="4" s="1"/>
  <c r="F8" i="4"/>
  <c r="K8" i="4"/>
  <c r="BI8" i="4" s="1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BI20" i="4" s="1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BI11" i="4" s="1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G87" i="4"/>
  <c r="G100" i="4"/>
  <c r="G85" i="4"/>
  <c r="G125" i="4"/>
  <c r="G44" i="4"/>
  <c r="G62" i="4"/>
  <c r="G20" i="4"/>
  <c r="G37" i="4"/>
  <c r="G76" i="4"/>
  <c r="G127" i="4"/>
  <c r="G47" i="4"/>
  <c r="G15" i="4"/>
  <c r="G29" i="4"/>
  <c r="G68" i="4"/>
  <c r="G64" i="4"/>
  <c r="G108" i="4"/>
  <c r="G31" i="4"/>
  <c r="G11" i="4"/>
  <c r="G14" i="4"/>
  <c r="G23" i="4"/>
  <c r="G13" i="4"/>
  <c r="G72" i="4"/>
  <c r="G93" i="4"/>
  <c r="G43" i="4"/>
  <c r="G88" i="4"/>
  <c r="G92" i="4"/>
  <c r="Q15" i="6"/>
  <c r="G22" i="4"/>
  <c r="G45" i="4"/>
  <c r="G36" i="4"/>
  <c r="G80" i="4"/>
  <c r="G71" i="4"/>
  <c r="G48" i="4"/>
  <c r="G126" i="4"/>
  <c r="G26" i="4"/>
  <c r="G25" i="4"/>
  <c r="G98" i="4"/>
  <c r="G12" i="4"/>
  <c r="G65" i="4"/>
  <c r="G49" i="4"/>
  <c r="G54" i="4"/>
  <c r="G107" i="4"/>
  <c r="G102" i="4"/>
  <c r="G105" i="4"/>
  <c r="G73" i="4"/>
  <c r="G106" i="4"/>
  <c r="G9" i="4"/>
  <c r="G18" i="4"/>
  <c r="G24" i="4"/>
  <c r="G83" i="4"/>
  <c r="G16" i="4"/>
  <c r="G69" i="4"/>
  <c r="G110" i="4"/>
  <c r="G75" i="4"/>
  <c r="G70" i="4"/>
  <c r="G56" i="4"/>
  <c r="G39" i="4"/>
  <c r="G38" i="4"/>
  <c r="G28" i="4"/>
  <c r="G89" i="4"/>
  <c r="G57" i="4"/>
  <c r="G112" i="4"/>
  <c r="G6" i="4"/>
  <c r="G42" i="4"/>
  <c r="G34" i="4"/>
  <c r="G27" i="4"/>
  <c r="G21" i="4"/>
  <c r="G10" i="4"/>
  <c r="G60" i="4"/>
  <c r="G109" i="4"/>
  <c r="G117" i="4"/>
  <c r="G129" i="4"/>
  <c r="G122" i="4"/>
  <c r="G63" i="4"/>
  <c r="G19" i="4"/>
  <c r="G74" i="4"/>
  <c r="G113" i="4"/>
  <c r="G123" i="4"/>
  <c r="G120" i="4"/>
  <c r="G128" i="4"/>
  <c r="G111" i="4"/>
  <c r="G66" i="4"/>
  <c r="G17" i="4"/>
  <c r="G101" i="4"/>
  <c r="G58" i="4"/>
  <c r="G53" i="4"/>
  <c r="G119" i="4"/>
  <c r="G35" i="4"/>
  <c r="G79" i="4"/>
  <c r="G51" i="4"/>
  <c r="G41" i="4"/>
  <c r="G40" i="4"/>
  <c r="G95" i="4"/>
  <c r="G77" i="4"/>
  <c r="G96" i="4"/>
  <c r="G7" i="4"/>
  <c r="G32" i="4"/>
  <c r="G30" i="4"/>
  <c r="G50" i="4"/>
  <c r="G115" i="4"/>
  <c r="G104" i="4"/>
  <c r="G46" i="4"/>
  <c r="G90" i="4"/>
  <c r="G8" i="4"/>
  <c r="G33" i="4"/>
  <c r="G59" i="4"/>
  <c r="G52" i="4"/>
  <c r="G61" i="4"/>
  <c r="G99" i="4"/>
  <c r="G82" i="4"/>
  <c r="G84" i="4"/>
  <c r="G81" i="4"/>
  <c r="G86" i="4"/>
  <c r="G55" i="4"/>
  <c r="G94" i="4"/>
  <c r="G118" i="4"/>
  <c r="G97" i="4"/>
  <c r="G116" i="4"/>
  <c r="G91" i="4"/>
  <c r="G103" i="4"/>
  <c r="G114" i="4"/>
  <c r="G78" i="4"/>
  <c r="G124" i="4"/>
  <c r="G67" i="4"/>
  <c r="G121" i="4"/>
  <c r="BK9" i="4" l="1"/>
  <c r="BK16" i="4"/>
  <c r="BM6" i="4"/>
  <c r="BK6" i="4"/>
  <c r="BK10" i="4"/>
  <c r="BK13" i="4"/>
  <c r="BK11" i="4"/>
  <c r="BK14" i="4"/>
  <c r="BK8" i="4"/>
  <c r="BK12" i="4"/>
  <c r="BK15" i="4"/>
  <c r="BK7" i="4"/>
  <c r="BM5" i="4"/>
  <c r="BO5" i="4" s="1"/>
  <c r="BM16" i="4"/>
  <c r="BM9" i="4"/>
  <c r="BM10" i="4"/>
  <c r="BM8" i="4"/>
  <c r="BM13" i="4"/>
  <c r="BM11" i="4"/>
  <c r="BM14" i="4"/>
  <c r="BM12" i="4"/>
  <c r="BM15" i="4"/>
  <c r="BM7" i="4"/>
  <c r="BI72" i="4"/>
  <c r="BI104" i="4"/>
  <c r="BI90" i="4"/>
  <c r="BI119" i="4"/>
  <c r="I68" i="4"/>
  <c r="I76" i="4"/>
  <c r="BI69" i="4"/>
  <c r="I37" i="4"/>
  <c r="BI125" i="4"/>
  <c r="I23" i="4"/>
  <c r="I96" i="4"/>
  <c r="I124" i="4"/>
  <c r="BI108" i="4"/>
  <c r="I113" i="4"/>
  <c r="BI122" i="4"/>
  <c r="I12" i="4"/>
  <c r="I63" i="4"/>
  <c r="BI52" i="4"/>
  <c r="I82" i="4"/>
  <c r="I109" i="4"/>
  <c r="BI80" i="4"/>
  <c r="BI89" i="4"/>
  <c r="I115" i="4"/>
  <c r="I128" i="4"/>
  <c r="I15" i="4"/>
  <c r="I50" i="4"/>
  <c r="I88" i="4"/>
  <c r="I70" i="4"/>
  <c r="BI73" i="4"/>
  <c r="BI101" i="4"/>
  <c r="I33" i="4"/>
  <c r="I79" i="4"/>
  <c r="I107" i="4"/>
  <c r="BI78" i="4"/>
  <c r="I47" i="4"/>
  <c r="BI55" i="4"/>
  <c r="BI67" i="4"/>
  <c r="I29" i="4"/>
  <c r="I43" i="4"/>
  <c r="I17" i="4"/>
  <c r="BI61" i="4"/>
  <c r="BI116" i="4"/>
  <c r="BI34" i="4"/>
  <c r="BI60" i="4"/>
  <c r="I57" i="4"/>
  <c r="I81" i="4"/>
  <c r="I13" i="4"/>
  <c r="BI56" i="4"/>
  <c r="I35" i="4"/>
  <c r="BI97" i="4"/>
  <c r="I127" i="4"/>
  <c r="BI49" i="4"/>
  <c r="BI36" i="4"/>
  <c r="I18" i="4"/>
  <c r="I112" i="4"/>
  <c r="I45" i="4"/>
  <c r="I100" i="4"/>
  <c r="I92" i="4"/>
  <c r="BI121" i="4"/>
  <c r="BI118" i="4"/>
  <c r="I59" i="4"/>
  <c r="BI19" i="4"/>
  <c r="I10" i="4"/>
  <c r="I7" i="4"/>
  <c r="I65" i="4"/>
  <c r="BI86" i="4"/>
  <c r="I9" i="4"/>
  <c r="I85" i="4"/>
  <c r="BI40" i="4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I93" i="4"/>
  <c r="I24" i="4"/>
  <c r="I41" i="4"/>
  <c r="BI17" i="4"/>
  <c r="BK18" i="4" s="1"/>
  <c r="I110" i="4"/>
  <c r="BI106" i="4"/>
  <c r="I42" i="4"/>
  <c r="BI54" i="4"/>
  <c r="BI32" i="4"/>
  <c r="BI91" i="4"/>
  <c r="I66" i="4"/>
  <c r="I14" i="4"/>
  <c r="BI83" i="4"/>
  <c r="BI99" i="4"/>
  <c r="I31" i="4"/>
  <c r="BI48" i="4"/>
  <c r="I103" i="4"/>
  <c r="I111" i="4"/>
  <c r="I120" i="4"/>
  <c r="I8" i="4"/>
  <c r="I22" i="4"/>
  <c r="I58" i="4"/>
  <c r="I53" i="4"/>
  <c r="BI77" i="4"/>
  <c r="BI74" i="4"/>
  <c r="I20" i="4"/>
  <c r="BI95" i="4"/>
  <c r="I28" i="4"/>
  <c r="I27" i="4"/>
  <c r="I105" i="4"/>
  <c r="I123" i="4"/>
  <c r="BI44" i="4"/>
  <c r="BI38" i="4"/>
  <c r="BI51" i="4"/>
  <c r="I30" i="4"/>
  <c r="BI71" i="4"/>
  <c r="BI98" i="4"/>
  <c r="BI46" i="4"/>
  <c r="I11" i="4"/>
  <c r="C19" i="3"/>
  <c r="Q16" i="6"/>
  <c r="B32" i="4"/>
  <c r="B31" i="4"/>
  <c r="B29" i="4"/>
  <c r="B27" i="4"/>
  <c r="B30" i="4"/>
  <c r="B28" i="4"/>
  <c r="BO7" i="4" l="1"/>
  <c r="BO12" i="4"/>
  <c r="BO14" i="4"/>
  <c r="BO9" i="4"/>
  <c r="BO15" i="4"/>
  <c r="BO16" i="4"/>
  <c r="BO11" i="4"/>
  <c r="BO8" i="4"/>
  <c r="BO13" i="4"/>
  <c r="BO10" i="4"/>
  <c r="BK19" i="4"/>
  <c r="BK70" i="4"/>
  <c r="BK44" i="4"/>
  <c r="BK73" i="4"/>
  <c r="BK57" i="4"/>
  <c r="BK38" i="4"/>
  <c r="BK93" i="4"/>
  <c r="BK89" i="4"/>
  <c r="BK109" i="4"/>
  <c r="BK124" i="4"/>
  <c r="BK77" i="4"/>
  <c r="BK54" i="4"/>
  <c r="BK40" i="4"/>
  <c r="BK36" i="4"/>
  <c r="BK80" i="4"/>
  <c r="BK65" i="4"/>
  <c r="BK26" i="4"/>
  <c r="BK118" i="4"/>
  <c r="BK60" i="4"/>
  <c r="BK24" i="4"/>
  <c r="BK110" i="4"/>
  <c r="BK46" i="4"/>
  <c r="BK106" i="4"/>
  <c r="BK121" i="4"/>
  <c r="BK90" i="4"/>
  <c r="BK112" i="4"/>
  <c r="BK33" i="4"/>
  <c r="BK98" i="4"/>
  <c r="BK83" i="4"/>
  <c r="BK86" i="4"/>
  <c r="BK116" i="4"/>
  <c r="BK52" i="4"/>
  <c r="BK128" i="4"/>
  <c r="BK23" i="4"/>
  <c r="BK25" i="4"/>
  <c r="BK29" i="4"/>
  <c r="BK74" i="4"/>
  <c r="BK32" i="4"/>
  <c r="BK129" i="4"/>
  <c r="BK101" i="4"/>
  <c r="BK103" i="4"/>
  <c r="BK96" i="4"/>
  <c r="BK123" i="4"/>
  <c r="BK48" i="4"/>
  <c r="BK94" i="4"/>
  <c r="BK67" i="4"/>
  <c r="BK108" i="4"/>
  <c r="BK111" i="4"/>
  <c r="BK59" i="4"/>
  <c r="BK27" i="4"/>
  <c r="BK35" i="4"/>
  <c r="BK49" i="4"/>
  <c r="BK55" i="4"/>
  <c r="BK119" i="4"/>
  <c r="BK53" i="4"/>
  <c r="BK82" i="4"/>
  <c r="BK127" i="4"/>
  <c r="BK75" i="4"/>
  <c r="BK99" i="4"/>
  <c r="BK64" i="4"/>
  <c r="BK34" i="4"/>
  <c r="BK115" i="4"/>
  <c r="BK76" i="4"/>
  <c r="BK30" i="4"/>
  <c r="BK114" i="4"/>
  <c r="BK97" i="4"/>
  <c r="BK78" i="4"/>
  <c r="BK104" i="4"/>
  <c r="BK79" i="4"/>
  <c r="BK50" i="4"/>
  <c r="BK45" i="4"/>
  <c r="BK31" i="4"/>
  <c r="BK39" i="4"/>
  <c r="BK71" i="4"/>
  <c r="BM18" i="4"/>
  <c r="BK17" i="4"/>
  <c r="BK61" i="4"/>
  <c r="BK125" i="4"/>
  <c r="BK72" i="4"/>
  <c r="BK68" i="4"/>
  <c r="BK28" i="4"/>
  <c r="BK105" i="4"/>
  <c r="BK85" i="4"/>
  <c r="BK63" i="4"/>
  <c r="BK81" i="4"/>
  <c r="BK66" i="4"/>
  <c r="BK88" i="4"/>
  <c r="BK95" i="4"/>
  <c r="BK126" i="4"/>
  <c r="BK56" i="4"/>
  <c r="BK107" i="4"/>
  <c r="BK87" i="4"/>
  <c r="BK117" i="4"/>
  <c r="BK113" i="4"/>
  <c r="BK42" i="4"/>
  <c r="BK43" i="4"/>
  <c r="BK120" i="4"/>
  <c r="BK62" i="4"/>
  <c r="BK92" i="4"/>
  <c r="BK51" i="4"/>
  <c r="BK91" i="4"/>
  <c r="BK102" i="4"/>
  <c r="BK122" i="4"/>
  <c r="BK69" i="4"/>
  <c r="BK37" i="4"/>
  <c r="BK47" i="4"/>
  <c r="BK100" i="4"/>
  <c r="BK58" i="4"/>
  <c r="BK84" i="4"/>
  <c r="BK41" i="4"/>
  <c r="BM28" i="4"/>
  <c r="BM27" i="4"/>
  <c r="BM20" i="4"/>
  <c r="BM21" i="4"/>
  <c r="BM94" i="4"/>
  <c r="BM33" i="4"/>
  <c r="BM44" i="4"/>
  <c r="BM77" i="4"/>
  <c r="BM40" i="4"/>
  <c r="BM36" i="4"/>
  <c r="BM26" i="4"/>
  <c r="BM31" i="4"/>
  <c r="BM34" i="4"/>
  <c r="BM24" i="4"/>
  <c r="BM29" i="4"/>
  <c r="BM35" i="4"/>
  <c r="BM48" i="4"/>
  <c r="BM73" i="4"/>
  <c r="BM108" i="4"/>
  <c r="BM75" i="4"/>
  <c r="BM112" i="4"/>
  <c r="BM118" i="4"/>
  <c r="BM60" i="4"/>
  <c r="BM58" i="4"/>
  <c r="BM46" i="4"/>
  <c r="BM106" i="4"/>
  <c r="BM121" i="4"/>
  <c r="BM123" i="4"/>
  <c r="BM98" i="4"/>
  <c r="BM114" i="4"/>
  <c r="BM97" i="4"/>
  <c r="BM78" i="4"/>
  <c r="BM100" i="4"/>
  <c r="BM17" i="4"/>
  <c r="BO17" i="4" s="1"/>
  <c r="BM61" i="4"/>
  <c r="BM125" i="4"/>
  <c r="BM119" i="4"/>
  <c r="BM87" i="4"/>
  <c r="BM126" i="4"/>
  <c r="BM107" i="4"/>
  <c r="BM23" i="4"/>
  <c r="BM66" i="4"/>
  <c r="BM51" i="4"/>
  <c r="BM54" i="4"/>
  <c r="BM67" i="4"/>
  <c r="BM80" i="4"/>
  <c r="BM111" i="4"/>
  <c r="BM76" i="4"/>
  <c r="BM49" i="4"/>
  <c r="BM55" i="4"/>
  <c r="BM53" i="4"/>
  <c r="BM50" i="4"/>
  <c r="BM103" i="4"/>
  <c r="BM63" i="4"/>
  <c r="BM99" i="4"/>
  <c r="BM64" i="4"/>
  <c r="BM115" i="4"/>
  <c r="BM59" i="4"/>
  <c r="BM41" i="4"/>
  <c r="BM85" i="4"/>
  <c r="BM124" i="4"/>
  <c r="BM83" i="4"/>
  <c r="BM86" i="4"/>
  <c r="BM116" i="4"/>
  <c r="BM52" i="4"/>
  <c r="BM79" i="4"/>
  <c r="BM127" i="4"/>
  <c r="BM128" i="4"/>
  <c r="BM71" i="4"/>
  <c r="BM68" i="4"/>
  <c r="BM110" i="4"/>
  <c r="BM82" i="4"/>
  <c r="BM95" i="4"/>
  <c r="BM56" i="4"/>
  <c r="BM90" i="4"/>
  <c r="BM47" i="4"/>
  <c r="BM120" i="4"/>
  <c r="BM57" i="4"/>
  <c r="BM105" i="4"/>
  <c r="BM88" i="4"/>
  <c r="BM25" i="4"/>
  <c r="BM91" i="4"/>
  <c r="BM102" i="4"/>
  <c r="BM122" i="4"/>
  <c r="BM69" i="4"/>
  <c r="BM104" i="4"/>
  <c r="BM37" i="4"/>
  <c r="BM109" i="4"/>
  <c r="BM96" i="4"/>
  <c r="BM84" i="4"/>
  <c r="BM92" i="4"/>
  <c r="BM117" i="4"/>
  <c r="BM45" i="4"/>
  <c r="BM62" i="4"/>
  <c r="BM39" i="4"/>
  <c r="BM38" i="4"/>
  <c r="BM74" i="4"/>
  <c r="BM32" i="4"/>
  <c r="BM93" i="4"/>
  <c r="BM129" i="4"/>
  <c r="BM19" i="4"/>
  <c r="BO19" i="4" s="1"/>
  <c r="BM101" i="4"/>
  <c r="BM89" i="4"/>
  <c r="BM72" i="4"/>
  <c r="BM70" i="4"/>
  <c r="BM65" i="4"/>
  <c r="BM113" i="4"/>
  <c r="BM22" i="4"/>
  <c r="BM30" i="4"/>
  <c r="BM42" i="4"/>
  <c r="BM81" i="4"/>
  <c r="BM43" i="4"/>
  <c r="Q17" i="6"/>
  <c r="D9" i="3"/>
  <c r="D19" i="3"/>
  <c r="C18" i="3"/>
  <c r="B25" i="4"/>
  <c r="B26" i="4"/>
  <c r="BO89" i="4" l="1"/>
  <c r="BO37" i="4"/>
  <c r="BO29" i="4"/>
  <c r="BO81" i="4"/>
  <c r="BO39" i="4"/>
  <c r="BO26" i="4"/>
  <c r="BO20" i="4"/>
  <c r="BO99" i="4"/>
  <c r="BO101" i="4"/>
  <c r="BO62" i="4"/>
  <c r="BO57" i="4"/>
  <c r="BO83" i="4"/>
  <c r="BO80" i="4"/>
  <c r="BO114" i="4"/>
  <c r="BO24" i="4"/>
  <c r="BO30" i="4"/>
  <c r="BO45" i="4"/>
  <c r="BO69" i="4"/>
  <c r="BO120" i="4"/>
  <c r="BO71" i="4"/>
  <c r="BO124" i="4"/>
  <c r="BO103" i="4"/>
  <c r="BO67" i="4"/>
  <c r="BO119" i="4"/>
  <c r="BO98" i="4"/>
  <c r="BO112" i="4"/>
  <c r="BO34" i="4"/>
  <c r="BO94" i="4"/>
  <c r="BO110" i="4"/>
  <c r="BO97" i="4"/>
  <c r="BO42" i="4"/>
  <c r="BO104" i="4"/>
  <c r="BO68" i="4"/>
  <c r="BO63" i="4"/>
  <c r="BO87" i="4"/>
  <c r="BO118" i="4"/>
  <c r="BO33" i="4"/>
  <c r="BO129" i="4"/>
  <c r="BO117" i="4"/>
  <c r="BO122" i="4"/>
  <c r="BO47" i="4"/>
  <c r="BO128" i="4"/>
  <c r="BO85" i="4"/>
  <c r="BO50" i="4"/>
  <c r="BO54" i="4"/>
  <c r="BO125" i="4"/>
  <c r="BO123" i="4"/>
  <c r="BO75" i="4"/>
  <c r="BO31" i="4"/>
  <c r="BO18" i="4"/>
  <c r="BO86" i="4"/>
  <c r="BO60" i="4"/>
  <c r="BO113" i="4"/>
  <c r="BO102" i="4"/>
  <c r="BO53" i="4"/>
  <c r="BO121" i="4"/>
  <c r="BO108" i="4"/>
  <c r="BO65" i="4"/>
  <c r="BO32" i="4"/>
  <c r="BO84" i="4"/>
  <c r="BO91" i="4"/>
  <c r="BO56" i="4"/>
  <c r="BO79" i="4"/>
  <c r="BO59" i="4"/>
  <c r="BO55" i="4"/>
  <c r="BO66" i="4"/>
  <c r="BO106" i="4"/>
  <c r="BO73" i="4"/>
  <c r="BO36" i="4"/>
  <c r="BO27" i="4"/>
  <c r="BO111" i="4"/>
  <c r="BO93" i="4"/>
  <c r="BO127" i="4"/>
  <c r="BO61" i="4"/>
  <c r="BO74" i="4"/>
  <c r="BO95" i="4"/>
  <c r="BO115" i="4"/>
  <c r="BO49" i="4"/>
  <c r="BO100" i="4"/>
  <c r="BO46" i="4"/>
  <c r="BO48" i="4"/>
  <c r="BO40" i="4"/>
  <c r="BO28" i="4"/>
  <c r="BO105" i="4"/>
  <c r="BO126" i="4"/>
  <c r="BO44" i="4"/>
  <c r="BO92" i="4"/>
  <c r="BO90" i="4"/>
  <c r="BO41" i="4"/>
  <c r="BO51" i="4"/>
  <c r="BO70" i="4"/>
  <c r="BO96" i="4"/>
  <c r="BO25" i="4"/>
  <c r="BO52" i="4"/>
  <c r="BO43" i="4"/>
  <c r="BO72" i="4"/>
  <c r="BO38" i="4"/>
  <c r="BO109" i="4"/>
  <c r="BO88" i="4"/>
  <c r="BO82" i="4"/>
  <c r="BO116" i="4"/>
  <c r="BO64" i="4"/>
  <c r="BO76" i="4"/>
  <c r="BO107" i="4"/>
  <c r="BO78" i="4"/>
  <c r="BO58" i="4"/>
  <c r="BO35" i="4"/>
  <c r="BO77" i="4"/>
  <c r="D4" i="4"/>
  <c r="F5" i="4" s="1"/>
  <c r="D18" i="3"/>
  <c r="G5" i="4"/>
  <c r="H19" i="3"/>
  <c r="H18" i="3"/>
  <c r="Q18" i="6"/>
  <c r="K4" i="4" l="1"/>
  <c r="I5" i="4" s="1"/>
  <c r="Q19" i="6"/>
  <c r="M7" i="4" l="1"/>
  <c r="M54" i="4"/>
  <c r="M39" i="4"/>
  <c r="M18" i="4"/>
  <c r="M31" i="4"/>
  <c r="M108" i="4"/>
  <c r="M23" i="4"/>
  <c r="M83" i="4"/>
  <c r="M15" i="4"/>
  <c r="M53" i="4"/>
  <c r="M9" i="4"/>
  <c r="M8" i="4"/>
  <c r="M32" i="4"/>
  <c r="M89" i="4"/>
  <c r="M47" i="4"/>
  <c r="M57" i="4"/>
  <c r="M123" i="4"/>
  <c r="M52" i="4"/>
  <c r="M26" i="4"/>
  <c r="M16" i="4"/>
  <c r="M100" i="4"/>
  <c r="M36" i="4"/>
  <c r="M27" i="4"/>
  <c r="M78" i="4"/>
  <c r="M10" i="4"/>
  <c r="M69" i="4"/>
  <c r="M126" i="4"/>
  <c r="M68" i="4"/>
  <c r="M111" i="4"/>
  <c r="M113" i="4"/>
  <c r="M45" i="4"/>
  <c r="M122" i="4"/>
  <c r="M120" i="4"/>
  <c r="M33" i="4"/>
  <c r="M99" i="4"/>
  <c r="M24" i="4"/>
  <c r="M90" i="4"/>
  <c r="M14" i="4"/>
  <c r="M80" i="4"/>
  <c r="M5" i="4"/>
  <c r="M73" i="4"/>
  <c r="M121" i="4"/>
  <c r="M74" i="4"/>
  <c r="M60" i="4"/>
  <c r="M70" i="4"/>
  <c r="M13" i="4"/>
  <c r="M86" i="4"/>
  <c r="M82" i="4"/>
  <c r="M65" i="4"/>
  <c r="M85" i="4"/>
  <c r="M105" i="4"/>
  <c r="M76" i="4"/>
  <c r="M64" i="4"/>
  <c r="M67" i="4"/>
  <c r="M96" i="4"/>
  <c r="M58" i="4"/>
  <c r="M46" i="4"/>
  <c r="M49" i="4"/>
  <c r="M91" i="4"/>
  <c r="M21" i="4"/>
  <c r="M114" i="4"/>
  <c r="M55" i="4"/>
  <c r="M94" i="4"/>
  <c r="M30" i="4"/>
  <c r="M116" i="4"/>
  <c r="M12" i="4"/>
  <c r="M81" i="4"/>
  <c r="M6" i="4"/>
  <c r="M44" i="4"/>
  <c r="M59" i="4"/>
  <c r="M129" i="4"/>
  <c r="M50" i="4"/>
  <c r="M101" i="4"/>
  <c r="M41" i="4"/>
  <c r="M28" i="4"/>
  <c r="M119" i="4"/>
  <c r="M42" i="4"/>
  <c r="M92" i="4"/>
  <c r="M66" i="4"/>
  <c r="M125" i="4"/>
  <c r="M97" i="4"/>
  <c r="M128" i="4"/>
  <c r="M72" i="4"/>
  <c r="M112" i="4"/>
  <c r="M37" i="4"/>
  <c r="M102" i="4"/>
  <c r="M95" i="4"/>
  <c r="M93" i="4"/>
  <c r="M71" i="4"/>
  <c r="M63" i="4"/>
  <c r="M34" i="4"/>
  <c r="M98" i="4"/>
  <c r="M20" i="4"/>
  <c r="M17" i="4"/>
  <c r="M118" i="4"/>
  <c r="M61" i="4"/>
  <c r="M110" i="4"/>
  <c r="M79" i="4"/>
  <c r="M124" i="4"/>
  <c r="M109" i="4"/>
  <c r="M48" i="4"/>
  <c r="M29" i="4"/>
  <c r="M106" i="4"/>
  <c r="M19" i="4"/>
  <c r="M104" i="4"/>
  <c r="M103" i="4"/>
  <c r="M87" i="4"/>
  <c r="M62" i="4"/>
  <c r="M115" i="4"/>
  <c r="M75" i="4"/>
  <c r="M117" i="4"/>
  <c r="M127" i="4"/>
  <c r="M56" i="4"/>
  <c r="M35" i="4"/>
  <c r="M43" i="4"/>
  <c r="M25" i="4"/>
  <c r="M77" i="4"/>
  <c r="M84" i="4"/>
  <c r="M51" i="4"/>
  <c r="M107" i="4"/>
  <c r="M38" i="4"/>
  <c r="M88" i="4"/>
  <c r="M11" i="4"/>
  <c r="M22" i="4"/>
  <c r="M40" i="4"/>
  <c r="I2" i="4"/>
  <c r="Q20" i="6"/>
  <c r="O107" i="4" l="1"/>
  <c r="O19" i="4"/>
  <c r="O127" i="4"/>
  <c r="O122" i="4"/>
  <c r="O118" i="4"/>
  <c r="O113" i="4"/>
  <c r="O93" i="4"/>
  <c r="O58" i="4"/>
  <c r="O78" i="4"/>
  <c r="O117" i="4"/>
  <c r="O66" i="4"/>
  <c r="O96" i="4"/>
  <c r="O47" i="4"/>
  <c r="O75" i="4"/>
  <c r="O92" i="4"/>
  <c r="O67" i="4"/>
  <c r="O89" i="4"/>
  <c r="O115" i="4"/>
  <c r="O20" i="4"/>
  <c r="O114" i="4"/>
  <c r="O90" i="4"/>
  <c r="O32" i="4"/>
  <c r="O109" i="4"/>
  <c r="O98" i="4"/>
  <c r="O76" i="4"/>
  <c r="O24" i="4"/>
  <c r="O8" i="4"/>
  <c r="O124" i="4"/>
  <c r="O81" i="4"/>
  <c r="O99" i="4"/>
  <c r="O39" i="4"/>
  <c r="O125" i="4"/>
  <c r="O30" i="4"/>
  <c r="O83" i="4"/>
  <c r="O106" i="4"/>
  <c r="O129" i="4"/>
  <c r="O86" i="4"/>
  <c r="O45" i="4"/>
  <c r="O23" i="4"/>
  <c r="O29" i="4"/>
  <c r="O17" i="4"/>
  <c r="O59" i="4"/>
  <c r="O13" i="4"/>
  <c r="O14" i="4"/>
  <c r="O36" i="4"/>
  <c r="O40" i="4"/>
  <c r="O48" i="4"/>
  <c r="O42" i="4"/>
  <c r="O64" i="4"/>
  <c r="O111" i="4"/>
  <c r="O31" i="4"/>
  <c r="O62" i="4"/>
  <c r="O119" i="4"/>
  <c r="O68" i="4"/>
  <c r="O18" i="4"/>
  <c r="O87" i="4"/>
  <c r="O72" i="4"/>
  <c r="O91" i="4"/>
  <c r="O74" i="4"/>
  <c r="O26" i="4"/>
  <c r="O88" i="4"/>
  <c r="O103" i="4"/>
  <c r="O128" i="4"/>
  <c r="O49" i="4"/>
  <c r="O85" i="4"/>
  <c r="O33" i="4"/>
  <c r="O69" i="4"/>
  <c r="O52" i="4"/>
  <c r="O53" i="4"/>
  <c r="O54" i="4"/>
  <c r="O61" i="4"/>
  <c r="O50" i="4"/>
  <c r="O82" i="4"/>
  <c r="O57" i="4"/>
  <c r="O51" i="4"/>
  <c r="O95" i="4"/>
  <c r="O94" i="4"/>
  <c r="O80" i="4"/>
  <c r="O27" i="4"/>
  <c r="O84" i="4"/>
  <c r="O102" i="4"/>
  <c r="O55" i="4"/>
  <c r="O108" i="4"/>
  <c r="O77" i="4"/>
  <c r="O37" i="4"/>
  <c r="O44" i="4"/>
  <c r="O70" i="4"/>
  <c r="O100" i="4"/>
  <c r="O22" i="4"/>
  <c r="O25" i="4"/>
  <c r="O112" i="4"/>
  <c r="O21" i="4"/>
  <c r="O60" i="4"/>
  <c r="O16" i="4"/>
  <c r="O11" i="4"/>
  <c r="O43" i="4"/>
  <c r="O34" i="4"/>
  <c r="O28" i="4"/>
  <c r="O105" i="4"/>
  <c r="O126" i="4"/>
  <c r="O35" i="4"/>
  <c r="O79" i="4"/>
  <c r="O63" i="4"/>
  <c r="O41" i="4"/>
  <c r="O12" i="4"/>
  <c r="O121" i="4"/>
  <c r="O38" i="4"/>
  <c r="O56" i="4"/>
  <c r="O104" i="4"/>
  <c r="O110" i="4"/>
  <c r="O71" i="4"/>
  <c r="O97" i="4"/>
  <c r="O101" i="4"/>
  <c r="O116" i="4"/>
  <c r="O46" i="4"/>
  <c r="O65" i="4"/>
  <c r="O73" i="4"/>
  <c r="O120" i="4"/>
  <c r="O10" i="4"/>
  <c r="O123" i="4"/>
  <c r="O15" i="4"/>
  <c r="Q5" i="4"/>
  <c r="S5" i="4" s="1"/>
  <c r="Q127" i="4"/>
  <c r="Q93" i="4"/>
  <c r="Q50" i="4"/>
  <c r="Q82" i="4"/>
  <c r="Q78" i="4"/>
  <c r="Q117" i="4"/>
  <c r="Q129" i="4"/>
  <c r="Q86" i="4"/>
  <c r="Q47" i="4"/>
  <c r="Q75" i="4"/>
  <c r="Q17" i="4"/>
  <c r="Q67" i="4"/>
  <c r="Q108" i="4"/>
  <c r="Q40" i="4"/>
  <c r="Q48" i="4"/>
  <c r="Q42" i="4"/>
  <c r="Q64" i="4"/>
  <c r="Q32" i="4"/>
  <c r="Q61" i="4"/>
  <c r="Q57" i="4"/>
  <c r="Q106" i="4"/>
  <c r="Q95" i="4"/>
  <c r="Q96" i="4"/>
  <c r="Q27" i="4"/>
  <c r="Q102" i="4"/>
  <c r="Q59" i="4"/>
  <c r="Q13" i="4"/>
  <c r="Q89" i="4"/>
  <c r="Q77" i="4"/>
  <c r="Q20" i="4"/>
  <c r="Q44" i="4"/>
  <c r="Q70" i="4"/>
  <c r="Q100" i="4"/>
  <c r="Q25" i="4"/>
  <c r="Q109" i="4"/>
  <c r="Q119" i="4"/>
  <c r="Q76" i="4"/>
  <c r="Q24" i="4"/>
  <c r="Q8" i="4"/>
  <c r="Q11" i="4"/>
  <c r="Q124" i="4"/>
  <c r="Q34" i="4"/>
  <c r="Q28" i="4"/>
  <c r="Q91" i="4"/>
  <c r="Q74" i="4"/>
  <c r="Q9" i="4"/>
  <c r="Q103" i="4"/>
  <c r="Q128" i="4"/>
  <c r="Q12" i="4"/>
  <c r="Q85" i="4"/>
  <c r="Q33" i="4"/>
  <c r="Q52" i="4"/>
  <c r="Q54" i="4"/>
  <c r="Q107" i="4"/>
  <c r="Q19" i="4"/>
  <c r="Q125" i="4"/>
  <c r="Q30" i="4"/>
  <c r="Q58" i="4"/>
  <c r="Q122" i="4"/>
  <c r="Q83" i="4"/>
  <c r="Q51" i="4"/>
  <c r="Q118" i="4"/>
  <c r="Q66" i="4"/>
  <c r="Q94" i="4"/>
  <c r="Q80" i="4"/>
  <c r="Q45" i="4"/>
  <c r="Q23" i="4"/>
  <c r="Q84" i="4"/>
  <c r="Q29" i="4"/>
  <c r="Q92" i="4"/>
  <c r="Q55" i="4"/>
  <c r="Q14" i="4"/>
  <c r="Q113" i="4"/>
  <c r="Q36" i="4"/>
  <c r="Q115" i="4"/>
  <c r="Q37" i="4"/>
  <c r="Q114" i="4"/>
  <c r="Q90" i="4"/>
  <c r="Q111" i="4"/>
  <c r="Q31" i="4"/>
  <c r="Q22" i="4"/>
  <c r="Q62" i="4"/>
  <c r="Q98" i="4"/>
  <c r="Q112" i="4"/>
  <c r="Q6" i="4"/>
  <c r="Q21" i="4"/>
  <c r="Q60" i="4"/>
  <c r="Q68" i="4"/>
  <c r="Q16" i="4"/>
  <c r="Q18" i="4"/>
  <c r="Q43" i="4"/>
  <c r="Q87" i="4"/>
  <c r="Q72" i="4"/>
  <c r="Q81" i="4"/>
  <c r="Q105" i="4"/>
  <c r="Q99" i="4"/>
  <c r="Q126" i="4"/>
  <c r="Q26" i="4"/>
  <c r="Q39" i="4"/>
  <c r="Q88" i="4"/>
  <c r="Q35" i="4"/>
  <c r="Q79" i="4"/>
  <c r="Q63" i="4"/>
  <c r="Q41" i="4"/>
  <c r="Q49" i="4"/>
  <c r="Q121" i="4"/>
  <c r="Q69" i="4"/>
  <c r="Q53" i="4"/>
  <c r="Q38" i="4"/>
  <c r="Q56" i="4"/>
  <c r="Q104" i="4"/>
  <c r="Q110" i="4"/>
  <c r="Q71" i="4"/>
  <c r="Q97" i="4"/>
  <c r="Q101" i="4"/>
  <c r="Q116" i="4"/>
  <c r="Q46" i="4"/>
  <c r="Q65" i="4"/>
  <c r="Q73" i="4"/>
  <c r="Q120" i="4"/>
  <c r="Q10" i="4"/>
  <c r="Q123" i="4"/>
  <c r="Q15" i="4"/>
  <c r="Q7" i="4"/>
  <c r="M2" i="4"/>
  <c r="Q21" i="6"/>
  <c r="Q2" i="4"/>
  <c r="O2" i="4"/>
  <c r="C3" i="6" l="1"/>
  <c r="U5" i="4"/>
  <c r="W5" i="4" s="1"/>
  <c r="S46" i="4"/>
  <c r="S38" i="4"/>
  <c r="S35" i="4"/>
  <c r="S29" i="4"/>
  <c r="S51" i="4"/>
  <c r="S76" i="4"/>
  <c r="S74" i="4"/>
  <c r="S53" i="4"/>
  <c r="S108" i="4"/>
  <c r="S101" i="4"/>
  <c r="S67" i="4"/>
  <c r="S40" i="4"/>
  <c r="S88" i="4"/>
  <c r="S119" i="4"/>
  <c r="S15" i="4"/>
  <c r="S122" i="4"/>
  <c r="S82" i="4"/>
  <c r="S121" i="4"/>
  <c r="S58" i="4"/>
  <c r="S113" i="4"/>
  <c r="S54" i="4"/>
  <c r="S112" i="4"/>
  <c r="S91" i="4"/>
  <c r="S78" i="4"/>
  <c r="S43" i="4"/>
  <c r="S33" i="4"/>
  <c r="S57" i="4"/>
  <c r="S36" i="4"/>
  <c r="S25" i="4"/>
  <c r="S50" i="4"/>
  <c r="S49" i="4"/>
  <c r="S124" i="4"/>
  <c r="S93" i="4"/>
  <c r="S41" i="4"/>
  <c r="S11" i="4"/>
  <c r="S72" i="4"/>
  <c r="U6" i="4"/>
  <c r="W6" i="4" s="1"/>
  <c r="S106" i="4"/>
  <c r="S116" i="4"/>
  <c r="S37" i="4"/>
  <c r="S83" i="4"/>
  <c r="S39" i="4"/>
  <c r="S115" i="4"/>
  <c r="S28" i="4"/>
  <c r="S13" i="4"/>
  <c r="S97" i="4"/>
  <c r="S62" i="4"/>
  <c r="S85" i="4"/>
  <c r="S61" i="4"/>
  <c r="S126" i="4"/>
  <c r="S22" i="4"/>
  <c r="S30" i="4"/>
  <c r="S100" i="4"/>
  <c r="S32" i="4"/>
  <c r="S110" i="4"/>
  <c r="S68" i="4"/>
  <c r="S94" i="4"/>
  <c r="S128" i="4"/>
  <c r="S27" i="4"/>
  <c r="S47" i="4"/>
  <c r="S73" i="4"/>
  <c r="S63" i="4"/>
  <c r="S60" i="4"/>
  <c r="S55" i="4"/>
  <c r="S103" i="4"/>
  <c r="S44" i="4"/>
  <c r="S86" i="4"/>
  <c r="S114" i="4"/>
  <c r="S77" i="4"/>
  <c r="S117" i="4"/>
  <c r="S7" i="4"/>
  <c r="S87" i="4"/>
  <c r="S84" i="4"/>
  <c r="S52" i="4"/>
  <c r="S89" i="4"/>
  <c r="S69" i="4"/>
  <c r="S98" i="4"/>
  <c r="S23" i="4"/>
  <c r="S109" i="4"/>
  <c r="S123" i="4"/>
  <c r="S26" i="4"/>
  <c r="S18" i="4"/>
  <c r="S45" i="4"/>
  <c r="S34" i="4"/>
  <c r="S59" i="4"/>
  <c r="S17" i="4"/>
  <c r="S71" i="4"/>
  <c r="S16" i="4"/>
  <c r="S80" i="4"/>
  <c r="S12" i="4"/>
  <c r="S102" i="4"/>
  <c r="S75" i="4"/>
  <c r="S120" i="4"/>
  <c r="S99" i="4"/>
  <c r="S31" i="4"/>
  <c r="S14" i="4"/>
  <c r="S125" i="4"/>
  <c r="S70" i="4"/>
  <c r="S64" i="4"/>
  <c r="S127" i="4"/>
  <c r="S104" i="4"/>
  <c r="S105" i="4"/>
  <c r="S111" i="4"/>
  <c r="S66" i="4"/>
  <c r="S19" i="4"/>
  <c r="S8" i="4"/>
  <c r="S96" i="4"/>
  <c r="S42" i="4"/>
  <c r="S65" i="4"/>
  <c r="S56" i="4"/>
  <c r="S79" i="4"/>
  <c r="S81" i="4"/>
  <c r="S21" i="4"/>
  <c r="S90" i="4"/>
  <c r="S92" i="4"/>
  <c r="S118" i="4"/>
  <c r="S107" i="4"/>
  <c r="S24" i="4"/>
  <c r="S20" i="4"/>
  <c r="S95" i="4"/>
  <c r="S48" i="4"/>
  <c r="S129" i="4"/>
  <c r="C4" i="6"/>
  <c r="Y5" i="4"/>
  <c r="AA5" i="4" s="1"/>
  <c r="U99" i="4"/>
  <c r="U68" i="4"/>
  <c r="U83" i="4"/>
  <c r="U125" i="4"/>
  <c r="U128" i="4"/>
  <c r="U70" i="4"/>
  <c r="U89" i="4"/>
  <c r="U27" i="4"/>
  <c r="U42" i="4"/>
  <c r="U67" i="4"/>
  <c r="U15" i="4"/>
  <c r="U104" i="4"/>
  <c r="U69" i="4"/>
  <c r="U63" i="4"/>
  <c r="U43" i="4"/>
  <c r="U60" i="4"/>
  <c r="U111" i="4"/>
  <c r="U115" i="4"/>
  <c r="U122" i="4"/>
  <c r="U103" i="4"/>
  <c r="U28" i="4"/>
  <c r="U8" i="4"/>
  <c r="U109" i="4"/>
  <c r="U13" i="4"/>
  <c r="U57" i="4"/>
  <c r="U86" i="4"/>
  <c r="U82" i="4"/>
  <c r="U101" i="4"/>
  <c r="U123" i="4"/>
  <c r="U121" i="4"/>
  <c r="U26" i="4"/>
  <c r="U18" i="4"/>
  <c r="U21" i="4"/>
  <c r="U62" i="4"/>
  <c r="U90" i="4"/>
  <c r="U92" i="4"/>
  <c r="U45" i="4"/>
  <c r="U58" i="4"/>
  <c r="U107" i="4"/>
  <c r="U85" i="4"/>
  <c r="U9" i="4"/>
  <c r="U24" i="4"/>
  <c r="U25" i="4"/>
  <c r="U95" i="4"/>
  <c r="U17" i="4"/>
  <c r="U116" i="4"/>
  <c r="U73" i="4"/>
  <c r="U36" i="4"/>
  <c r="U118" i="4"/>
  <c r="U34" i="4"/>
  <c r="U20" i="4"/>
  <c r="U59" i="4"/>
  <c r="U32" i="4"/>
  <c r="U40" i="4"/>
  <c r="U93" i="4"/>
  <c r="U39" i="4"/>
  <c r="U66" i="4"/>
  <c r="U48" i="4"/>
  <c r="U50" i="4"/>
  <c r="U56" i="4"/>
  <c r="U79" i="4"/>
  <c r="U46" i="4"/>
  <c r="U71" i="4"/>
  <c r="U38" i="4"/>
  <c r="U49" i="4"/>
  <c r="U35" i="4"/>
  <c r="U126" i="4"/>
  <c r="U72" i="4"/>
  <c r="U16" i="4"/>
  <c r="U22" i="4"/>
  <c r="U113" i="4"/>
  <c r="U51" i="4"/>
  <c r="U30" i="4"/>
  <c r="U54" i="4"/>
  <c r="U12" i="4"/>
  <c r="U76" i="4"/>
  <c r="U100" i="4"/>
  <c r="U106" i="4"/>
  <c r="U75" i="4"/>
  <c r="U117" i="4"/>
  <c r="U105" i="4"/>
  <c r="U98" i="4"/>
  <c r="U33" i="4"/>
  <c r="U44" i="4"/>
  <c r="U61" i="4"/>
  <c r="U65" i="4"/>
  <c r="U114" i="4"/>
  <c r="U29" i="4"/>
  <c r="U80" i="4"/>
  <c r="U74" i="4"/>
  <c r="U124" i="4"/>
  <c r="U77" i="4"/>
  <c r="U102" i="4"/>
  <c r="U47" i="4"/>
  <c r="U127" i="4"/>
  <c r="U7" i="4"/>
  <c r="U55" i="4"/>
  <c r="U23" i="4"/>
  <c r="U19" i="4"/>
  <c r="U96" i="4"/>
  <c r="U129" i="4"/>
  <c r="U97" i="4"/>
  <c r="U81" i="4"/>
  <c r="U10" i="4"/>
  <c r="U120" i="4"/>
  <c r="U110" i="4"/>
  <c r="U53" i="4"/>
  <c r="U41" i="4"/>
  <c r="U88" i="4"/>
  <c r="U87" i="4"/>
  <c r="U112" i="4"/>
  <c r="U31" i="4"/>
  <c r="U37" i="4"/>
  <c r="U14" i="4"/>
  <c r="U84" i="4"/>
  <c r="U94" i="4"/>
  <c r="U52" i="4"/>
  <c r="U91" i="4"/>
  <c r="U11" i="4"/>
  <c r="U119" i="4"/>
  <c r="U64" i="4"/>
  <c r="U108" i="4"/>
  <c r="U78" i="4"/>
  <c r="Q22" i="6"/>
  <c r="Q23" i="6" s="1"/>
  <c r="Q24" i="6"/>
  <c r="U2" i="4"/>
  <c r="S2" i="4"/>
  <c r="Y2" i="4"/>
  <c r="AA2" i="4" s="1"/>
  <c r="AC5" i="4" l="1"/>
  <c r="AE5" i="4" s="1"/>
  <c r="W52" i="4"/>
  <c r="W16" i="4"/>
  <c r="W88" i="4"/>
  <c r="W61" i="4"/>
  <c r="W17" i="4"/>
  <c r="W129" i="4"/>
  <c r="W79" i="4"/>
  <c r="W28" i="4"/>
  <c r="W94" i="4"/>
  <c r="W125" i="4"/>
  <c r="W69" i="4"/>
  <c r="W76" i="4"/>
  <c r="W101" i="4"/>
  <c r="W78" i="4"/>
  <c r="W33" i="4"/>
  <c r="W25" i="4"/>
  <c r="W15" i="4"/>
  <c r="W23" i="4"/>
  <c r="W115" i="4"/>
  <c r="W111" i="4"/>
  <c r="W77" i="4"/>
  <c r="W59" i="4"/>
  <c r="W84" i="4"/>
  <c r="W12" i="4"/>
  <c r="W122" i="4"/>
  <c r="W98" i="4"/>
  <c r="W86" i="4"/>
  <c r="W64" i="4"/>
  <c r="W105" i="4"/>
  <c r="W57" i="4"/>
  <c r="W29" i="4"/>
  <c r="W100" i="4"/>
  <c r="W45" i="4"/>
  <c r="W128" i="4"/>
  <c r="W96" i="4"/>
  <c r="W72" i="4"/>
  <c r="W95" i="4"/>
  <c r="W103" i="4"/>
  <c r="W53" i="4"/>
  <c r="W124" i="4"/>
  <c r="W50" i="4"/>
  <c r="W82" i="4"/>
  <c r="W14" i="4"/>
  <c r="W74" i="4"/>
  <c r="W35" i="4"/>
  <c r="W34" i="4"/>
  <c r="W24" i="4"/>
  <c r="W67" i="4"/>
  <c r="W37" i="4"/>
  <c r="W55" i="4"/>
  <c r="W30" i="4"/>
  <c r="W118" i="4"/>
  <c r="W9" i="4"/>
  <c r="W42" i="4"/>
  <c r="W119" i="4"/>
  <c r="Y7" i="4"/>
  <c r="W51" i="4"/>
  <c r="W39" i="4"/>
  <c r="W85" i="4"/>
  <c r="W13" i="4"/>
  <c r="W27" i="4"/>
  <c r="W112" i="4"/>
  <c r="W127" i="4"/>
  <c r="W75" i="4"/>
  <c r="W71" i="4"/>
  <c r="W73" i="4"/>
  <c r="W26" i="4"/>
  <c r="W43" i="4"/>
  <c r="W102" i="4"/>
  <c r="W32" i="4"/>
  <c r="W123" i="4"/>
  <c r="W41" i="4"/>
  <c r="W44" i="4"/>
  <c r="W56" i="4"/>
  <c r="W92" i="4"/>
  <c r="W104" i="4"/>
  <c r="W19" i="4"/>
  <c r="W126" i="4"/>
  <c r="W20" i="4"/>
  <c r="W90" i="4"/>
  <c r="W83" i="4"/>
  <c r="W108" i="4"/>
  <c r="W110" i="4"/>
  <c r="W54" i="4"/>
  <c r="W48" i="4"/>
  <c r="W62" i="4"/>
  <c r="W68" i="4"/>
  <c r="W120" i="4"/>
  <c r="W80" i="4"/>
  <c r="W49" i="4"/>
  <c r="W66" i="4"/>
  <c r="W21" i="4"/>
  <c r="W99" i="4"/>
  <c r="W31" i="4"/>
  <c r="W117" i="4"/>
  <c r="W38" i="4"/>
  <c r="W36" i="4"/>
  <c r="W18" i="4"/>
  <c r="W60" i="4"/>
  <c r="Y6" i="4"/>
  <c r="AA6" i="4" s="1"/>
  <c r="W81" i="4"/>
  <c r="W114" i="4"/>
  <c r="W113" i="4"/>
  <c r="W93" i="4"/>
  <c r="W107" i="4"/>
  <c r="W109" i="4"/>
  <c r="W89" i="4"/>
  <c r="W91" i="4"/>
  <c r="W87" i="4"/>
  <c r="W97" i="4"/>
  <c r="W47" i="4"/>
  <c r="W65" i="4"/>
  <c r="W106" i="4"/>
  <c r="W22" i="4"/>
  <c r="W46" i="4"/>
  <c r="W40" i="4"/>
  <c r="W116" i="4"/>
  <c r="W58" i="4"/>
  <c r="W121" i="4"/>
  <c r="W8" i="4"/>
  <c r="W63" i="4"/>
  <c r="W70" i="4"/>
  <c r="C6" i="6"/>
  <c r="C5" i="6"/>
  <c r="Y52" i="4"/>
  <c r="Y120" i="4"/>
  <c r="Y80" i="4"/>
  <c r="Y49" i="4"/>
  <c r="Y123" i="4"/>
  <c r="Y57" i="4"/>
  <c r="Y103" i="4"/>
  <c r="Y31" i="4"/>
  <c r="Y10" i="4"/>
  <c r="Y96" i="4"/>
  <c r="Y117" i="4"/>
  <c r="Y76" i="4"/>
  <c r="Y51" i="4"/>
  <c r="Y72" i="4"/>
  <c r="Y38" i="4"/>
  <c r="Y59" i="4"/>
  <c r="Y36" i="4"/>
  <c r="Y101" i="4"/>
  <c r="Y13" i="4"/>
  <c r="Y60" i="4"/>
  <c r="Y104" i="4"/>
  <c r="Y27" i="4"/>
  <c r="Y125" i="4"/>
  <c r="Y119" i="4"/>
  <c r="Y94" i="4"/>
  <c r="Y41" i="4"/>
  <c r="Y77" i="4"/>
  <c r="Y29" i="4"/>
  <c r="Y44" i="4"/>
  <c r="Y56" i="4"/>
  <c r="Y39" i="4"/>
  <c r="Y95" i="4"/>
  <c r="Y85" i="4"/>
  <c r="Y92" i="4"/>
  <c r="Y18" i="4"/>
  <c r="Y122" i="4"/>
  <c r="Y15" i="4"/>
  <c r="Y118" i="4"/>
  <c r="Y84" i="4"/>
  <c r="Y112" i="4"/>
  <c r="Y53" i="4"/>
  <c r="Y81" i="4"/>
  <c r="Y19" i="4"/>
  <c r="Y124" i="4"/>
  <c r="Y114" i="4"/>
  <c r="Y33" i="4"/>
  <c r="Y126" i="4"/>
  <c r="Y71" i="4"/>
  <c r="Y93" i="4"/>
  <c r="Y90" i="4"/>
  <c r="Y26" i="4"/>
  <c r="Y109" i="4"/>
  <c r="Y43" i="4"/>
  <c r="Y89" i="4"/>
  <c r="Y83" i="4"/>
  <c r="Y127" i="4"/>
  <c r="Y75" i="4"/>
  <c r="Y12" i="4"/>
  <c r="Y113" i="4"/>
  <c r="Y50" i="4"/>
  <c r="Y20" i="4"/>
  <c r="Y73" i="4"/>
  <c r="Y25" i="4"/>
  <c r="Y107" i="4"/>
  <c r="Y82" i="4"/>
  <c r="Y67" i="4"/>
  <c r="Y68" i="4"/>
  <c r="Y100" i="4"/>
  <c r="Y21" i="4"/>
  <c r="Y91" i="4"/>
  <c r="Y110" i="4"/>
  <c r="Y97" i="4"/>
  <c r="Y47" i="4"/>
  <c r="Y74" i="4"/>
  <c r="Y98" i="4"/>
  <c r="Y106" i="4"/>
  <c r="Y54" i="4"/>
  <c r="Y35" i="4"/>
  <c r="Y48" i="4"/>
  <c r="Y34" i="4"/>
  <c r="Y116" i="4"/>
  <c r="Y58" i="4"/>
  <c r="Y121" i="4"/>
  <c r="Y86" i="4"/>
  <c r="Y8" i="4"/>
  <c r="Y115" i="4"/>
  <c r="Y63" i="4"/>
  <c r="Y70" i="4"/>
  <c r="Y64" i="4"/>
  <c r="Y129" i="4"/>
  <c r="Y16" i="4"/>
  <c r="Y78" i="4"/>
  <c r="Y11" i="4"/>
  <c r="Y108" i="4"/>
  <c r="Y14" i="4"/>
  <c r="Y87" i="4"/>
  <c r="Y23" i="4"/>
  <c r="Y65" i="4"/>
  <c r="Y22" i="4"/>
  <c r="Y46" i="4"/>
  <c r="Y40" i="4"/>
  <c r="Y24" i="4"/>
  <c r="Y62" i="4"/>
  <c r="Y28" i="4"/>
  <c r="Y111" i="4"/>
  <c r="Y128" i="4"/>
  <c r="Y88" i="4"/>
  <c r="Y55" i="4"/>
  <c r="Y17" i="4"/>
  <c r="Y37" i="4"/>
  <c r="Y102" i="4"/>
  <c r="Y61" i="4"/>
  <c r="Y105" i="4"/>
  <c r="Y30" i="4"/>
  <c r="Y79" i="4"/>
  <c r="Y66" i="4"/>
  <c r="Y32" i="4"/>
  <c r="Y9" i="4"/>
  <c r="Y45" i="4"/>
  <c r="Y69" i="4"/>
  <c r="Y42" i="4"/>
  <c r="Y99" i="4"/>
  <c r="AG5" i="4"/>
  <c r="AI5" i="4" s="1"/>
  <c r="Q25" i="6"/>
  <c r="AC2" i="4"/>
  <c r="W2" i="4"/>
  <c r="AE2" i="4"/>
  <c r="AG2" i="4"/>
  <c r="AI2" i="4" s="1"/>
  <c r="C7" i="6" l="1"/>
  <c r="AA66" i="4"/>
  <c r="AA46" i="4"/>
  <c r="AA106" i="4"/>
  <c r="AA29" i="4"/>
  <c r="AA55" i="4"/>
  <c r="AA100" i="4"/>
  <c r="AA86" i="4"/>
  <c r="AA76" i="4"/>
  <c r="AA98" i="4"/>
  <c r="AA117" i="4"/>
  <c r="AA92" i="4"/>
  <c r="AA122" i="4"/>
  <c r="AA121" i="4"/>
  <c r="AA18" i="4"/>
  <c r="AA129" i="4"/>
  <c r="AA90" i="4"/>
  <c r="AA120" i="4"/>
  <c r="AA42" i="4"/>
  <c r="AA47" i="4"/>
  <c r="AA94" i="4"/>
  <c r="AA112" i="4"/>
  <c r="AA124" i="4"/>
  <c r="AA79" i="4"/>
  <c r="AA16" i="4"/>
  <c r="AA26" i="4"/>
  <c r="AA80" i="4"/>
  <c r="AA65" i="4"/>
  <c r="AA67" i="4"/>
  <c r="AA41" i="4"/>
  <c r="AA116" i="4"/>
  <c r="AA93" i="4"/>
  <c r="AA52" i="4"/>
  <c r="AA28" i="4"/>
  <c r="AA97" i="4"/>
  <c r="AA119" i="4"/>
  <c r="AA25" i="4"/>
  <c r="AA78" i="4"/>
  <c r="AA50" i="4"/>
  <c r="AA60" i="4"/>
  <c r="AA88" i="4"/>
  <c r="AA68" i="4"/>
  <c r="AA19" i="4"/>
  <c r="AA13" i="4"/>
  <c r="AA99" i="4"/>
  <c r="AA30" i="4"/>
  <c r="AA58" i="4"/>
  <c r="AA101" i="4"/>
  <c r="AA105" i="4"/>
  <c r="AA23" i="4"/>
  <c r="AA82" i="4"/>
  <c r="AA85" i="4"/>
  <c r="AA10" i="4"/>
  <c r="AA61" i="4"/>
  <c r="AA70" i="4"/>
  <c r="AA127" i="4"/>
  <c r="AA71" i="4"/>
  <c r="AA59" i="4"/>
  <c r="AA31" i="4"/>
  <c r="AC6" i="4"/>
  <c r="AA45" i="4"/>
  <c r="AA62" i="4"/>
  <c r="AA63" i="4"/>
  <c r="AA48" i="4"/>
  <c r="AA83" i="4"/>
  <c r="AA84" i="4"/>
  <c r="AA39" i="4"/>
  <c r="AA38" i="4"/>
  <c r="AA7" i="4"/>
  <c r="AA37" i="4"/>
  <c r="AA108" i="4"/>
  <c r="AA35" i="4"/>
  <c r="AA73" i="4"/>
  <c r="AA118" i="4"/>
  <c r="AA72" i="4"/>
  <c r="AA109" i="4"/>
  <c r="AA49" i="4"/>
  <c r="AA22" i="4"/>
  <c r="AA113" i="4"/>
  <c r="AA77" i="4"/>
  <c r="AA128" i="4"/>
  <c r="AA74" i="4"/>
  <c r="AA81" i="4"/>
  <c r="AA96" i="4"/>
  <c r="AA111" i="4"/>
  <c r="AA64" i="4"/>
  <c r="AA75" i="4"/>
  <c r="AA53" i="4"/>
  <c r="AA36" i="4"/>
  <c r="AA69" i="4"/>
  <c r="AA87" i="4"/>
  <c r="AA34" i="4"/>
  <c r="AA107" i="4"/>
  <c r="AA95" i="4"/>
  <c r="AA102" i="4"/>
  <c r="AA14" i="4"/>
  <c r="AA110" i="4"/>
  <c r="AA126" i="4"/>
  <c r="AA125" i="4"/>
  <c r="AA103" i="4"/>
  <c r="AC7" i="4"/>
  <c r="AA9" i="4"/>
  <c r="AA24" i="4"/>
  <c r="AA115" i="4"/>
  <c r="AA91" i="4"/>
  <c r="AA89" i="4"/>
  <c r="AA33" i="4"/>
  <c r="AA56" i="4"/>
  <c r="AA27" i="4"/>
  <c r="AA57" i="4"/>
  <c r="AA32" i="4"/>
  <c r="AA17" i="4"/>
  <c r="AA40" i="4"/>
  <c r="AC8" i="4"/>
  <c r="AA54" i="4"/>
  <c r="AA21" i="4"/>
  <c r="AA20" i="4"/>
  <c r="AA43" i="4"/>
  <c r="AA114" i="4"/>
  <c r="AA15" i="4"/>
  <c r="AA44" i="4"/>
  <c r="AA104" i="4"/>
  <c r="AA51" i="4"/>
  <c r="AA123" i="4"/>
  <c r="C8" i="6"/>
  <c r="AC45" i="4"/>
  <c r="AC66" i="4"/>
  <c r="AC55" i="4"/>
  <c r="AC46" i="4"/>
  <c r="AC70" i="4"/>
  <c r="AC34" i="4"/>
  <c r="AC106" i="4"/>
  <c r="AC97" i="4"/>
  <c r="AC124" i="4"/>
  <c r="AC122" i="4"/>
  <c r="AC29" i="4"/>
  <c r="AC119" i="4"/>
  <c r="AC59" i="4"/>
  <c r="AC69" i="4"/>
  <c r="AC61" i="4"/>
  <c r="AC28" i="4"/>
  <c r="AC87" i="4"/>
  <c r="AC78" i="4"/>
  <c r="AC86" i="4"/>
  <c r="AC100" i="4"/>
  <c r="AC107" i="4"/>
  <c r="AC50" i="4"/>
  <c r="AC127" i="4"/>
  <c r="AC109" i="4"/>
  <c r="AC71" i="4"/>
  <c r="AC112" i="4"/>
  <c r="AC95" i="4"/>
  <c r="AC60" i="4"/>
  <c r="AC76" i="4"/>
  <c r="AC31" i="4"/>
  <c r="AC49" i="4"/>
  <c r="AC79" i="4"/>
  <c r="AC102" i="4"/>
  <c r="AC88" i="4"/>
  <c r="AC22" i="4"/>
  <c r="AC121" i="4"/>
  <c r="AC48" i="4"/>
  <c r="AC110" i="4"/>
  <c r="AC68" i="4"/>
  <c r="AC113" i="4"/>
  <c r="AC83" i="4"/>
  <c r="AC26" i="4"/>
  <c r="AC126" i="4"/>
  <c r="AC19" i="4"/>
  <c r="AC84" i="4"/>
  <c r="AC39" i="4"/>
  <c r="AC77" i="4"/>
  <c r="AC125" i="4"/>
  <c r="AC13" i="4"/>
  <c r="AC38" i="4"/>
  <c r="AC117" i="4"/>
  <c r="AC103" i="4"/>
  <c r="AC62" i="4"/>
  <c r="AC14" i="4"/>
  <c r="AC16" i="4"/>
  <c r="AC63" i="4"/>
  <c r="AC98" i="4"/>
  <c r="AC25" i="4"/>
  <c r="AC18" i="4"/>
  <c r="AC80" i="4"/>
  <c r="AC30" i="4"/>
  <c r="AC128" i="4"/>
  <c r="AC24" i="4"/>
  <c r="AC65" i="4"/>
  <c r="AC108" i="4"/>
  <c r="AC129" i="4"/>
  <c r="AC115" i="4"/>
  <c r="AC58" i="4"/>
  <c r="AC35" i="4"/>
  <c r="AC73" i="4"/>
  <c r="AC12" i="4"/>
  <c r="AC89" i="4"/>
  <c r="AC90" i="4"/>
  <c r="AC81" i="4"/>
  <c r="AC92" i="4"/>
  <c r="AC41" i="4"/>
  <c r="AC27" i="4"/>
  <c r="AC101" i="4"/>
  <c r="AC9" i="4"/>
  <c r="AC37" i="4"/>
  <c r="AC74" i="4"/>
  <c r="AC91" i="4"/>
  <c r="AC67" i="4"/>
  <c r="AC33" i="4"/>
  <c r="AC118" i="4"/>
  <c r="AC56" i="4"/>
  <c r="AC72" i="4"/>
  <c r="AC96" i="4"/>
  <c r="AC57" i="4"/>
  <c r="AC120" i="4"/>
  <c r="AC99" i="4"/>
  <c r="AC105" i="4"/>
  <c r="AC17" i="4"/>
  <c r="AC111" i="4"/>
  <c r="AC40" i="4"/>
  <c r="AC11" i="4"/>
  <c r="AC82" i="4"/>
  <c r="AC75" i="4"/>
  <c r="AC114" i="4"/>
  <c r="AC15" i="4"/>
  <c r="AC85" i="4"/>
  <c r="AC44" i="4"/>
  <c r="AC104" i="4"/>
  <c r="AC36" i="4"/>
  <c r="AC51" i="4"/>
  <c r="AC10" i="4"/>
  <c r="AC32" i="4"/>
  <c r="AC42" i="4"/>
  <c r="AC23" i="4"/>
  <c r="AC64" i="4"/>
  <c r="AC116" i="4"/>
  <c r="AC54" i="4"/>
  <c r="AC47" i="4"/>
  <c r="AC21" i="4"/>
  <c r="AC20" i="4"/>
  <c r="AC43" i="4"/>
  <c r="AC93" i="4"/>
  <c r="AC53" i="4"/>
  <c r="AC94" i="4"/>
  <c r="AC123" i="4"/>
  <c r="AC52" i="4"/>
  <c r="AK5" i="4"/>
  <c r="AM5" i="4" s="1"/>
  <c r="AK2" i="4"/>
  <c r="AM2" i="4"/>
  <c r="AO2" i="4"/>
  <c r="AS2" i="4"/>
  <c r="AW2" i="4"/>
  <c r="AU2" i="4"/>
  <c r="Q26" i="6"/>
  <c r="C10" i="6" l="1"/>
  <c r="C9" i="6"/>
  <c r="AE7" i="4"/>
  <c r="AE129" i="4"/>
  <c r="AE21" i="4"/>
  <c r="AE10" i="4"/>
  <c r="AE91" i="4"/>
  <c r="AE26" i="4"/>
  <c r="AE122" i="4"/>
  <c r="AE20" i="4"/>
  <c r="AE32" i="4"/>
  <c r="AE114" i="4"/>
  <c r="AE99" i="4"/>
  <c r="AE67" i="4"/>
  <c r="AE92" i="4"/>
  <c r="AE115" i="4"/>
  <c r="AE18" i="4"/>
  <c r="AE117" i="4"/>
  <c r="AE126" i="4"/>
  <c r="AE22" i="4"/>
  <c r="AE95" i="4"/>
  <c r="AE86" i="4"/>
  <c r="AE29" i="4"/>
  <c r="AE55" i="4"/>
  <c r="AE75" i="4"/>
  <c r="AE81" i="4"/>
  <c r="AE38" i="4"/>
  <c r="AE78" i="4"/>
  <c r="AE52" i="4"/>
  <c r="AE82" i="4"/>
  <c r="AE90" i="4"/>
  <c r="AE83" i="4"/>
  <c r="AE71" i="4"/>
  <c r="AE45" i="4"/>
  <c r="AG6" i="4"/>
  <c r="AE6" i="4"/>
  <c r="AE36" i="4"/>
  <c r="AE37" i="4"/>
  <c r="AE125" i="4"/>
  <c r="AE28" i="4"/>
  <c r="AE56" i="4"/>
  <c r="AE88" i="4"/>
  <c r="AE66" i="4"/>
  <c r="AE51" i="4"/>
  <c r="AE74" i="4"/>
  <c r="AE98" i="4"/>
  <c r="AE87" i="4"/>
  <c r="AE54" i="4"/>
  <c r="AE11" i="4"/>
  <c r="AE89" i="4"/>
  <c r="AE63" i="4"/>
  <c r="AE79" i="4"/>
  <c r="AE97" i="4"/>
  <c r="AG7" i="4"/>
  <c r="AE8" i="4"/>
  <c r="AE94" i="4"/>
  <c r="AE104" i="4"/>
  <c r="AE72" i="4"/>
  <c r="AE77" i="4"/>
  <c r="AE127" i="4"/>
  <c r="AE61" i="4"/>
  <c r="AE53" i="4"/>
  <c r="AE64" i="4"/>
  <c r="AE44" i="4"/>
  <c r="AE111" i="4"/>
  <c r="AE101" i="4"/>
  <c r="AE73" i="4"/>
  <c r="AE128" i="4"/>
  <c r="AE14" i="4"/>
  <c r="AE39" i="4"/>
  <c r="AE110" i="4"/>
  <c r="AE31" i="4"/>
  <c r="AE50" i="4"/>
  <c r="AE69" i="4"/>
  <c r="AE34" i="4"/>
  <c r="AE93" i="4"/>
  <c r="AE23" i="4"/>
  <c r="AE85" i="4"/>
  <c r="AE17" i="4"/>
  <c r="AE118" i="4"/>
  <c r="AE27" i="4"/>
  <c r="AE35" i="4"/>
  <c r="AE30" i="4"/>
  <c r="AE62" i="4"/>
  <c r="AE84" i="4"/>
  <c r="AE48" i="4"/>
  <c r="AE76" i="4"/>
  <c r="AE107" i="4"/>
  <c r="AE59" i="4"/>
  <c r="AE70" i="4"/>
  <c r="AE120" i="4"/>
  <c r="AE25" i="4"/>
  <c r="AE112" i="4"/>
  <c r="AE47" i="4"/>
  <c r="AE57" i="4"/>
  <c r="AE108" i="4"/>
  <c r="AE102" i="4"/>
  <c r="AE124" i="4"/>
  <c r="AE123" i="4"/>
  <c r="AE96" i="4"/>
  <c r="AE65" i="4"/>
  <c r="AE113" i="4"/>
  <c r="AE109" i="4"/>
  <c r="AE116" i="4"/>
  <c r="AE40" i="4"/>
  <c r="AG9" i="4"/>
  <c r="AE24" i="4"/>
  <c r="AE16" i="4"/>
  <c r="AE68" i="4"/>
  <c r="AE49" i="4"/>
  <c r="AE106" i="4"/>
  <c r="AE43" i="4"/>
  <c r="AE42" i="4"/>
  <c r="AE15" i="4"/>
  <c r="AE105" i="4"/>
  <c r="AE33" i="4"/>
  <c r="AE41" i="4"/>
  <c r="AE58" i="4"/>
  <c r="AE80" i="4"/>
  <c r="AE103" i="4"/>
  <c r="AE19" i="4"/>
  <c r="AE121" i="4"/>
  <c r="AE60" i="4"/>
  <c r="AE100" i="4"/>
  <c r="AE119" i="4"/>
  <c r="AE46" i="4"/>
  <c r="AG8" i="4"/>
  <c r="C12" i="6"/>
  <c r="C11" i="6"/>
  <c r="AG126" i="4"/>
  <c r="AG47" i="4"/>
  <c r="AG15" i="4"/>
  <c r="AG11" i="4"/>
  <c r="AG105" i="4"/>
  <c r="AG37" i="4"/>
  <c r="AG41" i="4"/>
  <c r="AG63" i="4"/>
  <c r="AG103" i="4"/>
  <c r="AG19" i="4"/>
  <c r="AG60" i="4"/>
  <c r="AG109" i="4"/>
  <c r="AG97" i="4"/>
  <c r="AG117" i="4"/>
  <c r="AG36" i="4"/>
  <c r="AG96" i="4"/>
  <c r="AG33" i="4"/>
  <c r="AG89" i="4"/>
  <c r="AG58" i="4"/>
  <c r="AG65" i="4"/>
  <c r="AG80" i="4"/>
  <c r="AG125" i="4"/>
  <c r="AG113" i="4"/>
  <c r="AG121" i="4"/>
  <c r="AG79" i="4"/>
  <c r="AG100" i="4"/>
  <c r="AG28" i="4"/>
  <c r="AG119" i="4"/>
  <c r="AG46" i="4"/>
  <c r="AG94" i="4"/>
  <c r="AG67" i="4"/>
  <c r="AG22" i="4"/>
  <c r="AG54" i="4"/>
  <c r="AG123" i="4"/>
  <c r="AG43" i="4"/>
  <c r="AG42" i="4"/>
  <c r="AG114" i="4"/>
  <c r="AG40" i="4"/>
  <c r="AG99" i="4"/>
  <c r="AG12" i="4"/>
  <c r="AG115" i="4"/>
  <c r="AG24" i="4"/>
  <c r="AG16" i="4"/>
  <c r="AG77" i="4"/>
  <c r="AG68" i="4"/>
  <c r="AG49" i="4"/>
  <c r="AG95" i="4"/>
  <c r="AG127" i="4"/>
  <c r="AG92" i="4"/>
  <c r="AG18" i="4"/>
  <c r="AG86" i="4"/>
  <c r="AG61" i="4"/>
  <c r="AG29" i="4"/>
  <c r="AG106" i="4"/>
  <c r="AG55" i="4"/>
  <c r="AG20" i="4"/>
  <c r="AG116" i="4"/>
  <c r="AG32" i="4"/>
  <c r="AG44" i="4"/>
  <c r="AG75" i="4"/>
  <c r="AG111" i="4"/>
  <c r="AG120" i="4"/>
  <c r="AG101" i="4"/>
  <c r="AG81" i="4"/>
  <c r="AG129" i="4"/>
  <c r="AG14" i="4"/>
  <c r="AG39" i="4"/>
  <c r="AG26" i="4"/>
  <c r="AG110" i="4"/>
  <c r="AG112" i="4"/>
  <c r="AG69" i="4"/>
  <c r="AG53" i="4"/>
  <c r="AG64" i="4"/>
  <c r="AG10" i="4"/>
  <c r="AG56" i="4"/>
  <c r="AG91" i="4"/>
  <c r="AG73" i="4"/>
  <c r="AG128" i="4"/>
  <c r="AG25" i="4"/>
  <c r="AG38" i="4"/>
  <c r="AG88" i="4"/>
  <c r="AG31" i="4"/>
  <c r="AG50" i="4"/>
  <c r="AG78" i="4"/>
  <c r="AG122" i="4"/>
  <c r="AG34" i="4"/>
  <c r="AG66" i="4"/>
  <c r="AG51" i="4"/>
  <c r="AG82" i="4"/>
  <c r="AG17" i="4"/>
  <c r="AG90" i="4"/>
  <c r="AG108" i="4"/>
  <c r="AG30" i="4"/>
  <c r="AG13" i="4"/>
  <c r="AG84" i="4"/>
  <c r="AG83" i="4"/>
  <c r="AG76" i="4"/>
  <c r="AG71" i="4"/>
  <c r="AG107" i="4"/>
  <c r="AG87" i="4"/>
  <c r="AG104" i="4"/>
  <c r="AG72" i="4"/>
  <c r="AG21" i="4"/>
  <c r="AG52" i="4"/>
  <c r="AG93" i="4"/>
  <c r="AG23" i="4"/>
  <c r="AG85" i="4"/>
  <c r="AG57" i="4"/>
  <c r="AG118" i="4"/>
  <c r="AG74" i="4"/>
  <c r="AG27" i="4"/>
  <c r="AG35" i="4"/>
  <c r="AG98" i="4"/>
  <c r="AG62" i="4"/>
  <c r="AG48" i="4"/>
  <c r="AG102" i="4"/>
  <c r="AG59" i="4"/>
  <c r="AG124" i="4"/>
  <c r="AG70" i="4"/>
  <c r="AG45" i="4"/>
  <c r="AO5" i="4"/>
  <c r="AQ5" i="4" s="1"/>
  <c r="Q27" i="6"/>
  <c r="AQ2" i="4"/>
  <c r="BA2" i="4"/>
  <c r="AY2" i="4"/>
  <c r="AK7" i="4" l="1"/>
  <c r="AI9" i="4"/>
  <c r="AI20" i="4"/>
  <c r="AI12" i="4"/>
  <c r="AI22" i="4"/>
  <c r="AI45" i="4"/>
  <c r="AI52" i="4"/>
  <c r="AI51" i="4"/>
  <c r="AI53" i="4"/>
  <c r="AI121" i="4"/>
  <c r="AI63" i="4"/>
  <c r="AI70" i="4"/>
  <c r="AI27" i="4"/>
  <c r="AI21" i="4"/>
  <c r="AI84" i="4"/>
  <c r="AI66" i="4"/>
  <c r="AI25" i="4"/>
  <c r="AI69" i="4"/>
  <c r="AI101" i="4"/>
  <c r="AI55" i="4"/>
  <c r="AI95" i="4"/>
  <c r="AI99" i="4"/>
  <c r="AI67" i="4"/>
  <c r="AI113" i="4"/>
  <c r="AI36" i="4"/>
  <c r="AI41" i="4"/>
  <c r="AI72" i="4"/>
  <c r="AI49" i="4"/>
  <c r="AI127" i="4"/>
  <c r="AI124" i="4"/>
  <c r="AI112" i="4"/>
  <c r="AI40" i="4"/>
  <c r="AI37" i="4"/>
  <c r="AI118" i="4"/>
  <c r="AI110" i="4"/>
  <c r="AI29" i="4"/>
  <c r="AI97" i="4"/>
  <c r="AI35" i="4"/>
  <c r="AI34" i="4"/>
  <c r="AI120" i="4"/>
  <c r="AI125" i="4"/>
  <c r="AI59" i="4"/>
  <c r="AI30" i="4"/>
  <c r="AI73" i="4"/>
  <c r="AI114" i="4"/>
  <c r="AI105" i="4"/>
  <c r="AK9" i="4"/>
  <c r="AI87" i="4"/>
  <c r="AI26" i="4"/>
  <c r="AI65" i="4"/>
  <c r="AI16" i="4"/>
  <c r="AI83" i="4"/>
  <c r="AI38" i="4"/>
  <c r="AI81" i="4"/>
  <c r="AI96" i="4"/>
  <c r="AI74" i="4"/>
  <c r="AI128" i="4"/>
  <c r="AI106" i="4"/>
  <c r="AI94" i="4"/>
  <c r="AI117" i="4"/>
  <c r="AI104" i="4"/>
  <c r="AI122" i="4"/>
  <c r="AI111" i="4"/>
  <c r="AI68" i="4"/>
  <c r="AI46" i="4"/>
  <c r="AI80" i="4"/>
  <c r="AI6" i="4"/>
  <c r="AK6" i="4"/>
  <c r="AO7" i="4" s="1"/>
  <c r="AI57" i="4"/>
  <c r="AI78" i="4"/>
  <c r="AI75" i="4"/>
  <c r="AI77" i="4"/>
  <c r="AI119" i="4"/>
  <c r="AI11" i="4"/>
  <c r="AI48" i="4"/>
  <c r="AI90" i="4"/>
  <c r="AI56" i="4"/>
  <c r="AI44" i="4"/>
  <c r="AI43" i="4"/>
  <c r="AI60" i="4"/>
  <c r="AI23" i="4"/>
  <c r="AI17" i="4"/>
  <c r="AK10" i="4"/>
  <c r="AI18" i="4"/>
  <c r="AI100" i="4"/>
  <c r="AI102" i="4"/>
  <c r="AI108" i="4"/>
  <c r="AI91" i="4"/>
  <c r="AI61" i="4"/>
  <c r="AI42" i="4"/>
  <c r="AI109" i="4"/>
  <c r="AI8" i="4"/>
  <c r="AI85" i="4"/>
  <c r="AI107" i="4"/>
  <c r="AI50" i="4"/>
  <c r="AI39" i="4"/>
  <c r="AI86" i="4"/>
  <c r="AI28" i="4"/>
  <c r="AI58" i="4"/>
  <c r="AI15" i="4"/>
  <c r="AI62" i="4"/>
  <c r="AI71" i="4"/>
  <c r="AI31" i="4"/>
  <c r="AI32" i="4"/>
  <c r="AI24" i="4"/>
  <c r="AI123" i="4"/>
  <c r="AI89" i="4"/>
  <c r="AI19" i="4"/>
  <c r="AI47" i="4"/>
  <c r="AI98" i="4"/>
  <c r="AI93" i="4"/>
  <c r="AI76" i="4"/>
  <c r="AI82" i="4"/>
  <c r="AI88" i="4"/>
  <c r="AI64" i="4"/>
  <c r="AI129" i="4"/>
  <c r="AI116" i="4"/>
  <c r="AI92" i="4"/>
  <c r="AI115" i="4"/>
  <c r="AI54" i="4"/>
  <c r="AI79" i="4"/>
  <c r="AI33" i="4"/>
  <c r="AI103" i="4"/>
  <c r="AI126" i="4"/>
  <c r="AK8" i="4"/>
  <c r="AI7" i="4"/>
  <c r="C13" i="6"/>
  <c r="AK108" i="4"/>
  <c r="AK81" i="4"/>
  <c r="AK119" i="4"/>
  <c r="AK45" i="4"/>
  <c r="AK102" i="4"/>
  <c r="AK52" i="4"/>
  <c r="AK87" i="4"/>
  <c r="AK83" i="4"/>
  <c r="AK129" i="4"/>
  <c r="AK116" i="4"/>
  <c r="AK92" i="4"/>
  <c r="AK115" i="4"/>
  <c r="AK114" i="4"/>
  <c r="AK54" i="4"/>
  <c r="AK80" i="4"/>
  <c r="AK33" i="4"/>
  <c r="AK97" i="4"/>
  <c r="AK103" i="4"/>
  <c r="AK91" i="4"/>
  <c r="AK70" i="4"/>
  <c r="AK48" i="4"/>
  <c r="AK27" i="4"/>
  <c r="AK21" i="4"/>
  <c r="AK90" i="4"/>
  <c r="AK20" i="4"/>
  <c r="AK61" i="4"/>
  <c r="AK127" i="4"/>
  <c r="AK77" i="4"/>
  <c r="AK12" i="4"/>
  <c r="AK121" i="4"/>
  <c r="AK15" i="4"/>
  <c r="AK65" i="4"/>
  <c r="AK85" i="4"/>
  <c r="AK107" i="4"/>
  <c r="AK84" i="4"/>
  <c r="AK66" i="4"/>
  <c r="AK50" i="4"/>
  <c r="AK25" i="4"/>
  <c r="AK56" i="4"/>
  <c r="AK86" i="4"/>
  <c r="AK16" i="4"/>
  <c r="AK99" i="4"/>
  <c r="AK113" i="4"/>
  <c r="AK58" i="4"/>
  <c r="AK38" i="4"/>
  <c r="AK42" i="4"/>
  <c r="AK11" i="4"/>
  <c r="AK71" i="4"/>
  <c r="AK13" i="4"/>
  <c r="AK17" i="4"/>
  <c r="AK31" i="4"/>
  <c r="AK128" i="4"/>
  <c r="AK69" i="4"/>
  <c r="AK39" i="4"/>
  <c r="AK101" i="4"/>
  <c r="AK44" i="4"/>
  <c r="AK55" i="4"/>
  <c r="AK95" i="4"/>
  <c r="AK43" i="4"/>
  <c r="AK67" i="4"/>
  <c r="AK28" i="4"/>
  <c r="AK36" i="4"/>
  <c r="AK60" i="4"/>
  <c r="AK41" i="4"/>
  <c r="AK35" i="4"/>
  <c r="AK78" i="4"/>
  <c r="AK26" i="4"/>
  <c r="AK109" i="4"/>
  <c r="AK124" i="4"/>
  <c r="AK62" i="4"/>
  <c r="AK74" i="4"/>
  <c r="AK23" i="4"/>
  <c r="AK72" i="4"/>
  <c r="AK34" i="4"/>
  <c r="AK120" i="4"/>
  <c r="AK32" i="4"/>
  <c r="AK18" i="4"/>
  <c r="AK24" i="4"/>
  <c r="AK40" i="4"/>
  <c r="AK100" i="4"/>
  <c r="AK89" i="4"/>
  <c r="AK19" i="4"/>
  <c r="AK47" i="4"/>
  <c r="AK57" i="4"/>
  <c r="AK51" i="4"/>
  <c r="AK53" i="4"/>
  <c r="AK75" i="4"/>
  <c r="AK63" i="4"/>
  <c r="AK59" i="4"/>
  <c r="AK118" i="4"/>
  <c r="AK93" i="4"/>
  <c r="AK76" i="4"/>
  <c r="AK30" i="4"/>
  <c r="AK88" i="4"/>
  <c r="AK73" i="4"/>
  <c r="AK112" i="4"/>
  <c r="AK14" i="4"/>
  <c r="AK106" i="4"/>
  <c r="AK49" i="4"/>
  <c r="AK123" i="4"/>
  <c r="AK94" i="4"/>
  <c r="AK125" i="4"/>
  <c r="AK117" i="4"/>
  <c r="AK37" i="4"/>
  <c r="AK126" i="4"/>
  <c r="AK22" i="4"/>
  <c r="AK96" i="4"/>
  <c r="AK98" i="4"/>
  <c r="AK104" i="4"/>
  <c r="AK82" i="4"/>
  <c r="AK122" i="4"/>
  <c r="AK64" i="4"/>
  <c r="AK110" i="4"/>
  <c r="AK111" i="4"/>
  <c r="AK29" i="4"/>
  <c r="AK68" i="4"/>
  <c r="AK46" i="4"/>
  <c r="AK79" i="4"/>
  <c r="AK105" i="4"/>
  <c r="AS5" i="4"/>
  <c r="AU5" i="4" s="1"/>
  <c r="Q28" i="6"/>
  <c r="Q29" i="6" s="1"/>
  <c r="BC2" i="4"/>
  <c r="BE2" i="4"/>
  <c r="AM126" i="4" l="1"/>
  <c r="AM7" i="4"/>
  <c r="AM89" i="4"/>
  <c r="AM13" i="4"/>
  <c r="AM71" i="4"/>
  <c r="AM110" i="4"/>
  <c r="AM35" i="4"/>
  <c r="AM129" i="4"/>
  <c r="AM85" i="4"/>
  <c r="AM9" i="4"/>
  <c r="AO9" i="4"/>
  <c r="AM28" i="4"/>
  <c r="AM20" i="4"/>
  <c r="AM63" i="4"/>
  <c r="AM44" i="4"/>
  <c r="AM83" i="4"/>
  <c r="AM117" i="4"/>
  <c r="AM74" i="4"/>
  <c r="AO11" i="4"/>
  <c r="AM87" i="4"/>
  <c r="AM79" i="4"/>
  <c r="AM53" i="4"/>
  <c r="AM36" i="4"/>
  <c r="AM27" i="4"/>
  <c r="AM46" i="4"/>
  <c r="AM51" i="4"/>
  <c r="AM38" i="4"/>
  <c r="AM109" i="4"/>
  <c r="AM72" i="4"/>
  <c r="AM97" i="4"/>
  <c r="AM64" i="4"/>
  <c r="AM112" i="4"/>
  <c r="AM23" i="4"/>
  <c r="AM86" i="4"/>
  <c r="AM90" i="4"/>
  <c r="AM105" i="4"/>
  <c r="AM73" i="4"/>
  <c r="AM40" i="4"/>
  <c r="AM101" i="4"/>
  <c r="AM21" i="4"/>
  <c r="AM125" i="4"/>
  <c r="AM24" i="4"/>
  <c r="AM39" i="4"/>
  <c r="AM121" i="4"/>
  <c r="AM94" i="4"/>
  <c r="AM124" i="4"/>
  <c r="AM50" i="4"/>
  <c r="AM48" i="4"/>
  <c r="AM102" i="4"/>
  <c r="AM68" i="4"/>
  <c r="AM123" i="4"/>
  <c r="AM32" i="4"/>
  <c r="AM128" i="4"/>
  <c r="AM66" i="4"/>
  <c r="AM115" i="4"/>
  <c r="AM29" i="4"/>
  <c r="AM49" i="4"/>
  <c r="AM47" i="4"/>
  <c r="AM26" i="4"/>
  <c r="AM113" i="4"/>
  <c r="AM84" i="4"/>
  <c r="AM92" i="4"/>
  <c r="AM59" i="4"/>
  <c r="AM55" i="4"/>
  <c r="AM16" i="4"/>
  <c r="AM108" i="4"/>
  <c r="AM37" i="4"/>
  <c r="AM100" i="4"/>
  <c r="AM41" i="4"/>
  <c r="AM65" i="4"/>
  <c r="AM33" i="4"/>
  <c r="AM122" i="4"/>
  <c r="AM75" i="4"/>
  <c r="AM60" i="4"/>
  <c r="AM56" i="4"/>
  <c r="AM80" i="4"/>
  <c r="AM82" i="4"/>
  <c r="AM88" i="4"/>
  <c r="AM62" i="4"/>
  <c r="AM42" i="4"/>
  <c r="AM25" i="4"/>
  <c r="AM54" i="4"/>
  <c r="AM52" i="4"/>
  <c r="AM8" i="4"/>
  <c r="AO8" i="4"/>
  <c r="AM104" i="4"/>
  <c r="AM30" i="4"/>
  <c r="AM18" i="4"/>
  <c r="AM69" i="4"/>
  <c r="AM12" i="4"/>
  <c r="AM114" i="4"/>
  <c r="AM98" i="4"/>
  <c r="AM76" i="4"/>
  <c r="AM57" i="4"/>
  <c r="AM67" i="4"/>
  <c r="AM58" i="4"/>
  <c r="AM77" i="4"/>
  <c r="AM70" i="4"/>
  <c r="AM45" i="4"/>
  <c r="AM96" i="4"/>
  <c r="AM93" i="4"/>
  <c r="AM120" i="4"/>
  <c r="AM43" i="4"/>
  <c r="AM31" i="4"/>
  <c r="AM127" i="4"/>
  <c r="AM91" i="4"/>
  <c r="AM119" i="4"/>
  <c r="AM6" i="4"/>
  <c r="AO6" i="4"/>
  <c r="AM111" i="4"/>
  <c r="AM22" i="4"/>
  <c r="AM106" i="4"/>
  <c r="AM118" i="4"/>
  <c r="AM19" i="4"/>
  <c r="AM34" i="4"/>
  <c r="AM78" i="4"/>
  <c r="AM95" i="4"/>
  <c r="AM17" i="4"/>
  <c r="AM99" i="4"/>
  <c r="AM107" i="4"/>
  <c r="AM61" i="4"/>
  <c r="AM103" i="4"/>
  <c r="AM116" i="4"/>
  <c r="AM81" i="4"/>
  <c r="AO10" i="4"/>
  <c r="AM10" i="4"/>
  <c r="C14" i="6"/>
  <c r="AO13" i="4"/>
  <c r="AO46" i="4"/>
  <c r="AO110" i="4"/>
  <c r="AO126" i="4"/>
  <c r="AO94" i="4"/>
  <c r="AO14" i="4"/>
  <c r="AO51" i="4"/>
  <c r="AO72" i="4"/>
  <c r="AO124" i="4"/>
  <c r="AO35" i="4"/>
  <c r="AO28" i="4"/>
  <c r="AO69" i="4"/>
  <c r="AO70" i="4"/>
  <c r="AO68" i="4"/>
  <c r="AO37" i="4"/>
  <c r="AO100" i="4"/>
  <c r="AO32" i="4"/>
  <c r="AO23" i="4"/>
  <c r="AO109" i="4"/>
  <c r="AO41" i="4"/>
  <c r="AO44" i="4"/>
  <c r="AO58" i="4"/>
  <c r="AO86" i="4"/>
  <c r="AO77" i="4"/>
  <c r="AO90" i="4"/>
  <c r="AO33" i="4"/>
  <c r="AO115" i="4"/>
  <c r="AO83" i="4"/>
  <c r="AO45" i="4"/>
  <c r="AO98" i="4"/>
  <c r="AO123" i="4"/>
  <c r="AO63" i="4"/>
  <c r="AO67" i="4"/>
  <c r="AO128" i="4"/>
  <c r="AO71" i="4"/>
  <c r="AO66" i="4"/>
  <c r="AO65" i="4"/>
  <c r="AO21" i="4"/>
  <c r="AO80" i="4"/>
  <c r="AO92" i="4"/>
  <c r="AO87" i="4"/>
  <c r="AO119" i="4"/>
  <c r="AO96" i="4"/>
  <c r="AO49" i="4"/>
  <c r="AO73" i="4"/>
  <c r="AO75" i="4"/>
  <c r="AO40" i="4"/>
  <c r="AO26" i="4"/>
  <c r="AO43" i="4"/>
  <c r="AO101" i="4"/>
  <c r="AO84" i="4"/>
  <c r="AO15" i="4"/>
  <c r="AO127" i="4"/>
  <c r="AO91" i="4"/>
  <c r="AO64" i="4"/>
  <c r="AO112" i="4"/>
  <c r="AO105" i="4"/>
  <c r="AO29" i="4"/>
  <c r="AO122" i="4"/>
  <c r="AO117" i="4"/>
  <c r="AO93" i="4"/>
  <c r="AO47" i="4"/>
  <c r="AO120" i="4"/>
  <c r="AO74" i="4"/>
  <c r="AO60" i="4"/>
  <c r="AO31" i="4"/>
  <c r="AO113" i="4"/>
  <c r="AO56" i="4"/>
  <c r="AO27" i="4"/>
  <c r="AO103" i="4"/>
  <c r="AO116" i="4"/>
  <c r="AO81" i="4"/>
  <c r="AO76" i="4"/>
  <c r="AO118" i="4"/>
  <c r="AO24" i="4"/>
  <c r="AO34" i="4"/>
  <c r="AO62" i="4"/>
  <c r="AO78" i="4"/>
  <c r="AO36" i="4"/>
  <c r="AO17" i="4"/>
  <c r="AO99" i="4"/>
  <c r="AO25" i="4"/>
  <c r="AO107" i="4"/>
  <c r="AO121" i="4"/>
  <c r="AO61" i="4"/>
  <c r="AO54" i="4"/>
  <c r="AO52" i="4"/>
  <c r="AO57" i="4"/>
  <c r="AW5" i="4"/>
  <c r="AY5" i="4" s="1"/>
  <c r="AO79" i="4"/>
  <c r="AO111" i="4"/>
  <c r="AO82" i="4"/>
  <c r="AO22" i="4"/>
  <c r="AO125" i="4"/>
  <c r="AO106" i="4"/>
  <c r="AO88" i="4"/>
  <c r="AO53" i="4"/>
  <c r="AO19" i="4"/>
  <c r="AO95" i="4"/>
  <c r="AO39" i="4"/>
  <c r="AO42" i="4"/>
  <c r="AO20" i="4"/>
  <c r="AO48" i="4"/>
  <c r="AO97" i="4"/>
  <c r="AO129" i="4"/>
  <c r="AO102" i="4"/>
  <c r="AO108" i="4"/>
  <c r="AO104" i="4"/>
  <c r="AO30" i="4"/>
  <c r="AO59" i="4"/>
  <c r="AO89" i="4"/>
  <c r="AO18" i="4"/>
  <c r="AO55" i="4"/>
  <c r="AO38" i="4"/>
  <c r="AO16" i="4"/>
  <c r="AO50" i="4"/>
  <c r="AO85" i="4"/>
  <c r="AO12" i="4"/>
  <c r="AO114" i="4"/>
  <c r="BG2" i="4"/>
  <c r="Q30" i="6"/>
  <c r="AQ88" i="4" l="1"/>
  <c r="AQ18" i="4"/>
  <c r="AQ57" i="4"/>
  <c r="AQ112" i="4"/>
  <c r="AQ97" i="4"/>
  <c r="AQ17" i="4"/>
  <c r="AQ74" i="4"/>
  <c r="AQ77" i="4"/>
  <c r="AQ100" i="4"/>
  <c r="AQ114" i="4"/>
  <c r="AQ92" i="4"/>
  <c r="AQ48" i="4"/>
  <c r="AQ36" i="4"/>
  <c r="AQ80" i="4"/>
  <c r="AQ51" i="4"/>
  <c r="AQ103" i="4"/>
  <c r="AQ21" i="4"/>
  <c r="AQ30" i="4"/>
  <c r="AQ73" i="4"/>
  <c r="AQ126" i="4"/>
  <c r="AQ116" i="4"/>
  <c r="AQ86" i="4"/>
  <c r="AQ125" i="4"/>
  <c r="AQ75" i="4"/>
  <c r="AQ42" i="4"/>
  <c r="AQ93" i="4"/>
  <c r="AQ44" i="4"/>
  <c r="AQ39" i="4"/>
  <c r="AQ34" i="4"/>
  <c r="AQ41" i="4"/>
  <c r="AQ6" i="4"/>
  <c r="AS6" i="4"/>
  <c r="AQ84" i="4"/>
  <c r="AQ81" i="4"/>
  <c r="AQ26" i="4"/>
  <c r="AQ63" i="4"/>
  <c r="AQ72" i="4"/>
  <c r="AQ106" i="4"/>
  <c r="AQ120" i="4"/>
  <c r="AQ40" i="4"/>
  <c r="AQ37" i="4"/>
  <c r="AQ59" i="4"/>
  <c r="AQ54" i="4"/>
  <c r="AQ91" i="4"/>
  <c r="AQ58" i="4"/>
  <c r="AQ14" i="4"/>
  <c r="AS11" i="4"/>
  <c r="AQ11" i="4"/>
  <c r="AQ85" i="4"/>
  <c r="AQ61" i="4"/>
  <c r="AQ27" i="4"/>
  <c r="AQ65" i="4"/>
  <c r="AQ94" i="4"/>
  <c r="AQ50" i="4"/>
  <c r="AQ82" i="4"/>
  <c r="AQ117" i="4"/>
  <c r="AQ66" i="4"/>
  <c r="AQ69" i="4"/>
  <c r="AQ10" i="4"/>
  <c r="AS10" i="4"/>
  <c r="AQ95" i="4"/>
  <c r="AQ107" i="4"/>
  <c r="AQ122" i="4"/>
  <c r="AQ71" i="4"/>
  <c r="AQ109" i="4"/>
  <c r="AQ28" i="4"/>
  <c r="AQ8" i="4"/>
  <c r="AS8" i="4"/>
  <c r="AQ38" i="4"/>
  <c r="AQ79" i="4"/>
  <c r="AQ25" i="4"/>
  <c r="AQ29" i="4"/>
  <c r="AQ119" i="4"/>
  <c r="AQ23" i="4"/>
  <c r="AQ7" i="4"/>
  <c r="AQ89" i="4"/>
  <c r="AQ52" i="4"/>
  <c r="AQ64" i="4"/>
  <c r="AQ123" i="4"/>
  <c r="AQ20" i="4"/>
  <c r="AQ78" i="4"/>
  <c r="AQ47" i="4"/>
  <c r="AQ98" i="4"/>
  <c r="AQ68" i="4"/>
  <c r="AQ9" i="4"/>
  <c r="AS9" i="4"/>
  <c r="AQ22" i="4"/>
  <c r="AQ62" i="4"/>
  <c r="AQ127" i="4"/>
  <c r="AQ45" i="4"/>
  <c r="AQ70" i="4"/>
  <c r="AQ104" i="4"/>
  <c r="AQ121" i="4"/>
  <c r="AQ56" i="4"/>
  <c r="AQ49" i="4"/>
  <c r="AQ83" i="4"/>
  <c r="AQ108" i="4"/>
  <c r="AQ111" i="4"/>
  <c r="AQ24" i="4"/>
  <c r="AQ113" i="4"/>
  <c r="AQ96" i="4"/>
  <c r="AQ115" i="4"/>
  <c r="AQ110" i="4"/>
  <c r="AQ102" i="4"/>
  <c r="AQ19" i="4"/>
  <c r="AQ118" i="4"/>
  <c r="AQ31" i="4"/>
  <c r="AQ101" i="4"/>
  <c r="AQ128" i="4"/>
  <c r="AQ33" i="4"/>
  <c r="AQ35" i="4"/>
  <c r="AQ46" i="4"/>
  <c r="AS7" i="4"/>
  <c r="AQ55" i="4"/>
  <c r="AQ129" i="4"/>
  <c r="AQ53" i="4"/>
  <c r="AQ99" i="4"/>
  <c r="AQ76" i="4"/>
  <c r="AQ60" i="4"/>
  <c r="AQ105" i="4"/>
  <c r="AQ43" i="4"/>
  <c r="AQ87" i="4"/>
  <c r="AQ67" i="4"/>
  <c r="AQ90" i="4"/>
  <c r="AQ32" i="4"/>
  <c r="AQ124" i="4"/>
  <c r="AQ13" i="4"/>
  <c r="BA5" i="4"/>
  <c r="AS42" i="4"/>
  <c r="AS17" i="4"/>
  <c r="AS34" i="4"/>
  <c r="AS76" i="4"/>
  <c r="AS60" i="4"/>
  <c r="AS93" i="4"/>
  <c r="AS43" i="4"/>
  <c r="AS87" i="4"/>
  <c r="AS90" i="4"/>
  <c r="AS44" i="4"/>
  <c r="AS32" i="4"/>
  <c r="AS97" i="4"/>
  <c r="AS57" i="4"/>
  <c r="AS121" i="4"/>
  <c r="AS81" i="4"/>
  <c r="AS56" i="4"/>
  <c r="AS74" i="4"/>
  <c r="AS117" i="4"/>
  <c r="AS26" i="4"/>
  <c r="AS83" i="4"/>
  <c r="AS77" i="4"/>
  <c r="AS69" i="4"/>
  <c r="AS72" i="4"/>
  <c r="AS126" i="4"/>
  <c r="AS104" i="4"/>
  <c r="AS16" i="4"/>
  <c r="AS89" i="4"/>
  <c r="AS82" i="4"/>
  <c r="AS52" i="4"/>
  <c r="AS36" i="4"/>
  <c r="AS24" i="4"/>
  <c r="AS112" i="4"/>
  <c r="AS15" i="4"/>
  <c r="AS49" i="4"/>
  <c r="AS92" i="4"/>
  <c r="AS66" i="4"/>
  <c r="AS63" i="4"/>
  <c r="AS41" i="4"/>
  <c r="AS100" i="4"/>
  <c r="AS50" i="4"/>
  <c r="AS114" i="4"/>
  <c r="AS106" i="4"/>
  <c r="AS107" i="4"/>
  <c r="AS116" i="4"/>
  <c r="AS113" i="4"/>
  <c r="AS64" i="4"/>
  <c r="AS96" i="4"/>
  <c r="AS71" i="4"/>
  <c r="AS37" i="4"/>
  <c r="AS110" i="4"/>
  <c r="AS18" i="4"/>
  <c r="AS12" i="4"/>
  <c r="AS13" i="4"/>
  <c r="AS38" i="4"/>
  <c r="AS108" i="4"/>
  <c r="AS48" i="4"/>
  <c r="AS95" i="4"/>
  <c r="AS111" i="4"/>
  <c r="AS54" i="4"/>
  <c r="AS78" i="4"/>
  <c r="AS120" i="4"/>
  <c r="AS122" i="4"/>
  <c r="AS84" i="4"/>
  <c r="AS40" i="4"/>
  <c r="AS80" i="4"/>
  <c r="AS123" i="4"/>
  <c r="AS115" i="4"/>
  <c r="AS86" i="4"/>
  <c r="AS109" i="4"/>
  <c r="AS28" i="4"/>
  <c r="AS51" i="4"/>
  <c r="AS88" i="4"/>
  <c r="AS59" i="4"/>
  <c r="AS20" i="4"/>
  <c r="AS79" i="4"/>
  <c r="AS25" i="4"/>
  <c r="AS118" i="4"/>
  <c r="AS31" i="4"/>
  <c r="AS29" i="4"/>
  <c r="AS101" i="4"/>
  <c r="AS75" i="4"/>
  <c r="AS119" i="4"/>
  <c r="AS98" i="4"/>
  <c r="AS33" i="4"/>
  <c r="AS58" i="4"/>
  <c r="AS23" i="4"/>
  <c r="AS68" i="4"/>
  <c r="AS35" i="4"/>
  <c r="AS14" i="4"/>
  <c r="AS46" i="4"/>
  <c r="AS102" i="4"/>
  <c r="AS19" i="4"/>
  <c r="AS125" i="4"/>
  <c r="AS99" i="4"/>
  <c r="AS62" i="4"/>
  <c r="AS103" i="4"/>
  <c r="AS47" i="4"/>
  <c r="AS91" i="4"/>
  <c r="AS21" i="4"/>
  <c r="AS128" i="4"/>
  <c r="AS39" i="4"/>
  <c r="AS85" i="4"/>
  <c r="AS55" i="4"/>
  <c r="AS30" i="4"/>
  <c r="AS129" i="4"/>
  <c r="AS53" i="4"/>
  <c r="AS22" i="4"/>
  <c r="AS61" i="4"/>
  <c r="AS27" i="4"/>
  <c r="AS105" i="4"/>
  <c r="AS127" i="4"/>
  <c r="AS73" i="4"/>
  <c r="AS65" i="4"/>
  <c r="AS67" i="4"/>
  <c r="AS45" i="4"/>
  <c r="AS70" i="4"/>
  <c r="AS124" i="4"/>
  <c r="AS94" i="4"/>
  <c r="Q31" i="6"/>
  <c r="AU12" i="4" l="1"/>
  <c r="AU128" i="4"/>
  <c r="AU61" i="4"/>
  <c r="AU33" i="4"/>
  <c r="AU19" i="4"/>
  <c r="AU83" i="4"/>
  <c r="AU89" i="4"/>
  <c r="AU82" i="4"/>
  <c r="AU102" i="4"/>
  <c r="AU54" i="4"/>
  <c r="AU32" i="4"/>
  <c r="AU123" i="4"/>
  <c r="AU44" i="4"/>
  <c r="AU65" i="4"/>
  <c r="AU59" i="4"/>
  <c r="AU74" i="4"/>
  <c r="AU112" i="4"/>
  <c r="AU78" i="4"/>
  <c r="AU98" i="4"/>
  <c r="AU18" i="4"/>
  <c r="AU91" i="4"/>
  <c r="AU20" i="4"/>
  <c r="AU49" i="4"/>
  <c r="AU47" i="4"/>
  <c r="AU114" i="4"/>
  <c r="AU73" i="4"/>
  <c r="AU88" i="4"/>
  <c r="AU50" i="4"/>
  <c r="AU68" i="4"/>
  <c r="AU43" i="4"/>
  <c r="AU86" i="4"/>
  <c r="AU66" i="4"/>
  <c r="AU76" i="4"/>
  <c r="AU45" i="4"/>
  <c r="AU21" i="4"/>
  <c r="AU115" i="4"/>
  <c r="AU107" i="4"/>
  <c r="AU26" i="4"/>
  <c r="AU34" i="4"/>
  <c r="AU8" i="4"/>
  <c r="AW8" i="4"/>
  <c r="AU10" i="4"/>
  <c r="AW10" i="4"/>
  <c r="AU67" i="4"/>
  <c r="AU119" i="4"/>
  <c r="AU110" i="4"/>
  <c r="AU117" i="4"/>
  <c r="AU75" i="4"/>
  <c r="AU95" i="4"/>
  <c r="AU15" i="4"/>
  <c r="AU90" i="4"/>
  <c r="AU103" i="4"/>
  <c r="AU35" i="4"/>
  <c r="AU40" i="4"/>
  <c r="AU71" i="4"/>
  <c r="AU56" i="4"/>
  <c r="AU55" i="4"/>
  <c r="AU51" i="4"/>
  <c r="AU108" i="4"/>
  <c r="AU100" i="4"/>
  <c r="AU72" i="4"/>
  <c r="AU94" i="4"/>
  <c r="AU99" i="4"/>
  <c r="AU31" i="4"/>
  <c r="AU28" i="4"/>
  <c r="AU64" i="4"/>
  <c r="AU121" i="4"/>
  <c r="AU11" i="4"/>
  <c r="AW11" i="4"/>
  <c r="AU70" i="4"/>
  <c r="AU25" i="4"/>
  <c r="AU116" i="4"/>
  <c r="AU97" i="4"/>
  <c r="AU22" i="4"/>
  <c r="AU79" i="4"/>
  <c r="AU92" i="4"/>
  <c r="AU53" i="4"/>
  <c r="AU46" i="4"/>
  <c r="AU111" i="4"/>
  <c r="AU106" i="4"/>
  <c r="AU129" i="4"/>
  <c r="AU14" i="4"/>
  <c r="AU80" i="4"/>
  <c r="AU37" i="4"/>
  <c r="AU104" i="4"/>
  <c r="AU42" i="4"/>
  <c r="AU7" i="4"/>
  <c r="AW7" i="4"/>
  <c r="AU30" i="4"/>
  <c r="AU101" i="4"/>
  <c r="AU48" i="4"/>
  <c r="AU126" i="4"/>
  <c r="AU87" i="4"/>
  <c r="BE5" i="4"/>
  <c r="BG5" i="4" s="1"/>
  <c r="BC5" i="4"/>
  <c r="AU127" i="4"/>
  <c r="AU62" i="4"/>
  <c r="AU29" i="4"/>
  <c r="AU84" i="4"/>
  <c r="AU96" i="4"/>
  <c r="AU24" i="4"/>
  <c r="AU81" i="4"/>
  <c r="AU6" i="4"/>
  <c r="AW6" i="4"/>
  <c r="AU105" i="4"/>
  <c r="AU85" i="4"/>
  <c r="AU23" i="4"/>
  <c r="AU122" i="4"/>
  <c r="AU38" i="4"/>
  <c r="AU41" i="4"/>
  <c r="AU36" i="4"/>
  <c r="AU69" i="4"/>
  <c r="AU93" i="4"/>
  <c r="AU124" i="4"/>
  <c r="AU27" i="4"/>
  <c r="AU39" i="4"/>
  <c r="AU125" i="4"/>
  <c r="AU58" i="4"/>
  <c r="AU118" i="4"/>
  <c r="AU109" i="4"/>
  <c r="AU120" i="4"/>
  <c r="AU113" i="4"/>
  <c r="AU63" i="4"/>
  <c r="AU52" i="4"/>
  <c r="AU77" i="4"/>
  <c r="AU57" i="4"/>
  <c r="AU60" i="4"/>
  <c r="AU9" i="4"/>
  <c r="AW9" i="4"/>
  <c r="AW58" i="4"/>
  <c r="AW13" i="4"/>
  <c r="AW116" i="4"/>
  <c r="AW50" i="4"/>
  <c r="AW66" i="4"/>
  <c r="AW126" i="4"/>
  <c r="AW56" i="4"/>
  <c r="AW75" i="4"/>
  <c r="AW80" i="4"/>
  <c r="AW71" i="4"/>
  <c r="AW112" i="4"/>
  <c r="AW82" i="4"/>
  <c r="AW83" i="4"/>
  <c r="AW97" i="4"/>
  <c r="AW87" i="4"/>
  <c r="AW76" i="4"/>
  <c r="AW125" i="4"/>
  <c r="AW59" i="4"/>
  <c r="AW35" i="4"/>
  <c r="AW101" i="4"/>
  <c r="AW78" i="4"/>
  <c r="AW48" i="4"/>
  <c r="AW96" i="4"/>
  <c r="AW107" i="4"/>
  <c r="AW92" i="4"/>
  <c r="AW24" i="4"/>
  <c r="AW81" i="4"/>
  <c r="AW65" i="4"/>
  <c r="AW27" i="4"/>
  <c r="AW118" i="4"/>
  <c r="AW70" i="4"/>
  <c r="AW73" i="4"/>
  <c r="AW61" i="4"/>
  <c r="AW30" i="4"/>
  <c r="AW128" i="4"/>
  <c r="AW103" i="4"/>
  <c r="AW19" i="4"/>
  <c r="AW33" i="4"/>
  <c r="AW25" i="4"/>
  <c r="AW88" i="4"/>
  <c r="AW86" i="4"/>
  <c r="AW40" i="4"/>
  <c r="AW18" i="4"/>
  <c r="AW100" i="4"/>
  <c r="AW89" i="4"/>
  <c r="AW72" i="4"/>
  <c r="AW26" i="4"/>
  <c r="AW32" i="4"/>
  <c r="AW43" i="4"/>
  <c r="AW34" i="4"/>
  <c r="AW109" i="4"/>
  <c r="AW127" i="4"/>
  <c r="AW62" i="4"/>
  <c r="AW102" i="4"/>
  <c r="AW68" i="4"/>
  <c r="AW29" i="4"/>
  <c r="AW110" i="4"/>
  <c r="AW64" i="4"/>
  <c r="AW41" i="4"/>
  <c r="AW36" i="4"/>
  <c r="AW16" i="4"/>
  <c r="AW69" i="4"/>
  <c r="AW117" i="4"/>
  <c r="AW44" i="4"/>
  <c r="AW17" i="4"/>
  <c r="AW39" i="4"/>
  <c r="AW12" i="4"/>
  <c r="AW45" i="4"/>
  <c r="AW21" i="4"/>
  <c r="AW98" i="4"/>
  <c r="AW79" i="4"/>
  <c r="AW51" i="4"/>
  <c r="AW115" i="4"/>
  <c r="AW84" i="4"/>
  <c r="AW54" i="4"/>
  <c r="AW108" i="4"/>
  <c r="AW106" i="4"/>
  <c r="AW49" i="4"/>
  <c r="AW121" i="4"/>
  <c r="AW93" i="4"/>
  <c r="AW124" i="4"/>
  <c r="AW14" i="4"/>
  <c r="AW95" i="4"/>
  <c r="AW55" i="4"/>
  <c r="AW94" i="4"/>
  <c r="AW67" i="4"/>
  <c r="AW105" i="4"/>
  <c r="AW53" i="4"/>
  <c r="AW85" i="4"/>
  <c r="AW91" i="4"/>
  <c r="AW46" i="4"/>
  <c r="AW20" i="4"/>
  <c r="AW37" i="4"/>
  <c r="AW113" i="4"/>
  <c r="AW63" i="4"/>
  <c r="AW15" i="4"/>
  <c r="AW74" i="4"/>
  <c r="AW57" i="4"/>
  <c r="AW90" i="4"/>
  <c r="AW60" i="4"/>
  <c r="AW42" i="4"/>
  <c r="AW129" i="4"/>
  <c r="AW47" i="4"/>
  <c r="AW120" i="4"/>
  <c r="AW22" i="4"/>
  <c r="AW99" i="4"/>
  <c r="AW23" i="4"/>
  <c r="AW119" i="4"/>
  <c r="AW31" i="4"/>
  <c r="AW28" i="4"/>
  <c r="AW123" i="4"/>
  <c r="AW122" i="4"/>
  <c r="AW111" i="4"/>
  <c r="AW38" i="4"/>
  <c r="AW114" i="4"/>
  <c r="AW52" i="4"/>
  <c r="AW104" i="4"/>
  <c r="AW77" i="4"/>
  <c r="Q32" i="6"/>
  <c r="AY111" i="4" l="1"/>
  <c r="AY85" i="4"/>
  <c r="AY86" i="4"/>
  <c r="AY58" i="4"/>
  <c r="AY15" i="4"/>
  <c r="AY75" i="4"/>
  <c r="AY47" i="4"/>
  <c r="AY43" i="4"/>
  <c r="AY120" i="4"/>
  <c r="AY88" i="4"/>
  <c r="AY121" i="4"/>
  <c r="AY25" i="4"/>
  <c r="AY28" i="4"/>
  <c r="AY49" i="4"/>
  <c r="AY118" i="4"/>
  <c r="AY78" i="4"/>
  <c r="AY124" i="4"/>
  <c r="AY92" i="4"/>
  <c r="AY93" i="4"/>
  <c r="AY73" i="4"/>
  <c r="AY79" i="4"/>
  <c r="AY96" i="4"/>
  <c r="AY129" i="4"/>
  <c r="AY69" i="4"/>
  <c r="AY48" i="4"/>
  <c r="AY104" i="4"/>
  <c r="AY37" i="4"/>
  <c r="AY16" i="4"/>
  <c r="AY66" i="4"/>
  <c r="AY8" i="4"/>
  <c r="BA8" i="4"/>
  <c r="AY127" i="4"/>
  <c r="AY74" i="4"/>
  <c r="AY110" i="4"/>
  <c r="AY125" i="4"/>
  <c r="AY11" i="4"/>
  <c r="BA11" i="4"/>
  <c r="AY53" i="4"/>
  <c r="AY29" i="4"/>
  <c r="AY107" i="4"/>
  <c r="AY9" i="4"/>
  <c r="BA9" i="4"/>
  <c r="AY63" i="4"/>
  <c r="AY117" i="4"/>
  <c r="AY70" i="4"/>
  <c r="AY77" i="4"/>
  <c r="AY67" i="4"/>
  <c r="AY102" i="4"/>
  <c r="AY126" i="4"/>
  <c r="AY42" i="4"/>
  <c r="AY106" i="4"/>
  <c r="AY89" i="4"/>
  <c r="AY83" i="4"/>
  <c r="AY119" i="4"/>
  <c r="AY20" i="4"/>
  <c r="AY55" i="4"/>
  <c r="AY36" i="4"/>
  <c r="AY103" i="4"/>
  <c r="AY101" i="4"/>
  <c r="AY50" i="4"/>
  <c r="AY23" i="4"/>
  <c r="AY95" i="4"/>
  <c r="AY12" i="4"/>
  <c r="AY128" i="4"/>
  <c r="AY112" i="4"/>
  <c r="AY22" i="4"/>
  <c r="AY115" i="4"/>
  <c r="AY61" i="4"/>
  <c r="AY80" i="4"/>
  <c r="AY122" i="4"/>
  <c r="AY51" i="4"/>
  <c r="AY44" i="4"/>
  <c r="AY32" i="4"/>
  <c r="AY76" i="4"/>
  <c r="AY123" i="4"/>
  <c r="AY105" i="4"/>
  <c r="AY68" i="4"/>
  <c r="AY26" i="4"/>
  <c r="AY87" i="4"/>
  <c r="AY56" i="4"/>
  <c r="AY10" i="4"/>
  <c r="BA10" i="4"/>
  <c r="AY113" i="4"/>
  <c r="AY98" i="4"/>
  <c r="AY72" i="4"/>
  <c r="AY33" i="4"/>
  <c r="AY97" i="4"/>
  <c r="AY6" i="4"/>
  <c r="BA6" i="4"/>
  <c r="AY7" i="4"/>
  <c r="BA7" i="4"/>
  <c r="AY31" i="4"/>
  <c r="AY94" i="4"/>
  <c r="AY21" i="4"/>
  <c r="AY62" i="4"/>
  <c r="AY19" i="4"/>
  <c r="AY27" i="4"/>
  <c r="AY52" i="4"/>
  <c r="AY60" i="4"/>
  <c r="AY108" i="4"/>
  <c r="AY45" i="4"/>
  <c r="AY100" i="4"/>
  <c r="AY65" i="4"/>
  <c r="AY82" i="4"/>
  <c r="AY114" i="4"/>
  <c r="AY90" i="4"/>
  <c r="AY46" i="4"/>
  <c r="AY54" i="4"/>
  <c r="AY41" i="4"/>
  <c r="AY109" i="4"/>
  <c r="AY81" i="4"/>
  <c r="AY35" i="4"/>
  <c r="AY116" i="4"/>
  <c r="AY38" i="4"/>
  <c r="AY99" i="4"/>
  <c r="AY57" i="4"/>
  <c r="AY91" i="4"/>
  <c r="AY84" i="4"/>
  <c r="AY39" i="4"/>
  <c r="AY64" i="4"/>
  <c r="AY34" i="4"/>
  <c r="AY40" i="4"/>
  <c r="AY30" i="4"/>
  <c r="AY24" i="4"/>
  <c r="AY59" i="4"/>
  <c r="AY71" i="4"/>
  <c r="AY13" i="4"/>
  <c r="BA94" i="4"/>
  <c r="BA124" i="4"/>
  <c r="BA62" i="4"/>
  <c r="BA43" i="4"/>
  <c r="BA86" i="4"/>
  <c r="BA78" i="4"/>
  <c r="BA80" i="4"/>
  <c r="BA66" i="4"/>
  <c r="BA122" i="4"/>
  <c r="BA53" i="4"/>
  <c r="BA36" i="4"/>
  <c r="BA127" i="4"/>
  <c r="BA76" i="4"/>
  <c r="BA82" i="4"/>
  <c r="BA50" i="4"/>
  <c r="BA55" i="4"/>
  <c r="BA32" i="4"/>
  <c r="BA119" i="4"/>
  <c r="BA120" i="4"/>
  <c r="BA15" i="4"/>
  <c r="BA20" i="4"/>
  <c r="BA108" i="4"/>
  <c r="BA44" i="4"/>
  <c r="BA29" i="4"/>
  <c r="BA73" i="4"/>
  <c r="BA65" i="4"/>
  <c r="BA107" i="4"/>
  <c r="BA101" i="4"/>
  <c r="BA75" i="4"/>
  <c r="BA111" i="4"/>
  <c r="BA52" i="4"/>
  <c r="BA93" i="4"/>
  <c r="BA100" i="4"/>
  <c r="BA90" i="4"/>
  <c r="BA46" i="4"/>
  <c r="BA105" i="4"/>
  <c r="BA95" i="4"/>
  <c r="BA79" i="4"/>
  <c r="BA12" i="4"/>
  <c r="BA117" i="4"/>
  <c r="BA109" i="4"/>
  <c r="BA18" i="4"/>
  <c r="BA128" i="4"/>
  <c r="BA81" i="4"/>
  <c r="BA35" i="4"/>
  <c r="BA87" i="4"/>
  <c r="BA116" i="4"/>
  <c r="BA31" i="4"/>
  <c r="BA88" i="4"/>
  <c r="BA121" i="4"/>
  <c r="BA54" i="4"/>
  <c r="BA41" i="4"/>
  <c r="BA68" i="4"/>
  <c r="BA26" i="4"/>
  <c r="BA25" i="4"/>
  <c r="BA70" i="4"/>
  <c r="BA96" i="4"/>
  <c r="BA112" i="4"/>
  <c r="BA56" i="4"/>
  <c r="BA74" i="4"/>
  <c r="BA45" i="4"/>
  <c r="BA23" i="4"/>
  <c r="BA63" i="4"/>
  <c r="BA77" i="4"/>
  <c r="BA38" i="4"/>
  <c r="BA129" i="4"/>
  <c r="BA113" i="4"/>
  <c r="BA91" i="4"/>
  <c r="BA14" i="4"/>
  <c r="BA98" i="4"/>
  <c r="BA39" i="4"/>
  <c r="BA69" i="4"/>
  <c r="BA64" i="4"/>
  <c r="BA34" i="4"/>
  <c r="BA72" i="4"/>
  <c r="BA40" i="4"/>
  <c r="BA33" i="4"/>
  <c r="BA30" i="4"/>
  <c r="BA48" i="4"/>
  <c r="BA59" i="4"/>
  <c r="BA71" i="4"/>
  <c r="BA126" i="4"/>
  <c r="BA13" i="4"/>
  <c r="BA85" i="4"/>
  <c r="BA60" i="4"/>
  <c r="BA103" i="4"/>
  <c r="BA114" i="4"/>
  <c r="BA123" i="4"/>
  <c r="BA47" i="4"/>
  <c r="BA28" i="4"/>
  <c r="BA99" i="4"/>
  <c r="BA57" i="4"/>
  <c r="BA67" i="4"/>
  <c r="BA49" i="4"/>
  <c r="BA84" i="4"/>
  <c r="BA102" i="4"/>
  <c r="BA118" i="4"/>
  <c r="BA24" i="4"/>
  <c r="BA97" i="4"/>
  <c r="BA58" i="4"/>
  <c r="BA37" i="4"/>
  <c r="BA51" i="4"/>
  <c r="BA104" i="4"/>
  <c r="BA22" i="4"/>
  <c r="BA42" i="4"/>
  <c r="BA106" i="4"/>
  <c r="BA115" i="4"/>
  <c r="BA21" i="4"/>
  <c r="BA17" i="4"/>
  <c r="BA16" i="4"/>
  <c r="BA110" i="4"/>
  <c r="BA89" i="4"/>
  <c r="BA19" i="4"/>
  <c r="BA61" i="4"/>
  <c r="BA27" i="4"/>
  <c r="BA92" i="4"/>
  <c r="BA125" i="4"/>
  <c r="BA83" i="4"/>
  <c r="Q33" i="6"/>
  <c r="BC89" i="4" l="1"/>
  <c r="BC22" i="4"/>
  <c r="BC102" i="4"/>
  <c r="BC69" i="4"/>
  <c r="BC123" i="4"/>
  <c r="BC93" i="4"/>
  <c r="BC6" i="4"/>
  <c r="BE6" i="4"/>
  <c r="BG6" i="4" s="1"/>
  <c r="BC110" i="4"/>
  <c r="BC52" i="4"/>
  <c r="BC83" i="4"/>
  <c r="BC70" i="4"/>
  <c r="BC104" i="4"/>
  <c r="BC116" i="4"/>
  <c r="BC103" i="4"/>
  <c r="BC79" i="4"/>
  <c r="BC67" i="4"/>
  <c r="BC95" i="4"/>
  <c r="BC41" i="4"/>
  <c r="BC66" i="4"/>
  <c r="BC39" i="4"/>
  <c r="BC12" i="4"/>
  <c r="BC49" i="4"/>
  <c r="BC108" i="4"/>
  <c r="BC17" i="4"/>
  <c r="BC68" i="4"/>
  <c r="BC20" i="4"/>
  <c r="BC85" i="4"/>
  <c r="BC105" i="4"/>
  <c r="BC128" i="4"/>
  <c r="BC77" i="4"/>
  <c r="BC31" i="4"/>
  <c r="BC29" i="4"/>
  <c r="BC84" i="4"/>
  <c r="BC48" i="4"/>
  <c r="BC25" i="4"/>
  <c r="BC50" i="4"/>
  <c r="BC16" i="4"/>
  <c r="BC30" i="4"/>
  <c r="BC23" i="4"/>
  <c r="BC111" i="4"/>
  <c r="BC8" i="4"/>
  <c r="BE8" i="4"/>
  <c r="BC125" i="4"/>
  <c r="BC60" i="4"/>
  <c r="BC14" i="4"/>
  <c r="BC35" i="4"/>
  <c r="BC76" i="4"/>
  <c r="BC92" i="4"/>
  <c r="BC58" i="4"/>
  <c r="BC91" i="4"/>
  <c r="BC81" i="4"/>
  <c r="BC127" i="4"/>
  <c r="BC115" i="4"/>
  <c r="BC99" i="4"/>
  <c r="BC72" i="4"/>
  <c r="BC56" i="4"/>
  <c r="BC107" i="4"/>
  <c r="BC36" i="4"/>
  <c r="BC61" i="4"/>
  <c r="BC24" i="4"/>
  <c r="BC28" i="4"/>
  <c r="BC34" i="4"/>
  <c r="BC112" i="4"/>
  <c r="BC65" i="4"/>
  <c r="BC53" i="4"/>
  <c r="BC59" i="4"/>
  <c r="BC117" i="4"/>
  <c r="BC55" i="4"/>
  <c r="BC114" i="4"/>
  <c r="BC63" i="4"/>
  <c r="BC44" i="4"/>
  <c r="BC80" i="4"/>
  <c r="BC51" i="4"/>
  <c r="BC98" i="4"/>
  <c r="BC26" i="4"/>
  <c r="BC87" i="4"/>
  <c r="BC82" i="4"/>
  <c r="BC78" i="4"/>
  <c r="BC37" i="4"/>
  <c r="BC33" i="4"/>
  <c r="BC45" i="4"/>
  <c r="BC75" i="4"/>
  <c r="BC86" i="4"/>
  <c r="BC21" i="4"/>
  <c r="BC57" i="4"/>
  <c r="BC40" i="4"/>
  <c r="BC74" i="4"/>
  <c r="BC101" i="4"/>
  <c r="BC43" i="4"/>
  <c r="BC11" i="4"/>
  <c r="BE11" i="4"/>
  <c r="BC27" i="4"/>
  <c r="BC97" i="4"/>
  <c r="BC13" i="4"/>
  <c r="BC113" i="4"/>
  <c r="BC54" i="4"/>
  <c r="BC46" i="4"/>
  <c r="BC120" i="4"/>
  <c r="BC62" i="4"/>
  <c r="BC106" i="4"/>
  <c r="BC126" i="4"/>
  <c r="BC129" i="4"/>
  <c r="BC121" i="4"/>
  <c r="BC90" i="4"/>
  <c r="BC119" i="4"/>
  <c r="BC124" i="4"/>
  <c r="BC7" i="4"/>
  <c r="BE7" i="4"/>
  <c r="BC42" i="4"/>
  <c r="BC118" i="4"/>
  <c r="BC47" i="4"/>
  <c r="BC71" i="4"/>
  <c r="BC64" i="4"/>
  <c r="BC38" i="4"/>
  <c r="BC96" i="4"/>
  <c r="BC88" i="4"/>
  <c r="BC109" i="4"/>
  <c r="BC100" i="4"/>
  <c r="BC73" i="4"/>
  <c r="BC32" i="4"/>
  <c r="BC122" i="4"/>
  <c r="BC94" i="4"/>
  <c r="BC10" i="4"/>
  <c r="BE10" i="4"/>
  <c r="BC9" i="4"/>
  <c r="BE9" i="4"/>
  <c r="BE19" i="4"/>
  <c r="BE37" i="4"/>
  <c r="BE60" i="4"/>
  <c r="BE33" i="4"/>
  <c r="BE91" i="4"/>
  <c r="BE77" i="4"/>
  <c r="BE70" i="4"/>
  <c r="BE31" i="4"/>
  <c r="BE105" i="4"/>
  <c r="BE29" i="4"/>
  <c r="BE15" i="4"/>
  <c r="BE127" i="4"/>
  <c r="BE66" i="4"/>
  <c r="BE22" i="4"/>
  <c r="BE58" i="4"/>
  <c r="BE57" i="4"/>
  <c r="BE123" i="4"/>
  <c r="BE85" i="4"/>
  <c r="BE59" i="4"/>
  <c r="BE40" i="4"/>
  <c r="BE74" i="4"/>
  <c r="BE41" i="4"/>
  <c r="BE81" i="4"/>
  <c r="BE117" i="4"/>
  <c r="BE93" i="4"/>
  <c r="BE101" i="4"/>
  <c r="BE55" i="4"/>
  <c r="BE43" i="4"/>
  <c r="BE92" i="4"/>
  <c r="BE89" i="4"/>
  <c r="BE21" i="4"/>
  <c r="BE102" i="4"/>
  <c r="BE69" i="4"/>
  <c r="BE56" i="4"/>
  <c r="BE116" i="4"/>
  <c r="BE128" i="4"/>
  <c r="BE46" i="4"/>
  <c r="BE50" i="4"/>
  <c r="BE36" i="4"/>
  <c r="BE62" i="4"/>
  <c r="BE27" i="4"/>
  <c r="BE104" i="4"/>
  <c r="BE84" i="4"/>
  <c r="BE99" i="4"/>
  <c r="BE13" i="4"/>
  <c r="BE72" i="4"/>
  <c r="BE39" i="4"/>
  <c r="BE113" i="4"/>
  <c r="BE63" i="4"/>
  <c r="BE25" i="4"/>
  <c r="BE54" i="4"/>
  <c r="BE12" i="4"/>
  <c r="BE52" i="4"/>
  <c r="BE107" i="4"/>
  <c r="BE44" i="4"/>
  <c r="BE120" i="4"/>
  <c r="BE80" i="4"/>
  <c r="BE110" i="4"/>
  <c r="BE115" i="4"/>
  <c r="BE97" i="4"/>
  <c r="BE114" i="4"/>
  <c r="BE48" i="4"/>
  <c r="BE129" i="4"/>
  <c r="BE23" i="4"/>
  <c r="BE112" i="4"/>
  <c r="BE26" i="4"/>
  <c r="BE121" i="4"/>
  <c r="BE18" i="4"/>
  <c r="BE111" i="4"/>
  <c r="BE108" i="4"/>
  <c r="BE119" i="4"/>
  <c r="BE82" i="4"/>
  <c r="BE78" i="4"/>
  <c r="BE124" i="4"/>
  <c r="BE83" i="4"/>
  <c r="BE61" i="4"/>
  <c r="BE16" i="4"/>
  <c r="BE51" i="4"/>
  <c r="BE24" i="4"/>
  <c r="BE49" i="4"/>
  <c r="BE30" i="4"/>
  <c r="BE34" i="4"/>
  <c r="BE87" i="4"/>
  <c r="BE79" i="4"/>
  <c r="BE90" i="4"/>
  <c r="BE65" i="4"/>
  <c r="BE53" i="4"/>
  <c r="BE125" i="4"/>
  <c r="BE106" i="4"/>
  <c r="BE28" i="4"/>
  <c r="BE103" i="4"/>
  <c r="BE126" i="4"/>
  <c r="BE98" i="4"/>
  <c r="BE45" i="4"/>
  <c r="BE96" i="4"/>
  <c r="BE68" i="4"/>
  <c r="BE88" i="4"/>
  <c r="BE100" i="4"/>
  <c r="BE75" i="4"/>
  <c r="BE20" i="4"/>
  <c r="BE17" i="4"/>
  <c r="BE42" i="4"/>
  <c r="BE118" i="4"/>
  <c r="BE67" i="4"/>
  <c r="BE47" i="4"/>
  <c r="BE71" i="4"/>
  <c r="BE64" i="4"/>
  <c r="BE14" i="4"/>
  <c r="BE38" i="4"/>
  <c r="BE35" i="4"/>
  <c r="BE109" i="4"/>
  <c r="BE95" i="4"/>
  <c r="BE73" i="4"/>
  <c r="BE32" i="4"/>
  <c r="BE76" i="4"/>
  <c r="BE122" i="4"/>
  <c r="BE86" i="4"/>
  <c r="BE94" i="4"/>
  <c r="Q34" i="6"/>
  <c r="Q35" i="6"/>
  <c r="BG25" i="4" l="1"/>
  <c r="BG26" i="4"/>
  <c r="BG8" i="4"/>
  <c r="BG34" i="4"/>
  <c r="BG32" i="4"/>
  <c r="BG28" i="4"/>
  <c r="BG85" i="4"/>
  <c r="BG104" i="4"/>
  <c r="BG78" i="4"/>
  <c r="BG123" i="4"/>
  <c r="BG117" i="4"/>
  <c r="BG124" i="4"/>
  <c r="BG30" i="4"/>
  <c r="BG93" i="4"/>
  <c r="BG68" i="4"/>
  <c r="BG23" i="4"/>
  <c r="BG31" i="4"/>
  <c r="BG119" i="4"/>
  <c r="BG21" i="4"/>
  <c r="BG108" i="4"/>
  <c r="BG37" i="4"/>
  <c r="BG47" i="4"/>
  <c r="BG63" i="4"/>
  <c r="BG67" i="4"/>
  <c r="BG113" i="4"/>
  <c r="BG109" i="4"/>
  <c r="BG24" i="4"/>
  <c r="BG81" i="4"/>
  <c r="BG65" i="4"/>
  <c r="BG41" i="4"/>
  <c r="BG38" i="4"/>
  <c r="BG46" i="4"/>
  <c r="BG7" i="4"/>
  <c r="BG100" i="4"/>
  <c r="BG110" i="4"/>
  <c r="BG101" i="4"/>
  <c r="BG88" i="4"/>
  <c r="BG112" i="4"/>
  <c r="BG27" i="4"/>
  <c r="BG105" i="4"/>
  <c r="BG125" i="4"/>
  <c r="BG82" i="4"/>
  <c r="BG62" i="4"/>
  <c r="BG96" i="4"/>
  <c r="BG129" i="4"/>
  <c r="BG39" i="4"/>
  <c r="BG58" i="4"/>
  <c r="BG94" i="4"/>
  <c r="BG42" i="4"/>
  <c r="BG51" i="4"/>
  <c r="BG107" i="4"/>
  <c r="BG89" i="4"/>
  <c r="BG22" i="4"/>
  <c r="BG10" i="4"/>
  <c r="BG86" i="4"/>
  <c r="BG98" i="4"/>
  <c r="BG114" i="4"/>
  <c r="BG13" i="4"/>
  <c r="BG74" i="4"/>
  <c r="BG66" i="4"/>
  <c r="BG122" i="4"/>
  <c r="BG14" i="4"/>
  <c r="BG126" i="4"/>
  <c r="BG79" i="4"/>
  <c r="BG61" i="4"/>
  <c r="BG18" i="4"/>
  <c r="BG97" i="4"/>
  <c r="BG12" i="4"/>
  <c r="BG99" i="4"/>
  <c r="BG128" i="4"/>
  <c r="BG43" i="4"/>
  <c r="BG40" i="4"/>
  <c r="BG127" i="4"/>
  <c r="BG33" i="4"/>
  <c r="BG11" i="4"/>
  <c r="BG71" i="4"/>
  <c r="BG56" i="4"/>
  <c r="BG29" i="4"/>
  <c r="BG73" i="4"/>
  <c r="BG106" i="4"/>
  <c r="BG80" i="4"/>
  <c r="BG69" i="4"/>
  <c r="BG95" i="4"/>
  <c r="BG49" i="4"/>
  <c r="BG120" i="4"/>
  <c r="BG102" i="4"/>
  <c r="BG57" i="4"/>
  <c r="BG9" i="4"/>
  <c r="BG118" i="4"/>
  <c r="BG53" i="4"/>
  <c r="BG44" i="4"/>
  <c r="BG36" i="4"/>
  <c r="BG70" i="4"/>
  <c r="BG35" i="4"/>
  <c r="BG45" i="4"/>
  <c r="BG48" i="4"/>
  <c r="BG72" i="4"/>
  <c r="BG50" i="4"/>
  <c r="BG77" i="4"/>
  <c r="BG17" i="4"/>
  <c r="BG90" i="4"/>
  <c r="BG111" i="4"/>
  <c r="BG52" i="4"/>
  <c r="BG92" i="4"/>
  <c r="BG91" i="4"/>
  <c r="BG76" i="4"/>
  <c r="BG64" i="4"/>
  <c r="BG75" i="4"/>
  <c r="BG103" i="4"/>
  <c r="BG87" i="4"/>
  <c r="BG83" i="4"/>
  <c r="BG121" i="4"/>
  <c r="BG115" i="4"/>
  <c r="BG54" i="4"/>
  <c r="BG84" i="4"/>
  <c r="BG116" i="4"/>
  <c r="BG55" i="4"/>
  <c r="BG59" i="4"/>
  <c r="BG15" i="4"/>
  <c r="BG60" i="4"/>
  <c r="Q36" i="6"/>
  <c r="Q37" i="6"/>
  <c r="L3" i="6" l="1" a="1"/>
  <c r="Q38" i="6"/>
  <c r="Q39" i="6"/>
  <c r="Q40" i="6"/>
  <c r="Q41" i="6"/>
  <c r="Q42" i="6"/>
  <c r="BO23" i="4" l="1"/>
  <c r="BK22" i="4"/>
  <c r="Q43" i="6"/>
  <c r="Q44" i="6" s="1"/>
  <c r="Q45" i="6"/>
  <c r="O9" i="4" l="1"/>
  <c r="Q46" i="6"/>
  <c r="Q47" i="6"/>
  <c r="Q48" i="6"/>
  <c r="Q49" i="6"/>
  <c r="Q50" i="6"/>
  <c r="B24" i="4"/>
  <c r="Q51" i="6"/>
  <c r="Q52" i="6"/>
  <c r="S10" i="4" l="1"/>
  <c r="S6" i="4"/>
  <c r="O5" i="4"/>
  <c r="O7" i="4"/>
  <c r="Q53" i="6"/>
  <c r="W11" i="4" l="1"/>
  <c r="W7" i="4"/>
  <c r="Q54" i="6"/>
  <c r="BO22" i="4" l="1"/>
  <c r="BK21" i="4"/>
  <c r="BG20" i="4"/>
  <c r="BC19" i="4"/>
  <c r="AY18" i="4"/>
  <c r="AU17" i="4"/>
  <c r="AQ16" i="4"/>
  <c r="AM15" i="4"/>
  <c r="AI14" i="4"/>
  <c r="AE13" i="4"/>
  <c r="AA12" i="4"/>
  <c r="BO6" i="4"/>
  <c r="BK5" i="4"/>
  <c r="BG16" i="4"/>
  <c r="BC15" i="4"/>
  <c r="AY14" i="4"/>
  <c r="AU13" i="4"/>
  <c r="AQ12" i="4"/>
  <c r="AM11" i="4"/>
  <c r="AI10" i="4"/>
  <c r="AE9" i="4"/>
  <c r="AA8" i="4"/>
  <c r="Q55" i="6"/>
  <c r="Q56" i="6" l="1"/>
  <c r="Q57" i="6" l="1"/>
  <c r="Q58" i="6" l="1"/>
  <c r="Q59" i="6" l="1"/>
  <c r="Q60" i="6" l="1"/>
  <c r="Q61" i="6" l="1"/>
  <c r="Q62" i="6" l="1"/>
  <c r="Q63" i="6" l="1"/>
  <c r="Q64" i="6" l="1"/>
  <c r="Q65" i="6" l="1"/>
  <c r="Q66" i="6" l="1"/>
  <c r="Q67" i="6" l="1"/>
  <c r="Q68" i="6" l="1"/>
  <c r="Q69" i="6" l="1"/>
  <c r="Q70" i="6" l="1"/>
  <c r="Q71" i="6"/>
  <c r="Q72" i="6" l="1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I8" i="3" l="1"/>
  <c r="B23" i="4"/>
  <c r="B7" i="4"/>
  <c r="B18" i="4"/>
  <c r="B22" i="4"/>
  <c r="B19" i="4"/>
  <c r="B16" i="4"/>
  <c r="B20" i="4"/>
  <c r="B21" i="4"/>
  <c r="B6" i="4"/>
  <c r="B15" i="4"/>
  <c r="B13" i="4"/>
  <c r="B8" i="4"/>
  <c r="B12" i="4"/>
  <c r="B9" i="4"/>
  <c r="B17" i="4"/>
  <c r="B11" i="4"/>
  <c r="B14" i="4"/>
  <c r="B10" i="4"/>
  <c r="J4" i="4" a="1"/>
  <c r="B5" i="4"/>
  <c r="J108" i="4" l="1"/>
  <c r="J78" i="4"/>
  <c r="J119" i="4"/>
  <c r="J13" i="4"/>
  <c r="J15" i="4"/>
  <c r="J95" i="4"/>
  <c r="J55" i="4"/>
  <c r="J26" i="4"/>
  <c r="J110" i="4"/>
  <c r="J128" i="4"/>
  <c r="J126" i="4"/>
  <c r="J25" i="4"/>
  <c r="J106" i="4"/>
  <c r="J114" i="4"/>
  <c r="J61" i="4"/>
  <c r="J102" i="4"/>
  <c r="J63" i="4"/>
  <c r="J83" i="4"/>
  <c r="J88" i="4"/>
  <c r="J11" i="4"/>
  <c r="J75" i="4"/>
  <c r="J66" i="4"/>
  <c r="J84" i="4"/>
  <c r="J22" i="4"/>
  <c r="J86" i="4"/>
  <c r="J90" i="4"/>
  <c r="J121" i="4"/>
  <c r="J45" i="4"/>
  <c r="J20" i="4"/>
  <c r="J49" i="4"/>
  <c r="J54" i="4"/>
  <c r="J38" i="4"/>
  <c r="J77" i="4"/>
  <c r="J18" i="4"/>
  <c r="J64" i="4"/>
  <c r="J17" i="4"/>
  <c r="J76" i="4"/>
  <c r="J43" i="4"/>
  <c r="J48" i="4"/>
  <c r="J68" i="4"/>
  <c r="J71" i="4"/>
  <c r="J96" i="4"/>
  <c r="J36" i="4"/>
  <c r="J101" i="4"/>
  <c r="J34" i="4"/>
  <c r="J56" i="4"/>
  <c r="J51" i="4"/>
  <c r="J129" i="4"/>
  <c r="J57" i="4"/>
  <c r="J70" i="4"/>
  <c r="J127" i="4"/>
  <c r="J80" i="4"/>
  <c r="J115" i="4"/>
  <c r="J67" i="4"/>
  <c r="J100" i="4"/>
  <c r="J30" i="4"/>
  <c r="J93" i="4"/>
  <c r="J72" i="4"/>
  <c r="J60" i="4"/>
  <c r="J113" i="4"/>
  <c r="J14" i="4"/>
  <c r="J74" i="4"/>
  <c r="J33" i="4"/>
  <c r="J21" i="4"/>
  <c r="J41" i="4"/>
  <c r="J104" i="4"/>
  <c r="J5" i="4"/>
  <c r="J23" i="4"/>
  <c r="J29" i="4"/>
  <c r="J46" i="4"/>
  <c r="J82" i="4"/>
  <c r="J32" i="4"/>
  <c r="J73" i="4"/>
  <c r="J111" i="4"/>
  <c r="J39" i="4"/>
  <c r="J98" i="4"/>
  <c r="J65" i="4"/>
  <c r="J120" i="4"/>
  <c r="J47" i="4"/>
  <c r="J105" i="4"/>
  <c r="J12" i="4"/>
  <c r="J9" i="4"/>
  <c r="J112" i="4"/>
  <c r="J40" i="4"/>
  <c r="J117" i="4"/>
  <c r="J31" i="4"/>
  <c r="J19" i="4"/>
  <c r="J99" i="4"/>
  <c r="J69" i="4"/>
  <c r="J50" i="4"/>
  <c r="J53" i="4"/>
  <c r="J24" i="4"/>
  <c r="J122" i="4"/>
  <c r="J107" i="4"/>
  <c r="J28" i="4"/>
  <c r="J10" i="4"/>
  <c r="J8" i="4"/>
  <c r="J44" i="4"/>
  <c r="J103" i="4"/>
  <c r="J35" i="4"/>
  <c r="J91" i="4"/>
  <c r="J92" i="4"/>
  <c r="J125" i="4"/>
  <c r="J16" i="4"/>
  <c r="J85" i="4"/>
  <c r="J58" i="4"/>
  <c r="J124" i="4"/>
  <c r="J87" i="4"/>
  <c r="J7" i="4"/>
  <c r="J97" i="4"/>
  <c r="J37" i="4"/>
  <c r="J81" i="4"/>
  <c r="J59" i="4"/>
  <c r="J6" i="4"/>
  <c r="J94" i="4"/>
  <c r="J4" i="4"/>
  <c r="J42" i="4"/>
  <c r="J109" i="4"/>
  <c r="J89" i="4"/>
  <c r="J123" i="4"/>
  <c r="J27" i="4"/>
  <c r="J52" i="4"/>
  <c r="J62" i="4"/>
  <c r="J118" i="4"/>
  <c r="J79" i="4"/>
  <c r="J116" i="4"/>
  <c r="M3" i="4" l="1"/>
  <c r="N92" i="4"/>
  <c r="N84" i="4"/>
  <c r="N64" i="4"/>
  <c r="N129" i="4"/>
  <c r="N53" i="4"/>
  <c r="N10" i="4"/>
  <c r="N91" i="4"/>
  <c r="N106" i="4"/>
  <c r="N25" i="4"/>
  <c r="N114" i="4"/>
  <c r="N42" i="4"/>
  <c r="N69" i="4"/>
  <c r="N20" i="4"/>
  <c r="N124" i="4"/>
  <c r="N88" i="4"/>
  <c r="N63" i="4"/>
  <c r="N98" i="4"/>
  <c r="N103" i="4"/>
  <c r="N61" i="4"/>
  <c r="N87" i="4"/>
  <c r="N95" i="4"/>
  <c r="N90" i="4"/>
  <c r="N40" i="4"/>
  <c r="N79" i="4"/>
  <c r="N16" i="4"/>
  <c r="N81" i="4"/>
  <c r="N75" i="4"/>
  <c r="N13" i="4"/>
  <c r="N108" i="4"/>
  <c r="N52" i="4"/>
  <c r="N17" i="4"/>
  <c r="N32" i="4"/>
  <c r="N35" i="4"/>
  <c r="N29" i="4"/>
  <c r="N66" i="4"/>
  <c r="N26" i="4"/>
  <c r="N97" i="4"/>
  <c r="N68" i="4"/>
  <c r="N104" i="4"/>
  <c r="N59" i="4"/>
  <c r="N27" i="4"/>
  <c r="N46" i="4"/>
  <c r="N78" i="4"/>
  <c r="N39" i="4"/>
  <c r="N14" i="4"/>
  <c r="N44" i="4"/>
  <c r="N65" i="4"/>
  <c r="N86" i="4"/>
  <c r="N12" i="4"/>
  <c r="N100" i="4"/>
  <c r="N9" i="4"/>
  <c r="N28" i="4"/>
  <c r="N120" i="4"/>
  <c r="N107" i="4"/>
  <c r="N48" i="4"/>
  <c r="N24" i="4"/>
  <c r="N37" i="4"/>
  <c r="N56" i="4"/>
  <c r="N47" i="4"/>
  <c r="N83" i="4"/>
  <c r="N76" i="4"/>
  <c r="N109" i="4"/>
  <c r="N38" i="4"/>
  <c r="N70" i="4"/>
  <c r="N71" i="4"/>
  <c r="N74" i="4"/>
  <c r="N121" i="4"/>
  <c r="N23" i="4"/>
  <c r="N122" i="4"/>
  <c r="N85" i="4"/>
  <c r="N115" i="4"/>
  <c r="N33" i="4"/>
  <c r="N22" i="4"/>
  <c r="N58" i="4"/>
  <c r="N93" i="4"/>
  <c r="N49" i="4"/>
  <c r="N127" i="4"/>
  <c r="N21" i="4"/>
  <c r="N110" i="4"/>
  <c r="N119" i="4"/>
  <c r="N19" i="4"/>
  <c r="N125" i="4"/>
  <c r="N7" i="4"/>
  <c r="N72" i="4"/>
  <c r="N45" i="4"/>
  <c r="N41" i="4"/>
  <c r="N51" i="4"/>
  <c r="N116" i="4"/>
  <c r="N31" i="4"/>
  <c r="N62" i="4"/>
  <c r="N8" i="4"/>
  <c r="N111" i="4"/>
  <c r="N128" i="4"/>
  <c r="N94" i="4"/>
  <c r="N60" i="4"/>
  <c r="N80" i="4"/>
  <c r="N89" i="4"/>
  <c r="N113" i="4"/>
  <c r="N99" i="4"/>
  <c r="N6" i="4"/>
  <c r="N67" i="4"/>
  <c r="N5" i="4"/>
  <c r="N50" i="4"/>
  <c r="N54" i="4"/>
  <c r="N105" i="4"/>
  <c r="N73" i="4"/>
  <c r="N18" i="4"/>
  <c r="N112" i="4"/>
  <c r="N30" i="4"/>
  <c r="N102" i="4"/>
  <c r="N34" i="4"/>
  <c r="N55" i="4"/>
  <c r="N101" i="4"/>
  <c r="N57" i="4"/>
  <c r="N117" i="4"/>
  <c r="N15" i="4"/>
  <c r="N36" i="4"/>
  <c r="N82" i="4"/>
  <c r="N118" i="4"/>
  <c r="N43" i="4"/>
  <c r="N123" i="4"/>
  <c r="N96" i="4"/>
  <c r="N77" i="4"/>
  <c r="N11" i="4"/>
  <c r="N126" i="4"/>
  <c r="Q3" i="4"/>
  <c r="R9" i="4" s="1"/>
  <c r="R6" i="4"/>
  <c r="R29" i="4"/>
  <c r="R92" i="4"/>
  <c r="R22" i="4"/>
  <c r="R99" i="4"/>
  <c r="R77" i="4"/>
  <c r="R112" i="4"/>
  <c r="R56" i="4"/>
  <c r="R64" i="4"/>
  <c r="R102" i="4"/>
  <c r="R19" i="4"/>
  <c r="R36" i="4"/>
  <c r="R18" i="4"/>
  <c r="R45" i="4"/>
  <c r="R28" i="4"/>
  <c r="R103" i="4"/>
  <c r="R35" i="4"/>
  <c r="R76" i="4"/>
  <c r="R58" i="4"/>
  <c r="R88" i="4"/>
  <c r="R61" i="4"/>
  <c r="R108" i="4"/>
  <c r="R100" i="4"/>
  <c r="R7" i="4"/>
  <c r="R49" i="4"/>
  <c r="R51" i="4"/>
  <c r="R123" i="4"/>
  <c r="R72" i="4"/>
  <c r="R66" i="4"/>
  <c r="R63" i="4"/>
  <c r="R34" i="4"/>
  <c r="R93" i="4"/>
  <c r="R107" i="4"/>
  <c r="R68" i="4"/>
  <c r="R48" i="4"/>
  <c r="R8" i="4"/>
  <c r="R59" i="4"/>
  <c r="R12" i="4"/>
  <c r="R84" i="4"/>
  <c r="R96" i="4"/>
  <c r="R118" i="4"/>
  <c r="R116" i="4"/>
  <c r="R78" i="4"/>
  <c r="R14" i="4"/>
  <c r="R106" i="4"/>
  <c r="R69" i="4"/>
  <c r="R115" i="4"/>
  <c r="R27" i="4"/>
  <c r="R74" i="4"/>
  <c r="R75" i="4"/>
  <c r="R109" i="4"/>
  <c r="R44" i="4"/>
  <c r="R5" i="4"/>
  <c r="R129" i="4"/>
  <c r="R79" i="4"/>
  <c r="R124" i="4"/>
  <c r="R33" i="4"/>
  <c r="R50" i="4"/>
  <c r="R43" i="4"/>
  <c r="R80" i="4"/>
  <c r="R31" i="4"/>
  <c r="R39" i="4"/>
  <c r="R117" i="4"/>
  <c r="R95" i="4"/>
  <c r="R111" i="4"/>
  <c r="R94" i="4"/>
  <c r="R57" i="4"/>
  <c r="R47" i="4"/>
  <c r="R38" i="4"/>
  <c r="R32" i="4"/>
  <c r="R62" i="4"/>
  <c r="R126" i="4"/>
  <c r="R104" i="4"/>
  <c r="R70" i="4"/>
  <c r="R55" i="4"/>
  <c r="R42" i="4"/>
  <c r="R16" i="4"/>
  <c r="R97" i="4"/>
  <c r="R87" i="4"/>
  <c r="R83" i="4"/>
  <c r="R26" i="4"/>
  <c r="R30" i="4"/>
  <c r="R53" i="4"/>
  <c r="R11" i="4"/>
  <c r="R41" i="4"/>
  <c r="R17" i="4"/>
  <c r="R54" i="4"/>
  <c r="R67" i="4"/>
  <c r="R101" i="4"/>
  <c r="R113" i="4"/>
  <c r="R21" i="4"/>
  <c r="R89" i="4"/>
  <c r="R114" i="4"/>
  <c r="R86" i="4"/>
  <c r="R15" i="4"/>
  <c r="R65" i="4"/>
  <c r="R85" i="4"/>
  <c r="R71" i="4"/>
  <c r="R52" i="4"/>
  <c r="R98" i="4"/>
  <c r="R40" i="4"/>
  <c r="R122" i="4"/>
  <c r="R110" i="4"/>
  <c r="R128" i="4"/>
  <c r="R125" i="4"/>
  <c r="R105" i="4"/>
  <c r="R120" i="4"/>
  <c r="R13" i="4"/>
  <c r="R60" i="4"/>
  <c r="R23" i="4"/>
  <c r="R81" i="4"/>
  <c r="R91" i="4"/>
  <c r="R24" i="4"/>
  <c r="R46" i="4"/>
  <c r="R82" i="4"/>
  <c r="R121" i="4"/>
  <c r="R20" i="4"/>
  <c r="R90" i="4"/>
  <c r="R37" i="4"/>
  <c r="R73" i="4"/>
  <c r="R119" i="4"/>
  <c r="R25" i="4"/>
  <c r="R127" i="4"/>
  <c r="S9" i="4" l="1"/>
  <c r="O6" i="4"/>
  <c r="R10" i="4"/>
  <c r="U3" i="4"/>
  <c r="V10" i="4" s="1"/>
  <c r="V69" i="4"/>
  <c r="V94" i="4"/>
  <c r="V65" i="4"/>
  <c r="V51" i="4"/>
  <c r="V28" i="4"/>
  <c r="V108" i="4"/>
  <c r="V124" i="4"/>
  <c r="V41" i="4"/>
  <c r="V90" i="4"/>
  <c r="V36" i="4"/>
  <c r="V93" i="4"/>
  <c r="V99" i="4"/>
  <c r="V107" i="4"/>
  <c r="V21" i="4"/>
  <c r="V103" i="4"/>
  <c r="V43" i="4"/>
  <c r="V62" i="4"/>
  <c r="V20" i="4"/>
  <c r="V27" i="4"/>
  <c r="V38" i="4"/>
  <c r="V129" i="4"/>
  <c r="V17" i="4"/>
  <c r="V112" i="4"/>
  <c r="V52" i="4"/>
  <c r="V96" i="4"/>
  <c r="V98" i="4"/>
  <c r="V33" i="4"/>
  <c r="V77" i="4"/>
  <c r="V68" i="4"/>
  <c r="V84" i="4"/>
  <c r="V60" i="4"/>
  <c r="V31" i="4"/>
  <c r="V53" i="4"/>
  <c r="V24" i="4"/>
  <c r="V110" i="4"/>
  <c r="V44" i="4"/>
  <c r="V58" i="4"/>
  <c r="V92" i="4"/>
  <c r="V70" i="4"/>
  <c r="V88" i="4"/>
  <c r="V81" i="4"/>
  <c r="V126" i="4"/>
  <c r="V119" i="4"/>
  <c r="V106" i="4"/>
  <c r="V127" i="4"/>
  <c r="V123" i="4"/>
  <c r="V105" i="4"/>
  <c r="V46" i="4"/>
  <c r="V79" i="4"/>
  <c r="V72" i="4"/>
  <c r="V37" i="4"/>
  <c r="V34" i="4"/>
  <c r="V101" i="4"/>
  <c r="V115" i="4"/>
  <c r="V120" i="4"/>
  <c r="V22" i="4"/>
  <c r="V39" i="4"/>
  <c r="V29" i="4"/>
  <c r="V73" i="4"/>
  <c r="V76" i="4"/>
  <c r="V122" i="4"/>
  <c r="V16" i="4"/>
  <c r="V56" i="4"/>
  <c r="V25" i="4"/>
  <c r="V71" i="4"/>
  <c r="V50" i="4"/>
  <c r="V7" i="4"/>
  <c r="V49" i="4"/>
  <c r="V45" i="4"/>
  <c r="V48" i="4"/>
  <c r="V14" i="4"/>
  <c r="V97" i="4"/>
  <c r="V117" i="4"/>
  <c r="V6" i="4"/>
  <c r="V12" i="4"/>
  <c r="V64" i="4"/>
  <c r="V82" i="4"/>
  <c r="V74" i="4"/>
  <c r="V78" i="4"/>
  <c r="V75" i="4"/>
  <c r="V86" i="4"/>
  <c r="V128" i="4"/>
  <c r="V26" i="4"/>
  <c r="V89" i="4"/>
  <c r="V9" i="4"/>
  <c r="V8" i="4"/>
  <c r="V15" i="4"/>
  <c r="V55" i="4"/>
  <c r="V23" i="4"/>
  <c r="V61" i="4"/>
  <c r="V66" i="4"/>
  <c r="V113" i="4"/>
  <c r="V91" i="4"/>
  <c r="V80" i="4"/>
  <c r="V67" i="4"/>
  <c r="V35" i="4"/>
  <c r="V47" i="4"/>
  <c r="V32" i="4"/>
  <c r="V104" i="4"/>
  <c r="V83" i="4"/>
  <c r="V125" i="4"/>
  <c r="V111" i="4"/>
  <c r="V109" i="4"/>
  <c r="V121" i="4"/>
  <c r="V85" i="4"/>
  <c r="V95" i="4"/>
  <c r="V100" i="4"/>
  <c r="V18" i="4"/>
  <c r="V42" i="4"/>
  <c r="V30" i="4"/>
  <c r="V114" i="4"/>
  <c r="V54" i="4"/>
  <c r="V116" i="4"/>
  <c r="V19" i="4"/>
  <c r="V5" i="4"/>
  <c r="V57" i="4"/>
  <c r="V118" i="4"/>
  <c r="V40" i="4"/>
  <c r="V63" i="4"/>
  <c r="V59" i="4"/>
  <c r="V13" i="4"/>
  <c r="V102" i="4"/>
  <c r="V87" i="4"/>
  <c r="W10" i="4" l="1"/>
  <c r="S1" i="4"/>
  <c r="D4" i="6" s="1"/>
  <c r="L4" i="6" s="1"/>
  <c r="S4" i="4"/>
  <c r="E4" i="6" s="1"/>
  <c r="O4" i="4"/>
  <c r="E3" i="6" s="1"/>
  <c r="O1" i="4"/>
  <c r="D3" i="6" s="1"/>
  <c r="L3" i="6" s="1"/>
  <c r="M4" i="6"/>
  <c r="V11" i="4"/>
  <c r="Y3" i="4"/>
  <c r="Z11" i="4" s="1"/>
  <c r="Z58" i="4"/>
  <c r="Z84" i="4"/>
  <c r="Z117" i="4"/>
  <c r="Z53" i="4"/>
  <c r="Z65" i="4"/>
  <c r="Z43" i="4"/>
  <c r="Z17" i="4"/>
  <c r="Z86" i="4"/>
  <c r="Z110" i="4"/>
  <c r="Z18" i="4"/>
  <c r="Z95" i="4"/>
  <c r="Z96" i="4"/>
  <c r="Z93" i="4"/>
  <c r="Z77" i="4"/>
  <c r="Z57" i="4"/>
  <c r="Z40" i="4"/>
  <c r="Z116" i="4"/>
  <c r="Z63" i="4"/>
  <c r="Z13" i="4"/>
  <c r="Z60" i="4"/>
  <c r="Z76" i="4"/>
  <c r="Z48" i="4"/>
  <c r="Z118" i="4"/>
  <c r="Z51" i="4"/>
  <c r="Z10" i="4"/>
  <c r="Z87" i="4"/>
  <c r="Z113" i="4"/>
  <c r="Z75" i="4"/>
  <c r="Z103" i="4"/>
  <c r="Z45" i="4"/>
  <c r="Z114" i="4"/>
  <c r="Z78" i="4"/>
  <c r="Z21" i="4"/>
  <c r="Z6" i="4"/>
  <c r="Z106" i="4"/>
  <c r="Z101" i="4"/>
  <c r="Z56" i="4"/>
  <c r="Z33" i="4"/>
  <c r="Z74" i="4"/>
  <c r="Z26" i="4"/>
  <c r="Z7" i="4"/>
  <c r="Z67" i="4"/>
  <c r="Z88" i="4"/>
  <c r="Z27" i="4"/>
  <c r="Z126" i="4"/>
  <c r="Z68" i="4"/>
  <c r="Z121" i="4"/>
  <c r="Z80" i="4"/>
  <c r="Z79" i="4"/>
  <c r="Z115" i="4"/>
  <c r="Z100" i="4"/>
  <c r="Z66" i="4"/>
  <c r="Z20" i="4"/>
  <c r="Z112" i="4"/>
  <c r="Z82" i="4"/>
  <c r="Z55" i="4"/>
  <c r="Z85" i="4"/>
  <c r="Z47" i="4"/>
  <c r="Z83" i="4"/>
  <c r="Z125" i="4"/>
  <c r="Z91" i="4"/>
  <c r="Z72" i="4"/>
  <c r="Z46" i="4"/>
  <c r="Z73" i="4"/>
  <c r="Z50" i="4"/>
  <c r="Z70" i="4"/>
  <c r="Z34" i="4"/>
  <c r="Z71" i="4"/>
  <c r="Z61" i="4"/>
  <c r="Z94" i="4"/>
  <c r="Z9" i="4"/>
  <c r="Z59" i="4"/>
  <c r="Z128" i="4"/>
  <c r="Z30" i="4"/>
  <c r="Z102" i="4"/>
  <c r="Z22" i="4"/>
  <c r="Z90" i="4"/>
  <c r="Z8" i="4"/>
  <c r="Z111" i="4"/>
  <c r="Z36" i="4"/>
  <c r="Z98" i="4"/>
  <c r="Z124" i="4"/>
  <c r="Z69" i="4"/>
  <c r="Z104" i="4"/>
  <c r="Z122" i="4"/>
  <c r="Z31" i="4"/>
  <c r="Z29" i="4"/>
  <c r="Z19" i="4"/>
  <c r="Z99" i="4"/>
  <c r="Z14" i="4"/>
  <c r="Z105" i="4"/>
  <c r="Z23" i="4"/>
  <c r="Z42" i="4"/>
  <c r="M3" i="6"/>
  <c r="Z35" i="4"/>
  <c r="Z92" i="4"/>
  <c r="Z15" i="4"/>
  <c r="Z107" i="4"/>
  <c r="Z97" i="4"/>
  <c r="Z127" i="4"/>
  <c r="Z129" i="4"/>
  <c r="Z49" i="4"/>
  <c r="Z108" i="4"/>
  <c r="Z24" i="4"/>
  <c r="Z52" i="4"/>
  <c r="Z62" i="4"/>
  <c r="Z89" i="4"/>
  <c r="Z123" i="4"/>
  <c r="Z109" i="4"/>
  <c r="Z32" i="4"/>
  <c r="Z64" i="4"/>
  <c r="Z119" i="4"/>
  <c r="Z39" i="4"/>
  <c r="Z38" i="4"/>
  <c r="Z44" i="4"/>
  <c r="Z54" i="4"/>
  <c r="Z120" i="4"/>
  <c r="Z81" i="4"/>
  <c r="Z5" i="4"/>
  <c r="Z28" i="4"/>
  <c r="Z37" i="4"/>
  <c r="Z25" i="4"/>
  <c r="Z41" i="4"/>
  <c r="Z16" i="4"/>
  <c r="Z12" i="4"/>
  <c r="AC3" i="4"/>
  <c r="AD12" i="4" s="1"/>
  <c r="AD21" i="4"/>
  <c r="AD28" i="4"/>
  <c r="AD73" i="4"/>
  <c r="AD19" i="4"/>
  <c r="AD89" i="4"/>
  <c r="AD61" i="4"/>
  <c r="AD97" i="4"/>
  <c r="AD83" i="4"/>
  <c r="AD105" i="4"/>
  <c r="AD102" i="4"/>
  <c r="AD113" i="4"/>
  <c r="AD62" i="4"/>
  <c r="AD121" i="4"/>
  <c r="AD107" i="4"/>
  <c r="AD81" i="4"/>
  <c r="AD79" i="4"/>
  <c r="AD10" i="4"/>
  <c r="AD85" i="4"/>
  <c r="AD26" i="4"/>
  <c r="AD45" i="4"/>
  <c r="AD34" i="4"/>
  <c r="AD67" i="4"/>
  <c r="AD42" i="4"/>
  <c r="AD86" i="4"/>
  <c r="AD50" i="4"/>
  <c r="AD109" i="4"/>
  <c r="AD58" i="4"/>
  <c r="AD63" i="4"/>
  <c r="AD76" i="4"/>
  <c r="AD38" i="4"/>
  <c r="AD92" i="4"/>
  <c r="AD74" i="4"/>
  <c r="AD110" i="4"/>
  <c r="AD90" i="4"/>
  <c r="AD91" i="4"/>
  <c r="AD98" i="4"/>
  <c r="AD69" i="4"/>
  <c r="AD106" i="4"/>
  <c r="AD46" i="4"/>
  <c r="AD114" i="4"/>
  <c r="AD27" i="4"/>
  <c r="AD122" i="4"/>
  <c r="AD127" i="4"/>
  <c r="AD29" i="4"/>
  <c r="AD9" i="4"/>
  <c r="AD80" i="4"/>
  <c r="AD6" i="4"/>
  <c r="AD20" i="4"/>
  <c r="AD23" i="4"/>
  <c r="AD36" i="4"/>
  <c r="AD31" i="4"/>
  <c r="AD44" i="4"/>
  <c r="AD39" i="4"/>
  <c r="AD52" i="4"/>
  <c r="AD47" i="4"/>
  <c r="AD60" i="4"/>
  <c r="AD55" i="4"/>
  <c r="AD68" i="4"/>
  <c r="AD64" i="4"/>
  <c r="AD75" i="4"/>
  <c r="AD16" i="4"/>
  <c r="AD18" i="4"/>
  <c r="AD71" i="4"/>
  <c r="AD84" i="4"/>
  <c r="AD87" i="4"/>
  <c r="AD100" i="4"/>
  <c r="AD95" i="4"/>
  <c r="AD108" i="4"/>
  <c r="AD103" i="4"/>
  <c r="AD116" i="4"/>
  <c r="AD111" i="4"/>
  <c r="AD124" i="4"/>
  <c r="AD119" i="4"/>
  <c r="AD5" i="4"/>
  <c r="AD128" i="4"/>
  <c r="AD99" i="4"/>
  <c r="AD70" i="4"/>
  <c r="AD22" i="4"/>
  <c r="AD7" i="4"/>
  <c r="AD51" i="4"/>
  <c r="AD24" i="4"/>
  <c r="AD93" i="4"/>
  <c r="AD32" i="4"/>
  <c r="AD115" i="4"/>
  <c r="AD40" i="4"/>
  <c r="AD11" i="4"/>
  <c r="AD48" i="4"/>
  <c r="AD30" i="4"/>
  <c r="AD56" i="4"/>
  <c r="AD53" i="4"/>
  <c r="AD65" i="4"/>
  <c r="AD123" i="4"/>
  <c r="AD117" i="4"/>
  <c r="AD82" i="4"/>
  <c r="AD72" i="4"/>
  <c r="AD94" i="4"/>
  <c r="AD88" i="4"/>
  <c r="AD125" i="4"/>
  <c r="AD96" i="4"/>
  <c r="AD126" i="4"/>
  <c r="AD104" i="4"/>
  <c r="AD35" i="4"/>
  <c r="AD112" i="4"/>
  <c r="AD54" i="4"/>
  <c r="AD120" i="4"/>
  <c r="AD77" i="4"/>
  <c r="AD129" i="4"/>
  <c r="AD43" i="4"/>
  <c r="AD17" i="4"/>
  <c r="AD15" i="4"/>
  <c r="AD8" i="4"/>
  <c r="AD118" i="4"/>
  <c r="AD25" i="4"/>
  <c r="AD14" i="4"/>
  <c r="AD33" i="4"/>
  <c r="AD37" i="4"/>
  <c r="AD41" i="4"/>
  <c r="AD59" i="4"/>
  <c r="AD49" i="4"/>
  <c r="AD78" i="4"/>
  <c r="AD57" i="4"/>
  <c r="AD101" i="4"/>
  <c r="AD66" i="4"/>
  <c r="AD13" i="4"/>
  <c r="AG3" i="4"/>
  <c r="AH13" i="4" s="1"/>
  <c r="AH77" i="4"/>
  <c r="AH53" i="4"/>
  <c r="AH102" i="4"/>
  <c r="AH38" i="4"/>
  <c r="AH92" i="4"/>
  <c r="AH28" i="4"/>
  <c r="AH83" i="4"/>
  <c r="AH19" i="4"/>
  <c r="AH74" i="4"/>
  <c r="AH8" i="4"/>
  <c r="AH73" i="4"/>
  <c r="AH7" i="4"/>
  <c r="AH72" i="4"/>
  <c r="AH6" i="4"/>
  <c r="AH71" i="4"/>
  <c r="AH5" i="4"/>
  <c r="AH12" i="4"/>
  <c r="AH109" i="4"/>
  <c r="AH94" i="4"/>
  <c r="AH30" i="4"/>
  <c r="AH84" i="4"/>
  <c r="AH20" i="4"/>
  <c r="AH75" i="4"/>
  <c r="AH9" i="4"/>
  <c r="AH66" i="4"/>
  <c r="AH129" i="4"/>
  <c r="AH65" i="4"/>
  <c r="AH128" i="4"/>
  <c r="AH64" i="4"/>
  <c r="AH127" i="4"/>
  <c r="AH63" i="4"/>
  <c r="AH21" i="4"/>
  <c r="AH45" i="4"/>
  <c r="AH86" i="4"/>
  <c r="AH22" i="4"/>
  <c r="AH76" i="4"/>
  <c r="AH11" i="4"/>
  <c r="AH67" i="4"/>
  <c r="AH122" i="4"/>
  <c r="AH58" i="4"/>
  <c r="AH121" i="4"/>
  <c r="AH57" i="4"/>
  <c r="AH120" i="4"/>
  <c r="AH56" i="4"/>
  <c r="AH119" i="4"/>
  <c r="AH55" i="4"/>
  <c r="AH69" i="4"/>
  <c r="AH101" i="4"/>
  <c r="AH78" i="4"/>
  <c r="AH68" i="4"/>
  <c r="AH123" i="4"/>
  <c r="AH59" i="4"/>
  <c r="AH114" i="4"/>
  <c r="AH50" i="4"/>
  <c r="AH113" i="4"/>
  <c r="AH49" i="4"/>
  <c r="AH112" i="4"/>
  <c r="AH48" i="4"/>
  <c r="AH111" i="4"/>
  <c r="AH47" i="4"/>
  <c r="AH125" i="4"/>
  <c r="AH37" i="4"/>
  <c r="AH70" i="4"/>
  <c r="AH124" i="4"/>
  <c r="AH60" i="4"/>
  <c r="AH115" i="4"/>
  <c r="AH51" i="4"/>
  <c r="AH106" i="4"/>
  <c r="AH42" i="4"/>
  <c r="AH105" i="4"/>
  <c r="AH41" i="4"/>
  <c r="AH104" i="4"/>
  <c r="AH40" i="4"/>
  <c r="AH103" i="4"/>
  <c r="AH39" i="4"/>
  <c r="AH10" i="4"/>
  <c r="AH61" i="4"/>
  <c r="AH126" i="4"/>
  <c r="AH62" i="4"/>
  <c r="AH116" i="4"/>
  <c r="AH52" i="4"/>
  <c r="AH107" i="4"/>
  <c r="AH43" i="4"/>
  <c r="AH98" i="4"/>
  <c r="AH34" i="4"/>
  <c r="AH97" i="4"/>
  <c r="AH33" i="4"/>
  <c r="AH96" i="4"/>
  <c r="AH32" i="4"/>
  <c r="AH95" i="4"/>
  <c r="AH31" i="4"/>
  <c r="AH93" i="4"/>
  <c r="AH85" i="4"/>
  <c r="AH118" i="4"/>
  <c r="AH54" i="4"/>
  <c r="AH108" i="4"/>
  <c r="AH44" i="4"/>
  <c r="AH99" i="4"/>
  <c r="AH35" i="4"/>
  <c r="AH90" i="4"/>
  <c r="AH26" i="4"/>
  <c r="AH89" i="4"/>
  <c r="AH25" i="4"/>
  <c r="AH88" i="4"/>
  <c r="AH24" i="4"/>
  <c r="AH87" i="4"/>
  <c r="AH23" i="4"/>
  <c r="AH29" i="4"/>
  <c r="AH117" i="4"/>
  <c r="AH110" i="4"/>
  <c r="AH46" i="4"/>
  <c r="AH100" i="4"/>
  <c r="AH36" i="4"/>
  <c r="AH91" i="4"/>
  <c r="AH27" i="4"/>
  <c r="AH82" i="4"/>
  <c r="AH18" i="4"/>
  <c r="AH81" i="4"/>
  <c r="AH17" i="4"/>
  <c r="AH80" i="4"/>
  <c r="AH16" i="4"/>
  <c r="AH79" i="4"/>
  <c r="AH15" i="4"/>
  <c r="AH14" i="4"/>
  <c r="AK3" i="4"/>
  <c r="AL14" i="4" s="1"/>
  <c r="AL11" i="4"/>
  <c r="AL80" i="4"/>
  <c r="AL32" i="4"/>
  <c r="AL73" i="4"/>
  <c r="AL7" i="4"/>
  <c r="AL71" i="4"/>
  <c r="AL5" i="4"/>
  <c r="AL70" i="4"/>
  <c r="AL125" i="4"/>
  <c r="AL61" i="4"/>
  <c r="AL116" i="4"/>
  <c r="AL52" i="4"/>
  <c r="AL107" i="4"/>
  <c r="AL43" i="4"/>
  <c r="AL98" i="4"/>
  <c r="AL34" i="4"/>
  <c r="AL88" i="4"/>
  <c r="AL120" i="4"/>
  <c r="AL129" i="4"/>
  <c r="AL65" i="4"/>
  <c r="AL127" i="4"/>
  <c r="AL63" i="4"/>
  <c r="AL126" i="4"/>
  <c r="AL62" i="4"/>
  <c r="AL117" i="4"/>
  <c r="AL53" i="4"/>
  <c r="AL108" i="4"/>
  <c r="AL44" i="4"/>
  <c r="AL99" i="4"/>
  <c r="AL35" i="4"/>
  <c r="AL90" i="4"/>
  <c r="AL26" i="4"/>
  <c r="AL24" i="4"/>
  <c r="AL56" i="4"/>
  <c r="AL121" i="4"/>
  <c r="AL57" i="4"/>
  <c r="AL119" i="4"/>
  <c r="AL55" i="4"/>
  <c r="AL118" i="4"/>
  <c r="AL54" i="4"/>
  <c r="AL109" i="4"/>
  <c r="AL45" i="4"/>
  <c r="AL100" i="4"/>
  <c r="AL36" i="4"/>
  <c r="AL91" i="4"/>
  <c r="AL27" i="4"/>
  <c r="AL82" i="4"/>
  <c r="AL18" i="4"/>
  <c r="AL72" i="4"/>
  <c r="AL112" i="4"/>
  <c r="AL113" i="4"/>
  <c r="AL49" i="4"/>
  <c r="AL111" i="4"/>
  <c r="AL47" i="4"/>
  <c r="AL110" i="4"/>
  <c r="AL46" i="4"/>
  <c r="AL101" i="4"/>
  <c r="AL37" i="4"/>
  <c r="AL92" i="4"/>
  <c r="AL28" i="4"/>
  <c r="AL83" i="4"/>
  <c r="AL19" i="4"/>
  <c r="AL74" i="4"/>
  <c r="AL8" i="4"/>
  <c r="AL6" i="4"/>
  <c r="AL48" i="4"/>
  <c r="AL105" i="4"/>
  <c r="AL41" i="4"/>
  <c r="AL103" i="4"/>
  <c r="AL39" i="4"/>
  <c r="AL102" i="4"/>
  <c r="AL38" i="4"/>
  <c r="AL93" i="4"/>
  <c r="AL29" i="4"/>
  <c r="AL84" i="4"/>
  <c r="AL20" i="4"/>
  <c r="AL75" i="4"/>
  <c r="AL9" i="4"/>
  <c r="AL66" i="4"/>
  <c r="AL16" i="4"/>
  <c r="AL104" i="4"/>
  <c r="AL97" i="4"/>
  <c r="AL33" i="4"/>
  <c r="AL95" i="4"/>
  <c r="AL31" i="4"/>
  <c r="AL94" i="4"/>
  <c r="AL30" i="4"/>
  <c r="AL85" i="4"/>
  <c r="AL21" i="4"/>
  <c r="AL76" i="4"/>
  <c r="AL10" i="4"/>
  <c r="AL67" i="4"/>
  <c r="AL122" i="4"/>
  <c r="AL58" i="4"/>
  <c r="AL128" i="4"/>
  <c r="AL40" i="4"/>
  <c r="AL89" i="4"/>
  <c r="AL25" i="4"/>
  <c r="AL87" i="4"/>
  <c r="AL23" i="4"/>
  <c r="AL86" i="4"/>
  <c r="AL22" i="4"/>
  <c r="AL77" i="4"/>
  <c r="AL12" i="4"/>
  <c r="AL68" i="4"/>
  <c r="AL123" i="4"/>
  <c r="AL59" i="4"/>
  <c r="AL114" i="4"/>
  <c r="AL50" i="4"/>
  <c r="AL64" i="4"/>
  <c r="AL96" i="4"/>
  <c r="AL81" i="4"/>
  <c r="AL17" i="4"/>
  <c r="AL79" i="4"/>
  <c r="AL78" i="4"/>
  <c r="AL13" i="4"/>
  <c r="AL69" i="4"/>
  <c r="AL124" i="4"/>
  <c r="AL60" i="4"/>
  <c r="AL115" i="4"/>
  <c r="AL51" i="4"/>
  <c r="AL106" i="4"/>
  <c r="AL42" i="4"/>
  <c r="AL15" i="4"/>
  <c r="AO3" i="4"/>
  <c r="AP15" i="4" s="1"/>
  <c r="AP65" i="4"/>
  <c r="AP128" i="4"/>
  <c r="AP59" i="4"/>
  <c r="AP64" i="4"/>
  <c r="AP91" i="4"/>
  <c r="AP76" i="4"/>
  <c r="AP127" i="4"/>
  <c r="AP10" i="4"/>
  <c r="AP66" i="4"/>
  <c r="AP129" i="4"/>
  <c r="AP123" i="4"/>
  <c r="AP35" i="4"/>
  <c r="AP84" i="4"/>
  <c r="AP20" i="4"/>
  <c r="AP74" i="4"/>
  <c r="AP8" i="4"/>
  <c r="AP73" i="4"/>
  <c r="AP7" i="4"/>
  <c r="AP72" i="4"/>
  <c r="AP6" i="4"/>
  <c r="AP71" i="4"/>
  <c r="AP5" i="4"/>
  <c r="AP70" i="4"/>
  <c r="AP125" i="4"/>
  <c r="AP61" i="4"/>
  <c r="AP63" i="4"/>
  <c r="AP126" i="4"/>
  <c r="AP62" i="4"/>
  <c r="AP117" i="4"/>
  <c r="AP53" i="4"/>
  <c r="AP115" i="4"/>
  <c r="AP27" i="4"/>
  <c r="AP68" i="4"/>
  <c r="AP122" i="4"/>
  <c r="AP58" i="4"/>
  <c r="AP121" i="4"/>
  <c r="AP57" i="4"/>
  <c r="AP120" i="4"/>
  <c r="AP56" i="4"/>
  <c r="AP119" i="4"/>
  <c r="AP55" i="4"/>
  <c r="AP118" i="4"/>
  <c r="AP54" i="4"/>
  <c r="AP109" i="4"/>
  <c r="AP45" i="4"/>
  <c r="AP12" i="4"/>
  <c r="AP51" i="4"/>
  <c r="AP124" i="4"/>
  <c r="AP60" i="4"/>
  <c r="AP114" i="4"/>
  <c r="AP50" i="4"/>
  <c r="AP113" i="4"/>
  <c r="AP49" i="4"/>
  <c r="AP112" i="4"/>
  <c r="AP48" i="4"/>
  <c r="AP111" i="4"/>
  <c r="AP47" i="4"/>
  <c r="AP110" i="4"/>
  <c r="AP46" i="4"/>
  <c r="AP101" i="4"/>
  <c r="AP37" i="4"/>
  <c r="AP83" i="4"/>
  <c r="AP75" i="4"/>
  <c r="AP116" i="4"/>
  <c r="AP52" i="4"/>
  <c r="AP106" i="4"/>
  <c r="AP42" i="4"/>
  <c r="AP105" i="4"/>
  <c r="AP41" i="4"/>
  <c r="AP104" i="4"/>
  <c r="AP40" i="4"/>
  <c r="AP103" i="4"/>
  <c r="AP39" i="4"/>
  <c r="AP102" i="4"/>
  <c r="AP38" i="4"/>
  <c r="AP93" i="4"/>
  <c r="AP29" i="4"/>
  <c r="AP19" i="4"/>
  <c r="AP107" i="4"/>
  <c r="AP108" i="4"/>
  <c r="AP44" i="4"/>
  <c r="AP98" i="4"/>
  <c r="AP34" i="4"/>
  <c r="AP97" i="4"/>
  <c r="AP33" i="4"/>
  <c r="AP96" i="4"/>
  <c r="AP32" i="4"/>
  <c r="AP95" i="4"/>
  <c r="AP31" i="4"/>
  <c r="AP94" i="4"/>
  <c r="AP30" i="4"/>
  <c r="AP85" i="4"/>
  <c r="AP21" i="4"/>
  <c r="AP9" i="4"/>
  <c r="AP43" i="4"/>
  <c r="AP100" i="4"/>
  <c r="AP36" i="4"/>
  <c r="AP90" i="4"/>
  <c r="AP26" i="4"/>
  <c r="AP89" i="4"/>
  <c r="AP25" i="4"/>
  <c r="AP88" i="4"/>
  <c r="AP24" i="4"/>
  <c r="AP87" i="4"/>
  <c r="AP23" i="4"/>
  <c r="AP86" i="4"/>
  <c r="AP22" i="4"/>
  <c r="AP77" i="4"/>
  <c r="AP11" i="4"/>
  <c r="AP67" i="4"/>
  <c r="AP99" i="4"/>
  <c r="AP92" i="4"/>
  <c r="AP28" i="4"/>
  <c r="AP82" i="4"/>
  <c r="AP18" i="4"/>
  <c r="AP81" i="4"/>
  <c r="AP17" i="4"/>
  <c r="AP80" i="4"/>
  <c r="AP79" i="4"/>
  <c r="AP14" i="4"/>
  <c r="AP78" i="4"/>
  <c r="AP13" i="4"/>
  <c r="AP69" i="4"/>
  <c r="AP16" i="4"/>
  <c r="AS3" i="4"/>
  <c r="AT16" i="4" s="1"/>
  <c r="AT126" i="4"/>
  <c r="AT79" i="4"/>
  <c r="AT77" i="4"/>
  <c r="AT20" i="4"/>
  <c r="AT72" i="4"/>
  <c r="AT46" i="4"/>
  <c r="AT39" i="4"/>
  <c r="AT37" i="4"/>
  <c r="AT83" i="4"/>
  <c r="AT6" i="4"/>
  <c r="AT102" i="4"/>
  <c r="AT31" i="4"/>
  <c r="AT29" i="4"/>
  <c r="AT19" i="4"/>
  <c r="AT38" i="4"/>
  <c r="AT23" i="4"/>
  <c r="AT21" i="4"/>
  <c r="AT74" i="4"/>
  <c r="AT94" i="4"/>
  <c r="AT14" i="4"/>
  <c r="AT11" i="4"/>
  <c r="AT8" i="4"/>
  <c r="AT78" i="4"/>
  <c r="AT103" i="4"/>
  <c r="AT101" i="4"/>
  <c r="AT92" i="4"/>
  <c r="AT73" i="4"/>
  <c r="AT70" i="4"/>
  <c r="AT95" i="4"/>
  <c r="AT93" i="4"/>
  <c r="AT84" i="4"/>
  <c r="AT12" i="4"/>
  <c r="AT87" i="4"/>
  <c r="AT85" i="4"/>
  <c r="AT28" i="4"/>
  <c r="AT7" i="4"/>
  <c r="AT22" i="4"/>
  <c r="AT110" i="4"/>
  <c r="AT111" i="4"/>
  <c r="AT47" i="4"/>
  <c r="AT109" i="4"/>
  <c r="AT45" i="4"/>
  <c r="AT100" i="4"/>
  <c r="AT36" i="4"/>
  <c r="AT91" i="4"/>
  <c r="AT27" i="4"/>
  <c r="AT82" i="4"/>
  <c r="AT18" i="4"/>
  <c r="AT81" i="4"/>
  <c r="AT80" i="4"/>
  <c r="AT15" i="4"/>
  <c r="AT75" i="4"/>
  <c r="AT9" i="4"/>
  <c r="AT66" i="4"/>
  <c r="AT129" i="4"/>
  <c r="AT65" i="4"/>
  <c r="AT128" i="4"/>
  <c r="AT64" i="4"/>
  <c r="AT76" i="4"/>
  <c r="AT10" i="4"/>
  <c r="AT67" i="4"/>
  <c r="AT122" i="4"/>
  <c r="AT58" i="4"/>
  <c r="AT121" i="4"/>
  <c r="AT57" i="4"/>
  <c r="AT120" i="4"/>
  <c r="AT56" i="4"/>
  <c r="AT68" i="4"/>
  <c r="AT123" i="4"/>
  <c r="AT59" i="4"/>
  <c r="AT114" i="4"/>
  <c r="AT50" i="4"/>
  <c r="AT113" i="4"/>
  <c r="AT49" i="4"/>
  <c r="AT112" i="4"/>
  <c r="AT48" i="4"/>
  <c r="AT62" i="4"/>
  <c r="AT30" i="4"/>
  <c r="AT71" i="4"/>
  <c r="AT5" i="4"/>
  <c r="AT69" i="4"/>
  <c r="AT124" i="4"/>
  <c r="AT60" i="4"/>
  <c r="AT115" i="4"/>
  <c r="AT51" i="4"/>
  <c r="AT106" i="4"/>
  <c r="AT42" i="4"/>
  <c r="AT105" i="4"/>
  <c r="AT41" i="4"/>
  <c r="AT104" i="4"/>
  <c r="AT40" i="4"/>
  <c r="AT13" i="4"/>
  <c r="AT118" i="4"/>
  <c r="AT127" i="4"/>
  <c r="AT63" i="4"/>
  <c r="AT125" i="4"/>
  <c r="AT61" i="4"/>
  <c r="AT116" i="4"/>
  <c r="AT52" i="4"/>
  <c r="AT107" i="4"/>
  <c r="AT43" i="4"/>
  <c r="AT98" i="4"/>
  <c r="AT34" i="4"/>
  <c r="AT97" i="4"/>
  <c r="AT33" i="4"/>
  <c r="AT96" i="4"/>
  <c r="AT32" i="4"/>
  <c r="AT86" i="4"/>
  <c r="AT54" i="4"/>
  <c r="AT119" i="4"/>
  <c r="AT55" i="4"/>
  <c r="AT117" i="4"/>
  <c r="AT53" i="4"/>
  <c r="AT108" i="4"/>
  <c r="AT44" i="4"/>
  <c r="AT99" i="4"/>
  <c r="AT35" i="4"/>
  <c r="AT90" i="4"/>
  <c r="AT26" i="4"/>
  <c r="AT89" i="4"/>
  <c r="AT25" i="4"/>
  <c r="AT88" i="4"/>
  <c r="AT24" i="4"/>
  <c r="AT17" i="4"/>
  <c r="AW3" i="4"/>
  <c r="AX17" i="4" s="1"/>
  <c r="AX116" i="4"/>
  <c r="AX123" i="4"/>
  <c r="AX66" i="4"/>
  <c r="AX105" i="4"/>
  <c r="AX120" i="4"/>
  <c r="AX51" i="4"/>
  <c r="AX11" i="4"/>
  <c r="AX125" i="4"/>
  <c r="AX108" i="4"/>
  <c r="AX91" i="4"/>
  <c r="AX34" i="4"/>
  <c r="AX97" i="4"/>
  <c r="AX112" i="4"/>
  <c r="AX27" i="4"/>
  <c r="AX126" i="4"/>
  <c r="AX117" i="4"/>
  <c r="AX8" i="4"/>
  <c r="AX76" i="4"/>
  <c r="AX59" i="4"/>
  <c r="AX26" i="4"/>
  <c r="AX89" i="4"/>
  <c r="AX104" i="4"/>
  <c r="AX127" i="4"/>
  <c r="AX118" i="4"/>
  <c r="AX109" i="4"/>
  <c r="AX10" i="4"/>
  <c r="AX68" i="4"/>
  <c r="AX35" i="4"/>
  <c r="AX15" i="4"/>
  <c r="AX57" i="4"/>
  <c r="AX96" i="4"/>
  <c r="AX119" i="4"/>
  <c r="AX110" i="4"/>
  <c r="AX101" i="4"/>
  <c r="AX19" i="4"/>
  <c r="AX60" i="4"/>
  <c r="AX98" i="4"/>
  <c r="AX99" i="4"/>
  <c r="AX49" i="4"/>
  <c r="AX56" i="4"/>
  <c r="AX79" i="4"/>
  <c r="AX70" i="4"/>
  <c r="AX61" i="4"/>
  <c r="AX9" i="4"/>
  <c r="AX52" i="4"/>
  <c r="AX90" i="4"/>
  <c r="AX75" i="4"/>
  <c r="AX41" i="4"/>
  <c r="AX48" i="4"/>
  <c r="AX71" i="4"/>
  <c r="AX62" i="4"/>
  <c r="AX53" i="4"/>
  <c r="AX14" i="4"/>
  <c r="AX44" i="4"/>
  <c r="AX82" i="4"/>
  <c r="AX121" i="4"/>
  <c r="AX33" i="4"/>
  <c r="AX40" i="4"/>
  <c r="AX63" i="4"/>
  <c r="AX54" i="4"/>
  <c r="AX45" i="4"/>
  <c r="AX124" i="4"/>
  <c r="AX5" i="4"/>
  <c r="AX74" i="4"/>
  <c r="AX113" i="4"/>
  <c r="AX25" i="4"/>
  <c r="AX32" i="4"/>
  <c r="AX55" i="4"/>
  <c r="AX46" i="4"/>
  <c r="AX37" i="4"/>
  <c r="AX128" i="4"/>
  <c r="AX64" i="4"/>
  <c r="AX83" i="4"/>
  <c r="AX87" i="4"/>
  <c r="AX23" i="4"/>
  <c r="AX78" i="4"/>
  <c r="AX7" i="4"/>
  <c r="AX69" i="4"/>
  <c r="AX100" i="4"/>
  <c r="AX36" i="4"/>
  <c r="AX122" i="4"/>
  <c r="AX58" i="4"/>
  <c r="AX43" i="4"/>
  <c r="AX81" i="4"/>
  <c r="AX13" i="4"/>
  <c r="AX88" i="4"/>
  <c r="AX24" i="4"/>
  <c r="AX111" i="4"/>
  <c r="AX47" i="4"/>
  <c r="AX102" i="4"/>
  <c r="AX38" i="4"/>
  <c r="AX93" i="4"/>
  <c r="AX29" i="4"/>
  <c r="AX92" i="4"/>
  <c r="AX28" i="4"/>
  <c r="AX114" i="4"/>
  <c r="AX50" i="4"/>
  <c r="AX16" i="4"/>
  <c r="AX73" i="4"/>
  <c r="AX107" i="4"/>
  <c r="AX80" i="4"/>
  <c r="AX12" i="4"/>
  <c r="AX103" i="4"/>
  <c r="AX39" i="4"/>
  <c r="AX94" i="4"/>
  <c r="AX30" i="4"/>
  <c r="AX85" i="4"/>
  <c r="AX21" i="4"/>
  <c r="AX84" i="4"/>
  <c r="AX20" i="4"/>
  <c r="AX106" i="4"/>
  <c r="AX42" i="4"/>
  <c r="AX129" i="4"/>
  <c r="AX65" i="4"/>
  <c r="AX67" i="4"/>
  <c r="AX72" i="4"/>
  <c r="AX115" i="4"/>
  <c r="AX95" i="4"/>
  <c r="AX31" i="4"/>
  <c r="AX86" i="4"/>
  <c r="AX22" i="4"/>
  <c r="AX77" i="4"/>
  <c r="AX6" i="4"/>
  <c r="AX18" i="4"/>
  <c r="BA3" i="4"/>
  <c r="BB18" i="4" s="1"/>
  <c r="BB119" i="4"/>
  <c r="BB39" i="4"/>
  <c r="BB101" i="4"/>
  <c r="BB116" i="4"/>
  <c r="BB78" i="4"/>
  <c r="BB59" i="4"/>
  <c r="BB90" i="4"/>
  <c r="BB102" i="4"/>
  <c r="BB33" i="4"/>
  <c r="BB64" i="4"/>
  <c r="BB31" i="4"/>
  <c r="BB51" i="4"/>
  <c r="BB82" i="4"/>
  <c r="BB113" i="4"/>
  <c r="BB25" i="4"/>
  <c r="BB56" i="4"/>
  <c r="BB103" i="4"/>
  <c r="BB23" i="4"/>
  <c r="BB61" i="4"/>
  <c r="BB100" i="4"/>
  <c r="BB12" i="4"/>
  <c r="BB74" i="4"/>
  <c r="BB105" i="4"/>
  <c r="BB16" i="4"/>
  <c r="BB48" i="4"/>
  <c r="BB54" i="4"/>
  <c r="BB95" i="4"/>
  <c r="BB5" i="4"/>
  <c r="BB53" i="4"/>
  <c r="BB68" i="4"/>
  <c r="BB123" i="4"/>
  <c r="BB9" i="4"/>
  <c r="BB66" i="4"/>
  <c r="BB97" i="4"/>
  <c r="BB128" i="4"/>
  <c r="BB40" i="4"/>
  <c r="BB87" i="4"/>
  <c r="BB62" i="4"/>
  <c r="BB45" i="4"/>
  <c r="BB60" i="4"/>
  <c r="BB115" i="4"/>
  <c r="BB126" i="4"/>
  <c r="BB34" i="4"/>
  <c r="BB89" i="4"/>
  <c r="BB120" i="4"/>
  <c r="BB32" i="4"/>
  <c r="BB108" i="4"/>
  <c r="BB71" i="4"/>
  <c r="BB125" i="4"/>
  <c r="BB37" i="4"/>
  <c r="BB52" i="4"/>
  <c r="BB83" i="4"/>
  <c r="BB70" i="4"/>
  <c r="BB26" i="4"/>
  <c r="BB81" i="4"/>
  <c r="BB112" i="4"/>
  <c r="BB69" i="4"/>
  <c r="BB15" i="4"/>
  <c r="BB55" i="4"/>
  <c r="BB117" i="4"/>
  <c r="BB110" i="4"/>
  <c r="BB44" i="4"/>
  <c r="BB75" i="4"/>
  <c r="BB46" i="4"/>
  <c r="BB17" i="4"/>
  <c r="BB49" i="4"/>
  <c r="BB104" i="4"/>
  <c r="BB111" i="4"/>
  <c r="BB30" i="4"/>
  <c r="BB47" i="4"/>
  <c r="BB109" i="4"/>
  <c r="BB124" i="4"/>
  <c r="BB36" i="4"/>
  <c r="BB67" i="4"/>
  <c r="BB98" i="4"/>
  <c r="BB8" i="4"/>
  <c r="BB41" i="4"/>
  <c r="BB96" i="4"/>
  <c r="BB94" i="4"/>
  <c r="BB79" i="4"/>
  <c r="BB13" i="4"/>
  <c r="BB93" i="4"/>
  <c r="BB29" i="4"/>
  <c r="BB92" i="4"/>
  <c r="BB28" i="4"/>
  <c r="BB107" i="4"/>
  <c r="BB43" i="4"/>
  <c r="BB122" i="4"/>
  <c r="BB58" i="4"/>
  <c r="BB38" i="4"/>
  <c r="BB73" i="4"/>
  <c r="BB7" i="4"/>
  <c r="BB88" i="4"/>
  <c r="BB24" i="4"/>
  <c r="BB85" i="4"/>
  <c r="BB21" i="4"/>
  <c r="BB84" i="4"/>
  <c r="BB20" i="4"/>
  <c r="BB99" i="4"/>
  <c r="BB35" i="4"/>
  <c r="BB114" i="4"/>
  <c r="BB50" i="4"/>
  <c r="BB129" i="4"/>
  <c r="BB65" i="4"/>
  <c r="BB86" i="4"/>
  <c r="BB80" i="4"/>
  <c r="BB14" i="4"/>
  <c r="BB127" i="4"/>
  <c r="BB63" i="4"/>
  <c r="BB118" i="4"/>
  <c r="BB77" i="4"/>
  <c r="BB11" i="4"/>
  <c r="BB76" i="4"/>
  <c r="BB10" i="4"/>
  <c r="BB91" i="4"/>
  <c r="BB27" i="4"/>
  <c r="BB106" i="4"/>
  <c r="BB42" i="4"/>
  <c r="BB121" i="4"/>
  <c r="BB57" i="4"/>
  <c r="BB22" i="4"/>
  <c r="BB72" i="4"/>
  <c r="BB6" i="4"/>
  <c r="BB19" i="4"/>
  <c r="BE3" i="4"/>
  <c r="BF19" i="4" s="1"/>
  <c r="BF114" i="4"/>
  <c r="BF50" i="4"/>
  <c r="BF128" i="4"/>
  <c r="BF64" i="4"/>
  <c r="BF113" i="4"/>
  <c r="BF79" i="4"/>
  <c r="BF13" i="4"/>
  <c r="BF102" i="4"/>
  <c r="BF38" i="4"/>
  <c r="BF109" i="4"/>
  <c r="BF45" i="4"/>
  <c r="BF116" i="4"/>
  <c r="BF52" i="4"/>
  <c r="BF25" i="4"/>
  <c r="BF59" i="4"/>
  <c r="BF5" i="4"/>
  <c r="BF44" i="4"/>
  <c r="BF120" i="4"/>
  <c r="BF123" i="4"/>
  <c r="BF127" i="4"/>
  <c r="BF22" i="4"/>
  <c r="BF100" i="4"/>
  <c r="BF36" i="4"/>
  <c r="BF115" i="4"/>
  <c r="BF27" i="4"/>
  <c r="BF42" i="4"/>
  <c r="BF101" i="4"/>
  <c r="BF48" i="4"/>
  <c r="BF29" i="4"/>
  <c r="BF104" i="4"/>
  <c r="BF40" i="4"/>
  <c r="BF119" i="4"/>
  <c r="BF55" i="4"/>
  <c r="BF41" i="4"/>
  <c r="BF78" i="4"/>
  <c r="BF12" i="4"/>
  <c r="BF85" i="4"/>
  <c r="BF21" i="4"/>
  <c r="BF92" i="4"/>
  <c r="BF28" i="4"/>
  <c r="BF107" i="4"/>
  <c r="BF18" i="4"/>
  <c r="BF94" i="4"/>
  <c r="BF43" i="4"/>
  <c r="BF63" i="4"/>
  <c r="BF16" i="4"/>
  <c r="BF17" i="4"/>
  <c r="BF96" i="4"/>
  <c r="BF32" i="4"/>
  <c r="BF111" i="4"/>
  <c r="BF47" i="4"/>
  <c r="BF7" i="4"/>
  <c r="BF70" i="4"/>
  <c r="BF121" i="4"/>
  <c r="BF77" i="4"/>
  <c r="BF11" i="4"/>
  <c r="BF84" i="4"/>
  <c r="BF91" i="4"/>
  <c r="BF9" i="4"/>
  <c r="BF56" i="4"/>
  <c r="BF30" i="4"/>
  <c r="BF34" i="4"/>
  <c r="BF97" i="4"/>
  <c r="BF26" i="4"/>
  <c r="BF82" i="4"/>
  <c r="BF73" i="4"/>
  <c r="BF74" i="4"/>
  <c r="BF8" i="4"/>
  <c r="BF88" i="4"/>
  <c r="BF24" i="4"/>
  <c r="BF103" i="4"/>
  <c r="BF39" i="4"/>
  <c r="BF126" i="4"/>
  <c r="BF62" i="4"/>
  <c r="BF65" i="4"/>
  <c r="BF69" i="4"/>
  <c r="BF89" i="4"/>
  <c r="BF76" i="4"/>
  <c r="BF10" i="4"/>
  <c r="BF83" i="4"/>
  <c r="BF57" i="4"/>
  <c r="BF108" i="4"/>
  <c r="BF112" i="4"/>
  <c r="BF86" i="4"/>
  <c r="BF90" i="4"/>
  <c r="BF15" i="4"/>
  <c r="BF66" i="4"/>
  <c r="BF105" i="4"/>
  <c r="BF80" i="4"/>
  <c r="BF14" i="4"/>
  <c r="BF95" i="4"/>
  <c r="BF31" i="4"/>
  <c r="BF118" i="4"/>
  <c r="BF54" i="4"/>
  <c r="BF125" i="4"/>
  <c r="BF61" i="4"/>
  <c r="BF33" i="4"/>
  <c r="BF68" i="4"/>
  <c r="BF129" i="4"/>
  <c r="BF75" i="4"/>
  <c r="BF106" i="4"/>
  <c r="BF71" i="4"/>
  <c r="BF37" i="4"/>
  <c r="BF98" i="4"/>
  <c r="BF93" i="4"/>
  <c r="BF122" i="4"/>
  <c r="BF58" i="4"/>
  <c r="BF49" i="4"/>
  <c r="BF72" i="4"/>
  <c r="BF6" i="4"/>
  <c r="BF87" i="4"/>
  <c r="BF23" i="4"/>
  <c r="BF110" i="4"/>
  <c r="BF46" i="4"/>
  <c r="BF117" i="4"/>
  <c r="BF53" i="4"/>
  <c r="BF124" i="4"/>
  <c r="BF60" i="4"/>
  <c r="BF81" i="4"/>
  <c r="BF67" i="4"/>
  <c r="BF51" i="4"/>
  <c r="BF99" i="4"/>
  <c r="BF35" i="4"/>
  <c r="BF20" i="4"/>
  <c r="BI3" i="4"/>
  <c r="BJ20" i="4" s="1"/>
  <c r="BJ98" i="4"/>
  <c r="BJ94" i="4"/>
  <c r="BJ30" i="4"/>
  <c r="BJ64" i="4"/>
  <c r="BJ105" i="4"/>
  <c r="BJ13" i="4"/>
  <c r="BJ85" i="4"/>
  <c r="BJ49" i="4"/>
  <c r="BJ77" i="4"/>
  <c r="BJ52" i="4"/>
  <c r="BJ17" i="4"/>
  <c r="BJ6" i="4"/>
  <c r="BJ113" i="4"/>
  <c r="BJ120" i="4"/>
  <c r="BJ10" i="4"/>
  <c r="BJ19" i="4"/>
  <c r="BJ36" i="4"/>
  <c r="BJ104" i="4"/>
  <c r="BJ70" i="4"/>
  <c r="BJ87" i="4"/>
  <c r="BJ90" i="4"/>
  <c r="BJ14" i="4"/>
  <c r="BJ108" i="4"/>
  <c r="BJ112" i="4"/>
  <c r="BJ22" i="4"/>
  <c r="BJ74" i="4"/>
  <c r="BJ76" i="4"/>
  <c r="BJ100" i="4"/>
  <c r="BJ55" i="4"/>
  <c r="BJ84" i="4"/>
  <c r="BJ34" i="4"/>
  <c r="BJ23" i="4"/>
  <c r="BJ12" i="4"/>
  <c r="BJ26" i="4"/>
  <c r="BJ79" i="4"/>
  <c r="BJ75" i="4"/>
  <c r="BJ33" i="4"/>
  <c r="BJ78" i="4"/>
  <c r="BJ61" i="4"/>
  <c r="BJ89" i="4"/>
  <c r="BJ127" i="4"/>
  <c r="BJ117" i="4"/>
  <c r="BJ59" i="4"/>
  <c r="BJ81" i="4"/>
  <c r="BJ32" i="4"/>
  <c r="BJ109" i="4"/>
  <c r="BJ122" i="4"/>
  <c r="BJ28" i="4"/>
  <c r="BJ88" i="4"/>
  <c r="BJ24" i="4"/>
  <c r="BJ47" i="4"/>
  <c r="BJ118" i="4"/>
  <c r="BJ54" i="4"/>
  <c r="BJ27" i="4"/>
  <c r="BJ92" i="4"/>
  <c r="BJ44" i="4"/>
  <c r="BJ18" i="4"/>
  <c r="BJ41" i="4"/>
  <c r="BJ86" i="4"/>
  <c r="BJ11" i="4"/>
  <c r="BJ97" i="4"/>
  <c r="BJ71" i="4"/>
  <c r="BJ67" i="4"/>
  <c r="BJ9" i="4"/>
  <c r="BJ40" i="4"/>
  <c r="BJ123" i="4"/>
  <c r="BJ60" i="4"/>
  <c r="BJ16" i="4"/>
  <c r="BJ119" i="4"/>
  <c r="BJ62" i="4"/>
  <c r="BJ45" i="4"/>
  <c r="BJ51" i="4"/>
  <c r="BJ58" i="4"/>
  <c r="BJ8" i="4"/>
  <c r="BJ111" i="4"/>
  <c r="BJ101" i="4"/>
  <c r="BJ37" i="4"/>
  <c r="BJ107" i="4"/>
  <c r="BJ43" i="4"/>
  <c r="BJ114" i="4"/>
  <c r="BJ50" i="4"/>
  <c r="BJ129" i="4"/>
  <c r="BJ65" i="4"/>
  <c r="BJ124" i="4"/>
  <c r="BJ80" i="4"/>
  <c r="BJ15" i="4"/>
  <c r="BJ103" i="4"/>
  <c r="BJ39" i="4"/>
  <c r="BJ110" i="4"/>
  <c r="BJ46" i="4"/>
  <c r="BJ91" i="4"/>
  <c r="BJ128" i="4"/>
  <c r="BJ83" i="4"/>
  <c r="BJ56" i="4"/>
  <c r="BJ69" i="4"/>
  <c r="BJ82" i="4"/>
  <c r="BJ48" i="4"/>
  <c r="BJ125" i="4"/>
  <c r="BJ116" i="4"/>
  <c r="BJ25" i="4"/>
  <c r="BJ63" i="4"/>
  <c r="BJ53" i="4"/>
  <c r="BJ66" i="4"/>
  <c r="BJ96" i="4"/>
  <c r="BJ126" i="4"/>
  <c r="BJ115" i="4"/>
  <c r="BJ73" i="4"/>
  <c r="BJ5" i="4"/>
  <c r="BJ93" i="4"/>
  <c r="BJ29" i="4"/>
  <c r="BJ99" i="4"/>
  <c r="BJ35" i="4"/>
  <c r="BJ106" i="4"/>
  <c r="BJ42" i="4"/>
  <c r="BJ121" i="4"/>
  <c r="BJ57" i="4"/>
  <c r="BJ68" i="4"/>
  <c r="BJ72" i="4"/>
  <c r="BJ7" i="4"/>
  <c r="BJ95" i="4"/>
  <c r="BJ31" i="4"/>
  <c r="BJ102" i="4"/>
  <c r="BJ38" i="4"/>
  <c r="BJ21" i="4"/>
  <c r="BM3" i="4"/>
  <c r="BN21" i="4" s="1"/>
  <c r="BN107" i="4"/>
  <c r="BN50" i="4"/>
  <c r="BN37" i="4"/>
  <c r="BN69" i="4"/>
  <c r="BN52" i="4"/>
  <c r="BN14" i="4"/>
  <c r="BN42" i="4"/>
  <c r="BN124" i="4"/>
  <c r="BN116" i="4"/>
  <c r="BN120" i="4"/>
  <c r="BN17" i="4"/>
  <c r="BN83" i="4"/>
  <c r="BN104" i="4"/>
  <c r="BN127" i="4"/>
  <c r="BN29" i="4"/>
  <c r="BN93" i="4"/>
  <c r="BN15" i="4"/>
  <c r="BN8" i="4"/>
  <c r="BN45" i="4"/>
  <c r="BN54" i="4"/>
  <c r="BN6" i="4"/>
  <c r="BN101" i="4"/>
  <c r="BN98" i="4"/>
  <c r="BN96" i="4"/>
  <c r="BN57" i="4"/>
  <c r="BN79" i="4"/>
  <c r="BN87" i="4"/>
  <c r="BN75" i="4"/>
  <c r="BN19" i="4"/>
  <c r="BN34" i="4"/>
  <c r="BN49" i="4"/>
  <c r="BN68" i="4"/>
  <c r="BN36" i="4"/>
  <c r="BN38" i="4"/>
  <c r="BN28" i="4"/>
  <c r="BN43" i="4"/>
  <c r="BN81" i="4"/>
  <c r="BN18" i="4"/>
  <c r="BN110" i="4"/>
  <c r="BN105" i="4"/>
  <c r="BN77" i="4"/>
  <c r="BN92" i="4"/>
  <c r="BN27" i="4"/>
  <c r="BN112" i="4"/>
  <c r="BN26" i="4"/>
  <c r="BN64" i="4"/>
  <c r="BN113" i="4"/>
  <c r="BN11" i="4"/>
  <c r="BN84" i="4"/>
  <c r="BN35" i="4"/>
  <c r="BN125" i="4"/>
  <c r="BN70" i="4"/>
  <c r="BN111" i="4"/>
  <c r="BN46" i="4"/>
  <c r="BN40" i="4"/>
  <c r="BN117" i="4"/>
  <c r="BN78" i="4"/>
  <c r="BN48" i="4"/>
  <c r="BN118" i="4"/>
  <c r="BN56" i="4"/>
  <c r="BN13" i="4"/>
  <c r="BN109" i="4"/>
  <c r="BN60" i="4"/>
  <c r="BN58" i="4"/>
  <c r="BN25" i="4"/>
  <c r="BN115" i="4"/>
  <c r="BN91" i="4"/>
  <c r="BN44" i="4"/>
  <c r="BN62" i="4"/>
  <c r="BN30" i="4"/>
  <c r="BN59" i="4"/>
  <c r="BN122" i="4"/>
  <c r="BN16" i="4"/>
  <c r="BN63" i="4"/>
  <c r="BN67" i="4"/>
  <c r="BN61" i="4"/>
  <c r="BN121" i="4"/>
  <c r="BN7" i="4"/>
  <c r="BN72" i="4"/>
  <c r="BN71" i="4"/>
  <c r="BN103" i="4"/>
  <c r="BN53" i="4"/>
  <c r="BN90" i="4"/>
  <c r="BN20" i="4"/>
  <c r="BN24" i="4"/>
  <c r="BN89" i="4"/>
  <c r="BN97" i="4"/>
  <c r="BN74" i="4"/>
  <c r="BN32" i="4"/>
  <c r="BN99" i="4"/>
  <c r="BN47" i="4"/>
  <c r="BN95" i="4"/>
  <c r="BN73" i="4"/>
  <c r="BN129" i="4"/>
  <c r="BN114" i="4"/>
  <c r="BN41" i="4"/>
  <c r="BN106" i="4"/>
  <c r="BN126" i="4"/>
  <c r="BN65" i="4"/>
  <c r="BN76" i="4"/>
  <c r="BN66" i="4"/>
  <c r="BN108" i="4"/>
  <c r="BN5" i="4"/>
  <c r="BN9" i="4"/>
  <c r="BN100" i="4"/>
  <c r="BN85" i="4"/>
  <c r="BN12" i="4"/>
  <c r="BN23" i="4"/>
  <c r="BN82" i="4"/>
  <c r="BN102" i="4"/>
  <c r="BN80" i="4"/>
  <c r="BN123" i="4"/>
  <c r="BN51" i="4"/>
  <c r="BN31" i="4"/>
  <c r="BN128" i="4"/>
  <c r="BN86" i="4"/>
  <c r="BN55" i="4"/>
  <c r="BN10" i="4"/>
  <c r="BN39" i="4"/>
  <c r="BN33" i="4"/>
  <c r="BN88" i="4"/>
  <c r="BN94" i="4"/>
  <c r="BN119" i="4"/>
  <c r="BN22" i="4"/>
  <c r="M1" i="6"/>
  <c r="I9" i="3"/>
  <c r="BS22" i="4" l="1"/>
  <c r="BO21" i="4"/>
  <c r="BO4" i="4" s="1"/>
  <c r="E16" i="6" s="1"/>
  <c r="BK20" i="4"/>
  <c r="BG19" i="4"/>
  <c r="BG4" i="4" s="1"/>
  <c r="E14" i="6" s="1"/>
  <c r="BC18" i="4"/>
  <c r="AY17" i="4"/>
  <c r="AY1" i="4" s="1"/>
  <c r="D12" i="6" s="1"/>
  <c r="L12" i="6" s="1"/>
  <c r="AU16" i="4"/>
  <c r="AQ15" i="4"/>
  <c r="AQ1" i="4" s="1"/>
  <c r="D10" i="6" s="1"/>
  <c r="L10" i="6" s="1"/>
  <c r="AM14" i="4"/>
  <c r="AI13" i="4"/>
  <c r="AE12" i="4"/>
  <c r="AA11" i="4"/>
  <c r="W1" i="4"/>
  <c r="D5" i="6" s="1"/>
  <c r="L5" i="6" s="1"/>
  <c r="W4" i="4"/>
  <c r="E5" i="6" s="1"/>
  <c r="M12" i="6"/>
  <c r="M10" i="6"/>
  <c r="M5" i="6"/>
  <c r="AY4" i="4" l="1"/>
  <c r="E12" i="6" s="1"/>
  <c r="BS4" i="4"/>
  <c r="BS1" i="4"/>
  <c r="BO1" i="4"/>
  <c r="D16" i="6" s="1"/>
  <c r="L16" i="6" s="1"/>
  <c r="AQ4" i="4"/>
  <c r="E10" i="6" s="1"/>
  <c r="BG1" i="4"/>
  <c r="D14" i="6" s="1"/>
  <c r="L14" i="6" s="1"/>
  <c r="BK1" i="4"/>
  <c r="D15" i="6" s="1"/>
  <c r="L15" i="6" s="1"/>
  <c r="BK4" i="4"/>
  <c r="E15" i="6" s="1"/>
  <c r="BC4" i="4"/>
  <c r="E13" i="6" s="1"/>
  <c r="BC1" i="4"/>
  <c r="D13" i="6" s="1"/>
  <c r="L13" i="6" s="1"/>
  <c r="AU4" i="4"/>
  <c r="E11" i="6" s="1"/>
  <c r="AU1" i="4"/>
  <c r="D11" i="6" s="1"/>
  <c r="L11" i="6" s="1"/>
  <c r="AI1" i="4"/>
  <c r="D8" i="6" s="1"/>
  <c r="L8" i="6" s="1"/>
  <c r="AI4" i="4"/>
  <c r="E8" i="6" s="1"/>
  <c r="AM1" i="4"/>
  <c r="D9" i="6" s="1"/>
  <c r="L9" i="6" s="1"/>
  <c r="AM4" i="4"/>
  <c r="E9" i="6" s="1"/>
  <c r="AA4" i="4"/>
  <c r="E6" i="6" s="1"/>
  <c r="AA1" i="4"/>
  <c r="D6" i="6" s="1"/>
  <c r="L6" i="6" s="1"/>
  <c r="AE1" i="4"/>
  <c r="D7" i="6" s="1"/>
  <c r="L7" i="6" s="1"/>
  <c r="AE4" i="4"/>
  <c r="E7" i="6" s="1"/>
  <c r="M16" i="6"/>
  <c r="M14" i="6"/>
  <c r="M15" i="6"/>
  <c r="M13" i="6"/>
  <c r="M11" i="6"/>
  <c r="M8" i="6"/>
  <c r="M9" i="6"/>
  <c r="I14" i="3"/>
  <c r="M6" i="6"/>
  <c r="M7" i="6"/>
  <c r="I16" i="3"/>
  <c r="I18" i="3"/>
  <c r="I19" i="3"/>
  <c r="R504" i="6"/>
  <c r="R503" i="6"/>
  <c r="R502" i="6"/>
  <c r="R501" i="6"/>
  <c r="R500" i="6"/>
  <c r="R499" i="6"/>
  <c r="R498" i="6"/>
  <c r="R497" i="6"/>
  <c r="R496" i="6"/>
  <c r="R495" i="6"/>
  <c r="R494" i="6"/>
  <c r="R493" i="6"/>
  <c r="R492" i="6"/>
  <c r="R491" i="6"/>
  <c r="R490" i="6"/>
  <c r="R489" i="6"/>
  <c r="R488" i="6"/>
  <c r="R487" i="6"/>
  <c r="R486" i="6"/>
  <c r="R485" i="6"/>
  <c r="R484" i="6"/>
  <c r="R483" i="6"/>
  <c r="R482" i="6"/>
  <c r="R481" i="6"/>
  <c r="R480" i="6"/>
  <c r="R479" i="6"/>
  <c r="R478" i="6"/>
  <c r="R477" i="6"/>
  <c r="R476" i="6"/>
  <c r="R475" i="6"/>
  <c r="R474" i="6"/>
  <c r="R473" i="6"/>
  <c r="R472" i="6"/>
  <c r="R471" i="6"/>
  <c r="R470" i="6"/>
  <c r="R469" i="6"/>
  <c r="R468" i="6"/>
  <c r="R467" i="6"/>
  <c r="R466" i="6"/>
  <c r="R465" i="6"/>
  <c r="R464" i="6"/>
  <c r="R463" i="6"/>
  <c r="R462" i="6"/>
  <c r="R461" i="6"/>
  <c r="R460" i="6"/>
  <c r="R459" i="6"/>
  <c r="R458" i="6"/>
  <c r="R457" i="6"/>
  <c r="R456" i="6"/>
  <c r="R455" i="6"/>
  <c r="R454" i="6"/>
  <c r="R453" i="6"/>
  <c r="R452" i="6"/>
  <c r="R451" i="6"/>
  <c r="R450" i="6"/>
  <c r="R449" i="6"/>
  <c r="R448" i="6"/>
  <c r="R447" i="6"/>
  <c r="R446" i="6"/>
  <c r="R445" i="6"/>
  <c r="R444" i="6"/>
  <c r="R443" i="6"/>
  <c r="R442" i="6"/>
  <c r="R441" i="6"/>
  <c r="R440" i="6"/>
  <c r="R439" i="6"/>
  <c r="R438" i="6"/>
  <c r="R437" i="6"/>
  <c r="R436" i="6"/>
  <c r="R435" i="6"/>
  <c r="R434" i="6"/>
  <c r="R433" i="6"/>
  <c r="R432" i="6"/>
  <c r="R431" i="6"/>
  <c r="R430" i="6"/>
  <c r="R429" i="6"/>
  <c r="R428" i="6"/>
  <c r="R427" i="6"/>
  <c r="R426" i="6"/>
  <c r="R425" i="6"/>
  <c r="R424" i="6"/>
  <c r="R423" i="6"/>
  <c r="R422" i="6"/>
  <c r="R421" i="6"/>
  <c r="R420" i="6"/>
  <c r="R419" i="6"/>
  <c r="R418" i="6"/>
  <c r="R417" i="6"/>
  <c r="R416" i="6"/>
  <c r="R415" i="6"/>
  <c r="R414" i="6"/>
  <c r="R413" i="6"/>
  <c r="R412" i="6"/>
  <c r="R411" i="6"/>
  <c r="R410" i="6"/>
  <c r="R409" i="6"/>
  <c r="R408" i="6"/>
  <c r="R407" i="6"/>
  <c r="R406" i="6"/>
  <c r="R405" i="6"/>
  <c r="R404" i="6"/>
  <c r="R403" i="6"/>
  <c r="R402" i="6"/>
  <c r="R401" i="6"/>
  <c r="R400" i="6"/>
  <c r="R399" i="6"/>
  <c r="R398" i="6"/>
  <c r="R397" i="6"/>
  <c r="R396" i="6"/>
  <c r="R395" i="6"/>
  <c r="R394" i="6"/>
  <c r="R393" i="6"/>
  <c r="R392" i="6"/>
  <c r="R391" i="6"/>
  <c r="R390" i="6"/>
  <c r="R389" i="6"/>
  <c r="R388" i="6"/>
  <c r="R387" i="6"/>
  <c r="R386" i="6"/>
  <c r="R385" i="6"/>
  <c r="R384" i="6"/>
  <c r="R383" i="6"/>
  <c r="R382" i="6"/>
  <c r="R381" i="6"/>
  <c r="R380" i="6"/>
  <c r="R379" i="6"/>
  <c r="R378" i="6"/>
  <c r="R377" i="6"/>
  <c r="R376" i="6"/>
  <c r="R375" i="6"/>
  <c r="R374" i="6"/>
  <c r="R373" i="6"/>
  <c r="R372" i="6"/>
  <c r="R371" i="6"/>
  <c r="R370" i="6"/>
  <c r="R369" i="6"/>
  <c r="R368" i="6"/>
  <c r="R367" i="6"/>
  <c r="R366" i="6"/>
  <c r="R365" i="6"/>
  <c r="R364" i="6"/>
  <c r="R363" i="6"/>
  <c r="R362" i="6"/>
  <c r="R361" i="6"/>
  <c r="R360" i="6"/>
  <c r="R359" i="6"/>
  <c r="R358" i="6"/>
  <c r="R357" i="6"/>
  <c r="R356" i="6"/>
  <c r="R355" i="6"/>
  <c r="R354" i="6"/>
  <c r="R353" i="6"/>
  <c r="R352" i="6"/>
  <c r="R351" i="6"/>
  <c r="R350" i="6"/>
  <c r="R349" i="6"/>
  <c r="R348" i="6"/>
  <c r="R347" i="6"/>
  <c r="R346" i="6"/>
  <c r="R345" i="6"/>
  <c r="R344" i="6"/>
  <c r="R343" i="6"/>
  <c r="R342" i="6"/>
  <c r="R341" i="6"/>
  <c r="R340" i="6"/>
  <c r="R339" i="6"/>
  <c r="R338" i="6"/>
  <c r="R337" i="6"/>
  <c r="R336" i="6"/>
  <c r="R335" i="6"/>
  <c r="R334" i="6"/>
  <c r="R333" i="6"/>
  <c r="R332" i="6"/>
  <c r="R331" i="6"/>
  <c r="R330" i="6"/>
  <c r="R329" i="6"/>
  <c r="R328" i="6"/>
  <c r="R327" i="6"/>
  <c r="R326" i="6"/>
  <c r="R325" i="6"/>
  <c r="R324" i="6"/>
  <c r="R323" i="6"/>
  <c r="R322" i="6"/>
  <c r="R321" i="6"/>
  <c r="R320" i="6"/>
  <c r="R319" i="6"/>
  <c r="R318" i="6"/>
  <c r="R317" i="6"/>
  <c r="R316" i="6"/>
  <c r="R315" i="6"/>
  <c r="R314" i="6"/>
  <c r="R313" i="6"/>
  <c r="R312" i="6"/>
  <c r="R311" i="6"/>
  <c r="R310" i="6"/>
  <c r="R309" i="6"/>
  <c r="R308" i="6"/>
  <c r="R307" i="6"/>
  <c r="R306" i="6"/>
  <c r="R305" i="6"/>
  <c r="R304" i="6"/>
  <c r="R303" i="6"/>
  <c r="R302" i="6"/>
  <c r="R301" i="6"/>
  <c r="R300" i="6"/>
  <c r="R299" i="6"/>
  <c r="R298" i="6"/>
  <c r="R297" i="6"/>
  <c r="R296" i="6"/>
  <c r="R295" i="6"/>
  <c r="R294" i="6"/>
  <c r="R293" i="6"/>
  <c r="R292" i="6"/>
  <c r="R291" i="6"/>
  <c r="R290" i="6"/>
  <c r="R289" i="6"/>
  <c r="R288" i="6"/>
  <c r="R287" i="6"/>
  <c r="R286" i="6"/>
  <c r="R285" i="6"/>
  <c r="R284" i="6"/>
  <c r="R283" i="6"/>
  <c r="R282" i="6"/>
  <c r="R281" i="6"/>
  <c r="R280" i="6"/>
  <c r="R279" i="6"/>
  <c r="R278" i="6"/>
  <c r="R277" i="6"/>
  <c r="R276" i="6"/>
  <c r="R275" i="6"/>
  <c r="R274" i="6"/>
  <c r="R273" i="6"/>
  <c r="R272" i="6"/>
  <c r="R271" i="6"/>
  <c r="R270" i="6"/>
  <c r="R269" i="6"/>
  <c r="R268" i="6"/>
  <c r="R267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52" i="6"/>
  <c r="R251" i="6"/>
  <c r="R250" i="6"/>
  <c r="R249" i="6"/>
  <c r="R248" i="6"/>
  <c r="R247" i="6"/>
  <c r="R246" i="6"/>
  <c r="R245" i="6"/>
  <c r="R244" i="6"/>
  <c r="R243" i="6"/>
  <c r="R242" i="6"/>
  <c r="R241" i="6"/>
  <c r="R240" i="6"/>
  <c r="R239" i="6"/>
  <c r="R238" i="6"/>
  <c r="R237" i="6"/>
  <c r="R236" i="6"/>
  <c r="R235" i="6"/>
  <c r="R234" i="6"/>
  <c r="R233" i="6"/>
  <c r="R232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2" i="6"/>
  <c r="R12" i="6"/>
  <c r="R14" i="6"/>
  <c r="R42" i="6"/>
  <c r="R48" i="6"/>
  <c r="R27" i="6"/>
  <c r="R25" i="6"/>
  <c r="R20" i="6"/>
  <c r="R47" i="6"/>
  <c r="R34" i="6"/>
  <c r="R51" i="6"/>
  <c r="R35" i="6"/>
  <c r="R4" i="6"/>
  <c r="R31" i="6"/>
  <c r="R24" i="6"/>
  <c r="R57" i="6"/>
  <c r="R36" i="6"/>
  <c r="R19" i="6"/>
  <c r="R26" i="6"/>
  <c r="R30" i="6"/>
  <c r="R39" i="6"/>
  <c r="R45" i="6"/>
  <c r="R28" i="6"/>
  <c r="R29" i="6"/>
  <c r="R56" i="6"/>
  <c r="R16" i="6"/>
  <c r="R38" i="6"/>
  <c r="R11" i="6"/>
  <c r="R37" i="6"/>
  <c r="R5" i="6"/>
  <c r="R53" i="6"/>
  <c r="R49" i="6"/>
  <c r="R43" i="6"/>
  <c r="R50" i="6"/>
  <c r="R13" i="6"/>
  <c r="R18" i="6"/>
  <c r="R9" i="6"/>
  <c r="R7" i="6"/>
  <c r="R46" i="6"/>
  <c r="R17" i="6"/>
  <c r="R41" i="6"/>
  <c r="R23" i="6"/>
  <c r="R44" i="6"/>
  <c r="R8" i="6"/>
  <c r="R10" i="6"/>
  <c r="R32" i="6"/>
  <c r="R15" i="6"/>
  <c r="R54" i="6"/>
  <c r="R22" i="6"/>
  <c r="R33" i="6"/>
  <c r="R6" i="6"/>
  <c r="R3" i="6"/>
  <c r="R21" i="6"/>
  <c r="R40" i="6"/>
  <c r="R55" i="6"/>
  <c r="BQ3" i="4" l="1"/>
  <c r="BR5" i="4"/>
  <c r="BR68" i="4"/>
  <c r="BR125" i="4"/>
  <c r="BR101" i="4"/>
  <c r="BR61" i="4"/>
  <c r="BR45" i="4"/>
  <c r="BR21" i="4"/>
  <c r="BR108" i="4"/>
  <c r="BR84" i="4"/>
  <c r="BR52" i="4"/>
  <c r="BR28" i="4"/>
  <c r="BR123" i="4"/>
  <c r="BR99" i="4"/>
  <c r="BR75" i="4"/>
  <c r="BR35" i="4"/>
  <c r="BR122" i="4"/>
  <c r="BR98" i="4"/>
  <c r="BR74" i="4"/>
  <c r="BR50" i="4"/>
  <c r="BR18" i="4"/>
  <c r="BR65" i="4"/>
  <c r="BR117" i="4"/>
  <c r="BR93" i="4"/>
  <c r="BR69" i="4"/>
  <c r="BR37" i="4"/>
  <c r="BR124" i="4"/>
  <c r="BR100" i="4"/>
  <c r="BR76" i="4"/>
  <c r="BR44" i="4"/>
  <c r="BR20" i="4"/>
  <c r="BR115" i="4"/>
  <c r="BR91" i="4"/>
  <c r="BR59" i="4"/>
  <c r="BR43" i="4"/>
  <c r="BR19" i="4"/>
  <c r="BR106" i="4"/>
  <c r="BR82" i="4"/>
  <c r="BR58" i="4"/>
  <c r="BR26" i="4"/>
  <c r="BR129" i="4"/>
  <c r="BR113" i="4"/>
  <c r="BR89" i="4"/>
  <c r="BR73" i="4"/>
  <c r="BR49" i="4"/>
  <c r="BR33" i="4"/>
  <c r="BR9" i="4"/>
  <c r="BR120" i="4"/>
  <c r="BR104" i="4"/>
  <c r="BR88" i="4"/>
  <c r="BR72" i="4"/>
  <c r="BR48" i="4"/>
  <c r="BR24" i="4"/>
  <c r="BR127" i="4"/>
  <c r="BR111" i="4"/>
  <c r="BR63" i="4"/>
  <c r="BR109" i="4"/>
  <c r="BR85" i="4"/>
  <c r="BR77" i="4"/>
  <c r="BR53" i="4"/>
  <c r="BR29" i="4"/>
  <c r="BR13" i="4"/>
  <c r="BR116" i="4"/>
  <c r="BR92" i="4"/>
  <c r="BR60" i="4"/>
  <c r="BR36" i="4"/>
  <c r="BR12" i="4"/>
  <c r="BR107" i="4"/>
  <c r="BR83" i="4"/>
  <c r="BR67" i="4"/>
  <c r="BR51" i="4"/>
  <c r="BR27" i="4"/>
  <c r="BR11" i="4"/>
  <c r="BR114" i="4"/>
  <c r="BR90" i="4"/>
  <c r="BR66" i="4"/>
  <c r="BR42" i="4"/>
  <c r="BR34" i="4"/>
  <c r="BR10" i="4"/>
  <c r="BR121" i="4"/>
  <c r="BR105" i="4"/>
  <c r="BR97" i="4"/>
  <c r="BR81" i="4"/>
  <c r="BR57" i="4"/>
  <c r="BR41" i="4"/>
  <c r="BR25" i="4"/>
  <c r="BR17" i="4"/>
  <c r="BR128" i="4"/>
  <c r="BR112" i="4"/>
  <c r="BR96" i="4"/>
  <c r="BR80" i="4"/>
  <c r="BR64" i="4"/>
  <c r="BR56" i="4"/>
  <c r="BR40" i="4"/>
  <c r="BR32" i="4"/>
  <c r="BR16" i="4"/>
  <c r="BR8" i="4"/>
  <c r="BR119" i="4"/>
  <c r="BR103" i="4"/>
  <c r="BR95" i="4"/>
  <c r="BR87" i="4"/>
  <c r="BR79" i="4"/>
  <c r="BR71" i="4"/>
  <c r="BR55" i="4"/>
  <c r="BR47" i="4"/>
  <c r="BR39" i="4"/>
  <c r="BR31" i="4"/>
  <c r="BR23" i="4"/>
  <c r="BR15" i="4"/>
  <c r="BR7" i="4"/>
  <c r="BR126" i="4"/>
  <c r="BR118" i="4"/>
  <c r="BR110" i="4"/>
  <c r="BR102" i="4"/>
  <c r="BR94" i="4"/>
  <c r="BR86" i="4"/>
  <c r="BR78" i="4"/>
  <c r="BR70" i="4"/>
  <c r="BR62" i="4"/>
  <c r="BR54" i="4"/>
  <c r="BR46" i="4"/>
  <c r="BR38" i="4"/>
  <c r="BR30" i="4"/>
  <c r="BR22" i="4"/>
  <c r="BR14" i="4"/>
  <c r="BR6" i="4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<sst xmlns="http://schemas.openxmlformats.org/spreadsheetml/2006/main" count="696" uniqueCount="108">
  <si>
    <t>Earliest Date</t>
  </si>
  <si>
    <t>Latest Date</t>
  </si>
  <si>
    <t>Include Flag</t>
  </si>
  <si>
    <t>Priority</t>
  </si>
  <si>
    <t>Calendar</t>
  </si>
  <si>
    <t>Currency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</si>
  <si>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</si>
  <si>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</si>
  <si>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</si>
  <si>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</si>
  <si>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</si>
  <si>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</si>
  <si>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</si>
  <si>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</si>
  <si>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</si>
  <si>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</si>
  <si>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</si>
  <si>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</si>
  <si>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</si>
  <si>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</si>
  <si>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</si>
  <si>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</si>
  <si>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</si>
  <si>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</si>
  <si>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</si>
  <si>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</si>
  <si>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</si>
  <si>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</si>
  <si>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</si>
  <si>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</si>
  <si>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</si>
  <si>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</si>
  <si>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</si>
  <si>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</si>
  <si>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</si>
  <si>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</si>
  <si>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</si>
  <si>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</si>
  <si>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</si>
  <si>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</si>
  <si>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</si>
  <si>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</si>
  <si>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</si>
  <si>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</si>
  <si>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</si>
  <si>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</si>
  <si>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</si>
  <si>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</si>
  <si>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</si>
  <si>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</si>
  <si>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</si>
  <si>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</si>
  <si>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Evaluation Date</t>
  </si>
  <si>
    <t>Interest Rates Trigger</t>
  </si>
  <si>
    <t>TriggerCounter</t>
  </si>
  <si>
    <t>OvenightIndex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</si>
  <si>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</si>
  <si>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</si>
  <si>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</si>
  <si>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</si>
  <si>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</si>
  <si>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</si>
  <si>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</si>
  <si>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</si>
  <si>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</si>
  <si>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</si>
  <si>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</si>
  <si>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</si>
  <si>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</si>
  <si>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</si>
  <si>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</si>
  <si>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</si>
  <si>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</si>
  <si>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</si>
  <si>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</si>
  <si>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</si>
  <si>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</si>
  <si>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</si>
  <si>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</si>
  <si>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</si>
  <si>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</si>
  <si>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</si>
  <si>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</si>
  <si>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</si>
  <si>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Sampling Frequency</t>
  </si>
  <si>
    <t>Fixing Date</t>
  </si>
  <si>
    <t>ON Fwd</t>
  </si>
  <si>
    <t>1D</t>
  </si>
  <si>
    <t>Yield Curve Index</t>
  </si>
  <si>
    <t>Final Curve</t>
  </si>
  <si>
    <t>Quote Suffix</t>
  </si>
  <si>
    <t>Tenor</t>
  </si>
  <si>
    <t>_Quote</t>
  </si>
  <si>
    <t>USD</t>
  </si>
  <si>
    <t>13M</t>
  </si>
  <si>
    <t>14M</t>
  </si>
  <si>
    <t>16M</t>
  </si>
  <si>
    <t>17M</t>
  </si>
  <si>
    <t>19M</t>
  </si>
  <si>
    <t>20M</t>
  </si>
  <si>
    <t>22M</t>
  </si>
  <si>
    <t>23M</t>
  </si>
  <si>
    <t>UnitedStates::Settlement</t>
  </si>
  <si>
    <t>N IMM Futures</t>
  </si>
  <si>
    <t>Jump14</t>
  </si>
  <si>
    <t>SN</t>
  </si>
  <si>
    <t>--</t>
  </si>
  <si>
    <t>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</si>
</sst>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  <numFmt numFmtId="178" formatCode="[$-F800]dddd\,\ mmmm\ dd\,\ yyyy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/>
    <xf numFmtId="176" fontId="1" fillId="0" borderId="0" applyFont="0" applyFill="0" applyBorder="0" applyAlignment="0" applyProtection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5" fillId="0" borderId="0"/>
    <xf numFmtId="9" fontId="1" fillId="0" borderId="0" applyFont="0" applyFill="0" applyBorder="0" applyAlignment="0" applyProtection="0"/>
    <xf numFmtId="175" fontId="6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81">
    <xf numFmtId="0" fontId="0" fillId="0" borderId="0" xfId="0"/>
    <xf numFmtId="0" fontId="7" fillId="3" borderId="1" xfId="7" applyFont="1" applyFill="1" applyBorder="1"/>
    <xf numFmtId="0" fontId="9" fillId="3" borderId="0" xfId="7" applyFont="1" applyFill="1" applyBorder="1"/>
    <xf numFmtId="0" fontId="7" fillId="3" borderId="0" xfId="7" applyFont="1" applyFill="1" applyBorder="1"/>
    <xf numFmtId="0" fontId="7" fillId="3" borderId="2" xfId="7" applyFont="1" applyFill="1" applyBorder="1"/>
    <xf numFmtId="0" fontId="7" fillId="3" borderId="3" xfId="7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0" xfId="6" applyFont="1" applyFill="1" applyBorder="1"/>
    <xf numFmtId="173" fontId="7" fillId="3" borderId="0" xfId="6" applyNumberFormat="1" applyFont="1" applyFill="1" applyBorder="1" applyAlignment="1">
      <alignment horizontal="center"/>
    </xf>
    <xf numFmtId="0" fontId="7" fillId="3" borderId="2" xfId="6" applyFont="1" applyFill="1" applyBorder="1"/>
    <xf numFmtId="171" fontId="7" fillId="3" borderId="0" xfId="7" applyNumberFormat="1" applyFont="1" applyFill="1" applyBorder="1" applyAlignment="1">
      <alignment horizontal="center"/>
    </xf>
    <xf numFmtId="3" fontId="7" fillId="4" borderId="2" xfId="0" applyNumberFormat="1" applyFont="1" applyFill="1" applyBorder="1" applyAlignment="1">
      <alignment horizontal="center"/>
    </xf>
    <xf numFmtId="0" fontId="7" fillId="3" borderId="2" xfId="7" applyFont="1" applyFill="1" applyBorder="1" applyAlignment="1">
      <alignment horizontal="center"/>
    </xf>
    <xf numFmtId="11" fontId="7" fillId="4" borderId="2" xfId="0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172" fontId="7" fillId="3" borderId="6" xfId="0" applyNumberFormat="1" applyFont="1" applyFill="1" applyBorder="1" applyAlignment="1">
      <alignment horizontal="right"/>
    </xf>
    <xf numFmtId="166" fontId="7" fillId="3" borderId="0" xfId="0" applyNumberFormat="1" applyFont="1" applyFill="1" applyBorder="1" applyAlignment="1"/>
    <xf numFmtId="168" fontId="7" fillId="3" borderId="0" xfId="0" applyNumberFormat="1" applyFont="1" applyFill="1" applyBorder="1" applyAlignment="1"/>
    <xf numFmtId="168" fontId="7" fillId="3" borderId="2" xfId="0" applyNumberFormat="1" applyFont="1" applyFill="1" applyBorder="1" applyAlignment="1"/>
    <xf numFmtId="172" fontId="7" fillId="3" borderId="7" xfId="0" applyNumberFormat="1" applyFont="1" applyFill="1" applyBorder="1" applyAlignment="1">
      <alignment horizontal="right"/>
    </xf>
    <xf numFmtId="0" fontId="7" fillId="3" borderId="0" xfId="5" applyFont="1" applyFill="1" applyBorder="1" applyAlignment="1">
      <alignment horizontal="center"/>
    </xf>
    <xf numFmtId="0" fontId="7" fillId="3" borderId="0" xfId="6" applyFont="1" applyFill="1" applyBorder="1" applyAlignment="1">
      <alignment horizontal="center"/>
    </xf>
    <xf numFmtId="0" fontId="12" fillId="3" borderId="0" xfId="6" applyFont="1" applyFill="1" applyBorder="1" applyAlignment="1">
      <alignment horizontal="right"/>
    </xf>
    <xf numFmtId="174" fontId="10" fillId="3" borderId="0" xfId="6" applyNumberFormat="1" applyFont="1" applyFill="1" applyBorder="1" applyAlignment="1">
      <alignment horizontal="left"/>
    </xf>
    <xf numFmtId="0" fontId="7" fillId="3" borderId="12" xfId="6" applyFont="1" applyFill="1" applyBorder="1"/>
    <xf numFmtId="0" fontId="7" fillId="3" borderId="4" xfId="6" applyFont="1" applyFill="1" applyBorder="1"/>
    <xf numFmtId="0" fontId="7" fillId="3" borderId="4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8" fontId="7" fillId="3" borderId="5" xfId="10" applyNumberFormat="1" applyFont="1" applyFill="1" applyBorder="1" applyAlignment="1">
      <alignment horizontal="center"/>
    </xf>
    <xf numFmtId="0" fontId="7" fillId="3" borderId="1" xfId="6" applyFont="1" applyFill="1" applyBorder="1"/>
    <xf numFmtId="0" fontId="7" fillId="3" borderId="13" xfId="6" applyFont="1" applyFill="1" applyBorder="1"/>
    <xf numFmtId="165" fontId="7" fillId="3" borderId="2" xfId="6" applyNumberFormat="1" applyFont="1" applyFill="1" applyBorder="1"/>
    <xf numFmtId="0" fontId="7" fillId="3" borderId="0" xfId="0" applyFont="1" applyFill="1" applyBorder="1" applyAlignment="1"/>
    <xf numFmtId="166" fontId="7" fillId="0" borderId="8" xfId="10" applyNumberFormat="1" applyFont="1" applyBorder="1" applyAlignment="1">
      <alignment horizontal="right"/>
    </xf>
    <xf numFmtId="168" fontId="7" fillId="3" borderId="7" xfId="5" applyNumberFormat="1" applyFont="1" applyFill="1" applyBorder="1"/>
    <xf numFmtId="166" fontId="7" fillId="0" borderId="6" xfId="10" applyNumberFormat="1" applyFont="1" applyFill="1" applyBorder="1" applyAlignment="1"/>
    <xf numFmtId="166" fontId="7" fillId="0" borderId="8" xfId="0" applyNumberFormat="1" applyFont="1" applyBorder="1"/>
    <xf numFmtId="10" fontId="7" fillId="7" borderId="7" xfId="10" applyNumberFormat="1" applyFont="1" applyFill="1" applyBorder="1" applyAlignment="1">
      <alignment horizontal="center"/>
    </xf>
    <xf numFmtId="0" fontId="7" fillId="8" borderId="0" xfId="7" applyFont="1" applyFill="1"/>
    <xf numFmtId="0" fontId="7" fillId="8" borderId="0" xfId="6" applyFont="1" applyFill="1"/>
    <xf numFmtId="0" fontId="8" fillId="10" borderId="9" xfId="7" applyFont="1" applyFill="1" applyBorder="1" applyAlignment="1">
      <alignment horizontal="centerContinuous" vertical="center"/>
    </xf>
    <xf numFmtId="0" fontId="8" fillId="10" borderId="5" xfId="7" applyFont="1" applyFill="1" applyBorder="1" applyAlignment="1">
      <alignment horizontal="centerContinuous" vertical="center"/>
    </xf>
    <xf numFmtId="0" fontId="7" fillId="8" borderId="6" xfId="7" applyFont="1" applyFill="1" applyBorder="1" applyAlignment="1">
      <alignment horizontal="right"/>
    </xf>
    <xf numFmtId="0" fontId="7" fillId="8" borderId="8" xfId="7" applyFont="1" applyFill="1" applyBorder="1" applyAlignment="1">
      <alignment horizontal="right"/>
    </xf>
    <xf numFmtId="0" fontId="7" fillId="8" borderId="7" xfId="0" applyFont="1" applyFill="1" applyBorder="1" applyAlignment="1">
      <alignment horizontal="right"/>
    </xf>
    <xf numFmtId="0" fontId="7" fillId="8" borderId="5" xfId="6" applyFont="1" applyFill="1" applyBorder="1" applyAlignment="1">
      <alignment horizontal="right"/>
    </xf>
    <xf numFmtId="0" fontId="9" fillId="8" borderId="6" xfId="0" applyFont="1" applyFill="1" applyBorder="1" applyAlignment="1">
      <alignment horizontal="right"/>
    </xf>
    <xf numFmtId="0" fontId="9" fillId="8" borderId="7" xfId="0" applyFont="1" applyFill="1" applyBorder="1" applyAlignment="1">
      <alignment horizontal="right"/>
    </xf>
    <xf numFmtId="0" fontId="9" fillId="8" borderId="8" xfId="0" applyFont="1" applyFill="1" applyBorder="1" applyAlignment="1">
      <alignment horizontal="right"/>
    </xf>
    <xf numFmtId="167" fontId="7" fillId="11" borderId="3" xfId="0" quotePrefix="1" applyNumberFormat="1" applyFont="1" applyFill="1" applyBorder="1" applyAlignment="1">
      <alignment horizontal="center"/>
    </xf>
    <xf numFmtId="1" fontId="10" fillId="11" borderId="4" xfId="0" applyNumberFormat="1" applyFont="1" applyFill="1" applyBorder="1" applyAlignment="1">
      <alignment horizontal="left"/>
    </xf>
    <xf numFmtId="0" fontId="7" fillId="3" borderId="1" xfId="4" applyFont="1" applyFill="1" applyBorder="1"/>
    <xf numFmtId="0" fontId="7" fillId="3" borderId="0" xfId="4" applyFont="1" applyFill="1" applyBorder="1"/>
    <xf numFmtId="0" fontId="7" fillId="3" borderId="2" xfId="4" applyFont="1" applyFill="1" applyBorder="1"/>
    <xf numFmtId="168" fontId="7" fillId="5" borderId="10" xfId="4" applyNumberFormat="1" applyFont="1" applyFill="1" applyBorder="1" applyAlignment="1" applyProtection="1">
      <alignment horizontal="center" vertical="center"/>
    </xf>
    <xf numFmtId="0" fontId="7" fillId="6" borderId="7" xfId="4" applyFont="1" applyFill="1" applyBorder="1" applyAlignment="1">
      <alignment horizontal="center" vertical="center"/>
    </xf>
    <xf numFmtId="168" fontId="7" fillId="9" borderId="5" xfId="4" applyNumberFormat="1" applyFont="1" applyFill="1" applyBorder="1" applyAlignment="1">
      <alignment horizontal="center" vertical="center"/>
    </xf>
    <xf numFmtId="0" fontId="7" fillId="8" borderId="5" xfId="4" applyFont="1" applyFill="1" applyBorder="1" applyAlignment="1" applyProtection="1">
      <alignment horizontal="right"/>
    </xf>
    <xf numFmtId="0" fontId="7" fillId="8" borderId="7" xfId="4" applyFont="1" applyFill="1" applyBorder="1" applyAlignment="1" applyProtection="1">
      <alignment horizontal="right"/>
    </xf>
    <xf numFmtId="0" fontId="7" fillId="6" borderId="0" xfId="7" applyFont="1" applyFill="1"/>
    <xf numFmtId="0" fontId="7" fillId="6" borderId="12" xfId="7" applyFont="1" applyFill="1" applyBorder="1"/>
    <xf numFmtId="0" fontId="7" fillId="6" borderId="13" xfId="7" applyFont="1" applyFill="1" applyBorder="1"/>
    <xf numFmtId="0" fontId="7" fillId="6" borderId="4" xfId="7" applyFont="1" applyFill="1" applyBorder="1"/>
    <xf numFmtId="0" fontId="7" fillId="6" borderId="1" xfId="4" applyFont="1" applyFill="1" applyBorder="1"/>
    <xf numFmtId="0" fontId="7" fillId="6" borderId="2" xfId="4" applyFont="1" applyFill="1" applyBorder="1"/>
    <xf numFmtId="0" fontId="7" fillId="8" borderId="7" xfId="6" applyFont="1" applyFill="1" applyBorder="1" applyAlignment="1">
      <alignment horizontal="right"/>
    </xf>
    <xf numFmtId="172" fontId="7" fillId="3" borderId="7" xfId="10" applyNumberFormat="1" applyFont="1" applyFill="1" applyBorder="1" applyAlignment="1">
      <alignment horizontal="center"/>
    </xf>
    <xf numFmtId="169" fontId="7" fillId="3" borderId="6" xfId="0" applyNumberFormat="1" applyFont="1" applyFill="1" applyBorder="1" applyAlignment="1">
      <alignment horizontal="center"/>
    </xf>
    <xf numFmtId="169" fontId="7" fillId="3" borderId="7" xfId="0" applyNumberFormat="1" applyFont="1" applyFill="1" applyBorder="1" applyAlignment="1">
      <alignment horizontal="center"/>
    </xf>
    <xf numFmtId="0" fontId="10" fillId="3" borderId="0" xfId="6" quotePrefix="1" applyFont="1" applyFill="1" applyBorder="1" applyAlignment="1">
      <alignment horizontal="center"/>
    </xf>
    <xf numFmtId="0" fontId="7" fillId="0" borderId="6" xfId="0" applyFont="1" applyBorder="1"/>
    <xf numFmtId="0" fontId="7" fillId="0" borderId="8" xfId="0" applyFont="1" applyBorder="1"/>
    <xf numFmtId="0" fontId="7" fillId="0" borderId="7" xfId="0" applyFont="1" applyBorder="1"/>
    <xf numFmtId="0" fontId="7" fillId="8" borderId="0" xfId="0" applyFont="1" applyFill="1"/>
    <xf numFmtId="166" fontId="7" fillId="8" borderId="0" xfId="0" applyNumberFormat="1" applyFont="1" applyFill="1"/>
    <xf numFmtId="170" fontId="7" fillId="8" borderId="0" xfId="0" applyNumberFormat="1" applyFont="1" applyFill="1"/>
    <xf numFmtId="0" fontId="7" fillId="8" borderId="11" xfId="0" applyFont="1" applyFill="1" applyBorder="1" applyAlignment="1">
      <alignment horizontal="left"/>
    </xf>
    <xf numFmtId="0" fontId="7" fillId="8" borderId="11" xfId="0" applyFont="1" applyFill="1" applyBorder="1"/>
    <xf numFmtId="0" fontId="7" fillId="8" borderId="0" xfId="0" applyFont="1" applyFill="1" applyAlignment="1">
      <alignment horizontal="left"/>
    </xf>
    <xf numFmtId="0" fontId="13" fillId="10" borderId="15" xfId="0" applyFont="1" applyFill="1" applyBorder="1" applyAlignment="1">
      <alignment horizontal="centerContinuous" vertical="center"/>
    </xf>
    <xf numFmtId="0" fontId="13" fillId="10" borderId="12" xfId="0" applyFont="1" applyFill="1" applyBorder="1" applyAlignment="1">
      <alignment horizontal="centerContinuous" vertical="center"/>
    </xf>
    <xf numFmtId="0" fontId="13" fillId="10" borderId="4" xfId="0" applyFont="1" applyFill="1" applyBorder="1" applyAlignment="1">
      <alignment horizontal="centerContinuous" vertical="center"/>
    </xf>
    <xf numFmtId="0" fontId="7" fillId="10" borderId="5" xfId="0" applyFont="1" applyFill="1" applyBorder="1" applyAlignment="1">
      <alignment horizontal="centerContinuous" vertical="center"/>
    </xf>
    <xf numFmtId="15" fontId="7" fillId="0" borderId="8" xfId="0" applyNumberFormat="1" applyFont="1" applyBorder="1"/>
    <xf numFmtId="165" fontId="7" fillId="0" borderId="8" xfId="0" applyNumberFormat="1" applyFont="1" applyBorder="1"/>
    <xf numFmtId="15" fontId="7" fillId="0" borderId="7" xfId="0" applyNumberFormat="1" applyFont="1" applyBorder="1"/>
    <xf numFmtId="165" fontId="7" fillId="0" borderId="7" xfId="0" applyNumberFormat="1" applyFont="1" applyBorder="1"/>
    <xf numFmtId="168" fontId="7" fillId="10" borderId="5" xfId="0" applyNumberFormat="1" applyFont="1" applyFill="1" applyBorder="1" applyAlignment="1">
      <alignment vertical="center"/>
    </xf>
    <xf numFmtId="168" fontId="7" fillId="10" borderId="6" xfId="0" applyNumberFormat="1" applyFont="1" applyFill="1" applyBorder="1" applyAlignment="1">
      <alignment vertical="center"/>
    </xf>
    <xf numFmtId="0" fontId="7" fillId="10" borderId="5" xfId="0" applyFont="1" applyFill="1" applyBorder="1" applyAlignment="1">
      <alignment horizontal="center" vertical="center"/>
    </xf>
    <xf numFmtId="166" fontId="7" fillId="0" borderId="6" xfId="0" applyNumberFormat="1" applyFont="1" applyBorder="1"/>
    <xf numFmtId="168" fontId="7" fillId="0" borderId="6" xfId="0" applyNumberFormat="1" applyFont="1" applyBorder="1"/>
    <xf numFmtId="166" fontId="7" fillId="0" borderId="8" xfId="10" applyNumberFormat="1" applyFont="1" applyBorder="1"/>
    <xf numFmtId="168" fontId="7" fillId="0" borderId="8" xfId="0" applyNumberFormat="1" applyFont="1" applyBorder="1"/>
    <xf numFmtId="166" fontId="7" fillId="0" borderId="7" xfId="10" applyNumberFormat="1" applyFont="1" applyBorder="1"/>
    <xf numFmtId="166" fontId="7" fillId="0" borderId="7" xfId="0" applyNumberFormat="1" applyFont="1" applyBorder="1"/>
    <xf numFmtId="168" fontId="7" fillId="0" borderId="7" xfId="0" applyNumberFormat="1" applyFont="1" applyBorder="1"/>
    <xf numFmtId="165" fontId="7" fillId="10" borderId="5" xfId="0" applyNumberFormat="1" applyFont="1" applyFill="1" applyBorder="1" applyAlignment="1">
      <alignment horizontal="center" vertical="center"/>
    </xf>
    <xf numFmtId="165" fontId="7" fillId="10" borderId="5" xfId="0" applyNumberFormat="1" applyFont="1" applyFill="1" applyBorder="1" applyAlignment="1">
      <alignment vertical="center"/>
    </xf>
    <xf numFmtId="10" fontId="7" fillId="10" borderId="5" xfId="10" applyNumberFormat="1" applyFont="1" applyFill="1" applyBorder="1"/>
    <xf numFmtId="0" fontId="7" fillId="0" borderId="1" xfId="0" applyFont="1" applyBorder="1"/>
    <xf numFmtId="166" fontId="7" fillId="0" borderId="7" xfId="10" applyNumberFormat="1" applyFont="1" applyBorder="1" applyAlignment="1">
      <alignment horizontal="right"/>
    </xf>
    <xf numFmtId="0" fontId="7" fillId="8" borderId="0" xfId="0" applyFont="1" applyFill="1" applyAlignment="1">
      <alignment horizontal="center" vertical="center" wrapText="1"/>
    </xf>
    <xf numFmtId="166" fontId="7" fillId="8" borderId="0" xfId="10" applyNumberFormat="1" applyFont="1" applyFill="1"/>
    <xf numFmtId="168" fontId="7" fillId="8" borderId="0" xfId="0" applyNumberFormat="1" applyFont="1" applyFill="1"/>
    <xf numFmtId="165" fontId="7" fillId="8" borderId="0" xfId="10" applyNumberFormat="1" applyFont="1" applyFill="1" applyBorder="1" applyAlignment="1">
      <alignment horizontal="right"/>
    </xf>
    <xf numFmtId="166" fontId="7" fillId="8" borderId="0" xfId="10" applyNumberFormat="1" applyFont="1" applyFill="1" applyBorder="1" applyAlignment="1">
      <alignment horizontal="right"/>
    </xf>
    <xf numFmtId="0" fontId="7" fillId="8" borderId="0" xfId="0" applyFont="1" applyFill="1" applyBorder="1"/>
    <xf numFmtId="166" fontId="7" fillId="8" borderId="14" xfId="10" applyNumberFormat="1" applyFont="1" applyFill="1" applyBorder="1" applyAlignment="1">
      <alignment horizontal="right"/>
    </xf>
    <xf numFmtId="165" fontId="7" fillId="6" borderId="5" xfId="0" applyNumberFormat="1" applyFont="1" applyFill="1" applyBorder="1" applyAlignment="1">
      <alignment vertical="center"/>
    </xf>
    <xf numFmtId="166" fontId="9" fillId="10" borderId="5" xfId="10" applyNumberFormat="1" applyFont="1" applyFill="1" applyBorder="1" applyAlignment="1">
      <alignment horizontal="center" vertical="center" wrapText="1"/>
    </xf>
    <xf numFmtId="0" fontId="7" fillId="10" borderId="5" xfId="5" applyFont="1" applyFill="1" applyBorder="1" applyAlignment="1">
      <alignment horizontal="center" vertical="center"/>
    </xf>
    <xf numFmtId="0" fontId="7" fillId="10" borderId="5" xfId="5" applyFont="1" applyFill="1" applyBorder="1" applyAlignment="1">
      <alignment horizontal="center" vertical="center" wrapText="1"/>
    </xf>
    <xf numFmtId="0" fontId="7" fillId="0" borderId="6" xfId="10" applyNumberFormat="1" applyFont="1" applyFill="1" applyBorder="1" applyAlignment="1"/>
    <xf numFmtId="168" fontId="7" fillId="3" borderId="6" xfId="5" applyNumberFormat="1" applyFont="1" applyFill="1" applyBorder="1"/>
    <xf numFmtId="10" fontId="7" fillId="7" borderId="6" xfId="10" applyNumberFormat="1" applyFont="1" applyFill="1" applyBorder="1" applyAlignment="1">
      <alignment horizontal="center"/>
    </xf>
    <xf numFmtId="0" fontId="7" fillId="0" borderId="8" xfId="10" applyNumberFormat="1" applyFont="1" applyFill="1" applyBorder="1" applyAlignment="1"/>
    <xf numFmtId="168" fontId="7" fillId="3" borderId="8" xfId="5" applyNumberFormat="1" applyFont="1" applyFill="1" applyBorder="1"/>
    <xf numFmtId="10" fontId="7" fillId="7" borderId="8" xfId="10" applyNumberFormat="1" applyFont="1" applyFill="1" applyBorder="1" applyAlignment="1">
      <alignment horizontal="center"/>
    </xf>
    <xf numFmtId="0" fontId="7" fillId="0" borderId="7" xfId="10" applyNumberFormat="1" applyFont="1" applyFill="1" applyBorder="1" applyAlignment="1"/>
    <xf numFmtId="166" fontId="7" fillId="0" borderId="8" xfId="10" applyNumberFormat="1" applyFont="1" applyFill="1" applyBorder="1" applyAlignment="1"/>
    <xf numFmtId="166" fontId="7" fillId="0" borderId="7" xfId="10" applyNumberFormat="1" applyFont="1" applyFill="1" applyBorder="1" applyAlignment="1"/>
    <xf numFmtId="0" fontId="7" fillId="3" borderId="0" xfId="8" applyFont="1" applyFill="1" applyBorder="1"/>
    <xf numFmtId="0" fontId="7" fillId="3" borderId="2" xfId="8" applyFont="1" applyFill="1" applyBorder="1"/>
    <xf numFmtId="0" fontId="11" fillId="3" borderId="1" xfId="5" applyFont="1" applyFill="1" applyBorder="1"/>
    <xf numFmtId="0" fontId="11" fillId="3" borderId="13" xfId="5" applyFont="1" applyFill="1" applyBorder="1"/>
    <xf numFmtId="0" fontId="7" fillId="3" borderId="4" xfId="8" applyFont="1" applyFill="1" applyBorder="1"/>
    <xf numFmtId="0" fontId="7" fillId="8" borderId="0" xfId="8" applyFont="1" applyFill="1"/>
    <xf numFmtId="170" fontId="7" fillId="3" borderId="8" xfId="5" applyNumberFormat="1" applyFont="1" applyFill="1" applyBorder="1" applyAlignment="1"/>
    <xf numFmtId="170" fontId="7" fillId="3" borderId="7" xfId="5" applyNumberFormat="1" applyFont="1" applyFill="1" applyBorder="1" applyAlignment="1"/>
    <xf numFmtId="10" fontId="7" fillId="3" borderId="6" xfId="5" applyNumberFormat="1" applyFont="1" applyFill="1" applyBorder="1" applyAlignment="1"/>
    <xf numFmtId="10" fontId="7" fillId="3" borderId="8" xfId="5" applyNumberFormat="1" applyFont="1" applyFill="1" applyBorder="1" applyAlignment="1"/>
    <xf numFmtId="10" fontId="7" fillId="3" borderId="7" xfId="5" applyNumberFormat="1" applyFont="1" applyFill="1" applyBorder="1" applyAlignment="1"/>
    <xf numFmtId="170" fontId="7" fillId="3" borderId="6" xfId="5" applyNumberFormat="1" applyFont="1" applyFill="1" applyBorder="1" applyAlignment="1"/>
    <xf numFmtId="0" fontId="7" fillId="10" borderId="5" xfId="0" applyFont="1" applyFill="1" applyBorder="1" applyAlignment="1">
      <alignment horizontal="center" vertical="center" wrapText="1"/>
    </xf>
    <xf numFmtId="0" fontId="7" fillId="0" borderId="5" xfId="0" applyNumberFormat="1" applyFont="1" applyBorder="1"/>
    <xf numFmtId="0" fontId="9" fillId="10" borderId="5" xfId="14" applyFont="1" applyFill="1" applyBorder="1" applyAlignment="1">
      <alignment horizontal="center" vertical="center" wrapText="1"/>
    </xf>
    <xf numFmtId="0" fontId="7" fillId="12" borderId="8" xfId="8" applyFont="1" applyFill="1" applyBorder="1" applyAlignment="1"/>
    <xf numFmtId="168" fontId="7" fillId="12" borderId="8" xfId="8" applyNumberFormat="1" applyFont="1" applyFill="1" applyBorder="1"/>
    <xf numFmtId="166" fontId="7" fillId="12" borderId="8" xfId="8" applyNumberFormat="1" applyFont="1" applyFill="1" applyBorder="1"/>
    <xf numFmtId="0" fontId="7" fillId="3" borderId="13" xfId="7" applyFont="1" applyFill="1" applyBorder="1"/>
    <xf numFmtId="0" fontId="9" fillId="8" borderId="5" xfId="0" applyFont="1" applyFill="1" applyBorder="1" applyAlignment="1">
      <alignment horizontal="right"/>
    </xf>
    <xf numFmtId="3" fontId="7" fillId="4" borderId="10" xfId="0" applyNumberFormat="1" applyFont="1" applyFill="1" applyBorder="1" applyAlignment="1">
      <alignment horizontal="center"/>
    </xf>
    <xf numFmtId="0" fontId="7" fillId="8" borderId="8" xfId="6" applyFont="1" applyFill="1" applyBorder="1" applyAlignment="1">
      <alignment horizontal="right"/>
    </xf>
    <xf numFmtId="172" fontId="7" fillId="3" borderId="8" xfId="10" applyNumberFormat="1" applyFont="1" applyFill="1" applyBorder="1" applyAlignment="1">
      <alignment horizontal="center"/>
    </xf>
    <xf numFmtId="0" fontId="7" fillId="10" borderId="5" xfId="14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168" fontId="7" fillId="6" borderId="8" xfId="0" applyNumberFormat="1" applyFont="1" applyFill="1" applyBorder="1" applyAlignment="1">
      <alignment horizontal="right"/>
    </xf>
    <xf numFmtId="0" fontId="7" fillId="6" borderId="6" xfId="0" applyFont="1" applyFill="1" applyBorder="1"/>
    <xf numFmtId="0" fontId="7" fillId="6" borderId="8" xfId="0" applyFont="1" applyFill="1" applyBorder="1"/>
    <xf numFmtId="168" fontId="7" fillId="6" borderId="6" xfId="0" applyNumberFormat="1" applyFont="1" applyFill="1" applyBorder="1" applyAlignment="1">
      <alignment horizontal="right"/>
    </xf>
    <xf numFmtId="166" fontId="7" fillId="0" borderId="6" xfId="10" applyNumberFormat="1" applyFont="1" applyBorder="1" applyAlignment="1">
      <alignment horizontal="right"/>
    </xf>
    <xf numFmtId="0" fontId="7" fillId="8" borderId="11" xfId="8" applyFont="1" applyFill="1" applyBorder="1"/>
    <xf numFmtId="0" fontId="7" fillId="12" borderId="6" xfId="14" applyNumberFormat="1" applyFont="1" applyFill="1" applyBorder="1" applyAlignment="1"/>
    <xf numFmtId="0" fontId="7" fillId="12" borderId="8" xfId="14" applyNumberFormat="1" applyFont="1" applyFill="1" applyBorder="1" applyAlignment="1"/>
    <xf numFmtId="0" fontId="7" fillId="12" borderId="3" xfId="14" applyNumberFormat="1" applyFont="1" applyFill="1" applyBorder="1" applyAlignment="1"/>
    <xf numFmtId="0" fontId="7" fillId="10" borderId="6" xfId="14" applyFont="1" applyFill="1" applyBorder="1" applyAlignment="1">
      <alignment horizontal="center" vertical="center"/>
    </xf>
    <xf numFmtId="0" fontId="7" fillId="12" borderId="2" xfId="14" applyNumberFormat="1" applyFont="1" applyFill="1" applyBorder="1" applyAlignment="1"/>
    <xf numFmtId="0" fontId="7" fillId="12" borderId="7" xfId="14" applyNumberFormat="1" applyFont="1" applyFill="1" applyBorder="1" applyAlignment="1"/>
    <xf numFmtId="0" fontId="7" fillId="6" borderId="11" xfId="0" applyFont="1" applyFill="1" applyBorder="1"/>
    <xf numFmtId="0" fontId="7" fillId="6" borderId="16" xfId="0" applyFont="1" applyFill="1" applyBorder="1" applyAlignment="1">
      <alignment horizontal="center"/>
    </xf>
    <xf numFmtId="168" fontId="7" fillId="6" borderId="16" xfId="0" applyNumberFormat="1" applyFont="1" applyFill="1" applyBorder="1" applyAlignment="1">
      <alignment horizontal="right"/>
    </xf>
    <xf numFmtId="0" fontId="7" fillId="6" borderId="0" xfId="0" applyFont="1" applyFill="1" applyBorder="1"/>
    <xf numFmtId="0" fontId="7" fillId="6" borderId="1" xfId="0" applyFont="1" applyFill="1" applyBorder="1" applyAlignment="1">
      <alignment horizontal="center"/>
    </xf>
    <xf numFmtId="168" fontId="7" fillId="6" borderId="1" xfId="0" applyNumberFormat="1" applyFont="1" applyFill="1" applyBorder="1" applyAlignment="1">
      <alignment horizontal="right"/>
    </xf>
    <xf numFmtId="0" fontId="11" fillId="3" borderId="16" xfId="5" applyFont="1" applyFill="1" applyBorder="1"/>
    <xf numFmtId="0" fontId="7" fillId="3" borderId="11" xfId="5" applyFont="1" applyFill="1" applyBorder="1"/>
    <xf numFmtId="0" fontId="7" fillId="3" borderId="11" xfId="5" applyFont="1" applyFill="1" applyBorder="1" applyAlignment="1">
      <alignment horizontal="center"/>
    </xf>
    <xf numFmtId="0" fontId="7" fillId="3" borderId="11" xfId="8" applyFont="1" applyFill="1" applyBorder="1"/>
    <xf numFmtId="0" fontId="7" fillId="0" borderId="11" xfId="5" applyFont="1" applyFill="1" applyBorder="1"/>
    <xf numFmtId="0" fontId="7" fillId="3" borderId="3" xfId="8" applyFont="1" applyFill="1" applyBorder="1"/>
    <xf numFmtId="166" fontId="7" fillId="0" borderId="1" xfId="10" applyNumberFormat="1" applyFont="1" applyBorder="1" applyAlignment="1">
      <alignment horizontal="right"/>
    </xf>
    <xf numFmtId="10" fontId="14" fillId="0" borderId="6" xfId="10" applyNumberFormat="1" applyFont="1" applyBorder="1"/>
    <xf numFmtId="178" fontId="7" fillId="8" borderId="0" xfId="0" applyNumberFormat="1" applyFont="1" applyFill="1"/>
    <xf numFmtId="166" fontId="7" fillId="0" borderId="13" xfId="10" applyNumberFormat="1" applyFont="1" applyBorder="1" applyAlignment="1">
      <alignment horizontal="right"/>
    </xf>
    <xf numFmtId="166" fontId="7" fillId="0" borderId="8" xfId="10" applyNumberFormat="1" applyFont="1" applyBorder="1" applyAlignment="1">
      <alignment horizontal="right"/>
    </xf>
    <xf numFmtId="166" fontId="7" fillId="0" borderId="7" xfId="10" applyNumberFormat="1" applyFont="1" applyBorder="1" applyAlignment="1">
      <alignment horizontal="right"/>
    </xf>
    <xf numFmtId="166" fontId="7" fillId="0" borderId="6" xfId="10" applyNumberFormat="1" applyFont="1" applyBorder="1" applyAlignment="1">
      <alignment horizontal="right"/>
    </xf>
    <xf numFmtId="0" fontId="7" fillId="8" borderId="0" xfId="8" applyFont="1" applyFill="1" applyBorder="1"/>
    <xf numFmtId="0" fontId="7" fillId="0" borderId="12" xfId="8" applyFont="1" applyFill="1" applyBorder="1"/>
  </cellXfs>
  <cellStyles count="16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Percent 2" xfId="1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42664</c:v>
                </c:pt>
                <c:pt idx="1">
                  <c:v>42667</c:v>
                </c:pt>
                <c:pt idx="2">
                  <c:v>42668</c:v>
                </c:pt>
                <c:pt idx="3">
                  <c:v>42669</c:v>
                </c:pt>
                <c:pt idx="4">
                  <c:v>42670</c:v>
                </c:pt>
                <c:pt idx="5">
                  <c:v>42671</c:v>
                </c:pt>
                <c:pt idx="6">
                  <c:v>42674</c:v>
                </c:pt>
                <c:pt idx="7">
                  <c:v>42675</c:v>
                </c:pt>
                <c:pt idx="8">
                  <c:v>42676</c:v>
                </c:pt>
                <c:pt idx="9">
                  <c:v>42677</c:v>
                </c:pt>
                <c:pt idx="10">
                  <c:v>42678</c:v>
                </c:pt>
                <c:pt idx="11">
                  <c:v>42681</c:v>
                </c:pt>
                <c:pt idx="12">
                  <c:v>42682</c:v>
                </c:pt>
                <c:pt idx="13">
                  <c:v>42683</c:v>
                </c:pt>
                <c:pt idx="14">
                  <c:v>42684</c:v>
                </c:pt>
                <c:pt idx="15">
                  <c:v>42688</c:v>
                </c:pt>
                <c:pt idx="16">
                  <c:v>42689</c:v>
                </c:pt>
                <c:pt idx="17">
                  <c:v>42690</c:v>
                </c:pt>
                <c:pt idx="18">
                  <c:v>42691</c:v>
                </c:pt>
                <c:pt idx="19">
                  <c:v>42692</c:v>
                </c:pt>
                <c:pt idx="20">
                  <c:v>42695</c:v>
                </c:pt>
                <c:pt idx="21">
                  <c:v>42696</c:v>
                </c:pt>
                <c:pt idx="22">
                  <c:v>42697</c:v>
                </c:pt>
                <c:pt idx="23">
                  <c:v>42699</c:v>
                </c:pt>
                <c:pt idx="24">
                  <c:v>42702</c:v>
                </c:pt>
                <c:pt idx="25">
                  <c:v>42703</c:v>
                </c:pt>
                <c:pt idx="26">
                  <c:v>42704</c:v>
                </c:pt>
                <c:pt idx="27">
                  <c:v>42705</c:v>
                </c:pt>
                <c:pt idx="28">
                  <c:v>42706</c:v>
                </c:pt>
                <c:pt idx="29">
                  <c:v>42709</c:v>
                </c:pt>
                <c:pt idx="30">
                  <c:v>42710</c:v>
                </c:pt>
                <c:pt idx="31">
                  <c:v>42711</c:v>
                </c:pt>
                <c:pt idx="32">
                  <c:v>42712</c:v>
                </c:pt>
                <c:pt idx="33">
                  <c:v>42713</c:v>
                </c:pt>
                <c:pt idx="34">
                  <c:v>42716</c:v>
                </c:pt>
                <c:pt idx="35">
                  <c:v>42717</c:v>
                </c:pt>
                <c:pt idx="36">
                  <c:v>42718</c:v>
                </c:pt>
                <c:pt idx="37">
                  <c:v>42719</c:v>
                </c:pt>
                <c:pt idx="38">
                  <c:v>42720</c:v>
                </c:pt>
                <c:pt idx="39">
                  <c:v>42723</c:v>
                </c:pt>
                <c:pt idx="40">
                  <c:v>42724</c:v>
                </c:pt>
                <c:pt idx="41">
                  <c:v>42725</c:v>
                </c:pt>
                <c:pt idx="42">
                  <c:v>42726</c:v>
                </c:pt>
                <c:pt idx="43">
                  <c:v>42727</c:v>
                </c:pt>
                <c:pt idx="44">
                  <c:v>42731</c:v>
                </c:pt>
                <c:pt idx="45">
                  <c:v>42732</c:v>
                </c:pt>
                <c:pt idx="46">
                  <c:v>42733</c:v>
                </c:pt>
                <c:pt idx="47">
                  <c:v>42734</c:v>
                </c:pt>
                <c:pt idx="48">
                  <c:v>42738</c:v>
                </c:pt>
                <c:pt idx="49">
                  <c:v>42739</c:v>
                </c:pt>
                <c:pt idx="50">
                  <c:v>42740</c:v>
                </c:pt>
                <c:pt idx="51">
                  <c:v>42741</c:v>
                </c:pt>
                <c:pt idx="52">
                  <c:v>42744</c:v>
                </c:pt>
                <c:pt idx="53">
                  <c:v>42745</c:v>
                </c:pt>
                <c:pt idx="54">
                  <c:v>42746</c:v>
                </c:pt>
                <c:pt idx="55">
                  <c:v>42747</c:v>
                </c:pt>
                <c:pt idx="56">
                  <c:v>42748</c:v>
                </c:pt>
                <c:pt idx="57">
                  <c:v>42752</c:v>
                </c:pt>
                <c:pt idx="58">
                  <c:v>42753</c:v>
                </c:pt>
                <c:pt idx="59">
                  <c:v>42754</c:v>
                </c:pt>
                <c:pt idx="60">
                  <c:v>42755</c:v>
                </c:pt>
                <c:pt idx="61">
                  <c:v>42758</c:v>
                </c:pt>
                <c:pt idx="62">
                  <c:v>42759</c:v>
                </c:pt>
                <c:pt idx="63">
                  <c:v>42760</c:v>
                </c:pt>
                <c:pt idx="64">
                  <c:v>42761</c:v>
                </c:pt>
                <c:pt idx="65">
                  <c:v>42762</c:v>
                </c:pt>
                <c:pt idx="66">
                  <c:v>42765</c:v>
                </c:pt>
                <c:pt idx="67">
                  <c:v>42766</c:v>
                </c:pt>
                <c:pt idx="68">
                  <c:v>42767</c:v>
                </c:pt>
                <c:pt idx="69">
                  <c:v>42768</c:v>
                </c:pt>
                <c:pt idx="70">
                  <c:v>42769</c:v>
                </c:pt>
                <c:pt idx="71">
                  <c:v>42772</c:v>
                </c:pt>
                <c:pt idx="72">
                  <c:v>42773</c:v>
                </c:pt>
                <c:pt idx="73">
                  <c:v>42774</c:v>
                </c:pt>
                <c:pt idx="74">
                  <c:v>42775</c:v>
                </c:pt>
                <c:pt idx="75">
                  <c:v>42776</c:v>
                </c:pt>
                <c:pt idx="76">
                  <c:v>42779</c:v>
                </c:pt>
                <c:pt idx="77">
                  <c:v>42780</c:v>
                </c:pt>
                <c:pt idx="78">
                  <c:v>42781</c:v>
                </c:pt>
                <c:pt idx="79">
                  <c:v>42782</c:v>
                </c:pt>
                <c:pt idx="80">
                  <c:v>42783</c:v>
                </c:pt>
                <c:pt idx="81">
                  <c:v>42787</c:v>
                </c:pt>
                <c:pt idx="82">
                  <c:v>42788</c:v>
                </c:pt>
                <c:pt idx="83">
                  <c:v>42789</c:v>
                </c:pt>
                <c:pt idx="84">
                  <c:v>42790</c:v>
                </c:pt>
                <c:pt idx="85">
                  <c:v>42793</c:v>
                </c:pt>
                <c:pt idx="86">
                  <c:v>42794</c:v>
                </c:pt>
                <c:pt idx="87">
                  <c:v>42795</c:v>
                </c:pt>
                <c:pt idx="88">
                  <c:v>42796</c:v>
                </c:pt>
                <c:pt idx="89">
                  <c:v>42797</c:v>
                </c:pt>
                <c:pt idx="90">
                  <c:v>42800</c:v>
                </c:pt>
                <c:pt idx="91">
                  <c:v>42801</c:v>
                </c:pt>
                <c:pt idx="92">
                  <c:v>42802</c:v>
                </c:pt>
                <c:pt idx="93">
                  <c:v>42803</c:v>
                </c:pt>
                <c:pt idx="94">
                  <c:v>42804</c:v>
                </c:pt>
                <c:pt idx="95">
                  <c:v>42807</c:v>
                </c:pt>
                <c:pt idx="96">
                  <c:v>42808</c:v>
                </c:pt>
                <c:pt idx="97">
                  <c:v>42809</c:v>
                </c:pt>
                <c:pt idx="98">
                  <c:v>42810</c:v>
                </c:pt>
                <c:pt idx="99">
                  <c:v>42811</c:v>
                </c:pt>
                <c:pt idx="100">
                  <c:v>42814</c:v>
                </c:pt>
                <c:pt idx="101">
                  <c:v>42815</c:v>
                </c:pt>
                <c:pt idx="102">
                  <c:v>42816</c:v>
                </c:pt>
                <c:pt idx="103">
                  <c:v>42817</c:v>
                </c:pt>
                <c:pt idx="104">
                  <c:v>42818</c:v>
                </c:pt>
                <c:pt idx="105">
                  <c:v>42821</c:v>
                </c:pt>
                <c:pt idx="106">
                  <c:v>42822</c:v>
                </c:pt>
                <c:pt idx="107">
                  <c:v>42823</c:v>
                </c:pt>
                <c:pt idx="108">
                  <c:v>42824</c:v>
                </c:pt>
                <c:pt idx="109">
                  <c:v>42825</c:v>
                </c:pt>
                <c:pt idx="110">
                  <c:v>42828</c:v>
                </c:pt>
                <c:pt idx="111">
                  <c:v>42829</c:v>
                </c:pt>
                <c:pt idx="112">
                  <c:v>42830</c:v>
                </c:pt>
                <c:pt idx="113">
                  <c:v>42831</c:v>
                </c:pt>
                <c:pt idx="114">
                  <c:v>42832</c:v>
                </c:pt>
                <c:pt idx="115">
                  <c:v>42835</c:v>
                </c:pt>
                <c:pt idx="116">
                  <c:v>42836</c:v>
                </c:pt>
                <c:pt idx="117">
                  <c:v>42837</c:v>
                </c:pt>
                <c:pt idx="118">
                  <c:v>42838</c:v>
                </c:pt>
                <c:pt idx="119">
                  <c:v>42839</c:v>
                </c:pt>
                <c:pt idx="120">
                  <c:v>42842</c:v>
                </c:pt>
                <c:pt idx="121">
                  <c:v>42843</c:v>
                </c:pt>
                <c:pt idx="122">
                  <c:v>42844</c:v>
                </c:pt>
                <c:pt idx="123">
                  <c:v>42845</c:v>
                </c:pt>
                <c:pt idx="124">
                  <c:v>42846</c:v>
                </c:pt>
                <c:pt idx="125">
                  <c:v>42849</c:v>
                </c:pt>
                <c:pt idx="126">
                  <c:v>42850</c:v>
                </c:pt>
                <c:pt idx="127">
                  <c:v>42851</c:v>
                </c:pt>
                <c:pt idx="128">
                  <c:v>42852</c:v>
                </c:pt>
                <c:pt idx="129">
                  <c:v>42853</c:v>
                </c:pt>
                <c:pt idx="130">
                  <c:v>42856</c:v>
                </c:pt>
                <c:pt idx="131">
                  <c:v>42857</c:v>
                </c:pt>
                <c:pt idx="132">
                  <c:v>42858</c:v>
                </c:pt>
                <c:pt idx="133">
                  <c:v>42859</c:v>
                </c:pt>
                <c:pt idx="134">
                  <c:v>42860</c:v>
                </c:pt>
                <c:pt idx="135">
                  <c:v>42863</c:v>
                </c:pt>
                <c:pt idx="136">
                  <c:v>42864</c:v>
                </c:pt>
                <c:pt idx="137">
                  <c:v>42865</c:v>
                </c:pt>
                <c:pt idx="138">
                  <c:v>42866</c:v>
                </c:pt>
                <c:pt idx="139">
                  <c:v>42867</c:v>
                </c:pt>
                <c:pt idx="140">
                  <c:v>42870</c:v>
                </c:pt>
                <c:pt idx="141">
                  <c:v>42871</c:v>
                </c:pt>
                <c:pt idx="142">
                  <c:v>42872</c:v>
                </c:pt>
                <c:pt idx="143">
                  <c:v>42873</c:v>
                </c:pt>
                <c:pt idx="144">
                  <c:v>42874</c:v>
                </c:pt>
                <c:pt idx="145">
                  <c:v>42877</c:v>
                </c:pt>
                <c:pt idx="146">
                  <c:v>42878</c:v>
                </c:pt>
                <c:pt idx="147">
                  <c:v>42879</c:v>
                </c:pt>
                <c:pt idx="148">
                  <c:v>42880</c:v>
                </c:pt>
                <c:pt idx="149">
                  <c:v>42881</c:v>
                </c:pt>
                <c:pt idx="150">
                  <c:v>42885</c:v>
                </c:pt>
                <c:pt idx="151">
                  <c:v>42886</c:v>
                </c:pt>
                <c:pt idx="152">
                  <c:v>42887</c:v>
                </c:pt>
                <c:pt idx="153">
                  <c:v>42888</c:v>
                </c:pt>
                <c:pt idx="154">
                  <c:v>42891</c:v>
                </c:pt>
                <c:pt idx="155">
                  <c:v>42892</c:v>
                </c:pt>
                <c:pt idx="156">
                  <c:v>42893</c:v>
                </c:pt>
                <c:pt idx="157">
                  <c:v>42894</c:v>
                </c:pt>
                <c:pt idx="158">
                  <c:v>42895</c:v>
                </c:pt>
                <c:pt idx="159">
                  <c:v>42898</c:v>
                </c:pt>
                <c:pt idx="160">
                  <c:v>42899</c:v>
                </c:pt>
                <c:pt idx="161">
                  <c:v>42900</c:v>
                </c:pt>
                <c:pt idx="162">
                  <c:v>42901</c:v>
                </c:pt>
                <c:pt idx="163">
                  <c:v>42902</c:v>
                </c:pt>
                <c:pt idx="164">
                  <c:v>42905</c:v>
                </c:pt>
                <c:pt idx="165">
                  <c:v>42906</c:v>
                </c:pt>
                <c:pt idx="166">
                  <c:v>42907</c:v>
                </c:pt>
                <c:pt idx="167">
                  <c:v>42908</c:v>
                </c:pt>
                <c:pt idx="168">
                  <c:v>42909</c:v>
                </c:pt>
                <c:pt idx="169">
                  <c:v>42912</c:v>
                </c:pt>
                <c:pt idx="170">
                  <c:v>42913</c:v>
                </c:pt>
                <c:pt idx="171">
                  <c:v>42914</c:v>
                </c:pt>
                <c:pt idx="172">
                  <c:v>42915</c:v>
                </c:pt>
                <c:pt idx="173">
                  <c:v>42916</c:v>
                </c:pt>
                <c:pt idx="174">
                  <c:v>42919</c:v>
                </c:pt>
                <c:pt idx="175">
                  <c:v>42921</c:v>
                </c:pt>
                <c:pt idx="176">
                  <c:v>42922</c:v>
                </c:pt>
                <c:pt idx="177">
                  <c:v>42923</c:v>
                </c:pt>
                <c:pt idx="178">
                  <c:v>42926</c:v>
                </c:pt>
                <c:pt idx="179">
                  <c:v>42927</c:v>
                </c:pt>
                <c:pt idx="180">
                  <c:v>42928</c:v>
                </c:pt>
                <c:pt idx="181">
                  <c:v>42929</c:v>
                </c:pt>
                <c:pt idx="182">
                  <c:v>42930</c:v>
                </c:pt>
                <c:pt idx="183">
                  <c:v>42933</c:v>
                </c:pt>
                <c:pt idx="184">
                  <c:v>42934</c:v>
                </c:pt>
                <c:pt idx="185">
                  <c:v>42935</c:v>
                </c:pt>
                <c:pt idx="186">
                  <c:v>42936</c:v>
                </c:pt>
                <c:pt idx="187">
                  <c:v>42937</c:v>
                </c:pt>
                <c:pt idx="188">
                  <c:v>42940</c:v>
                </c:pt>
                <c:pt idx="189">
                  <c:v>42941</c:v>
                </c:pt>
                <c:pt idx="190">
                  <c:v>42942</c:v>
                </c:pt>
                <c:pt idx="191">
                  <c:v>42943</c:v>
                </c:pt>
                <c:pt idx="192">
                  <c:v>42944</c:v>
                </c:pt>
                <c:pt idx="193">
                  <c:v>42947</c:v>
                </c:pt>
                <c:pt idx="194">
                  <c:v>42948</c:v>
                </c:pt>
                <c:pt idx="195">
                  <c:v>42949</c:v>
                </c:pt>
                <c:pt idx="196">
                  <c:v>42950</c:v>
                </c:pt>
                <c:pt idx="197">
                  <c:v>42951</c:v>
                </c:pt>
                <c:pt idx="198">
                  <c:v>42954</c:v>
                </c:pt>
                <c:pt idx="199">
                  <c:v>42955</c:v>
                </c:pt>
                <c:pt idx="200">
                  <c:v>42956</c:v>
                </c:pt>
                <c:pt idx="201">
                  <c:v>42957</c:v>
                </c:pt>
                <c:pt idx="202">
                  <c:v>42958</c:v>
                </c:pt>
                <c:pt idx="203">
                  <c:v>42961</c:v>
                </c:pt>
                <c:pt idx="204">
                  <c:v>42962</c:v>
                </c:pt>
                <c:pt idx="205">
                  <c:v>42963</c:v>
                </c:pt>
                <c:pt idx="206">
                  <c:v>42964</c:v>
                </c:pt>
                <c:pt idx="207">
                  <c:v>42965</c:v>
                </c:pt>
                <c:pt idx="208">
                  <c:v>42968</c:v>
                </c:pt>
                <c:pt idx="209">
                  <c:v>42969</c:v>
                </c:pt>
                <c:pt idx="210">
                  <c:v>42970</c:v>
                </c:pt>
                <c:pt idx="211">
                  <c:v>42971</c:v>
                </c:pt>
                <c:pt idx="212">
                  <c:v>42972</c:v>
                </c:pt>
                <c:pt idx="213">
                  <c:v>42975</c:v>
                </c:pt>
                <c:pt idx="214">
                  <c:v>42976</c:v>
                </c:pt>
                <c:pt idx="215">
                  <c:v>42977</c:v>
                </c:pt>
                <c:pt idx="216">
                  <c:v>42978</c:v>
                </c:pt>
                <c:pt idx="217">
                  <c:v>42979</c:v>
                </c:pt>
                <c:pt idx="218">
                  <c:v>42983</c:v>
                </c:pt>
                <c:pt idx="219">
                  <c:v>42984</c:v>
                </c:pt>
                <c:pt idx="220">
                  <c:v>42985</c:v>
                </c:pt>
                <c:pt idx="221">
                  <c:v>42986</c:v>
                </c:pt>
                <c:pt idx="222">
                  <c:v>42989</c:v>
                </c:pt>
                <c:pt idx="223">
                  <c:v>42990</c:v>
                </c:pt>
                <c:pt idx="224">
                  <c:v>42991</c:v>
                </c:pt>
                <c:pt idx="225">
                  <c:v>42992</c:v>
                </c:pt>
                <c:pt idx="226">
                  <c:v>42993</c:v>
                </c:pt>
                <c:pt idx="227">
                  <c:v>42996</c:v>
                </c:pt>
                <c:pt idx="228">
                  <c:v>42997</c:v>
                </c:pt>
                <c:pt idx="229">
                  <c:v>42998</c:v>
                </c:pt>
                <c:pt idx="230">
                  <c:v>42999</c:v>
                </c:pt>
                <c:pt idx="231">
                  <c:v>43000</c:v>
                </c:pt>
                <c:pt idx="232">
                  <c:v>43003</c:v>
                </c:pt>
                <c:pt idx="233">
                  <c:v>43004</c:v>
                </c:pt>
                <c:pt idx="234">
                  <c:v>43005</c:v>
                </c:pt>
                <c:pt idx="235">
                  <c:v>43006</c:v>
                </c:pt>
                <c:pt idx="236">
                  <c:v>43007</c:v>
                </c:pt>
                <c:pt idx="237">
                  <c:v>43010</c:v>
                </c:pt>
                <c:pt idx="238">
                  <c:v>43011</c:v>
                </c:pt>
                <c:pt idx="239">
                  <c:v>43012</c:v>
                </c:pt>
                <c:pt idx="240">
                  <c:v>43013</c:v>
                </c:pt>
                <c:pt idx="241">
                  <c:v>43014</c:v>
                </c:pt>
                <c:pt idx="242">
                  <c:v>43018</c:v>
                </c:pt>
                <c:pt idx="243">
                  <c:v>43019</c:v>
                </c:pt>
                <c:pt idx="244">
                  <c:v>43020</c:v>
                </c:pt>
                <c:pt idx="245">
                  <c:v>43021</c:v>
                </c:pt>
                <c:pt idx="246">
                  <c:v>43024</c:v>
                </c:pt>
                <c:pt idx="247">
                  <c:v>43025</c:v>
                </c:pt>
                <c:pt idx="248">
                  <c:v>43026</c:v>
                </c:pt>
                <c:pt idx="249">
                  <c:v>43027</c:v>
                </c:pt>
                <c:pt idx="250">
                  <c:v>43028</c:v>
                </c:pt>
                <c:pt idx="251">
                  <c:v>43031</c:v>
                </c:pt>
                <c:pt idx="252">
                  <c:v>43032</c:v>
                </c:pt>
                <c:pt idx="253">
                  <c:v>43033</c:v>
                </c:pt>
                <c:pt idx="254">
                  <c:v>43034</c:v>
                </c:pt>
                <c:pt idx="255">
                  <c:v>43035</c:v>
                </c:pt>
                <c:pt idx="256">
                  <c:v>43038</c:v>
                </c:pt>
                <c:pt idx="257">
                  <c:v>43039</c:v>
                </c:pt>
                <c:pt idx="258">
                  <c:v>43040</c:v>
                </c:pt>
                <c:pt idx="259">
                  <c:v>43041</c:v>
                </c:pt>
                <c:pt idx="260">
                  <c:v>43042</c:v>
                </c:pt>
                <c:pt idx="261">
                  <c:v>43045</c:v>
                </c:pt>
                <c:pt idx="262">
                  <c:v>43046</c:v>
                </c:pt>
                <c:pt idx="263">
                  <c:v>43047</c:v>
                </c:pt>
                <c:pt idx="264">
                  <c:v>43048</c:v>
                </c:pt>
                <c:pt idx="265">
                  <c:v>43052</c:v>
                </c:pt>
                <c:pt idx="266">
                  <c:v>43053</c:v>
                </c:pt>
                <c:pt idx="267">
                  <c:v>43054</c:v>
                </c:pt>
                <c:pt idx="268">
                  <c:v>43055</c:v>
                </c:pt>
                <c:pt idx="269">
                  <c:v>43056</c:v>
                </c:pt>
                <c:pt idx="270">
                  <c:v>43059</c:v>
                </c:pt>
                <c:pt idx="271">
                  <c:v>43060</c:v>
                </c:pt>
                <c:pt idx="272">
                  <c:v>43061</c:v>
                </c:pt>
                <c:pt idx="273">
                  <c:v>43063</c:v>
                </c:pt>
                <c:pt idx="274">
                  <c:v>43066</c:v>
                </c:pt>
                <c:pt idx="275">
                  <c:v>43067</c:v>
                </c:pt>
                <c:pt idx="276">
                  <c:v>43068</c:v>
                </c:pt>
                <c:pt idx="277">
                  <c:v>43069</c:v>
                </c:pt>
                <c:pt idx="278">
                  <c:v>43070</c:v>
                </c:pt>
                <c:pt idx="279">
                  <c:v>43073</c:v>
                </c:pt>
                <c:pt idx="280">
                  <c:v>43074</c:v>
                </c:pt>
                <c:pt idx="281">
                  <c:v>43075</c:v>
                </c:pt>
                <c:pt idx="282">
                  <c:v>43076</c:v>
                </c:pt>
                <c:pt idx="283">
                  <c:v>43077</c:v>
                </c:pt>
                <c:pt idx="284">
                  <c:v>43080</c:v>
                </c:pt>
                <c:pt idx="285">
                  <c:v>43081</c:v>
                </c:pt>
                <c:pt idx="286">
                  <c:v>43082</c:v>
                </c:pt>
                <c:pt idx="287">
                  <c:v>43083</c:v>
                </c:pt>
                <c:pt idx="288">
                  <c:v>43084</c:v>
                </c:pt>
                <c:pt idx="289">
                  <c:v>43087</c:v>
                </c:pt>
                <c:pt idx="290">
                  <c:v>43088</c:v>
                </c:pt>
                <c:pt idx="291">
                  <c:v>43089</c:v>
                </c:pt>
                <c:pt idx="292">
                  <c:v>43090</c:v>
                </c:pt>
                <c:pt idx="293">
                  <c:v>43091</c:v>
                </c:pt>
                <c:pt idx="294">
                  <c:v>43095</c:v>
                </c:pt>
                <c:pt idx="295">
                  <c:v>43096</c:v>
                </c:pt>
                <c:pt idx="296">
                  <c:v>43097</c:v>
                </c:pt>
                <c:pt idx="297">
                  <c:v>43098</c:v>
                </c:pt>
                <c:pt idx="298">
                  <c:v>43102</c:v>
                </c:pt>
                <c:pt idx="299">
                  <c:v>43103</c:v>
                </c:pt>
                <c:pt idx="300">
                  <c:v>43104</c:v>
                </c:pt>
                <c:pt idx="301">
                  <c:v>43105</c:v>
                </c:pt>
                <c:pt idx="302">
                  <c:v>43108</c:v>
                </c:pt>
                <c:pt idx="303">
                  <c:v>43109</c:v>
                </c:pt>
                <c:pt idx="304">
                  <c:v>43110</c:v>
                </c:pt>
                <c:pt idx="305">
                  <c:v>43111</c:v>
                </c:pt>
                <c:pt idx="306">
                  <c:v>43112</c:v>
                </c:pt>
                <c:pt idx="307">
                  <c:v>43116</c:v>
                </c:pt>
                <c:pt idx="308">
                  <c:v>43117</c:v>
                </c:pt>
                <c:pt idx="309">
                  <c:v>43118</c:v>
                </c:pt>
                <c:pt idx="310">
                  <c:v>43119</c:v>
                </c:pt>
                <c:pt idx="311">
                  <c:v>43122</c:v>
                </c:pt>
                <c:pt idx="312">
                  <c:v>43123</c:v>
                </c:pt>
                <c:pt idx="313">
                  <c:v>43124</c:v>
                </c:pt>
                <c:pt idx="314">
                  <c:v>43125</c:v>
                </c:pt>
                <c:pt idx="315">
                  <c:v>43126</c:v>
                </c:pt>
                <c:pt idx="316">
                  <c:v>43129</c:v>
                </c:pt>
                <c:pt idx="317">
                  <c:v>43130</c:v>
                </c:pt>
                <c:pt idx="318">
                  <c:v>43131</c:v>
                </c:pt>
                <c:pt idx="319">
                  <c:v>43132</c:v>
                </c:pt>
                <c:pt idx="320">
                  <c:v>43133</c:v>
                </c:pt>
                <c:pt idx="321">
                  <c:v>43136</c:v>
                </c:pt>
                <c:pt idx="322">
                  <c:v>43137</c:v>
                </c:pt>
                <c:pt idx="323">
                  <c:v>43138</c:v>
                </c:pt>
                <c:pt idx="324">
                  <c:v>43139</c:v>
                </c:pt>
                <c:pt idx="325">
                  <c:v>43140</c:v>
                </c:pt>
                <c:pt idx="326">
                  <c:v>43143</c:v>
                </c:pt>
                <c:pt idx="327">
                  <c:v>43144</c:v>
                </c:pt>
                <c:pt idx="328">
                  <c:v>43145</c:v>
                </c:pt>
                <c:pt idx="329">
                  <c:v>43146</c:v>
                </c:pt>
                <c:pt idx="330">
                  <c:v>43147</c:v>
                </c:pt>
                <c:pt idx="331">
                  <c:v>43151</c:v>
                </c:pt>
                <c:pt idx="332">
                  <c:v>43152</c:v>
                </c:pt>
                <c:pt idx="333">
                  <c:v>43153</c:v>
                </c:pt>
                <c:pt idx="334">
                  <c:v>43154</c:v>
                </c:pt>
                <c:pt idx="335">
                  <c:v>43157</c:v>
                </c:pt>
                <c:pt idx="336">
                  <c:v>43158</c:v>
                </c:pt>
                <c:pt idx="337">
                  <c:v>43159</c:v>
                </c:pt>
                <c:pt idx="338">
                  <c:v>43160</c:v>
                </c:pt>
                <c:pt idx="339">
                  <c:v>43161</c:v>
                </c:pt>
                <c:pt idx="340">
                  <c:v>43164</c:v>
                </c:pt>
                <c:pt idx="341">
                  <c:v>43165</c:v>
                </c:pt>
                <c:pt idx="342">
                  <c:v>43166</c:v>
                </c:pt>
                <c:pt idx="343">
                  <c:v>43167</c:v>
                </c:pt>
                <c:pt idx="344">
                  <c:v>43168</c:v>
                </c:pt>
                <c:pt idx="345">
                  <c:v>43171</c:v>
                </c:pt>
                <c:pt idx="346">
                  <c:v>43172</c:v>
                </c:pt>
                <c:pt idx="347">
                  <c:v>43173</c:v>
                </c:pt>
                <c:pt idx="348">
                  <c:v>43174</c:v>
                </c:pt>
                <c:pt idx="349">
                  <c:v>43175</c:v>
                </c:pt>
                <c:pt idx="350">
                  <c:v>43178</c:v>
                </c:pt>
                <c:pt idx="351">
                  <c:v>43179</c:v>
                </c:pt>
                <c:pt idx="352">
                  <c:v>43180</c:v>
                </c:pt>
                <c:pt idx="353">
                  <c:v>43181</c:v>
                </c:pt>
                <c:pt idx="354">
                  <c:v>43182</c:v>
                </c:pt>
                <c:pt idx="355">
                  <c:v>43185</c:v>
                </c:pt>
                <c:pt idx="356">
                  <c:v>43186</c:v>
                </c:pt>
                <c:pt idx="357">
                  <c:v>43187</c:v>
                </c:pt>
                <c:pt idx="358">
                  <c:v>43188</c:v>
                </c:pt>
                <c:pt idx="359">
                  <c:v>43189</c:v>
                </c:pt>
                <c:pt idx="360">
                  <c:v>43192</c:v>
                </c:pt>
                <c:pt idx="361">
                  <c:v>43193</c:v>
                </c:pt>
                <c:pt idx="362">
                  <c:v>43194</c:v>
                </c:pt>
                <c:pt idx="363">
                  <c:v>43195</c:v>
                </c:pt>
                <c:pt idx="364">
                  <c:v>43196</c:v>
                </c:pt>
                <c:pt idx="365">
                  <c:v>43199</c:v>
                </c:pt>
                <c:pt idx="366">
                  <c:v>43200</c:v>
                </c:pt>
                <c:pt idx="367">
                  <c:v>43201</c:v>
                </c:pt>
                <c:pt idx="368">
                  <c:v>43202</c:v>
                </c:pt>
                <c:pt idx="369">
                  <c:v>43203</c:v>
                </c:pt>
                <c:pt idx="370">
                  <c:v>43206</c:v>
                </c:pt>
                <c:pt idx="371">
                  <c:v>43207</c:v>
                </c:pt>
                <c:pt idx="372">
                  <c:v>43208</c:v>
                </c:pt>
                <c:pt idx="373">
                  <c:v>43209</c:v>
                </c:pt>
                <c:pt idx="374">
                  <c:v>43210</c:v>
                </c:pt>
                <c:pt idx="375">
                  <c:v>43213</c:v>
                </c:pt>
                <c:pt idx="376">
                  <c:v>43214</c:v>
                </c:pt>
                <c:pt idx="377">
                  <c:v>43215</c:v>
                </c:pt>
                <c:pt idx="378">
                  <c:v>43216</c:v>
                </c:pt>
                <c:pt idx="379">
                  <c:v>43217</c:v>
                </c:pt>
                <c:pt idx="380">
                  <c:v>43220</c:v>
                </c:pt>
                <c:pt idx="381">
                  <c:v>43221</c:v>
                </c:pt>
                <c:pt idx="382">
                  <c:v>43222</c:v>
                </c:pt>
                <c:pt idx="383">
                  <c:v>43223</c:v>
                </c:pt>
                <c:pt idx="384">
                  <c:v>43224</c:v>
                </c:pt>
                <c:pt idx="385">
                  <c:v>43227</c:v>
                </c:pt>
                <c:pt idx="386">
                  <c:v>43228</c:v>
                </c:pt>
                <c:pt idx="387">
                  <c:v>43229</c:v>
                </c:pt>
                <c:pt idx="388">
                  <c:v>43230</c:v>
                </c:pt>
                <c:pt idx="389">
                  <c:v>43231</c:v>
                </c:pt>
                <c:pt idx="390">
                  <c:v>43234</c:v>
                </c:pt>
                <c:pt idx="391">
                  <c:v>43235</c:v>
                </c:pt>
                <c:pt idx="392">
                  <c:v>43236</c:v>
                </c:pt>
                <c:pt idx="393">
                  <c:v>43237</c:v>
                </c:pt>
                <c:pt idx="394">
                  <c:v>43238</c:v>
                </c:pt>
                <c:pt idx="395">
                  <c:v>43241</c:v>
                </c:pt>
                <c:pt idx="396">
                  <c:v>43242</c:v>
                </c:pt>
                <c:pt idx="397">
                  <c:v>43243</c:v>
                </c:pt>
                <c:pt idx="398">
                  <c:v>43244</c:v>
                </c:pt>
                <c:pt idx="399">
                  <c:v>43245</c:v>
                </c:pt>
                <c:pt idx="400">
                  <c:v>43249</c:v>
                </c:pt>
                <c:pt idx="401">
                  <c:v>43250</c:v>
                </c:pt>
                <c:pt idx="402">
                  <c:v>43251</c:v>
                </c:pt>
                <c:pt idx="403">
                  <c:v>43252</c:v>
                </c:pt>
                <c:pt idx="404">
                  <c:v>43255</c:v>
                </c:pt>
                <c:pt idx="405">
                  <c:v>43256</c:v>
                </c:pt>
                <c:pt idx="406">
                  <c:v>43257</c:v>
                </c:pt>
                <c:pt idx="407">
                  <c:v>43258</c:v>
                </c:pt>
                <c:pt idx="408">
                  <c:v>43259</c:v>
                </c:pt>
                <c:pt idx="409">
                  <c:v>43262</c:v>
                </c:pt>
                <c:pt idx="410">
                  <c:v>43263</c:v>
                </c:pt>
                <c:pt idx="411">
                  <c:v>43264</c:v>
                </c:pt>
                <c:pt idx="412">
                  <c:v>43265</c:v>
                </c:pt>
                <c:pt idx="413">
                  <c:v>43266</c:v>
                </c:pt>
                <c:pt idx="414">
                  <c:v>43269</c:v>
                </c:pt>
                <c:pt idx="415">
                  <c:v>43270</c:v>
                </c:pt>
                <c:pt idx="416">
                  <c:v>43271</c:v>
                </c:pt>
                <c:pt idx="417">
                  <c:v>43272</c:v>
                </c:pt>
                <c:pt idx="418">
                  <c:v>43273</c:v>
                </c:pt>
                <c:pt idx="419">
                  <c:v>43276</c:v>
                </c:pt>
                <c:pt idx="420">
                  <c:v>43277</c:v>
                </c:pt>
                <c:pt idx="421">
                  <c:v>43278</c:v>
                </c:pt>
                <c:pt idx="422">
                  <c:v>43279</c:v>
                </c:pt>
                <c:pt idx="423">
                  <c:v>43280</c:v>
                </c:pt>
                <c:pt idx="424">
                  <c:v>43283</c:v>
                </c:pt>
                <c:pt idx="425">
                  <c:v>43284</c:v>
                </c:pt>
                <c:pt idx="426">
                  <c:v>43286</c:v>
                </c:pt>
                <c:pt idx="427">
                  <c:v>43287</c:v>
                </c:pt>
                <c:pt idx="428">
                  <c:v>43290</c:v>
                </c:pt>
                <c:pt idx="429">
                  <c:v>43291</c:v>
                </c:pt>
                <c:pt idx="430">
                  <c:v>43292</c:v>
                </c:pt>
                <c:pt idx="431">
                  <c:v>43293</c:v>
                </c:pt>
                <c:pt idx="432">
                  <c:v>43294</c:v>
                </c:pt>
                <c:pt idx="433">
                  <c:v>43297</c:v>
                </c:pt>
                <c:pt idx="434">
                  <c:v>43298</c:v>
                </c:pt>
                <c:pt idx="435">
                  <c:v>43299</c:v>
                </c:pt>
                <c:pt idx="436">
                  <c:v>43300</c:v>
                </c:pt>
                <c:pt idx="437">
                  <c:v>43301</c:v>
                </c:pt>
                <c:pt idx="438">
                  <c:v>43304</c:v>
                </c:pt>
                <c:pt idx="439">
                  <c:v>43305</c:v>
                </c:pt>
                <c:pt idx="440">
                  <c:v>43306</c:v>
                </c:pt>
                <c:pt idx="441">
                  <c:v>43307</c:v>
                </c:pt>
                <c:pt idx="442">
                  <c:v>43308</c:v>
                </c:pt>
                <c:pt idx="443">
                  <c:v>43311</c:v>
                </c:pt>
                <c:pt idx="444">
                  <c:v>43312</c:v>
                </c:pt>
                <c:pt idx="445">
                  <c:v>43313</c:v>
                </c:pt>
                <c:pt idx="446">
                  <c:v>43314</c:v>
                </c:pt>
                <c:pt idx="447">
                  <c:v>43315</c:v>
                </c:pt>
                <c:pt idx="448">
                  <c:v>43318</c:v>
                </c:pt>
                <c:pt idx="449">
                  <c:v>43319</c:v>
                </c:pt>
                <c:pt idx="450">
                  <c:v>43320</c:v>
                </c:pt>
                <c:pt idx="451">
                  <c:v>43321</c:v>
                </c:pt>
                <c:pt idx="452">
                  <c:v>43322</c:v>
                </c:pt>
                <c:pt idx="453">
                  <c:v>43325</c:v>
                </c:pt>
                <c:pt idx="454">
                  <c:v>43326</c:v>
                </c:pt>
                <c:pt idx="455">
                  <c:v>43327</c:v>
                </c:pt>
                <c:pt idx="456">
                  <c:v>43328</c:v>
                </c:pt>
                <c:pt idx="457">
                  <c:v>43329</c:v>
                </c:pt>
                <c:pt idx="458">
                  <c:v>43332</c:v>
                </c:pt>
                <c:pt idx="459">
                  <c:v>43333</c:v>
                </c:pt>
                <c:pt idx="460">
                  <c:v>43334</c:v>
                </c:pt>
                <c:pt idx="461">
                  <c:v>43335</c:v>
                </c:pt>
                <c:pt idx="462">
                  <c:v>43336</c:v>
                </c:pt>
                <c:pt idx="463">
                  <c:v>43339</c:v>
                </c:pt>
                <c:pt idx="464">
                  <c:v>43340</c:v>
                </c:pt>
                <c:pt idx="465">
                  <c:v>43341</c:v>
                </c:pt>
                <c:pt idx="466">
                  <c:v>43342</c:v>
                </c:pt>
                <c:pt idx="467">
                  <c:v>43343</c:v>
                </c:pt>
                <c:pt idx="468">
                  <c:v>43347</c:v>
                </c:pt>
                <c:pt idx="469">
                  <c:v>43348</c:v>
                </c:pt>
                <c:pt idx="470">
                  <c:v>43349</c:v>
                </c:pt>
                <c:pt idx="471">
                  <c:v>43350</c:v>
                </c:pt>
                <c:pt idx="472">
                  <c:v>43353</c:v>
                </c:pt>
                <c:pt idx="473">
                  <c:v>43354</c:v>
                </c:pt>
                <c:pt idx="474">
                  <c:v>43355</c:v>
                </c:pt>
                <c:pt idx="475">
                  <c:v>43356</c:v>
                </c:pt>
                <c:pt idx="476">
                  <c:v>43357</c:v>
                </c:pt>
                <c:pt idx="477">
                  <c:v>43360</c:v>
                </c:pt>
                <c:pt idx="478">
                  <c:v>43361</c:v>
                </c:pt>
                <c:pt idx="479">
                  <c:v>43362</c:v>
                </c:pt>
                <c:pt idx="480">
                  <c:v>43363</c:v>
                </c:pt>
                <c:pt idx="481">
                  <c:v>43364</c:v>
                </c:pt>
                <c:pt idx="482">
                  <c:v>43367</c:v>
                </c:pt>
                <c:pt idx="483">
                  <c:v>43368</c:v>
                </c:pt>
                <c:pt idx="484">
                  <c:v>43369</c:v>
                </c:pt>
                <c:pt idx="485">
                  <c:v>43370</c:v>
                </c:pt>
                <c:pt idx="486">
                  <c:v>43371</c:v>
                </c:pt>
                <c:pt idx="487">
                  <c:v>43374</c:v>
                </c:pt>
                <c:pt idx="488">
                  <c:v>43375</c:v>
                </c:pt>
                <c:pt idx="489">
                  <c:v>43376</c:v>
                </c:pt>
                <c:pt idx="490">
                  <c:v>43377</c:v>
                </c:pt>
                <c:pt idx="491">
                  <c:v>43378</c:v>
                </c:pt>
                <c:pt idx="492">
                  <c:v>43382</c:v>
                </c:pt>
                <c:pt idx="493">
                  <c:v>43383</c:v>
                </c:pt>
                <c:pt idx="494">
                  <c:v>43384</c:v>
                </c:pt>
                <c:pt idx="495">
                  <c:v>43385</c:v>
                </c:pt>
                <c:pt idx="496">
                  <c:v>43388</c:v>
                </c:pt>
                <c:pt idx="497">
                  <c:v>43389</c:v>
                </c:pt>
                <c:pt idx="498">
                  <c:v>43390</c:v>
                </c:pt>
                <c:pt idx="499">
                  <c:v>43391</c:v>
                </c:pt>
                <c:pt idx="500">
                  <c:v>43392</c:v>
                </c:pt>
                <c:pt idx="501">
                  <c:v>43395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4.0699079766071122E-3</c:v>
                </c:pt>
                <c:pt idx="1">
                  <c:v>4.0698619659185198E-3</c:v>
                </c:pt>
                <c:pt idx="2">
                  <c:v>4.0698619659185198E-3</c:v>
                </c:pt>
                <c:pt idx="3">
                  <c:v>4.0698619659185198E-3</c:v>
                </c:pt>
                <c:pt idx="4">
                  <c:v>4.0698619659185198E-3</c:v>
                </c:pt>
                <c:pt idx="5">
                  <c:v>4.1057092897478498E-3</c:v>
                </c:pt>
                <c:pt idx="6">
                  <c:v>3.2928873348847532E-3</c:v>
                </c:pt>
                <c:pt idx="7">
                  <c:v>4.1056624660829044E-3</c:v>
                </c:pt>
                <c:pt idx="8">
                  <c:v>4.1056624660829044E-3</c:v>
                </c:pt>
                <c:pt idx="9">
                  <c:v>4.1056624660029684E-3</c:v>
                </c:pt>
                <c:pt idx="10">
                  <c:v>4.149182327131129E-3</c:v>
                </c:pt>
                <c:pt idx="11">
                  <c:v>4.1491345065303165E-3</c:v>
                </c:pt>
                <c:pt idx="12">
                  <c:v>4.1491345066102525E-3</c:v>
                </c:pt>
                <c:pt idx="13">
                  <c:v>4.1491345066102525E-3</c:v>
                </c:pt>
                <c:pt idx="14">
                  <c:v>4.1492062376513594E-3</c:v>
                </c:pt>
                <c:pt idx="15">
                  <c:v>4.1672931632685817E-3</c:v>
                </c:pt>
                <c:pt idx="16">
                  <c:v>4.1672931631886456E-3</c:v>
                </c:pt>
                <c:pt idx="17">
                  <c:v>4.1672931632685817E-3</c:v>
                </c:pt>
                <c:pt idx="18">
                  <c:v>4.1672931631886456E-3</c:v>
                </c:pt>
                <c:pt idx="19">
                  <c:v>4.1673414032139533E-3</c:v>
                </c:pt>
                <c:pt idx="20">
                  <c:v>4.4839400596519141E-3</c:v>
                </c:pt>
                <c:pt idx="21">
                  <c:v>4.4839400596519141E-3</c:v>
                </c:pt>
                <c:pt idx="22">
                  <c:v>4.4839679841945923E-3</c:v>
                </c:pt>
                <c:pt idx="23">
                  <c:v>4.4839959090836601E-3</c:v>
                </c:pt>
                <c:pt idx="24">
                  <c:v>4.4839400596519141E-3</c:v>
                </c:pt>
                <c:pt idx="25">
                  <c:v>4.4839400596519141E-3</c:v>
                </c:pt>
                <c:pt idx="26">
                  <c:v>4.4839400595719781E-3</c:v>
                </c:pt>
                <c:pt idx="27">
                  <c:v>4.4839400596519141E-3</c:v>
                </c:pt>
                <c:pt idx="28">
                  <c:v>4.4839959090836601E-3</c:v>
                </c:pt>
                <c:pt idx="29">
                  <c:v>4.4839400596519141E-3</c:v>
                </c:pt>
                <c:pt idx="30">
                  <c:v>4.4839400596519141E-3</c:v>
                </c:pt>
                <c:pt idx="31">
                  <c:v>4.4839400595719781E-3</c:v>
                </c:pt>
                <c:pt idx="32">
                  <c:v>4.4839400596519141E-3</c:v>
                </c:pt>
                <c:pt idx="33">
                  <c:v>4.4839959090570147E-3</c:v>
                </c:pt>
                <c:pt idx="34">
                  <c:v>4.4839400596519141E-3</c:v>
                </c:pt>
                <c:pt idx="35">
                  <c:v>4.4839400595719781E-3</c:v>
                </c:pt>
                <c:pt idx="36">
                  <c:v>4.4839400595719781E-3</c:v>
                </c:pt>
                <c:pt idx="37">
                  <c:v>4.4839400596519141E-3</c:v>
                </c:pt>
                <c:pt idx="38">
                  <c:v>4.4839959090836601E-3</c:v>
                </c:pt>
                <c:pt idx="39">
                  <c:v>4.4839400595719781E-3</c:v>
                </c:pt>
                <c:pt idx="40">
                  <c:v>4.4839400596519141E-3</c:v>
                </c:pt>
                <c:pt idx="41">
                  <c:v>5.5094932585753043E-3</c:v>
                </c:pt>
                <c:pt idx="42">
                  <c:v>5.5094932585753043E-3</c:v>
                </c:pt>
                <c:pt idx="43">
                  <c:v>5.5096197370030353E-3</c:v>
                </c:pt>
                <c:pt idx="44">
                  <c:v>5.5094932586552403E-3</c:v>
                </c:pt>
                <c:pt idx="45">
                  <c:v>5.5094932585753043E-3</c:v>
                </c:pt>
                <c:pt idx="46">
                  <c:v>5.5094932585753043E-3</c:v>
                </c:pt>
                <c:pt idx="47">
                  <c:v>5.5096197370030353E-3</c:v>
                </c:pt>
                <c:pt idx="48">
                  <c:v>5.5094932586552403E-3</c:v>
                </c:pt>
                <c:pt idx="49">
                  <c:v>5.5094932585753043E-3</c:v>
                </c:pt>
                <c:pt idx="50">
                  <c:v>5.5094932585753043E-3</c:v>
                </c:pt>
                <c:pt idx="51">
                  <c:v>5.5095775771007993E-3</c:v>
                </c:pt>
                <c:pt idx="52">
                  <c:v>5.5094932585753043E-3</c:v>
                </c:pt>
                <c:pt idx="53">
                  <c:v>5.5094932585753043E-3</c:v>
                </c:pt>
                <c:pt idx="54">
                  <c:v>5.5094932585753043E-3</c:v>
                </c:pt>
                <c:pt idx="55">
                  <c:v>5.5094932585753043E-3</c:v>
                </c:pt>
                <c:pt idx="56">
                  <c:v>5.5096197370030353E-3</c:v>
                </c:pt>
                <c:pt idx="57">
                  <c:v>5.5094932585753043E-3</c:v>
                </c:pt>
                <c:pt idx="58">
                  <c:v>5.5094932585753043E-3</c:v>
                </c:pt>
                <c:pt idx="59">
                  <c:v>5.5094932585753043E-3</c:v>
                </c:pt>
                <c:pt idx="60">
                  <c:v>5.5095775771007993E-3</c:v>
                </c:pt>
                <c:pt idx="61">
                  <c:v>5.6872484412284763E-3</c:v>
                </c:pt>
                <c:pt idx="62">
                  <c:v>5.6872484411485402E-3</c:v>
                </c:pt>
                <c:pt idx="63">
                  <c:v>5.6872484411485402E-3</c:v>
                </c:pt>
                <c:pt idx="64">
                  <c:v>5.6872484412284763E-3</c:v>
                </c:pt>
                <c:pt idx="65">
                  <c:v>5.6873382883182444E-3</c:v>
                </c:pt>
                <c:pt idx="66">
                  <c:v>5.6872484411485402E-3</c:v>
                </c:pt>
                <c:pt idx="67">
                  <c:v>5.6872484412284763E-3</c:v>
                </c:pt>
                <c:pt idx="68">
                  <c:v>5.6872484412284763E-3</c:v>
                </c:pt>
                <c:pt idx="69">
                  <c:v>5.6872484411485402E-3</c:v>
                </c:pt>
                <c:pt idx="70">
                  <c:v>5.6873382883182444E-3</c:v>
                </c:pt>
                <c:pt idx="71">
                  <c:v>5.6872484411485402E-3</c:v>
                </c:pt>
                <c:pt idx="72">
                  <c:v>5.6872484412284763E-3</c:v>
                </c:pt>
                <c:pt idx="73">
                  <c:v>5.6872484412284763E-3</c:v>
                </c:pt>
                <c:pt idx="74">
                  <c:v>5.6872484411485402E-3</c:v>
                </c:pt>
                <c:pt idx="75">
                  <c:v>5.687338288291599E-3</c:v>
                </c:pt>
                <c:pt idx="76">
                  <c:v>5.6872484412284763E-3</c:v>
                </c:pt>
                <c:pt idx="77">
                  <c:v>5.6872484412284763E-3</c:v>
                </c:pt>
                <c:pt idx="78">
                  <c:v>5.6872484412284763E-3</c:v>
                </c:pt>
                <c:pt idx="79">
                  <c:v>5.6872484411485402E-3</c:v>
                </c:pt>
                <c:pt idx="80">
                  <c:v>5.687383212582553E-3</c:v>
                </c:pt>
                <c:pt idx="81">
                  <c:v>5.8017802959486886E-3</c:v>
                </c:pt>
                <c:pt idx="82">
                  <c:v>5.8017802958687525E-3</c:v>
                </c:pt>
                <c:pt idx="83">
                  <c:v>5.8017802960286247E-3</c:v>
                </c:pt>
                <c:pt idx="84">
                  <c:v>5.8018737982479252E-3</c:v>
                </c:pt>
                <c:pt idx="85">
                  <c:v>5.8017802958687525E-3</c:v>
                </c:pt>
                <c:pt idx="86">
                  <c:v>5.8017802959486886E-3</c:v>
                </c:pt>
                <c:pt idx="87">
                  <c:v>5.8017802959486886E-3</c:v>
                </c:pt>
                <c:pt idx="88">
                  <c:v>5.8017802959486886E-3</c:v>
                </c:pt>
                <c:pt idx="89">
                  <c:v>5.8018737982745705E-3</c:v>
                </c:pt>
                <c:pt idx="90">
                  <c:v>5.8017802959486886E-3</c:v>
                </c:pt>
                <c:pt idx="91">
                  <c:v>5.8017802959486886E-3</c:v>
                </c:pt>
                <c:pt idx="92">
                  <c:v>5.8017802959486886E-3</c:v>
                </c:pt>
                <c:pt idx="93">
                  <c:v>5.8017802959486886E-3</c:v>
                </c:pt>
                <c:pt idx="94">
                  <c:v>5.8018737982479252E-3</c:v>
                </c:pt>
                <c:pt idx="95">
                  <c:v>5.8017802959486886E-3</c:v>
                </c:pt>
                <c:pt idx="96">
                  <c:v>5.8017802959486886E-3</c:v>
                </c:pt>
                <c:pt idx="97">
                  <c:v>5.8017802959486886E-3</c:v>
                </c:pt>
                <c:pt idx="98">
                  <c:v>5.8017802959486886E-3</c:v>
                </c:pt>
                <c:pt idx="99">
                  <c:v>5.8018737982745705E-3</c:v>
                </c:pt>
                <c:pt idx="100">
                  <c:v>5.8017802959486886E-3</c:v>
                </c:pt>
                <c:pt idx="101">
                  <c:v>6.0348988719116647E-3</c:v>
                </c:pt>
                <c:pt idx="102">
                  <c:v>6.0348988719116647E-3</c:v>
                </c:pt>
                <c:pt idx="103">
                  <c:v>6.0348988719916008E-3</c:v>
                </c:pt>
                <c:pt idx="104">
                  <c:v>6.0350000392261904E-3</c:v>
                </c:pt>
                <c:pt idx="105">
                  <c:v>6.0348988719116647E-3</c:v>
                </c:pt>
                <c:pt idx="106">
                  <c:v>6.0348988719916008E-3</c:v>
                </c:pt>
                <c:pt idx="107">
                  <c:v>6.0348988719916008E-3</c:v>
                </c:pt>
                <c:pt idx="108">
                  <c:v>6.0348988719116647E-3</c:v>
                </c:pt>
                <c:pt idx="109">
                  <c:v>6.0350000391995451E-3</c:v>
                </c:pt>
                <c:pt idx="110">
                  <c:v>6.0348988719116647E-3</c:v>
                </c:pt>
                <c:pt idx="111">
                  <c:v>6.0348988719916008E-3</c:v>
                </c:pt>
                <c:pt idx="112">
                  <c:v>6.0348988719916008E-3</c:v>
                </c:pt>
                <c:pt idx="113">
                  <c:v>6.0348988719116647E-3</c:v>
                </c:pt>
                <c:pt idx="114">
                  <c:v>6.0350000391995451E-3</c:v>
                </c:pt>
                <c:pt idx="115">
                  <c:v>6.0348988719916008E-3</c:v>
                </c:pt>
                <c:pt idx="116">
                  <c:v>6.0348988719116647E-3</c:v>
                </c:pt>
                <c:pt idx="117">
                  <c:v>6.0348988719916008E-3</c:v>
                </c:pt>
                <c:pt idx="118">
                  <c:v>6.0348988719116647E-3</c:v>
                </c:pt>
                <c:pt idx="119">
                  <c:v>6.0350000391995451E-3</c:v>
                </c:pt>
                <c:pt idx="120">
                  <c:v>6.0348988719116647E-3</c:v>
                </c:pt>
                <c:pt idx="121">
                  <c:v>6.0348988719916008E-3</c:v>
                </c:pt>
                <c:pt idx="122">
                  <c:v>6.0348988719116647E-3</c:v>
                </c:pt>
                <c:pt idx="123">
                  <c:v>6.0348988719916008E-3</c:v>
                </c:pt>
                <c:pt idx="124">
                  <c:v>6.0768854797288441E-3</c:v>
                </c:pt>
                <c:pt idx="125">
                  <c:v>6.0767829032748466E-3</c:v>
                </c:pt>
                <c:pt idx="126">
                  <c:v>6.0767829033547827E-3</c:v>
                </c:pt>
                <c:pt idx="127">
                  <c:v>6.0767829033547827E-3</c:v>
                </c:pt>
                <c:pt idx="128">
                  <c:v>6.0767829033547827E-3</c:v>
                </c:pt>
                <c:pt idx="129">
                  <c:v>6.0768854797288441E-3</c:v>
                </c:pt>
                <c:pt idx="130">
                  <c:v>6.0767829033547827E-3</c:v>
                </c:pt>
                <c:pt idx="131">
                  <c:v>6.0767829033547827E-3</c:v>
                </c:pt>
                <c:pt idx="132">
                  <c:v>6.0767829033547827E-3</c:v>
                </c:pt>
                <c:pt idx="133">
                  <c:v>6.0767829033547827E-3</c:v>
                </c:pt>
                <c:pt idx="134">
                  <c:v>6.0768854797288441E-3</c:v>
                </c:pt>
                <c:pt idx="135">
                  <c:v>6.0767829033547827E-3</c:v>
                </c:pt>
                <c:pt idx="136">
                  <c:v>6.0767829032748466E-3</c:v>
                </c:pt>
                <c:pt idx="137">
                  <c:v>6.0767829033547827E-3</c:v>
                </c:pt>
                <c:pt idx="138">
                  <c:v>6.0767829033547827E-3</c:v>
                </c:pt>
                <c:pt idx="139">
                  <c:v>6.0768854797288441E-3</c:v>
                </c:pt>
                <c:pt idx="140">
                  <c:v>6.0767829033547827E-3</c:v>
                </c:pt>
                <c:pt idx="141">
                  <c:v>6.0767829033547827E-3</c:v>
                </c:pt>
                <c:pt idx="142">
                  <c:v>6.0767829033547827E-3</c:v>
                </c:pt>
                <c:pt idx="143">
                  <c:v>6.0767829033547827E-3</c:v>
                </c:pt>
                <c:pt idx="144">
                  <c:v>6.0768854797288441E-3</c:v>
                </c:pt>
                <c:pt idx="145">
                  <c:v>6.1787526078749266E-3</c:v>
                </c:pt>
                <c:pt idx="146">
                  <c:v>6.1787526077949906E-3</c:v>
                </c:pt>
                <c:pt idx="147">
                  <c:v>6.1787526078749266E-3</c:v>
                </c:pt>
                <c:pt idx="148">
                  <c:v>6.1787526078749266E-3</c:v>
                </c:pt>
                <c:pt idx="149">
                  <c:v>6.1789116804300548E-3</c:v>
                </c:pt>
                <c:pt idx="150">
                  <c:v>6.1787526077949906E-3</c:v>
                </c:pt>
                <c:pt idx="151">
                  <c:v>6.1787526078749266E-3</c:v>
                </c:pt>
                <c:pt idx="152">
                  <c:v>6.1787526078749266E-3</c:v>
                </c:pt>
                <c:pt idx="153">
                  <c:v>6.1788586556055236E-3</c:v>
                </c:pt>
                <c:pt idx="154">
                  <c:v>6.1787526078749266E-3</c:v>
                </c:pt>
                <c:pt idx="155">
                  <c:v>6.1787526078749266E-3</c:v>
                </c:pt>
                <c:pt idx="156">
                  <c:v>6.1787526078749266E-3</c:v>
                </c:pt>
                <c:pt idx="157">
                  <c:v>6.1787526077949906E-3</c:v>
                </c:pt>
                <c:pt idx="158">
                  <c:v>6.178858655632169E-3</c:v>
                </c:pt>
                <c:pt idx="159">
                  <c:v>6.1787526078749266E-3</c:v>
                </c:pt>
                <c:pt idx="160">
                  <c:v>6.1787526078749266E-3</c:v>
                </c:pt>
                <c:pt idx="161">
                  <c:v>6.1787526077949906E-3</c:v>
                </c:pt>
                <c:pt idx="162">
                  <c:v>6.1787526077949906E-3</c:v>
                </c:pt>
                <c:pt idx="163">
                  <c:v>6.178858655632169E-3</c:v>
                </c:pt>
                <c:pt idx="164">
                  <c:v>6.1787526078749266E-3</c:v>
                </c:pt>
                <c:pt idx="165">
                  <c:v>6.1787526078749266E-3</c:v>
                </c:pt>
                <c:pt idx="166">
                  <c:v>6.4653508617240618E-3</c:v>
                </c:pt>
                <c:pt idx="167">
                  <c:v>6.4653508618839339E-3</c:v>
                </c:pt>
                <c:pt idx="168">
                  <c:v>6.4654669757224781E-3</c:v>
                </c:pt>
                <c:pt idx="169">
                  <c:v>6.4653508618039979E-3</c:v>
                </c:pt>
                <c:pt idx="170">
                  <c:v>6.4653508618039979E-3</c:v>
                </c:pt>
                <c:pt idx="171">
                  <c:v>6.4653508618039979E-3</c:v>
                </c:pt>
                <c:pt idx="172">
                  <c:v>6.4653508618039979E-3</c:v>
                </c:pt>
                <c:pt idx="173">
                  <c:v>6.4654669757224781E-3</c:v>
                </c:pt>
                <c:pt idx="174">
                  <c:v>6.4654089184035257E-3</c:v>
                </c:pt>
                <c:pt idx="175">
                  <c:v>6.4653508618039979E-3</c:v>
                </c:pt>
                <c:pt idx="176">
                  <c:v>6.4653508618039979E-3</c:v>
                </c:pt>
                <c:pt idx="177">
                  <c:v>6.4654669757224781E-3</c:v>
                </c:pt>
                <c:pt idx="178">
                  <c:v>6.4653508618039979E-3</c:v>
                </c:pt>
                <c:pt idx="179">
                  <c:v>6.4653508618039979E-3</c:v>
                </c:pt>
                <c:pt idx="180">
                  <c:v>6.4653508618039979E-3</c:v>
                </c:pt>
                <c:pt idx="181">
                  <c:v>6.4653508618039979E-3</c:v>
                </c:pt>
                <c:pt idx="182">
                  <c:v>6.4654669757224781E-3</c:v>
                </c:pt>
                <c:pt idx="183">
                  <c:v>6.4653508618039979E-3</c:v>
                </c:pt>
                <c:pt idx="184">
                  <c:v>6.4653508617240618E-3</c:v>
                </c:pt>
                <c:pt idx="185">
                  <c:v>6.4653508618039979E-3</c:v>
                </c:pt>
                <c:pt idx="186">
                  <c:v>6.4653508618039979E-3</c:v>
                </c:pt>
                <c:pt idx="187">
                  <c:v>6.6487479783905457E-3</c:v>
                </c:pt>
                <c:pt idx="188">
                  <c:v>6.6486251881592295E-3</c:v>
                </c:pt>
                <c:pt idx="189">
                  <c:v>6.6486251880792935E-3</c:v>
                </c:pt>
                <c:pt idx="190">
                  <c:v>6.6486251881592295E-3</c:v>
                </c:pt>
                <c:pt idx="191">
                  <c:v>6.6486251881592295E-3</c:v>
                </c:pt>
                <c:pt idx="192">
                  <c:v>6.6487479783905457E-3</c:v>
                </c:pt>
                <c:pt idx="193">
                  <c:v>6.6486251880792935E-3</c:v>
                </c:pt>
                <c:pt idx="194">
                  <c:v>6.6486251881592295E-3</c:v>
                </c:pt>
                <c:pt idx="195">
                  <c:v>6.6486251880792935E-3</c:v>
                </c:pt>
                <c:pt idx="196">
                  <c:v>6.6486251881592295E-3</c:v>
                </c:pt>
                <c:pt idx="197">
                  <c:v>6.6487479783905457E-3</c:v>
                </c:pt>
                <c:pt idx="198">
                  <c:v>6.6486251880792935E-3</c:v>
                </c:pt>
                <c:pt idx="199">
                  <c:v>6.6486251881592295E-3</c:v>
                </c:pt>
                <c:pt idx="200">
                  <c:v>6.6486251880792935E-3</c:v>
                </c:pt>
                <c:pt idx="201">
                  <c:v>6.6486251880792935E-3</c:v>
                </c:pt>
                <c:pt idx="202">
                  <c:v>6.6487479783905457E-3</c:v>
                </c:pt>
                <c:pt idx="203">
                  <c:v>6.6486251881592295E-3</c:v>
                </c:pt>
                <c:pt idx="204">
                  <c:v>6.6486251881592295E-3</c:v>
                </c:pt>
                <c:pt idx="205">
                  <c:v>6.6486251881592295E-3</c:v>
                </c:pt>
                <c:pt idx="206">
                  <c:v>6.6486251880792935E-3</c:v>
                </c:pt>
                <c:pt idx="207">
                  <c:v>6.6487479783905457E-3</c:v>
                </c:pt>
                <c:pt idx="208">
                  <c:v>6.5411842855844782E-3</c:v>
                </c:pt>
                <c:pt idx="209">
                  <c:v>6.5411842855844782E-3</c:v>
                </c:pt>
                <c:pt idx="210">
                  <c:v>6.5411842855844782E-3</c:v>
                </c:pt>
                <c:pt idx="211">
                  <c:v>6.5411842855844782E-3</c:v>
                </c:pt>
                <c:pt idx="212">
                  <c:v>6.5413031393379839E-3</c:v>
                </c:pt>
                <c:pt idx="213">
                  <c:v>6.5411842855844782E-3</c:v>
                </c:pt>
                <c:pt idx="214">
                  <c:v>6.5411842855844782E-3</c:v>
                </c:pt>
                <c:pt idx="215">
                  <c:v>6.5411842855844782E-3</c:v>
                </c:pt>
                <c:pt idx="216">
                  <c:v>6.5411842855844782E-3</c:v>
                </c:pt>
                <c:pt idx="217">
                  <c:v>6.5413625672938736E-3</c:v>
                </c:pt>
                <c:pt idx="218">
                  <c:v>6.5411842855045421E-3</c:v>
                </c:pt>
                <c:pt idx="219">
                  <c:v>6.5411842855844782E-3</c:v>
                </c:pt>
                <c:pt idx="220">
                  <c:v>6.5411842855844782E-3</c:v>
                </c:pt>
                <c:pt idx="221">
                  <c:v>6.5413031393379839E-3</c:v>
                </c:pt>
                <c:pt idx="222">
                  <c:v>6.5411842855844782E-3</c:v>
                </c:pt>
                <c:pt idx="223">
                  <c:v>6.5411842855844782E-3</c:v>
                </c:pt>
                <c:pt idx="224">
                  <c:v>6.5411842855844782E-3</c:v>
                </c:pt>
                <c:pt idx="225">
                  <c:v>6.5411842855844782E-3</c:v>
                </c:pt>
                <c:pt idx="226">
                  <c:v>6.5413031393379839E-3</c:v>
                </c:pt>
                <c:pt idx="227">
                  <c:v>6.5411842855844782E-3</c:v>
                </c:pt>
                <c:pt idx="228">
                  <c:v>6.5411842855844782E-3</c:v>
                </c:pt>
                <c:pt idx="229">
                  <c:v>6.5411842855844782E-3</c:v>
                </c:pt>
                <c:pt idx="230">
                  <c:v>6.7836454093228582E-3</c:v>
                </c:pt>
                <c:pt idx="231">
                  <c:v>6.7837732374975701E-3</c:v>
                </c:pt>
                <c:pt idx="232">
                  <c:v>6.7836454093228582E-3</c:v>
                </c:pt>
                <c:pt idx="233">
                  <c:v>6.7836454093228582E-3</c:v>
                </c:pt>
                <c:pt idx="234">
                  <c:v>6.7836454094027943E-3</c:v>
                </c:pt>
                <c:pt idx="235">
                  <c:v>6.7836454093228582E-3</c:v>
                </c:pt>
                <c:pt idx="236">
                  <c:v>6.7837732374975701E-3</c:v>
                </c:pt>
                <c:pt idx="237">
                  <c:v>6.7836454093228582E-3</c:v>
                </c:pt>
                <c:pt idx="238">
                  <c:v>6.7836454093228582E-3</c:v>
                </c:pt>
                <c:pt idx="239">
                  <c:v>6.7836454093228582E-3</c:v>
                </c:pt>
                <c:pt idx="240">
                  <c:v>6.7836454094027943E-3</c:v>
                </c:pt>
                <c:pt idx="241">
                  <c:v>6.7838371527639829E-3</c:v>
                </c:pt>
                <c:pt idx="242">
                  <c:v>6.7836454093228582E-3</c:v>
                </c:pt>
                <c:pt idx="243">
                  <c:v>6.7836454093228582E-3</c:v>
                </c:pt>
                <c:pt idx="244">
                  <c:v>6.7836454093228582E-3</c:v>
                </c:pt>
                <c:pt idx="245">
                  <c:v>6.7837732374709248E-3</c:v>
                </c:pt>
                <c:pt idx="246">
                  <c:v>6.7836454093228582E-3</c:v>
                </c:pt>
                <c:pt idx="247">
                  <c:v>6.7836454093228582E-3</c:v>
                </c:pt>
                <c:pt idx="248">
                  <c:v>6.7836454093228582E-3</c:v>
                </c:pt>
                <c:pt idx="249">
                  <c:v>6.7836454093228582E-3</c:v>
                </c:pt>
                <c:pt idx="250">
                  <c:v>6.7837732374975701E-3</c:v>
                </c:pt>
                <c:pt idx="251">
                  <c:v>7.1807817433811039E-3</c:v>
                </c:pt>
                <c:pt idx="252">
                  <c:v>7.1807817434610399E-3</c:v>
                </c:pt>
                <c:pt idx="253">
                  <c:v>7.1807817433811039E-3</c:v>
                </c:pt>
                <c:pt idx="254">
                  <c:v>7.1807817433811039E-3</c:v>
                </c:pt>
                <c:pt idx="255">
                  <c:v>7.180924976699643E-3</c:v>
                </c:pt>
                <c:pt idx="256">
                  <c:v>7.1807817434610399E-3</c:v>
                </c:pt>
                <c:pt idx="257">
                  <c:v>7.1807817433811039E-3</c:v>
                </c:pt>
                <c:pt idx="258">
                  <c:v>7.1807817434610399E-3</c:v>
                </c:pt>
                <c:pt idx="259">
                  <c:v>7.1807817434610399E-3</c:v>
                </c:pt>
                <c:pt idx="260">
                  <c:v>7.1809249766729977E-3</c:v>
                </c:pt>
                <c:pt idx="261">
                  <c:v>7.1807817434610399E-3</c:v>
                </c:pt>
                <c:pt idx="262">
                  <c:v>7.1807817434610399E-3</c:v>
                </c:pt>
                <c:pt idx="263">
                  <c:v>7.1807817433811039E-3</c:v>
                </c:pt>
                <c:pt idx="264">
                  <c:v>7.1809965947378096E-3</c:v>
                </c:pt>
                <c:pt idx="265">
                  <c:v>7.1807817434610399E-3</c:v>
                </c:pt>
                <c:pt idx="266">
                  <c:v>7.1807817434610399E-3</c:v>
                </c:pt>
                <c:pt idx="267">
                  <c:v>7.1807817434610399E-3</c:v>
                </c:pt>
                <c:pt idx="268">
                  <c:v>7.1807817434610399E-3</c:v>
                </c:pt>
                <c:pt idx="269">
                  <c:v>7.1809249766729977E-3</c:v>
                </c:pt>
                <c:pt idx="270">
                  <c:v>7.1807817434610399E-3</c:v>
                </c:pt>
                <c:pt idx="271">
                  <c:v>7.1807817434610399E-3</c:v>
                </c:pt>
                <c:pt idx="272">
                  <c:v>7.1808533595740798E-3</c:v>
                </c:pt>
                <c:pt idx="273">
                  <c:v>7.180924976699643E-3</c:v>
                </c:pt>
                <c:pt idx="274">
                  <c:v>7.1807817434610399E-3</c:v>
                </c:pt>
                <c:pt idx="275">
                  <c:v>7.1807817434610399E-3</c:v>
                </c:pt>
                <c:pt idx="276">
                  <c:v>7.1807817434610399E-3</c:v>
                </c:pt>
                <c:pt idx="277">
                  <c:v>7.1807817434610399E-3</c:v>
                </c:pt>
                <c:pt idx="278">
                  <c:v>7.1809249766729977E-3</c:v>
                </c:pt>
                <c:pt idx="279">
                  <c:v>7.1807817433811039E-3</c:v>
                </c:pt>
                <c:pt idx="280">
                  <c:v>7.1807817434610399E-3</c:v>
                </c:pt>
                <c:pt idx="281">
                  <c:v>7.1807817433811039E-3</c:v>
                </c:pt>
                <c:pt idx="282">
                  <c:v>7.1807817434610399E-3</c:v>
                </c:pt>
                <c:pt idx="283">
                  <c:v>7.180924976699643E-3</c:v>
                </c:pt>
                <c:pt idx="284">
                  <c:v>7.1807817434610399E-3</c:v>
                </c:pt>
                <c:pt idx="285">
                  <c:v>7.1807817433811039E-3</c:v>
                </c:pt>
                <c:pt idx="286">
                  <c:v>7.1807817434610399E-3</c:v>
                </c:pt>
                <c:pt idx="287">
                  <c:v>7.1807817433811039E-3</c:v>
                </c:pt>
                <c:pt idx="288">
                  <c:v>7.1809249766729977E-3</c:v>
                </c:pt>
                <c:pt idx="289">
                  <c:v>7.1807817434610399E-3</c:v>
                </c:pt>
                <c:pt idx="290">
                  <c:v>7.1807817434610399E-3</c:v>
                </c:pt>
                <c:pt idx="291">
                  <c:v>7.1807817433811039E-3</c:v>
                </c:pt>
                <c:pt idx="292">
                  <c:v>7.1807817433811039E-3</c:v>
                </c:pt>
                <c:pt idx="293">
                  <c:v>7.1809965947378096E-3</c:v>
                </c:pt>
                <c:pt idx="294">
                  <c:v>7.1807817433811039E-3</c:v>
                </c:pt>
                <c:pt idx="295">
                  <c:v>7.1807817434610399E-3</c:v>
                </c:pt>
                <c:pt idx="296">
                  <c:v>7.1807817434610399E-3</c:v>
                </c:pt>
                <c:pt idx="297">
                  <c:v>7.1809965947178256E-3</c:v>
                </c:pt>
                <c:pt idx="298">
                  <c:v>7.1807817434610399E-3</c:v>
                </c:pt>
                <c:pt idx="299">
                  <c:v>7.1807817434610399E-3</c:v>
                </c:pt>
                <c:pt idx="300">
                  <c:v>7.1807817434610399E-3</c:v>
                </c:pt>
                <c:pt idx="301">
                  <c:v>7.180924976699643E-3</c:v>
                </c:pt>
                <c:pt idx="302">
                  <c:v>7.1807817433811039E-3</c:v>
                </c:pt>
                <c:pt idx="303">
                  <c:v>7.1807817433811039E-3</c:v>
                </c:pt>
                <c:pt idx="304">
                  <c:v>7.1807817434610399E-3</c:v>
                </c:pt>
                <c:pt idx="305">
                  <c:v>7.1807817434610399E-3</c:v>
                </c:pt>
                <c:pt idx="306">
                  <c:v>7.1809965947378096E-3</c:v>
                </c:pt>
                <c:pt idx="307">
                  <c:v>7.1807817433811039E-3</c:v>
                </c:pt>
                <c:pt idx="308">
                  <c:v>7.1807817434610399E-3</c:v>
                </c:pt>
                <c:pt idx="309">
                  <c:v>7.1807817434610399E-3</c:v>
                </c:pt>
                <c:pt idx="310">
                  <c:v>7.180924976699643E-3</c:v>
                </c:pt>
                <c:pt idx="311">
                  <c:v>7.5098554550212526E-3</c:v>
                </c:pt>
                <c:pt idx="312">
                  <c:v>7.5098554550212526E-3</c:v>
                </c:pt>
                <c:pt idx="313">
                  <c:v>7.5098554550212526E-3</c:v>
                </c:pt>
                <c:pt idx="314">
                  <c:v>7.5098554549413166E-3</c:v>
                </c:pt>
                <c:pt idx="315">
                  <c:v>7.5100121169846545E-3</c:v>
                </c:pt>
                <c:pt idx="316">
                  <c:v>7.5098554550212526E-3</c:v>
                </c:pt>
                <c:pt idx="317">
                  <c:v>7.5098554550212526E-3</c:v>
                </c:pt>
                <c:pt idx="318">
                  <c:v>7.5098554550212526E-3</c:v>
                </c:pt>
                <c:pt idx="319">
                  <c:v>7.5098554550212526E-3</c:v>
                </c:pt>
                <c:pt idx="320">
                  <c:v>7.5100121169846545E-3</c:v>
                </c:pt>
                <c:pt idx="321">
                  <c:v>7.5098554550212526E-3</c:v>
                </c:pt>
                <c:pt idx="322">
                  <c:v>7.5098554549413166E-3</c:v>
                </c:pt>
                <c:pt idx="323">
                  <c:v>7.5098554550212526E-3</c:v>
                </c:pt>
                <c:pt idx="324">
                  <c:v>7.5098554549413166E-3</c:v>
                </c:pt>
                <c:pt idx="325">
                  <c:v>7.5100121169846545E-3</c:v>
                </c:pt>
                <c:pt idx="326">
                  <c:v>7.5098554549413166E-3</c:v>
                </c:pt>
                <c:pt idx="327">
                  <c:v>7.5098554550212526E-3</c:v>
                </c:pt>
                <c:pt idx="328">
                  <c:v>7.5098554549413166E-3</c:v>
                </c:pt>
                <c:pt idx="329">
                  <c:v>7.5098554550212526E-3</c:v>
                </c:pt>
                <c:pt idx="330">
                  <c:v>7.5100904496250287E-3</c:v>
                </c:pt>
                <c:pt idx="331">
                  <c:v>7.5098554549413166E-3</c:v>
                </c:pt>
                <c:pt idx="332">
                  <c:v>7.5098554550212526E-3</c:v>
                </c:pt>
                <c:pt idx="333">
                  <c:v>7.5098554550212526E-3</c:v>
                </c:pt>
                <c:pt idx="334">
                  <c:v>7.5100121169846545E-3</c:v>
                </c:pt>
                <c:pt idx="335">
                  <c:v>7.5098554549413166E-3</c:v>
                </c:pt>
                <c:pt idx="336">
                  <c:v>7.5098554550212526E-3</c:v>
                </c:pt>
                <c:pt idx="337">
                  <c:v>7.5098554550212526E-3</c:v>
                </c:pt>
                <c:pt idx="338">
                  <c:v>7.5098554549413166E-3</c:v>
                </c:pt>
                <c:pt idx="339">
                  <c:v>7.5100121169846545E-3</c:v>
                </c:pt>
                <c:pt idx="340">
                  <c:v>7.5098554550212526E-3</c:v>
                </c:pt>
                <c:pt idx="341">
                  <c:v>7.5098554549413166E-3</c:v>
                </c:pt>
                <c:pt idx="342">
                  <c:v>7.5098554550212526E-3</c:v>
                </c:pt>
                <c:pt idx="343">
                  <c:v>7.5098554549413166E-3</c:v>
                </c:pt>
                <c:pt idx="344">
                  <c:v>7.5100121169846545E-3</c:v>
                </c:pt>
                <c:pt idx="345">
                  <c:v>7.5098554550212526E-3</c:v>
                </c:pt>
                <c:pt idx="346">
                  <c:v>7.5098554549413166E-3</c:v>
                </c:pt>
                <c:pt idx="347">
                  <c:v>7.5098554550212526E-3</c:v>
                </c:pt>
                <c:pt idx="348">
                  <c:v>7.5098554549413166E-3</c:v>
                </c:pt>
                <c:pt idx="349">
                  <c:v>7.5100121169846545E-3</c:v>
                </c:pt>
                <c:pt idx="350">
                  <c:v>7.5098554550212526E-3</c:v>
                </c:pt>
                <c:pt idx="351">
                  <c:v>7.5098554549413166E-3</c:v>
                </c:pt>
                <c:pt idx="352">
                  <c:v>7.5098554550212526E-3</c:v>
                </c:pt>
                <c:pt idx="353">
                  <c:v>7.5098554550212526E-3</c:v>
                </c:pt>
                <c:pt idx="354">
                  <c:v>7.5100121169846545E-3</c:v>
                </c:pt>
                <c:pt idx="355">
                  <c:v>7.5098554550212526E-3</c:v>
                </c:pt>
                <c:pt idx="356">
                  <c:v>7.5098554549413166E-3</c:v>
                </c:pt>
                <c:pt idx="357">
                  <c:v>7.5098554549413166E-3</c:v>
                </c:pt>
                <c:pt idx="358">
                  <c:v>7.5098554550212526E-3</c:v>
                </c:pt>
                <c:pt idx="359">
                  <c:v>7.5100121169846545E-3</c:v>
                </c:pt>
                <c:pt idx="360">
                  <c:v>7.5098554550212526E-3</c:v>
                </c:pt>
                <c:pt idx="361">
                  <c:v>7.5098554550212526E-3</c:v>
                </c:pt>
                <c:pt idx="362">
                  <c:v>7.5098554549413166E-3</c:v>
                </c:pt>
                <c:pt idx="363">
                  <c:v>7.5098554549413166E-3</c:v>
                </c:pt>
                <c:pt idx="364">
                  <c:v>7.5100121169846545E-3</c:v>
                </c:pt>
                <c:pt idx="365">
                  <c:v>7.5098554549413166E-3</c:v>
                </c:pt>
                <c:pt idx="366">
                  <c:v>7.5098554550212526E-3</c:v>
                </c:pt>
                <c:pt idx="367">
                  <c:v>7.5098554550212526E-3</c:v>
                </c:pt>
                <c:pt idx="368">
                  <c:v>7.5098554550212526E-3</c:v>
                </c:pt>
                <c:pt idx="369">
                  <c:v>7.5100121169846545E-3</c:v>
                </c:pt>
                <c:pt idx="370">
                  <c:v>7.5098554550212526E-3</c:v>
                </c:pt>
                <c:pt idx="371">
                  <c:v>7.5098554550212526E-3</c:v>
                </c:pt>
                <c:pt idx="372">
                  <c:v>7.5098554549413166E-3</c:v>
                </c:pt>
                <c:pt idx="373">
                  <c:v>7.5098554550212526E-3</c:v>
                </c:pt>
                <c:pt idx="374">
                  <c:v>7.5100121169580092E-3</c:v>
                </c:pt>
                <c:pt idx="375">
                  <c:v>7.8203797971809763E-3</c:v>
                </c:pt>
                <c:pt idx="376">
                  <c:v>7.8203797971010403E-3</c:v>
                </c:pt>
                <c:pt idx="377">
                  <c:v>7.8203797971010403E-3</c:v>
                </c:pt>
                <c:pt idx="378">
                  <c:v>7.8203797971010403E-3</c:v>
                </c:pt>
                <c:pt idx="379">
                  <c:v>7.820549682620026E-3</c:v>
                </c:pt>
                <c:pt idx="380">
                  <c:v>7.8203797971010403E-3</c:v>
                </c:pt>
                <c:pt idx="381">
                  <c:v>7.8203797971809763E-3</c:v>
                </c:pt>
                <c:pt idx="382">
                  <c:v>7.8203797971010403E-3</c:v>
                </c:pt>
                <c:pt idx="383">
                  <c:v>7.8203797971010403E-3</c:v>
                </c:pt>
                <c:pt idx="384">
                  <c:v>7.8205496825933807E-3</c:v>
                </c:pt>
                <c:pt idx="385">
                  <c:v>7.8203797971809763E-3</c:v>
                </c:pt>
                <c:pt idx="386">
                  <c:v>7.8203797971010403E-3</c:v>
                </c:pt>
                <c:pt idx="387">
                  <c:v>7.8203797971010403E-3</c:v>
                </c:pt>
                <c:pt idx="388">
                  <c:v>7.8203797971809763E-3</c:v>
                </c:pt>
                <c:pt idx="389">
                  <c:v>7.820549682620026E-3</c:v>
                </c:pt>
                <c:pt idx="390">
                  <c:v>7.8203797971809763E-3</c:v>
                </c:pt>
                <c:pt idx="391">
                  <c:v>7.8203797971010403E-3</c:v>
                </c:pt>
                <c:pt idx="392">
                  <c:v>7.8203797971809763E-3</c:v>
                </c:pt>
                <c:pt idx="393">
                  <c:v>7.8203797971010403E-3</c:v>
                </c:pt>
                <c:pt idx="394">
                  <c:v>7.820549682620026E-3</c:v>
                </c:pt>
                <c:pt idx="395">
                  <c:v>7.8203797971010403E-3</c:v>
                </c:pt>
                <c:pt idx="396">
                  <c:v>7.8203797971010403E-3</c:v>
                </c:pt>
                <c:pt idx="397">
                  <c:v>7.8203797971010403E-3</c:v>
                </c:pt>
                <c:pt idx="398">
                  <c:v>7.8203797971010403E-3</c:v>
                </c:pt>
                <c:pt idx="399">
                  <c:v>7.8206346272180483E-3</c:v>
                </c:pt>
                <c:pt idx="400">
                  <c:v>7.8203797971010403E-3</c:v>
                </c:pt>
                <c:pt idx="401">
                  <c:v>7.8203797971010403E-3</c:v>
                </c:pt>
                <c:pt idx="402">
                  <c:v>7.8203797971010403E-3</c:v>
                </c:pt>
                <c:pt idx="403">
                  <c:v>7.820549682620026E-3</c:v>
                </c:pt>
                <c:pt idx="404">
                  <c:v>7.8203797971809763E-3</c:v>
                </c:pt>
                <c:pt idx="405">
                  <c:v>7.8203797971010403E-3</c:v>
                </c:pt>
                <c:pt idx="406">
                  <c:v>7.8203797971010403E-3</c:v>
                </c:pt>
                <c:pt idx="407">
                  <c:v>7.8203797971010403E-3</c:v>
                </c:pt>
                <c:pt idx="408">
                  <c:v>7.8205496826466714E-3</c:v>
                </c:pt>
                <c:pt idx="409">
                  <c:v>7.8203797971010403E-3</c:v>
                </c:pt>
                <c:pt idx="410">
                  <c:v>7.8203797971809763E-3</c:v>
                </c:pt>
                <c:pt idx="411">
                  <c:v>7.8203797971010403E-3</c:v>
                </c:pt>
                <c:pt idx="412">
                  <c:v>7.8203797971809763E-3</c:v>
                </c:pt>
                <c:pt idx="413">
                  <c:v>7.820549682620026E-3</c:v>
                </c:pt>
                <c:pt idx="414">
                  <c:v>7.8203797971010403E-3</c:v>
                </c:pt>
                <c:pt idx="415">
                  <c:v>7.8203797971809763E-3</c:v>
                </c:pt>
                <c:pt idx="416">
                  <c:v>7.8203797971010403E-3</c:v>
                </c:pt>
                <c:pt idx="417">
                  <c:v>7.8203797971010403E-3</c:v>
                </c:pt>
                <c:pt idx="418">
                  <c:v>7.820549682620026E-3</c:v>
                </c:pt>
                <c:pt idx="419">
                  <c:v>7.8203797971010403E-3</c:v>
                </c:pt>
                <c:pt idx="420">
                  <c:v>7.8203797971809763E-3</c:v>
                </c:pt>
                <c:pt idx="421">
                  <c:v>7.8203797971010403E-3</c:v>
                </c:pt>
                <c:pt idx="422">
                  <c:v>7.8203797971010403E-3</c:v>
                </c:pt>
                <c:pt idx="423">
                  <c:v>7.820549682620026E-3</c:v>
                </c:pt>
                <c:pt idx="424">
                  <c:v>7.8203797971010403E-3</c:v>
                </c:pt>
                <c:pt idx="425">
                  <c:v>7.8204647392343674E-3</c:v>
                </c:pt>
                <c:pt idx="426">
                  <c:v>7.8203797971010403E-3</c:v>
                </c:pt>
                <c:pt idx="427">
                  <c:v>7.820549682620026E-3</c:v>
                </c:pt>
                <c:pt idx="428">
                  <c:v>7.8203797971010403E-3</c:v>
                </c:pt>
                <c:pt idx="429">
                  <c:v>7.8203797971809763E-3</c:v>
                </c:pt>
                <c:pt idx="430">
                  <c:v>7.8203797971010403E-3</c:v>
                </c:pt>
                <c:pt idx="431">
                  <c:v>7.8203797971010403E-3</c:v>
                </c:pt>
                <c:pt idx="432">
                  <c:v>7.820549682620026E-3</c:v>
                </c:pt>
                <c:pt idx="433">
                  <c:v>7.8203797971010403E-3</c:v>
                </c:pt>
                <c:pt idx="434">
                  <c:v>7.8203797971010403E-3</c:v>
                </c:pt>
                <c:pt idx="435">
                  <c:v>7.8203797971010403E-3</c:v>
                </c:pt>
                <c:pt idx="436">
                  <c:v>7.8203797971010403E-3</c:v>
                </c:pt>
                <c:pt idx="437">
                  <c:v>7.820549682620026E-3</c:v>
                </c:pt>
                <c:pt idx="438">
                  <c:v>8.1481109071912527E-3</c:v>
                </c:pt>
                <c:pt idx="439">
                  <c:v>8.1481109071912527E-3</c:v>
                </c:pt>
                <c:pt idx="440">
                  <c:v>8.1481109071912527E-3</c:v>
                </c:pt>
                <c:pt idx="441">
                  <c:v>8.1481109071113167E-3</c:v>
                </c:pt>
                <c:pt idx="442">
                  <c:v>8.1482953299882865E-3</c:v>
                </c:pt>
                <c:pt idx="443">
                  <c:v>8.1481109071113167E-3</c:v>
                </c:pt>
                <c:pt idx="444">
                  <c:v>8.1481109071912527E-3</c:v>
                </c:pt>
                <c:pt idx="445">
                  <c:v>8.1481109071113167E-3</c:v>
                </c:pt>
                <c:pt idx="446">
                  <c:v>8.1481109071912527E-3</c:v>
                </c:pt>
                <c:pt idx="447">
                  <c:v>8.1482953299882865E-3</c:v>
                </c:pt>
                <c:pt idx="448">
                  <c:v>8.1481109071113167E-3</c:v>
                </c:pt>
                <c:pt idx="449">
                  <c:v>8.1481109071912527E-3</c:v>
                </c:pt>
                <c:pt idx="450">
                  <c:v>8.1481109071912527E-3</c:v>
                </c:pt>
                <c:pt idx="451">
                  <c:v>8.1481109071113167E-3</c:v>
                </c:pt>
                <c:pt idx="452">
                  <c:v>8.1482953299882865E-3</c:v>
                </c:pt>
                <c:pt idx="453">
                  <c:v>8.1481109071912527E-3</c:v>
                </c:pt>
                <c:pt idx="454">
                  <c:v>8.1481109071912527E-3</c:v>
                </c:pt>
                <c:pt idx="455">
                  <c:v>8.1481109071912527E-3</c:v>
                </c:pt>
                <c:pt idx="456">
                  <c:v>8.1481109071912527E-3</c:v>
                </c:pt>
                <c:pt idx="457">
                  <c:v>8.1482953299616412E-3</c:v>
                </c:pt>
                <c:pt idx="458">
                  <c:v>8.1481109071912527E-3</c:v>
                </c:pt>
                <c:pt idx="459">
                  <c:v>8.1481109071912527E-3</c:v>
                </c:pt>
                <c:pt idx="460">
                  <c:v>8.1481109071912527E-3</c:v>
                </c:pt>
                <c:pt idx="461">
                  <c:v>8.1481109071912527E-3</c:v>
                </c:pt>
                <c:pt idx="462">
                  <c:v>8.1482953299616412E-3</c:v>
                </c:pt>
                <c:pt idx="463">
                  <c:v>8.1481109071912527E-3</c:v>
                </c:pt>
                <c:pt idx="464">
                  <c:v>8.1481109071113167E-3</c:v>
                </c:pt>
                <c:pt idx="465">
                  <c:v>8.1481109071113167E-3</c:v>
                </c:pt>
                <c:pt idx="466">
                  <c:v>8.1481109071912527E-3</c:v>
                </c:pt>
                <c:pt idx="467">
                  <c:v>8.1483875434651409E-3</c:v>
                </c:pt>
                <c:pt idx="468">
                  <c:v>8.1481109071113167E-3</c:v>
                </c:pt>
                <c:pt idx="469">
                  <c:v>8.1481109071912527E-3</c:v>
                </c:pt>
                <c:pt idx="470">
                  <c:v>8.1481109071912527E-3</c:v>
                </c:pt>
                <c:pt idx="471">
                  <c:v>8.1482953299616412E-3</c:v>
                </c:pt>
                <c:pt idx="472">
                  <c:v>8.1481109071912527E-3</c:v>
                </c:pt>
                <c:pt idx="473">
                  <c:v>8.1481109071912527E-3</c:v>
                </c:pt>
                <c:pt idx="474">
                  <c:v>8.1481109071113167E-3</c:v>
                </c:pt>
                <c:pt idx="475">
                  <c:v>8.1481109071912527E-3</c:v>
                </c:pt>
                <c:pt idx="476">
                  <c:v>8.1482953299882865E-3</c:v>
                </c:pt>
                <c:pt idx="477">
                  <c:v>8.1481109071113167E-3</c:v>
                </c:pt>
                <c:pt idx="478">
                  <c:v>8.1481109071912527E-3</c:v>
                </c:pt>
                <c:pt idx="479">
                  <c:v>8.1481109071113167E-3</c:v>
                </c:pt>
                <c:pt idx="480">
                  <c:v>8.1481109071912527E-3</c:v>
                </c:pt>
                <c:pt idx="481">
                  <c:v>8.1482953299616412E-3</c:v>
                </c:pt>
                <c:pt idx="482">
                  <c:v>8.1481109071113167E-3</c:v>
                </c:pt>
                <c:pt idx="483">
                  <c:v>8.1481109071912527E-3</c:v>
                </c:pt>
                <c:pt idx="484">
                  <c:v>8.1481109071912527E-3</c:v>
                </c:pt>
                <c:pt idx="485">
                  <c:v>8.1481109071113167E-3</c:v>
                </c:pt>
                <c:pt idx="486">
                  <c:v>8.1482953299616412E-3</c:v>
                </c:pt>
                <c:pt idx="487">
                  <c:v>8.1481109071912527E-3</c:v>
                </c:pt>
                <c:pt idx="488">
                  <c:v>8.1481109071912527E-3</c:v>
                </c:pt>
                <c:pt idx="489">
                  <c:v>8.1481109071912527E-3</c:v>
                </c:pt>
                <c:pt idx="490">
                  <c:v>8.1481109071912527E-3</c:v>
                </c:pt>
                <c:pt idx="491">
                  <c:v>8.1483875434651409E-3</c:v>
                </c:pt>
                <c:pt idx="492">
                  <c:v>8.1481109071912527E-3</c:v>
                </c:pt>
                <c:pt idx="493">
                  <c:v>8.1481109071912527E-3</c:v>
                </c:pt>
                <c:pt idx="494">
                  <c:v>8.1481109071113167E-3</c:v>
                </c:pt>
                <c:pt idx="495">
                  <c:v>8.1482953299882865E-3</c:v>
                </c:pt>
                <c:pt idx="496">
                  <c:v>8.1481109071113167E-3</c:v>
                </c:pt>
                <c:pt idx="497">
                  <c:v>8.1481109071912527E-3</c:v>
                </c:pt>
                <c:pt idx="498">
                  <c:v>8.1481109071113167E-3</c:v>
                </c:pt>
                <c:pt idx="499">
                  <c:v>8.1481109071113167E-3</c:v>
                </c:pt>
                <c:pt idx="500">
                  <c:v>8.1482953299882865E-3</c:v>
                </c:pt>
                <c:pt idx="501">
                  <c:v>8.1481109071113167E-3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70240"/>
        <c:axId val="73372032"/>
      </c:lineChart>
      <c:dateAx>
        <c:axId val="733702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3372032"/>
        <c:crosses val="autoZero"/>
        <c:auto val="1"/>
        <c:lblOffset val="100"/>
        <c:baseTimeUnit val="days"/>
      </c:dateAx>
      <c:valAx>
        <c:axId val="7337203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73370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104775</xdr:rowOff>
    </xdr:from>
    <xdr:to>
      <xdr:col>12</xdr:col>
      <xdr:colOff>133350</xdr:colOff>
      <xdr:row>43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132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3W</v>
          </cell>
        </row>
      </sheetData>
      <sheetData sheetId="8">
        <row r="7">
          <cell r="D7" t="str">
            <v>Z6</v>
          </cell>
        </row>
      </sheetData>
      <sheetData sheetId="9">
        <row r="7">
          <cell r="D7" t="str">
            <v>1L</v>
          </cell>
        </row>
      </sheetData>
      <sheetData sheetId="10">
        <row r="7">
          <cell r="D7" t="str">
            <v>3L</v>
          </cell>
        </row>
      </sheetData>
      <sheetData sheetId="11">
        <row r="7">
          <cell r="D7">
            <v>12</v>
          </cell>
        </row>
      </sheetData>
      <sheetData sheetId="12">
        <row r="7">
          <cell r="D7" t="str">
            <v>1L</v>
          </cell>
        </row>
      </sheetData>
      <sheetData sheetId="13">
        <row r="7">
          <cell r="D7" t="str">
            <v>3L</v>
          </cell>
        </row>
      </sheetData>
      <sheetData sheetId="14">
        <row r="7">
          <cell r="D7" t="str">
            <v>3L</v>
          </cell>
        </row>
      </sheetData>
      <sheetData sheetId="15">
        <row r="7">
          <cell r="D7" t="str">
            <v>Quote ID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tabSelected="1" workbookViewId="0">
      <selection activeCell="I7" sqref="I7"/>
    </sheetView>
  </sheetViews>
  <sheetFormatPr defaultColWidth="7.140625" defaultRowHeight="11.25" x14ac:dyDescent="0.2"/>
  <cols>
    <col min="1" max="2" width="2.7109375" style="39" customWidth="1"/>
    <col min="3" max="3" width="20.28515625" style="39" bestFit="1" customWidth="1"/>
    <col min="4" max="4" width="27.5703125" style="39" bestFit="1" customWidth="1"/>
    <col min="5" max="7" width="2.7109375" style="39" customWidth="1"/>
    <col min="8" max="8" width="23.42578125" style="39" bestFit="1" customWidth="1"/>
    <col min="9" max="9" width="20.7109375" style="39" customWidth="1"/>
    <col min="10" max="12" width="2.7109375" style="39" customWidth="1"/>
    <col min="13" max="16384" width="7.140625" style="39"/>
  </cols>
  <sheetData>
    <row r="1" spans="2:10" x14ac:dyDescent="0.2">
      <c r="B1" s="39" t="str">
        <f>_xll.qlxlVersion(TRUE,EvaluationDate)</f>
        <v>QuantLibXL 1.9.0 - MS VC++ (version unknown) - Multithreaded Dynamic Runtime library - Release Configuration - Sep  1 2016 11:51:03</v>
      </c>
    </row>
    <row r="2" spans="2:10" ht="18.75" x14ac:dyDescent="0.2">
      <c r="B2" s="41" t="s">
        <v>6</v>
      </c>
      <c r="C2" s="41"/>
      <c r="D2" s="41"/>
      <c r="E2" s="42"/>
      <c r="G2" s="41" t="s">
        <v>81</v>
      </c>
      <c r="H2" s="41"/>
      <c r="I2" s="41"/>
      <c r="J2" s="42"/>
    </row>
    <row r="3" spans="2:10" x14ac:dyDescent="0.2">
      <c r="B3" s="1"/>
      <c r="C3" s="2"/>
      <c r="D3" s="3"/>
      <c r="E3" s="4"/>
      <c r="G3" s="52"/>
      <c r="H3" s="53"/>
      <c r="I3" s="53"/>
      <c r="J3" s="54"/>
    </row>
    <row r="4" spans="2:10" x14ac:dyDescent="0.2">
      <c r="B4" s="1"/>
      <c r="C4" s="43" t="s">
        <v>5</v>
      </c>
      <c r="D4" s="5" t="s">
        <v>93</v>
      </c>
      <c r="E4" s="4"/>
      <c r="G4" s="52"/>
      <c r="H4" s="58" t="s">
        <v>52</v>
      </c>
      <c r="I4" s="55">
        <f>_xll.qlSettingsEvaluationDate(Trigger)</f>
        <v>42662</v>
      </c>
      <c r="J4" s="54"/>
    </row>
    <row r="5" spans="2:10" x14ac:dyDescent="0.2">
      <c r="B5" s="1"/>
      <c r="C5" s="44" t="s">
        <v>19</v>
      </c>
      <c r="D5" s="6" t="s">
        <v>107</v>
      </c>
      <c r="E5" s="4"/>
      <c r="G5" s="52"/>
      <c r="H5" s="46" t="s">
        <v>40</v>
      </c>
      <c r="I5" s="29">
        <f>_xll.qlCalendarAdvance(Calendar,EvaluationDate,"2d","f",,Trigger)</f>
        <v>42664</v>
      </c>
      <c r="J5" s="54"/>
    </row>
    <row r="6" spans="2:10" x14ac:dyDescent="0.2">
      <c r="B6" s="30"/>
      <c r="C6" s="144" t="s">
        <v>55</v>
      </c>
      <c r="D6" s="145" t="str">
        <f>Currency&amp;IborType</f>
        <v>USDFedFunds</v>
      </c>
      <c r="E6" s="9"/>
      <c r="G6" s="64"/>
      <c r="H6" s="60"/>
      <c r="I6" s="60"/>
      <c r="J6" s="65"/>
    </row>
    <row r="7" spans="2:10" x14ac:dyDescent="0.2">
      <c r="B7" s="30"/>
      <c r="C7" s="66" t="s">
        <v>90</v>
      </c>
      <c r="D7" s="67" t="s">
        <v>92</v>
      </c>
      <c r="E7" s="9"/>
      <c r="G7" s="52"/>
      <c r="H7" s="58" t="s">
        <v>57</v>
      </c>
      <c r="I7" s="57"/>
      <c r="J7" s="54"/>
    </row>
    <row r="8" spans="2:10" x14ac:dyDescent="0.2">
      <c r="B8" s="1"/>
      <c r="C8" s="10"/>
      <c r="D8" s="10"/>
      <c r="E8" s="32"/>
      <c r="G8" s="52"/>
      <c r="H8" s="59" t="s">
        <v>53</v>
      </c>
      <c r="I8" s="56">
        <f>[1]!TriggerCounter</f>
        <v>132</v>
      </c>
      <c r="J8" s="54"/>
    </row>
    <row r="9" spans="2:10" x14ac:dyDescent="0.2">
      <c r="B9" s="1"/>
      <c r="C9" s="47" t="s">
        <v>11</v>
      </c>
      <c r="D9" s="50" t="str">
        <f>_xll.qlPiecewiseYieldCurve(,NDays,Calendar,_xll.ohPack(Calculation!A5:A129),DayCounter,,,Accuracy,TraitsID,InterpolatorID)</f>
        <v>obj_00229#0001</v>
      </c>
      <c r="E9" s="4"/>
      <c r="G9" s="1"/>
      <c r="H9" s="45" t="s">
        <v>54</v>
      </c>
      <c r="I9" s="27">
        <f>_xll.ohTrigger(Contribution!M1)</f>
        <v>245</v>
      </c>
      <c r="J9" s="4"/>
    </row>
    <row r="10" spans="2:10" x14ac:dyDescent="0.2">
      <c r="B10" s="1"/>
      <c r="C10" s="48" t="s">
        <v>12</v>
      </c>
      <c r="D10" s="51"/>
      <c r="E10" s="4"/>
      <c r="G10" s="62"/>
      <c r="H10" s="61"/>
      <c r="I10" s="61"/>
      <c r="J10" s="63"/>
    </row>
    <row r="11" spans="2:10" x14ac:dyDescent="0.2">
      <c r="B11" s="1"/>
      <c r="C11" s="49" t="s">
        <v>8</v>
      </c>
      <c r="D11" s="11">
        <v>2</v>
      </c>
      <c r="E11" s="4"/>
    </row>
    <row r="12" spans="2:10" ht="18.75" x14ac:dyDescent="0.2">
      <c r="B12" s="1"/>
      <c r="C12" s="49" t="s">
        <v>4</v>
      </c>
      <c r="D12" s="12" t="s">
        <v>102</v>
      </c>
      <c r="E12" s="4"/>
      <c r="G12" s="41" t="s">
        <v>89</v>
      </c>
      <c r="H12" s="41"/>
      <c r="I12" s="41"/>
      <c r="J12" s="42"/>
    </row>
    <row r="13" spans="2:10" x14ac:dyDescent="0.2">
      <c r="B13" s="1"/>
      <c r="C13" s="49" t="s">
        <v>7</v>
      </c>
      <c r="D13" s="12" t="s">
        <v>39</v>
      </c>
      <c r="E13" s="4"/>
      <c r="G13" s="1"/>
      <c r="H13" s="10"/>
      <c r="I13" s="10"/>
      <c r="J13" s="32"/>
    </row>
    <row r="14" spans="2:10" x14ac:dyDescent="0.2">
      <c r="B14" s="1"/>
      <c r="C14" s="49" t="s">
        <v>13</v>
      </c>
      <c r="D14" s="13" t="e">
        <f>NA()</f>
        <v>#N/A</v>
      </c>
      <c r="E14" s="4"/>
      <c r="G14" s="1"/>
      <c r="H14" s="47" t="s">
        <v>11</v>
      </c>
      <c r="I14" s="50" t="str">
        <f>_xll.qlPiecewiseYieldCurve(,NDays,Calendar,_xll.ohPack(Calculation!A5:A129),DayCounter,JumpQuotes,JumpDates,Accuracy,TraitsID,InterpolatorID)</f>
        <v>obj_00230#0247</v>
      </c>
      <c r="J14" s="4"/>
    </row>
    <row r="15" spans="2:10" x14ac:dyDescent="0.2">
      <c r="B15" s="1"/>
      <c r="C15" s="49" t="s">
        <v>9</v>
      </c>
      <c r="D15" s="14" t="s">
        <v>37</v>
      </c>
      <c r="E15" s="4"/>
      <c r="G15" s="1"/>
      <c r="H15" s="48" t="s">
        <v>12</v>
      </c>
      <c r="I15" s="51"/>
      <c r="J15" s="4"/>
    </row>
    <row r="16" spans="2:10" x14ac:dyDescent="0.2">
      <c r="B16" s="1"/>
      <c r="C16" s="48" t="s">
        <v>10</v>
      </c>
      <c r="D16" s="15" t="s">
        <v>38</v>
      </c>
      <c r="E16" s="4"/>
      <c r="G16" s="1"/>
      <c r="H16" s="142" t="s">
        <v>88</v>
      </c>
      <c r="I16" s="143" t="str">
        <f>_xll.qlOvernightIndex(,IborType,0,Currency,Calendar,DayCounter,+I14)</f>
        <v>obj_00231#0246</v>
      </c>
      <c r="J16" s="4"/>
    </row>
    <row r="17" spans="1:10" x14ac:dyDescent="0.2">
      <c r="B17" s="30"/>
      <c r="C17" s="7"/>
      <c r="D17" s="8"/>
      <c r="E17" s="9"/>
      <c r="G17" s="30"/>
      <c r="H17" s="7"/>
      <c r="I17" s="8"/>
      <c r="J17" s="9"/>
    </row>
    <row r="18" spans="1:10" x14ac:dyDescent="0.2">
      <c r="B18" s="30"/>
      <c r="C18" s="16">
        <f>_xll.qlTermStructureReferenceDate(YieldCurve)</f>
        <v>42664</v>
      </c>
      <c r="D18" s="68">
        <f>_xll.qlYieldTSDiscount(YieldCurve,C18,,Trigger)</f>
        <v>1</v>
      </c>
      <c r="E18" s="9"/>
      <c r="G18" s="30"/>
      <c r="H18" s="16">
        <f>_xll.qlTermStructureReferenceDate(YieldCurve)</f>
        <v>42664</v>
      </c>
      <c r="I18" s="68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43395</v>
      </c>
      <c r="D19" s="69">
        <f>_xll.qlYieldTSDiscount(YieldCurve,C19,,Trigger)</f>
        <v>0.98636747380118761</v>
      </c>
      <c r="E19" s="9"/>
      <c r="G19" s="1"/>
      <c r="H19" s="20">
        <f>MAX(_xll.ohPack(Calculation!D4:D151))</f>
        <v>43395</v>
      </c>
      <c r="I19" s="69">
        <f>_xll.qlYieldTSDiscount($I$14,H19,,Trigger)</f>
        <v>0.98636747380118761</v>
      </c>
      <c r="J19" s="9"/>
    </row>
    <row r="20" spans="1:10" x14ac:dyDescent="0.2">
      <c r="B20" s="1"/>
      <c r="C20" s="60"/>
      <c r="D20" s="60"/>
      <c r="E20" s="9"/>
      <c r="G20" s="141"/>
      <c r="H20" s="61"/>
      <c r="I20" s="61"/>
      <c r="J20" s="26"/>
    </row>
    <row r="21" spans="1:10" x14ac:dyDescent="0.2">
      <c r="B21" s="30"/>
      <c r="C21" s="46" t="s">
        <v>44</v>
      </c>
      <c r="D21" s="28" t="s">
        <v>56</v>
      </c>
      <c r="E21" s="9"/>
    </row>
    <row r="22" spans="1:10" x14ac:dyDescent="0.2">
      <c r="B22" s="30"/>
      <c r="C22" s="22"/>
      <c r="D22" s="22"/>
      <c r="E22" s="9"/>
    </row>
    <row r="23" spans="1:10" x14ac:dyDescent="0.2">
      <c r="B23" s="30"/>
      <c r="C23" s="23" t="s">
        <v>49</v>
      </c>
      <c r="D23" s="24">
        <v>42551.719560185185</v>
      </c>
      <c r="E23" s="9"/>
    </row>
    <row r="24" spans="1:10" x14ac:dyDescent="0.2">
      <c r="A24" s="40"/>
      <c r="B24" s="30"/>
      <c r="C24" s="23" t="s">
        <v>48</v>
      </c>
      <c r="D24" s="70" t="s">
        <v>106</v>
      </c>
      <c r="E24" s="9"/>
    </row>
    <row r="25" spans="1:10" x14ac:dyDescent="0.2">
      <c r="A25" s="40"/>
      <c r="B25" s="31"/>
      <c r="C25" s="25"/>
      <c r="D25" s="25"/>
      <c r="E25" s="26"/>
    </row>
    <row r="26" spans="1:10" x14ac:dyDescent="0.2">
      <c r="A26" s="40"/>
    </row>
    <row r="27" spans="1:10" x14ac:dyDescent="0.2">
      <c r="A27" s="40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6"/>
  <sheetViews>
    <sheetView showGridLines="0" workbookViewId="0"/>
  </sheetViews>
  <sheetFormatPr defaultRowHeight="11.25" outlineLevelCol="1" x14ac:dyDescent="0.2"/>
  <cols>
    <col min="1" max="2" width="9.140625" style="74"/>
    <col min="3" max="3" width="21.42578125" style="74" bestFit="1" customWidth="1"/>
    <col min="4" max="4" width="26.5703125" style="74" bestFit="1" customWidth="1"/>
    <col min="5" max="5" width="8" style="79" bestFit="1" customWidth="1"/>
    <col min="6" max="6" width="9.85546875" style="79" customWidth="1"/>
    <col min="7" max="7" width="9" style="79" customWidth="1"/>
    <col min="8" max="9" width="17.28515625" style="79" bestFit="1" customWidth="1"/>
    <col min="10" max="10" width="2.7109375" style="74" bestFit="1" customWidth="1"/>
    <col min="11" max="11" width="9.140625" style="74"/>
    <col min="12" max="12" width="9.140625" style="74" hidden="1" customWidth="1" outlineLevel="1"/>
    <col min="13" max="13" width="9.140625" style="74" collapsed="1"/>
    <col min="14" max="16384" width="9.140625" style="74"/>
  </cols>
  <sheetData>
    <row r="1" spans="1:12" ht="22.5" x14ac:dyDescent="0.2">
      <c r="A1" s="157" t="s">
        <v>91</v>
      </c>
      <c r="B1" s="146"/>
      <c r="C1" s="147" t="s">
        <v>50</v>
      </c>
      <c r="D1" s="147" t="s">
        <v>51</v>
      </c>
      <c r="E1" s="147" t="s">
        <v>2</v>
      </c>
      <c r="F1" s="147" t="s">
        <v>3</v>
      </c>
      <c r="G1" s="147" t="s">
        <v>20</v>
      </c>
      <c r="H1" s="147" t="s">
        <v>0</v>
      </c>
      <c r="I1" s="147" t="s">
        <v>1</v>
      </c>
      <c r="L1" s="74" t="str">
        <f>_xll.qlOvernightIndex(,,2,Currency,Calendar,DayCounter,,,Trigger)</f>
        <v>obj_001fe#0002</v>
      </c>
    </row>
    <row r="2" spans="1:12" x14ac:dyDescent="0.2">
      <c r="A2" s="154" t="s">
        <v>105</v>
      </c>
      <c r="B2" s="156" t="s">
        <v>36</v>
      </c>
      <c r="C2" s="149" t="str">
        <f>Currency&amp;A2&amp;"D"&amp;QuoteSuffix</f>
        <v>USDSND_Quote</v>
      </c>
      <c r="D2" s="160" t="str">
        <f>_xll.qlDepositRateHelper(,C2,RateHelpers!L1,TRUE,Trigger,FALSE)</f>
        <v>obj_001ff#0002</v>
      </c>
      <c r="E2" s="161" t="b">
        <v>0</v>
      </c>
      <c r="F2" s="161">
        <v>1</v>
      </c>
      <c r="G2" s="161">
        <v>1</v>
      </c>
      <c r="H2" s="162">
        <f>_xll.qlRateHelperEarliestDate($D2)</f>
        <v>42664</v>
      </c>
      <c r="I2" s="151">
        <f>_xll.qlRateHelperPillarDate($D2)</f>
        <v>42667</v>
      </c>
    </row>
    <row r="3" spans="1:12" ht="11.25" customHeight="1" x14ac:dyDescent="0.2">
      <c r="A3" s="155" t="s">
        <v>35</v>
      </c>
      <c r="B3" s="158" t="s">
        <v>36</v>
      </c>
      <c r="C3" s="150" t="str">
        <f t="shared" ref="C3:C29" si="0">Currency&amp;B3&amp;A3&amp;QuoteSuffix</f>
        <v>USDOISSW_Quote</v>
      </c>
      <c r="D3" s="163" t="str">
        <f>_xll.qlOISRateHelper(,2,"1W",C3,OvernightIndex,,TRUE,Trigger,FALSE)</f>
        <v>obj_00206#0002</v>
      </c>
      <c r="E3" s="164" t="b">
        <v>1</v>
      </c>
      <c r="F3" s="164">
        <v>1</v>
      </c>
      <c r="G3" s="164">
        <v>1</v>
      </c>
      <c r="H3" s="165">
        <f>_xll.qlRateHelperEarliestDate($D3)</f>
        <v>42664</v>
      </c>
      <c r="I3" s="148">
        <f>_xll.qlRateHelperPillarDate($D3)</f>
        <v>42671</v>
      </c>
      <c r="J3" s="75"/>
    </row>
    <row r="4" spans="1:12" x14ac:dyDescent="0.2">
      <c r="A4" s="155" t="s">
        <v>22</v>
      </c>
      <c r="B4" s="158" t="s">
        <v>36</v>
      </c>
      <c r="C4" s="150" t="str">
        <f t="shared" si="0"/>
        <v>USDOIS2W_Quote</v>
      </c>
      <c r="D4" s="163" t="str">
        <f>_xll.qlOISRateHelper(,2,A4,C4,OvernightIndex,,TRUE,Trigger,FALSE)</f>
        <v>obj_0020e#0002</v>
      </c>
      <c r="E4" s="164" t="b">
        <v>1</v>
      </c>
      <c r="F4" s="164">
        <v>1</v>
      </c>
      <c r="G4" s="164">
        <v>1</v>
      </c>
      <c r="H4" s="165">
        <f>_xll.qlRateHelperEarliestDate($D4)</f>
        <v>42664</v>
      </c>
      <c r="I4" s="148">
        <f>_xll.qlRateHelperPillarDate($D4)</f>
        <v>42678</v>
      </c>
      <c r="J4" s="76"/>
    </row>
    <row r="5" spans="1:12" x14ac:dyDescent="0.2">
      <c r="A5" s="155" t="s">
        <v>23</v>
      </c>
      <c r="B5" s="158" t="s">
        <v>36</v>
      </c>
      <c r="C5" s="150" t="str">
        <f t="shared" si="0"/>
        <v>USDOIS3W_Quote</v>
      </c>
      <c r="D5" s="163" t="str">
        <f>_xll.qlOISRateHelper(,2,A5,C5,OvernightIndex,,TRUE,Trigger,FALSE)</f>
        <v>obj_00204#0002</v>
      </c>
      <c r="E5" s="164" t="b">
        <v>1</v>
      </c>
      <c r="F5" s="164">
        <v>1</v>
      </c>
      <c r="G5" s="164">
        <v>1</v>
      </c>
      <c r="H5" s="165">
        <f>_xll.qlRateHelperEarliestDate($D5)</f>
        <v>42664</v>
      </c>
      <c r="I5" s="148">
        <f>_xll.qlRateHelperPillarDate($D5)</f>
        <v>42688</v>
      </c>
    </row>
    <row r="6" spans="1:12" x14ac:dyDescent="0.2">
      <c r="A6" s="155" t="s">
        <v>24</v>
      </c>
      <c r="B6" s="158" t="s">
        <v>36</v>
      </c>
      <c r="C6" s="150" t="str">
        <f t="shared" si="0"/>
        <v>USDOIS1M_Quote</v>
      </c>
      <c r="D6" s="163" t="str">
        <f>_xll.qlOISRateHelper(,2,A6,C6,OvernightIndex,,TRUE,Trigger,FALSE)</f>
        <v>obj_00210#0002</v>
      </c>
      <c r="E6" s="164" t="b">
        <f t="shared" ref="E6:E12" si="1">IF(ISERROR(D6),FALSE,TRUE)</f>
        <v>1</v>
      </c>
      <c r="F6" s="164">
        <v>1</v>
      </c>
      <c r="G6" s="164">
        <v>1</v>
      </c>
      <c r="H6" s="165">
        <f>_xll.qlRateHelperEarliestDate($D6)</f>
        <v>42664</v>
      </c>
      <c r="I6" s="148">
        <f>_xll.qlRateHelperPillarDate($D6)</f>
        <v>42695</v>
      </c>
    </row>
    <row r="7" spans="1:12" x14ac:dyDescent="0.2">
      <c r="A7" s="155" t="s">
        <v>25</v>
      </c>
      <c r="B7" s="158" t="s">
        <v>36</v>
      </c>
      <c r="C7" s="150" t="str">
        <f t="shared" si="0"/>
        <v>USDOIS2M_Quote</v>
      </c>
      <c r="D7" s="163" t="str">
        <f>_xll.qlOISRateHelper(,2,A7,C7,OvernightIndex,,TRUE,Trigger,FALSE)</f>
        <v>obj_00207#0002</v>
      </c>
      <c r="E7" s="164" t="b">
        <f t="shared" si="1"/>
        <v>1</v>
      </c>
      <c r="F7" s="164">
        <v>1</v>
      </c>
      <c r="G7" s="164">
        <v>1</v>
      </c>
      <c r="H7" s="165">
        <f>_xll.qlRateHelperEarliestDate($D7)</f>
        <v>42664</v>
      </c>
      <c r="I7" s="148">
        <f>_xll.qlRateHelperPillarDate($D7)</f>
        <v>42725</v>
      </c>
    </row>
    <row r="8" spans="1:12" x14ac:dyDescent="0.2">
      <c r="A8" s="155" t="s">
        <v>26</v>
      </c>
      <c r="B8" s="158" t="s">
        <v>36</v>
      </c>
      <c r="C8" s="150" t="str">
        <f t="shared" si="0"/>
        <v>USDOIS3M_Quote</v>
      </c>
      <c r="D8" s="163" t="str">
        <f>_xll.qlOISRateHelper(,2,A8,C8,OvernightIndex,,TRUE,Trigger,FALSE)</f>
        <v>obj_00203#0002</v>
      </c>
      <c r="E8" s="164" t="b">
        <f t="shared" si="1"/>
        <v>1</v>
      </c>
      <c r="F8" s="164">
        <v>1</v>
      </c>
      <c r="G8" s="164">
        <v>1</v>
      </c>
      <c r="H8" s="165">
        <f>_xll.qlRateHelperEarliestDate($D8)</f>
        <v>42664</v>
      </c>
      <c r="I8" s="148">
        <f>_xll.qlRateHelperPillarDate($D8)</f>
        <v>42758</v>
      </c>
    </row>
    <row r="9" spans="1:12" x14ac:dyDescent="0.2">
      <c r="A9" s="155" t="s">
        <v>27</v>
      </c>
      <c r="B9" s="158" t="s">
        <v>36</v>
      </c>
      <c r="C9" s="150" t="str">
        <f t="shared" si="0"/>
        <v>USDOIS4M_Quote</v>
      </c>
      <c r="D9" s="163" t="str">
        <f>_xll.qlOISRateHelper(,2,A9,C9,OvernightIndex,,TRUE,Trigger,FALSE)</f>
        <v>obj_0021b#0001</v>
      </c>
      <c r="E9" s="164" t="b">
        <f t="shared" si="1"/>
        <v>1</v>
      </c>
      <c r="F9" s="164">
        <v>1</v>
      </c>
      <c r="G9" s="164">
        <v>1</v>
      </c>
      <c r="H9" s="165">
        <f>_xll.qlRateHelperEarliestDate($D9)</f>
        <v>42664</v>
      </c>
      <c r="I9" s="148">
        <f>_xll.qlRateHelperPillarDate($D9)</f>
        <v>42787</v>
      </c>
    </row>
    <row r="10" spans="1:12" x14ac:dyDescent="0.2">
      <c r="A10" s="155" t="s">
        <v>28</v>
      </c>
      <c r="B10" s="158" t="s">
        <v>36</v>
      </c>
      <c r="C10" s="150" t="str">
        <f t="shared" si="0"/>
        <v>USDOIS5M_Quote</v>
      </c>
      <c r="D10" s="163" t="str">
        <f>_xll.qlOISRateHelper(,2,A10,C10,OvernightIndex,,TRUE,Trigger,FALSE)</f>
        <v>obj_0021a#0001</v>
      </c>
      <c r="E10" s="164" t="b">
        <f t="shared" si="1"/>
        <v>1</v>
      </c>
      <c r="F10" s="164">
        <v>1</v>
      </c>
      <c r="G10" s="164">
        <v>1</v>
      </c>
      <c r="H10" s="165">
        <f>_xll.qlRateHelperEarliestDate($D10)</f>
        <v>42664</v>
      </c>
      <c r="I10" s="148">
        <f>_xll.qlRateHelperPillarDate($D10)</f>
        <v>42815</v>
      </c>
    </row>
    <row r="11" spans="1:12" x14ac:dyDescent="0.2">
      <c r="A11" s="155" t="s">
        <v>29</v>
      </c>
      <c r="B11" s="158" t="s">
        <v>36</v>
      </c>
      <c r="C11" s="150" t="str">
        <f t="shared" si="0"/>
        <v>USDOIS6M_Quote</v>
      </c>
      <c r="D11" s="163" t="str">
        <f>_xll.qlOISRateHelper(,2,A11,C11,OvernightIndex,,TRUE,Trigger,FALSE)</f>
        <v>obj_0020f#0002</v>
      </c>
      <c r="E11" s="164" t="b">
        <f t="shared" si="1"/>
        <v>1</v>
      </c>
      <c r="F11" s="164">
        <v>1</v>
      </c>
      <c r="G11" s="164">
        <v>1</v>
      </c>
      <c r="H11" s="165">
        <f>_xll.qlRateHelperEarliestDate($D11)</f>
        <v>42664</v>
      </c>
      <c r="I11" s="148">
        <f>_xll.qlRateHelperPillarDate($D11)</f>
        <v>42846</v>
      </c>
    </row>
    <row r="12" spans="1:12" x14ac:dyDescent="0.2">
      <c r="A12" s="155" t="s">
        <v>30</v>
      </c>
      <c r="B12" s="158" t="s">
        <v>36</v>
      </c>
      <c r="C12" s="150" t="str">
        <f t="shared" si="0"/>
        <v>USDOIS7M_Quote</v>
      </c>
      <c r="D12" s="163" t="str">
        <f>_xll.qlOISRateHelper(,2,A12,C12,OvernightIndex,,TRUE,Trigger,FALSE)</f>
        <v>obj_0020b#0002</v>
      </c>
      <c r="E12" s="164" t="b">
        <f t="shared" si="1"/>
        <v>1</v>
      </c>
      <c r="F12" s="164">
        <v>1</v>
      </c>
      <c r="G12" s="164">
        <v>1</v>
      </c>
      <c r="H12" s="165">
        <f>_xll.qlRateHelperEarliestDate($D12)</f>
        <v>42664</v>
      </c>
      <c r="I12" s="148">
        <f>_xll.qlRateHelperPillarDate($D12)</f>
        <v>42877</v>
      </c>
    </row>
    <row r="13" spans="1:12" ht="11.25" customHeight="1" x14ac:dyDescent="0.2">
      <c r="A13" s="155" t="s">
        <v>31</v>
      </c>
      <c r="B13" s="158" t="s">
        <v>36</v>
      </c>
      <c r="C13" s="150" t="str">
        <f t="shared" si="0"/>
        <v>USDOIS8M_Quote</v>
      </c>
      <c r="D13" s="163" t="str">
        <f>_xll.qlOISRateHelper(,2,A13,C13,OvernightIndex,,TRUE,Trigger,FALSE)</f>
        <v>obj_00214#0001</v>
      </c>
      <c r="E13" s="164" t="b">
        <v>1</v>
      </c>
      <c r="F13" s="164">
        <v>1</v>
      </c>
      <c r="G13" s="164">
        <v>1</v>
      </c>
      <c r="H13" s="165">
        <f>_xll.qlRateHelperEarliestDate($D13)</f>
        <v>42664</v>
      </c>
      <c r="I13" s="148">
        <f>_xll.qlRateHelperPillarDate($D13)</f>
        <v>42907</v>
      </c>
    </row>
    <row r="14" spans="1:12" ht="11.25" customHeight="1" x14ac:dyDescent="0.2">
      <c r="A14" s="155" t="s">
        <v>32</v>
      </c>
      <c r="B14" s="158" t="s">
        <v>36</v>
      </c>
      <c r="C14" s="150" t="str">
        <f t="shared" si="0"/>
        <v>USDOIS9M_Quote</v>
      </c>
      <c r="D14" s="163" t="str">
        <f>_xll.qlOISRateHelper(,2,A14,C14,OvernightIndex,,TRUE,Trigger,FALSE)</f>
        <v>obj_00205#0002</v>
      </c>
      <c r="E14" s="164" t="b">
        <v>1</v>
      </c>
      <c r="F14" s="164">
        <v>1</v>
      </c>
      <c r="G14" s="164">
        <v>1</v>
      </c>
      <c r="H14" s="165">
        <f>_xll.qlRateHelperEarliestDate($D14)</f>
        <v>42664</v>
      </c>
      <c r="I14" s="148">
        <f>_xll.qlRateHelperPillarDate($D14)</f>
        <v>42937</v>
      </c>
    </row>
    <row r="15" spans="1:12" ht="11.25" customHeight="1" x14ac:dyDescent="0.2">
      <c r="A15" s="155" t="s">
        <v>33</v>
      </c>
      <c r="B15" s="158" t="s">
        <v>36</v>
      </c>
      <c r="C15" s="150" t="str">
        <f t="shared" si="0"/>
        <v>USDOIS10M_Quote</v>
      </c>
      <c r="D15" s="163" t="str">
        <f>_xll.qlOISRateHelper(,2,A15,C15,OvernightIndex,,TRUE,Trigger,FALSE)</f>
        <v>obj_00213#0002</v>
      </c>
      <c r="E15" s="164" t="b">
        <v>1</v>
      </c>
      <c r="F15" s="164">
        <v>1</v>
      </c>
      <c r="G15" s="164">
        <v>1</v>
      </c>
      <c r="H15" s="165">
        <f>_xll.qlRateHelperEarliestDate($D15)</f>
        <v>42664</v>
      </c>
      <c r="I15" s="148">
        <f>_xll.qlRateHelperPillarDate($D15)</f>
        <v>42968</v>
      </c>
    </row>
    <row r="16" spans="1:12" ht="11.25" customHeight="1" x14ac:dyDescent="0.2">
      <c r="A16" s="155" t="s">
        <v>34</v>
      </c>
      <c r="B16" s="158" t="s">
        <v>36</v>
      </c>
      <c r="C16" s="150" t="str">
        <f t="shared" si="0"/>
        <v>USDOIS11M_Quote</v>
      </c>
      <c r="D16" s="163" t="str">
        <f>_xll.qlOISRateHelper(,2,A16,C16,OvernightIndex,,TRUE,Trigger,FALSE)</f>
        <v>obj_0020d#0002</v>
      </c>
      <c r="E16" s="164" t="b">
        <v>1</v>
      </c>
      <c r="F16" s="164">
        <v>1</v>
      </c>
      <c r="G16" s="164">
        <v>1</v>
      </c>
      <c r="H16" s="165">
        <f>_xll.qlRateHelperEarliestDate($D16)</f>
        <v>42664</v>
      </c>
      <c r="I16" s="148">
        <f>_xll.qlRateHelperPillarDate($D16)</f>
        <v>42999</v>
      </c>
    </row>
    <row r="17" spans="1:9" ht="11.25" customHeight="1" x14ac:dyDescent="0.2">
      <c r="A17" s="155" t="s">
        <v>14</v>
      </c>
      <c r="B17" s="158" t="s">
        <v>36</v>
      </c>
      <c r="C17" s="150" t="str">
        <f t="shared" si="0"/>
        <v>USDOIS1Y_Quote</v>
      </c>
      <c r="D17" s="163" t="str">
        <f>_xll.qlOISRateHelper(,2,A17,C17,OvernightIndex,,TRUE,Trigger,FALSE)</f>
        <v>obj_00202#0002</v>
      </c>
      <c r="E17" s="164" t="b">
        <v>1</v>
      </c>
      <c r="F17" s="164">
        <v>1</v>
      </c>
      <c r="G17" s="164">
        <v>1</v>
      </c>
      <c r="H17" s="165">
        <f>_xll.qlRateHelperEarliestDate($D17)</f>
        <v>42664</v>
      </c>
      <c r="I17" s="148">
        <f>_xll.qlRateHelperPillarDate($D17)</f>
        <v>43031</v>
      </c>
    </row>
    <row r="18" spans="1:9" ht="11.25" customHeight="1" x14ac:dyDescent="0.2">
      <c r="A18" s="155" t="s">
        <v>94</v>
      </c>
      <c r="B18" s="158" t="s">
        <v>36</v>
      </c>
      <c r="C18" s="150" t="str">
        <f t="shared" si="0"/>
        <v>USDOIS13M_Quote</v>
      </c>
      <c r="D18" s="163" t="str">
        <f>_xll.qlOISRateHelper(,2,A18,C18,OvernightIndex,,TRUE,Trigger,FALSE)</f>
        <v>obj_0020a#0002</v>
      </c>
      <c r="E18" s="164" t="b">
        <v>0</v>
      </c>
      <c r="F18" s="164">
        <v>1</v>
      </c>
      <c r="G18" s="164">
        <v>1</v>
      </c>
      <c r="H18" s="165">
        <f>_xll.qlRateHelperEarliestDate($D18)</f>
        <v>42664</v>
      </c>
      <c r="I18" s="148">
        <f>_xll.qlRateHelperPillarDate($D18)</f>
        <v>43060</v>
      </c>
    </row>
    <row r="19" spans="1:9" x14ac:dyDescent="0.2">
      <c r="A19" s="155" t="s">
        <v>95</v>
      </c>
      <c r="B19" s="158" t="s">
        <v>36</v>
      </c>
      <c r="C19" s="150" t="str">
        <f t="shared" si="0"/>
        <v>USDOIS14M_Quote</v>
      </c>
      <c r="D19" s="163" t="str">
        <f>_xll.qlOISRateHelper(,2,A19,C19,OvernightIndex,,TRUE,Trigger,FALSE)</f>
        <v>obj_00201#0002</v>
      </c>
      <c r="E19" s="164" t="b">
        <v>0</v>
      </c>
      <c r="F19" s="164">
        <v>1</v>
      </c>
      <c r="G19" s="164">
        <v>1</v>
      </c>
      <c r="H19" s="165">
        <f>_xll.qlRateHelperEarliestDate($D19)</f>
        <v>42664</v>
      </c>
      <c r="I19" s="148">
        <f>_xll.qlRateHelperPillarDate($D19)</f>
        <v>43090</v>
      </c>
    </row>
    <row r="20" spans="1:9" x14ac:dyDescent="0.2">
      <c r="A20" s="155" t="s">
        <v>15</v>
      </c>
      <c r="B20" s="158" t="s">
        <v>36</v>
      </c>
      <c r="C20" s="150" t="str">
        <f t="shared" si="0"/>
        <v>USDOIS15M_Quote</v>
      </c>
      <c r="D20" s="163" t="str">
        <f>_xll.qlOISRateHelper(,2,A20,C20,OvernightIndex,,TRUE,Trigger,FALSE)</f>
        <v>obj_00208#0002</v>
      </c>
      <c r="E20" s="164" t="b">
        <v>1</v>
      </c>
      <c r="F20" s="164">
        <v>1</v>
      </c>
      <c r="G20" s="164">
        <v>1</v>
      </c>
      <c r="H20" s="165">
        <f>_xll.qlRateHelperEarliestDate($D20)</f>
        <v>42664</v>
      </c>
      <c r="I20" s="148">
        <f>_xll.qlRateHelperPillarDate($D20)</f>
        <v>43122</v>
      </c>
    </row>
    <row r="21" spans="1:9" x14ac:dyDescent="0.2">
      <c r="A21" s="155" t="s">
        <v>96</v>
      </c>
      <c r="B21" s="158" t="s">
        <v>36</v>
      </c>
      <c r="C21" s="150" t="str">
        <f t="shared" si="0"/>
        <v>USDOIS16M_Quote</v>
      </c>
      <c r="D21" s="163" t="str">
        <f>_xll.qlOISRateHelper(,2,A21,C21,OvernightIndex,,TRUE,Trigger,FALSE)</f>
        <v>obj_00211#0002</v>
      </c>
      <c r="E21" s="164" t="b">
        <v>0</v>
      </c>
      <c r="F21" s="164">
        <v>1</v>
      </c>
      <c r="G21" s="164">
        <v>1</v>
      </c>
      <c r="H21" s="165">
        <f>_xll.qlRateHelperEarliestDate($D21)</f>
        <v>42664</v>
      </c>
      <c r="I21" s="148">
        <f>_xll.qlRateHelperPillarDate($D21)</f>
        <v>43152</v>
      </c>
    </row>
    <row r="22" spans="1:9" x14ac:dyDescent="0.2">
      <c r="A22" s="155" t="s">
        <v>97</v>
      </c>
      <c r="B22" s="158" t="s">
        <v>36</v>
      </c>
      <c r="C22" s="150" t="str">
        <f t="shared" si="0"/>
        <v>USDOIS17M_Quote</v>
      </c>
      <c r="D22" s="163" t="str">
        <f>_xll.qlOISRateHelper(,2,A22,C22,OvernightIndex,,TRUE,Trigger,FALSE)</f>
        <v>obj_00216#0001</v>
      </c>
      <c r="E22" s="164" t="b">
        <v>0</v>
      </c>
      <c r="F22" s="164">
        <v>1</v>
      </c>
      <c r="G22" s="164">
        <v>1</v>
      </c>
      <c r="H22" s="165">
        <f>_xll.qlRateHelperEarliestDate($D22)</f>
        <v>42664</v>
      </c>
      <c r="I22" s="148">
        <f>_xll.qlRateHelperPillarDate($D22)</f>
        <v>43180</v>
      </c>
    </row>
    <row r="23" spans="1:9" x14ac:dyDescent="0.2">
      <c r="A23" s="155" t="s">
        <v>16</v>
      </c>
      <c r="B23" s="158" t="s">
        <v>36</v>
      </c>
      <c r="C23" s="150" t="str">
        <f t="shared" si="0"/>
        <v>USDOIS18M_Quote</v>
      </c>
      <c r="D23" s="163" t="str">
        <f>_xll.qlOISRateHelper(,2,A23,C23,OvernightIndex,,TRUE,Trigger,FALSE)</f>
        <v>obj_00218#0001</v>
      </c>
      <c r="E23" s="164" t="b">
        <v>1</v>
      </c>
      <c r="F23" s="164">
        <v>1</v>
      </c>
      <c r="G23" s="164">
        <v>1</v>
      </c>
      <c r="H23" s="165">
        <f>_xll.qlRateHelperEarliestDate($D23)</f>
        <v>42664</v>
      </c>
      <c r="I23" s="148">
        <f>_xll.qlRateHelperPillarDate($D23)</f>
        <v>43213</v>
      </c>
    </row>
    <row r="24" spans="1:9" x14ac:dyDescent="0.2">
      <c r="A24" s="155" t="s">
        <v>98</v>
      </c>
      <c r="B24" s="158" t="s">
        <v>36</v>
      </c>
      <c r="C24" s="150" t="str">
        <f t="shared" si="0"/>
        <v>USDOIS19M_Quote</v>
      </c>
      <c r="D24" s="163" t="str">
        <f>_xll.qlOISRateHelper(,2,A24,C24,OvernightIndex,,TRUE,Trigger,FALSE)</f>
        <v>obj_0020c#0002</v>
      </c>
      <c r="E24" s="164" t="b">
        <v>0</v>
      </c>
      <c r="F24" s="164">
        <v>1</v>
      </c>
      <c r="G24" s="164">
        <v>1</v>
      </c>
      <c r="H24" s="165">
        <f>_xll.qlRateHelperEarliestDate($D24)</f>
        <v>42664</v>
      </c>
      <c r="I24" s="148">
        <f>_xll.qlRateHelperPillarDate($D24)</f>
        <v>43241</v>
      </c>
    </row>
    <row r="25" spans="1:9" x14ac:dyDescent="0.2">
      <c r="A25" s="155" t="s">
        <v>99</v>
      </c>
      <c r="B25" s="158" t="s">
        <v>36</v>
      </c>
      <c r="C25" s="150" t="str">
        <f t="shared" si="0"/>
        <v>USDOIS20M_Quote</v>
      </c>
      <c r="D25" s="163" t="str">
        <f>_xll.qlOISRateHelper(,2,A25,C25,OvernightIndex,,TRUE,Trigger,FALSE)</f>
        <v>obj_00209#0002</v>
      </c>
      <c r="E25" s="164" t="b">
        <v>0</v>
      </c>
      <c r="F25" s="164">
        <v>1</v>
      </c>
      <c r="G25" s="164">
        <v>1</v>
      </c>
      <c r="H25" s="165">
        <f>_xll.qlRateHelperEarliestDate($D25)</f>
        <v>42664</v>
      </c>
      <c r="I25" s="148">
        <f>_xll.qlRateHelperPillarDate($D25)</f>
        <v>43272</v>
      </c>
    </row>
    <row r="26" spans="1:9" x14ac:dyDescent="0.2">
      <c r="A26" s="155" t="s">
        <v>17</v>
      </c>
      <c r="B26" s="158" t="s">
        <v>36</v>
      </c>
      <c r="C26" s="150" t="str">
        <f t="shared" si="0"/>
        <v>USDOIS21M_Quote</v>
      </c>
      <c r="D26" s="163" t="str">
        <f>_xll.qlOISRateHelper(,2,A26,C26,OvernightIndex,,TRUE,Trigger,FALSE)</f>
        <v>obj_00212#0002</v>
      </c>
      <c r="E26" s="164" t="b">
        <v>1</v>
      </c>
      <c r="F26" s="164">
        <v>1</v>
      </c>
      <c r="G26" s="164">
        <v>1</v>
      </c>
      <c r="H26" s="165">
        <f>_xll.qlRateHelperEarliestDate($D26)</f>
        <v>42664</v>
      </c>
      <c r="I26" s="148">
        <f>_xll.qlRateHelperPillarDate($D26)</f>
        <v>43304</v>
      </c>
    </row>
    <row r="27" spans="1:9" x14ac:dyDescent="0.2">
      <c r="A27" s="155" t="s">
        <v>100</v>
      </c>
      <c r="B27" s="158" t="s">
        <v>36</v>
      </c>
      <c r="C27" s="150" t="str">
        <f t="shared" si="0"/>
        <v>USDOIS22M_Quote</v>
      </c>
      <c r="D27" s="163" t="str">
        <f>_xll.qlOISRateHelper(,2,A27,C27,OvernightIndex,,TRUE,Trigger,FALSE)</f>
        <v>obj_00217#0001</v>
      </c>
      <c r="E27" s="164" t="b">
        <v>0</v>
      </c>
      <c r="F27" s="164">
        <v>1</v>
      </c>
      <c r="G27" s="164">
        <v>1</v>
      </c>
      <c r="H27" s="165">
        <f>_xll.qlRateHelperEarliestDate($D27)</f>
        <v>42664</v>
      </c>
      <c r="I27" s="148">
        <f>_xll.qlRateHelperPillarDate($D27)</f>
        <v>43333</v>
      </c>
    </row>
    <row r="28" spans="1:9" x14ac:dyDescent="0.2">
      <c r="A28" s="155" t="s">
        <v>101</v>
      </c>
      <c r="B28" s="158" t="s">
        <v>36</v>
      </c>
      <c r="C28" s="150" t="str">
        <f t="shared" si="0"/>
        <v>USDOIS23M_Quote</v>
      </c>
      <c r="D28" s="163" t="str">
        <f>_xll.qlOISRateHelper(,2,A28,C28,OvernightIndex,,TRUE,Trigger,FALSE)</f>
        <v>obj_00219#0001</v>
      </c>
      <c r="E28" s="164" t="b">
        <v>0</v>
      </c>
      <c r="F28" s="164">
        <v>1</v>
      </c>
      <c r="G28" s="164">
        <v>1</v>
      </c>
      <c r="H28" s="165">
        <f>_xll.qlRateHelperEarliestDate($D28)</f>
        <v>42664</v>
      </c>
      <c r="I28" s="148">
        <f>_xll.qlRateHelperPillarDate($D28)</f>
        <v>43364</v>
      </c>
    </row>
    <row r="29" spans="1:9" x14ac:dyDescent="0.2">
      <c r="A29" s="159" t="s">
        <v>18</v>
      </c>
      <c r="B29" s="158" t="s">
        <v>36</v>
      </c>
      <c r="C29" s="150" t="str">
        <f t="shared" si="0"/>
        <v>USDOIS2Y_Quote</v>
      </c>
      <c r="D29" s="163" t="str">
        <f>_xll.qlOISRateHelper(,2,A29,C29,OvernightIndex,,TRUE,Trigger,FALSE)</f>
        <v>obj_00215#0001</v>
      </c>
      <c r="E29" s="164" t="b">
        <v>1</v>
      </c>
      <c r="F29" s="164">
        <v>1</v>
      </c>
      <c r="G29" s="164">
        <v>1</v>
      </c>
      <c r="H29" s="165">
        <f>_xll.qlRateHelperEarliestDate($D29)</f>
        <v>42664</v>
      </c>
      <c r="I29" s="148">
        <f>_xll.qlRateHelperPillarDate($D29)</f>
        <v>43395</v>
      </c>
    </row>
    <row r="30" spans="1:9" x14ac:dyDescent="0.2">
      <c r="A30" s="78"/>
      <c r="B30" s="78"/>
      <c r="C30" s="78"/>
      <c r="D30" s="78"/>
      <c r="E30" s="77"/>
      <c r="F30" s="77"/>
      <c r="G30" s="77"/>
      <c r="H30" s="77"/>
      <c r="I30" s="77"/>
    </row>
    <row r="36" spans="4:4" x14ac:dyDescent="0.2">
      <c r="D36" s="174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S130"/>
  <sheetViews>
    <sheetView showGridLines="0" workbookViewId="0">
      <pane xSplit="11" topLeftCell="L1" activePane="topRight" state="frozen"/>
      <selection pane="topRight" activeCell="O4" sqref="O4"/>
    </sheetView>
  </sheetViews>
  <sheetFormatPr defaultRowHeight="11.25" outlineLevelCol="1" x14ac:dyDescent="0.2"/>
  <cols>
    <col min="1" max="1" width="16.140625" style="79" hidden="1" customWidth="1" outlineLevel="1"/>
    <col min="2" max="2" width="10" style="79" hidden="1" customWidth="1" outlineLevel="1"/>
    <col min="3" max="4" width="17.28515625" style="79" hidden="1" customWidth="1" outlineLevel="1"/>
    <col min="5" max="5" width="2.7109375" style="74" hidden="1" customWidth="1" outlineLevel="1"/>
    <col min="6" max="6" width="10" style="74" hidden="1" customWidth="1" outlineLevel="1"/>
    <col min="7" max="7" width="8" style="74" hidden="1" customWidth="1" outlineLevel="1"/>
    <col min="8" max="8" width="2.7109375" style="74" customWidth="1" collapsed="1"/>
    <col min="9" max="9" width="17.28515625" style="74" bestFit="1" customWidth="1"/>
    <col min="10" max="10" width="9" style="74" bestFit="1" customWidth="1"/>
    <col min="11" max="11" width="17.28515625" style="74" bestFit="1" customWidth="1"/>
    <col min="12" max="12" width="2.7109375" style="74" customWidth="1"/>
    <col min="13" max="13" width="17.28515625" style="74" bestFit="1" customWidth="1"/>
    <col min="14" max="14" width="10.7109375" style="74" customWidth="1"/>
    <col min="15" max="15" width="12" style="74" bestFit="1" customWidth="1"/>
    <col min="16" max="16" width="2.7109375" style="74" customWidth="1"/>
    <col min="17" max="17" width="17.28515625" style="74" bestFit="1" customWidth="1"/>
    <col min="18" max="19" width="10.7109375" style="74" customWidth="1"/>
    <col min="20" max="20" width="2.7109375" style="74" customWidth="1"/>
    <col min="21" max="21" width="17.28515625" style="74" bestFit="1" customWidth="1"/>
    <col min="22" max="23" width="10.7109375" style="74" customWidth="1"/>
    <col min="24" max="24" width="2.7109375" style="74" customWidth="1"/>
    <col min="25" max="25" width="17.28515625" style="74" bestFit="1" customWidth="1"/>
    <col min="26" max="27" width="10.7109375" style="74" customWidth="1"/>
    <col min="28" max="28" width="2.7109375" style="74" customWidth="1"/>
    <col min="29" max="29" width="17.28515625" style="74" bestFit="1" customWidth="1"/>
    <col min="30" max="31" width="10.7109375" style="74" customWidth="1"/>
    <col min="32" max="32" width="2.7109375" style="74" customWidth="1"/>
    <col min="33" max="33" width="17.28515625" style="74" bestFit="1" customWidth="1"/>
    <col min="34" max="35" width="10.7109375" style="74" customWidth="1"/>
    <col min="36" max="36" width="2.7109375" style="74" customWidth="1"/>
    <col min="37" max="37" width="17.28515625" style="74" bestFit="1" customWidth="1"/>
    <col min="38" max="39" width="10.7109375" style="74" customWidth="1"/>
    <col min="40" max="40" width="2.7109375" style="74" customWidth="1"/>
    <col min="41" max="41" width="17.28515625" style="74" bestFit="1" customWidth="1"/>
    <col min="42" max="43" width="10.7109375" style="74" customWidth="1"/>
    <col min="44" max="44" width="2.7109375" style="74" customWidth="1"/>
    <col min="45" max="45" width="17.28515625" style="74" bestFit="1" customWidth="1"/>
    <col min="46" max="47" width="10.7109375" style="74" customWidth="1"/>
    <col min="48" max="48" width="2.7109375" style="74" customWidth="1"/>
    <col min="49" max="49" width="17.28515625" style="74" bestFit="1" customWidth="1"/>
    <col min="50" max="51" width="10.7109375" style="74" customWidth="1"/>
    <col min="52" max="52" width="2.7109375" style="74" customWidth="1"/>
    <col min="53" max="53" width="17.28515625" style="74" bestFit="1" customWidth="1"/>
    <col min="54" max="55" width="10.7109375" style="74" customWidth="1"/>
    <col min="56" max="56" width="2.7109375" style="74" customWidth="1"/>
    <col min="57" max="57" width="17.28515625" style="74" bestFit="1" customWidth="1"/>
    <col min="58" max="59" width="10.7109375" style="74" customWidth="1"/>
    <col min="60" max="60" width="2.7109375" style="74" customWidth="1"/>
    <col min="61" max="61" width="17.28515625" style="74" bestFit="1" customWidth="1"/>
    <col min="62" max="63" width="10.7109375" style="74" customWidth="1"/>
    <col min="64" max="64" width="2.7109375" style="74" customWidth="1"/>
    <col min="65" max="65" width="17.28515625" style="74" bestFit="1" customWidth="1"/>
    <col min="66" max="66" width="10" style="74" bestFit="1" customWidth="1"/>
    <col min="67" max="67" width="11" style="74" bestFit="1" customWidth="1"/>
    <col min="68" max="68" width="2.7109375" style="74" customWidth="1"/>
    <col min="69" max="69" width="17.28515625" style="74" bestFit="1" customWidth="1"/>
    <col min="70" max="70" width="11.140625" style="74" customWidth="1"/>
    <col min="71" max="71" width="11" style="74" bestFit="1" customWidth="1"/>
    <col min="72" max="16384" width="9.140625" style="74"/>
  </cols>
  <sheetData>
    <row r="1" spans="1:71" x14ac:dyDescent="0.2">
      <c r="A1" s="83" t="s">
        <v>103</v>
      </c>
      <c r="B1" s="136">
        <v>0</v>
      </c>
      <c r="N1" s="98" t="s">
        <v>82</v>
      </c>
      <c r="O1" s="34">
        <f>MAX(O5:O129)</f>
        <v>1.0000022576880467</v>
      </c>
      <c r="R1" s="98" t="s">
        <v>82</v>
      </c>
      <c r="S1" s="34">
        <f>MAX(S5:S129)</f>
        <v>1</v>
      </c>
      <c r="V1" s="98" t="s">
        <v>82</v>
      </c>
      <c r="W1" s="34">
        <f>MAX(W5:W129)</f>
        <v>1</v>
      </c>
      <c r="Z1" s="98" t="s">
        <v>82</v>
      </c>
      <c r="AA1" s="34">
        <f>MAX(AA5:AA129)</f>
        <v>1</v>
      </c>
      <c r="AD1" s="98" t="s">
        <v>82</v>
      </c>
      <c r="AE1" s="34">
        <f>MAX(AE5:AE129)</f>
        <v>1</v>
      </c>
      <c r="AH1" s="98" t="s">
        <v>82</v>
      </c>
      <c r="AI1" s="34">
        <f>MAX(AI5:AI129)</f>
        <v>1</v>
      </c>
      <c r="AL1" s="98" t="s">
        <v>82</v>
      </c>
      <c r="AM1" s="34">
        <f>MAX(AM5:AM129)</f>
        <v>1</v>
      </c>
      <c r="AP1" s="98" t="s">
        <v>82</v>
      </c>
      <c r="AQ1" s="34">
        <f>MAX(AQ5:AQ129)</f>
        <v>1</v>
      </c>
      <c r="AT1" s="98" t="s">
        <v>82</v>
      </c>
      <c r="AU1" s="34">
        <f>MAX(AU5:AU129)</f>
        <v>1</v>
      </c>
      <c r="AX1" s="98" t="s">
        <v>82</v>
      </c>
      <c r="AY1" s="34">
        <f>MAX(AY5:AY129)</f>
        <v>1</v>
      </c>
      <c r="BB1" s="98" t="s">
        <v>82</v>
      </c>
      <c r="BC1" s="34">
        <f>MAX(BC5:BC129)</f>
        <v>1</v>
      </c>
      <c r="BF1" s="98" t="s">
        <v>82</v>
      </c>
      <c r="BG1" s="34">
        <f>MAX(BG5:BG129)</f>
        <v>1</v>
      </c>
      <c r="BJ1" s="98" t="s">
        <v>82</v>
      </c>
      <c r="BK1" s="34">
        <f>MAX(BK5:BK129)</f>
        <v>1</v>
      </c>
      <c r="BN1" s="98" t="s">
        <v>82</v>
      </c>
      <c r="BO1" s="34">
        <f>MAX(BO5:BO129)</f>
        <v>1</v>
      </c>
      <c r="BR1" s="98" t="s">
        <v>82</v>
      </c>
      <c r="BS1" s="176">
        <f>MAX(BS5:BS129)</f>
        <v>1.0001354115372085</v>
      </c>
    </row>
    <row r="2" spans="1:71" x14ac:dyDescent="0.2">
      <c r="I2" s="89">
        <f>_xll.qlCalendarEndOfMonth(Calendar,EDATE(DATE(YEAR(K4),MONTH(K4),1),-1))</f>
        <v>42643</v>
      </c>
      <c r="M2" s="88">
        <f>_xll.qlCalendarAdvance(Calendar,I2,"1m","mf",TRUE)</f>
        <v>42674</v>
      </c>
      <c r="N2" s="98" t="s">
        <v>60</v>
      </c>
      <c r="O2" s="110">
        <f>_xll.qlDayCounterYearFraction(DayCounter,M2,_xll.qlCalendarAdvance(Calendar,M2,"1D"))</f>
        <v>2.7777777777777779E-3</v>
      </c>
      <c r="P2" s="106"/>
      <c r="Q2" s="88">
        <f>_xll.qlCalendarAdvance(Calendar,M2,"1m","mf",TRUE)</f>
        <v>42704</v>
      </c>
      <c r="R2" s="98" t="s">
        <v>60</v>
      </c>
      <c r="S2" s="110">
        <f>_xll.qlDayCounterYearFraction(DayCounter,Q2,_xll.qlCalendarAdvance(Calendar,Q2,"1D"))</f>
        <v>2.7777777777777779E-3</v>
      </c>
      <c r="T2" s="107"/>
      <c r="U2" s="88">
        <f>_xll.qlCalendarAdvance(Calendar,Q2,"1m","mf",TRUE)</f>
        <v>42734</v>
      </c>
      <c r="V2" s="98" t="s">
        <v>60</v>
      </c>
      <c r="W2" s="110">
        <f>_xll.qlDayCounterYearFraction(DayCounter,U2,_xll.qlCalendarAdvance(Calendar,U2,"1D"))</f>
        <v>1.1111111111111112E-2</v>
      </c>
      <c r="X2" s="107"/>
      <c r="Y2" s="88">
        <f>_xll.qlCalendarAdvance(Calendar,U2,"1m","mf",TRUE)</f>
        <v>42766</v>
      </c>
      <c r="Z2" s="98" t="s">
        <v>60</v>
      </c>
      <c r="AA2" s="110">
        <f>_xll.qlDayCounterYearFraction(DayCounter,Y2,_xll.qlCalendarAdvance(Calendar,Y2,"1D"))</f>
        <v>2.7777777777777779E-3</v>
      </c>
      <c r="AB2" s="107"/>
      <c r="AC2" s="88">
        <f>_xll.qlCalendarAdvance(Calendar,Y2,"1m","mf",TRUE)</f>
        <v>42794</v>
      </c>
      <c r="AD2" s="98" t="s">
        <v>60</v>
      </c>
      <c r="AE2" s="110">
        <f>_xll.qlDayCounterYearFraction(DayCounter,AC2,_xll.qlCalendarAdvance(Calendar,AC2,"1D"))</f>
        <v>2.7777777777777779E-3</v>
      </c>
      <c r="AF2" s="107"/>
      <c r="AG2" s="88">
        <f>_xll.qlCalendarAdvance(Calendar,AC2,"1m","mf",TRUE)</f>
        <v>42825</v>
      </c>
      <c r="AH2" s="98" t="s">
        <v>60</v>
      </c>
      <c r="AI2" s="110">
        <f>_xll.qlDayCounterYearFraction(DayCounter,AG2,_xll.qlCalendarAdvance(Calendar,AG2,"1D"))</f>
        <v>8.3333333333333332E-3</v>
      </c>
      <c r="AJ2" s="107"/>
      <c r="AK2" s="88">
        <f>_xll.qlCalendarAdvance(Calendar,AG2,"1m","mf",TRUE)</f>
        <v>42853</v>
      </c>
      <c r="AL2" s="98" t="s">
        <v>60</v>
      </c>
      <c r="AM2" s="110">
        <f>_xll.qlDayCounterYearFraction(DayCounter,AK2,_xll.qlCalendarAdvance(Calendar,AK2,"1D"))</f>
        <v>8.3333333333333332E-3</v>
      </c>
      <c r="AO2" s="88">
        <f>_xll.qlCalendarAdvance(Calendar,AK2,"1m","mf",TRUE)</f>
        <v>42886</v>
      </c>
      <c r="AP2" s="98" t="s">
        <v>60</v>
      </c>
      <c r="AQ2" s="110">
        <f>_xll.qlDayCounterYearFraction(DayCounter,AO2,_xll.qlCalendarAdvance(Calendar,AO2,"1D"))</f>
        <v>2.7777777777777779E-3</v>
      </c>
      <c r="AS2" s="88">
        <f>_xll.qlCalendarAdvance(Calendar,AO2,"1m","mf",TRUE)</f>
        <v>42916</v>
      </c>
      <c r="AT2" s="98" t="s">
        <v>60</v>
      </c>
      <c r="AU2" s="110">
        <f>_xll.qlDayCounterYearFraction(DayCounter,AS2,_xll.qlCalendarAdvance(Calendar,AS2,"1D"))</f>
        <v>8.3333333333333332E-3</v>
      </c>
      <c r="AW2" s="88">
        <f>_xll.qlCalendarAdvance(Calendar,AS2,"1m","mf",TRUE)</f>
        <v>42947</v>
      </c>
      <c r="AX2" s="98" t="s">
        <v>60</v>
      </c>
      <c r="AY2" s="110">
        <f>_xll.qlDayCounterYearFraction(DayCounter,AW2,_xll.qlCalendarAdvance(Calendar,AW2,"1D"))</f>
        <v>2.7777777777777779E-3</v>
      </c>
      <c r="BA2" s="88">
        <f>_xll.qlCalendarAdvance(Calendar,AW2,"1m","mf",TRUE)</f>
        <v>42978</v>
      </c>
      <c r="BB2" s="98" t="s">
        <v>60</v>
      </c>
      <c r="BC2" s="110">
        <f>_xll.qlDayCounterYearFraction(DayCounter,BA2,_xll.qlCalendarAdvance(Calendar,BA2,"1D"))</f>
        <v>2.7777777777777779E-3</v>
      </c>
      <c r="BE2" s="88">
        <f>_xll.qlCalendarAdvance(Calendar,BA2,"1m","mf",TRUE)</f>
        <v>43007</v>
      </c>
      <c r="BF2" s="98" t="s">
        <v>60</v>
      </c>
      <c r="BG2" s="110">
        <f>_xll.qlDayCounterYearFraction(DayCounter,BE2,_xll.qlCalendarAdvance(Calendar,BE2,"1D"))</f>
        <v>8.3333333333333332E-3</v>
      </c>
      <c r="BI2" s="88">
        <f>_xll.qlCalendarAdvance(Calendar,BE2,"1m","mf",TRUE)</f>
        <v>43039</v>
      </c>
      <c r="BJ2" s="98" t="s">
        <v>60</v>
      </c>
      <c r="BK2" s="110">
        <f>_xll.qlDayCounterYearFraction(DayCounter,BI2,_xll.qlCalendarAdvance(Calendar,BI2,"1D"))</f>
        <v>2.7777777777777779E-3</v>
      </c>
      <c r="BM2" s="88">
        <f>_xll.qlCalendarAdvance(Calendar,BI2,"1m","mf",TRUE)</f>
        <v>43069</v>
      </c>
      <c r="BN2" s="98" t="s">
        <v>60</v>
      </c>
      <c r="BO2" s="110">
        <f>_xll.qlDayCounterYearFraction(DayCounter,BM2,_xll.qlCalendarAdvance(Calendar,BM2,"1D"))</f>
        <v>2.7777777777777779E-3</v>
      </c>
      <c r="BQ2" s="88">
        <f>_xll.qlCalendarAdvance(Calendar,BM2,"1m","mf",TRUE)</f>
        <v>43098</v>
      </c>
      <c r="BR2" s="98" t="s">
        <v>60</v>
      </c>
      <c r="BS2" s="110">
        <f>_xll.qlDayCounterYearFraction(DayCounter,BQ2,_xll.qlCalendarAdvance(Calendar,BQ2,"1D"))</f>
        <v>1.1111111111111112E-2</v>
      </c>
    </row>
    <row r="3" spans="1:71" ht="21" customHeight="1" x14ac:dyDescent="0.2">
      <c r="A3" s="83" t="s">
        <v>41</v>
      </c>
      <c r="B3" s="83" t="s">
        <v>21</v>
      </c>
      <c r="C3" s="83" t="s">
        <v>0</v>
      </c>
      <c r="D3" s="83" t="s">
        <v>1</v>
      </c>
      <c r="E3" s="103"/>
      <c r="F3" s="83" t="s">
        <v>42</v>
      </c>
      <c r="G3" s="83" t="s">
        <v>43</v>
      </c>
      <c r="H3" s="103"/>
      <c r="I3" s="83" t="s">
        <v>78</v>
      </c>
      <c r="J3" s="135" t="s">
        <v>83</v>
      </c>
      <c r="K3" s="90" t="s">
        <v>58</v>
      </c>
      <c r="L3" s="105"/>
      <c r="M3" s="88" t="str">
        <f>_xll.qlInterpolation(,FwdInterpolation,_xll.ohFilter(F5:F129,M5:M129),_xll.ohFilter(J5:J129,M5:M129))</f>
        <v>obj_0022a#0132</v>
      </c>
      <c r="N3" s="99" t="s">
        <v>59</v>
      </c>
      <c r="O3" s="98" t="s">
        <v>61</v>
      </c>
      <c r="P3" s="106"/>
      <c r="Q3" s="88" t="str">
        <f>_xll.qlInterpolation(,FwdInterpolation,_xll.ohFilter($F5:$F129,Q5:Q129),_xll.ohFilter(N5:N129,Q5:Q129))</f>
        <v>obj_0022b#0129</v>
      </c>
      <c r="R3" s="99" t="s">
        <v>59</v>
      </c>
      <c r="S3" s="98" t="s">
        <v>61</v>
      </c>
      <c r="T3" s="107"/>
      <c r="U3" s="88" t="str">
        <f>_xll.qlInterpolation(,FwdInterpolation,_xll.ohFilter($F5:$F129,U5:U129),_xll.ohFilter(R5:R129,U5:U129))</f>
        <v>obj_0022c#0132</v>
      </c>
      <c r="V3" s="99" t="s">
        <v>59</v>
      </c>
      <c r="W3" s="98" t="s">
        <v>61</v>
      </c>
      <c r="X3" s="107"/>
      <c r="Y3" s="88" t="str">
        <f>_xll.qlInterpolation(,FwdInterpolation,_xll.ohFilter($F5:$F129,Y5:Y129),_xll.ohFilter(V5:V129,Y5:Y129))</f>
        <v>obj_0022d#0141</v>
      </c>
      <c r="Z3" s="99" t="s">
        <v>59</v>
      </c>
      <c r="AA3" s="98" t="s">
        <v>61</v>
      </c>
      <c r="AB3" s="107"/>
      <c r="AC3" s="88" t="str">
        <f>_xll.qlInterpolation(,FwdInterpolation,_xll.ohFilter($F5:$F129,AC5:AC129),_xll.ohFilter(Z5:Z129,AC5:AC129))</f>
        <v>obj_0022e#0151</v>
      </c>
      <c r="AD3" s="99" t="s">
        <v>59</v>
      </c>
      <c r="AE3" s="98" t="s">
        <v>61</v>
      </c>
      <c r="AF3" s="107"/>
      <c r="AG3" s="88" t="str">
        <f>_xll.qlInterpolation(,FwdInterpolation,_xll.ohFilter($F5:$F129,AG5:AG129),_xll.ohFilter(AD5:AD129,AG5:AG129))</f>
        <v>obj_0022f#0159</v>
      </c>
      <c r="AH3" s="99" t="s">
        <v>59</v>
      </c>
      <c r="AI3" s="98" t="s">
        <v>61</v>
      </c>
      <c r="AJ3" s="107"/>
      <c r="AK3" s="88" t="str">
        <f>_xll.qlInterpolation(,FwdInterpolation,_xll.ohFilter($F5:$F129,AK5:AK129),_xll.ohFilter(AH5:AH129,AK5:AK129))</f>
        <v>obj_00232#0166</v>
      </c>
      <c r="AL3" s="99" t="s">
        <v>59</v>
      </c>
      <c r="AM3" s="98" t="s">
        <v>61</v>
      </c>
      <c r="AO3" s="88" t="str">
        <f>_xll.qlInterpolation(,FwdInterpolation,_xll.ohFilter($F5:$F129,AO5:AO129),_xll.ohFilter(AL5:AL129,AO5:AO129))</f>
        <v>obj_00233#0170</v>
      </c>
      <c r="AP3" s="99" t="s">
        <v>59</v>
      </c>
      <c r="AQ3" s="98" t="s">
        <v>61</v>
      </c>
      <c r="AS3" s="88" t="str">
        <f>_xll.qlInterpolation(,FwdInterpolation,_xll.ohFilter($F5:$F129,AS5:AS129),_xll.ohFilter(AP5:AP129,AS5:AS129))</f>
        <v>obj_00234#0179</v>
      </c>
      <c r="AT3" s="99" t="s">
        <v>59</v>
      </c>
      <c r="AU3" s="98" t="s">
        <v>61</v>
      </c>
      <c r="AW3" s="88" t="str">
        <f>_xll.qlInterpolation(,FwdInterpolation,_xll.ohFilter($F5:$F129,AW5:AW129),_xll.ohFilter(AT5:AT129,AW5:AW129))</f>
        <v>obj_00235#0185</v>
      </c>
      <c r="AX3" s="99" t="s">
        <v>59</v>
      </c>
      <c r="AY3" s="98" t="s">
        <v>61</v>
      </c>
      <c r="BA3" s="88" t="str">
        <f>_xll.qlInterpolation(,FwdInterpolation,_xll.ohFilter($F5:$F129,BA5:BA129),_xll.ohFilter(AX5:AX129,BA5:BA129))</f>
        <v>obj_00236#0191</v>
      </c>
      <c r="BB3" s="99" t="s">
        <v>59</v>
      </c>
      <c r="BC3" s="98" t="s">
        <v>61</v>
      </c>
      <c r="BE3" s="88" t="str">
        <f>_xll.qlInterpolation(,FwdInterpolation,_xll.ohFilter($F5:$F129,BE5:BE129),_xll.ohFilter(BB5:BB129,BE5:BE129))</f>
        <v>obj_00237#0200</v>
      </c>
      <c r="BF3" s="99" t="s">
        <v>59</v>
      </c>
      <c r="BG3" s="98" t="s">
        <v>61</v>
      </c>
      <c r="BI3" s="88" t="str">
        <f>_xll.qlInterpolation(,FwdInterpolation,_xll.ohFilter($F5:$F129,BI5:BI129),_xll.ohFilter(BF5:BF129,BI5:BI129))</f>
        <v>obj_00238#0211</v>
      </c>
      <c r="BJ3" s="98" t="s">
        <v>59</v>
      </c>
      <c r="BK3" s="98" t="s">
        <v>61</v>
      </c>
      <c r="BM3" s="88" t="str">
        <f>_xll.qlInterpolation(,FwdInterpolation,_xll.ohFilter($F5:$F129,BM5:BM129),_xll.ohFilter(BJ5:BJ129,BM5:BM129))</f>
        <v>obj_00239#0229</v>
      </c>
      <c r="BN3" s="99" t="s">
        <v>59</v>
      </c>
      <c r="BO3" s="98" t="s">
        <v>61</v>
      </c>
      <c r="BQ3" s="88" t="str">
        <f>_xll.qlInterpolation(,FwdInterpolation,_xll.ohFilter($F5:$F129,BQ5:BQ129),_xll.ohFilter(BN5:BN129,BQ5:BQ129))</f>
        <v>obj_0045d#0033</v>
      </c>
      <c r="BR3" s="98" t="s">
        <v>59</v>
      </c>
      <c r="BS3" s="98" t="s">
        <v>61</v>
      </c>
    </row>
    <row r="4" spans="1:71" ht="13.5" customHeight="1" x14ac:dyDescent="0.2">
      <c r="A4" s="80"/>
      <c r="B4" s="81"/>
      <c r="C4" s="82"/>
      <c r="D4" s="19">
        <f>'General Settings'!C18</f>
        <v>42664</v>
      </c>
      <c r="F4" s="72"/>
      <c r="G4" s="72"/>
      <c r="I4" s="71" t="b">
        <v>0</v>
      </c>
      <c r="J4" s="91">
        <f t="array" ref="J4:J129">_xll.qlPiecewiseYieldCurveData(YieldCurve,InterestRatesTrigger)</f>
        <v>4.0698389608611182E-3</v>
      </c>
      <c r="K4" s="92">
        <f>D4</f>
        <v>42664</v>
      </c>
      <c r="L4" s="75"/>
      <c r="M4" s="101" t="b">
        <v>1</v>
      </c>
      <c r="N4" s="100"/>
      <c r="O4" s="173">
        <f>-LN(MAX(O5:O33))/O$2</f>
        <v>-8.1276677933845806E-4</v>
      </c>
      <c r="P4" s="106"/>
      <c r="Q4" s="101" t="b">
        <v>1</v>
      </c>
      <c r="R4" s="100"/>
      <c r="S4" s="173">
        <f>-LN(MAX(S5:S33))/S$2</f>
        <v>0</v>
      </c>
      <c r="T4" s="107"/>
      <c r="U4" s="101" t="b">
        <v>1</v>
      </c>
      <c r="V4" s="100"/>
      <c r="W4" s="173">
        <f>-LN(MAX(W5:W33))/W$2</f>
        <v>0</v>
      </c>
      <c r="X4" s="107"/>
      <c r="Y4" s="101" t="b">
        <v>1</v>
      </c>
      <c r="Z4" s="100"/>
      <c r="AA4" s="173">
        <f>-LN(MAX(AA5:AA33))/AA$2</f>
        <v>0</v>
      </c>
      <c r="AB4" s="107"/>
      <c r="AC4" s="101" t="b">
        <v>1</v>
      </c>
      <c r="AD4" s="100"/>
      <c r="AE4" s="173">
        <f>-LN(MAX(AE5:AE33))/AE$2</f>
        <v>0</v>
      </c>
      <c r="AF4" s="107"/>
      <c r="AG4" s="101" t="b">
        <v>1</v>
      </c>
      <c r="AH4" s="100"/>
      <c r="AI4" s="173">
        <f>-LN(MAX(AI5:AI33))/AI$2</f>
        <v>0</v>
      </c>
      <c r="AJ4" s="107"/>
      <c r="AK4" s="101" t="b">
        <v>1</v>
      </c>
      <c r="AL4" s="100"/>
      <c r="AM4" s="173">
        <f>-LN(MAX(AM5:AM33))/AM$2</f>
        <v>0</v>
      </c>
      <c r="AO4" s="101" t="b">
        <v>1</v>
      </c>
      <c r="AP4" s="100"/>
      <c r="AQ4" s="173">
        <f>-LN(MAX(AQ5:AQ33))/AQ$2</f>
        <v>0</v>
      </c>
      <c r="AS4" s="101" t="b">
        <v>1</v>
      </c>
      <c r="AT4" s="100"/>
      <c r="AU4" s="173">
        <f>-LN(MAX(AU5:AU33))/AU$2</f>
        <v>0</v>
      </c>
      <c r="AW4" s="101" t="b">
        <v>1</v>
      </c>
      <c r="AX4" s="100"/>
      <c r="AY4" s="173">
        <f>-LN(MAX(AY5:AY33))/AY$2</f>
        <v>0</v>
      </c>
      <c r="BA4" s="101" t="b">
        <v>1</v>
      </c>
      <c r="BB4" s="100"/>
      <c r="BC4" s="173">
        <f>-LN(MAX(BC5:BC33))/BC$2</f>
        <v>0</v>
      </c>
      <c r="BE4" s="101" t="b">
        <v>1</v>
      </c>
      <c r="BF4" s="100"/>
      <c r="BG4" s="173">
        <f>-LN(MAX(BG5:BG33))/BG$2</f>
        <v>0</v>
      </c>
      <c r="BI4" s="101" t="b">
        <v>1</v>
      </c>
      <c r="BJ4" s="100"/>
      <c r="BK4" s="173">
        <f>-LN(MAX(BK5:BK33))/BK$2</f>
        <v>0</v>
      </c>
      <c r="BM4" s="101" t="b">
        <v>1</v>
      </c>
      <c r="BN4" s="100"/>
      <c r="BO4" s="173">
        <f>-LN(MAX(BO5:BO33))/BO$2</f>
        <v>0</v>
      </c>
      <c r="BQ4" s="101" t="b">
        <v>1</v>
      </c>
      <c r="BR4" s="100"/>
      <c r="BS4" s="173">
        <f>-LN(MAX(BS5:BS33))/BS$2</f>
        <v>-1.2186213290450021E-2</v>
      </c>
    </row>
    <row r="5" spans="1:71" x14ac:dyDescent="0.2">
      <c r="A5" s="33" t="str">
        <f t="array" ref="A5:A129">_xll.qlRateHelperSelection(_xll.ohFilter(RateHelpers,RateHelpersIncluded),_xll.ohFilter(RateHelpersPriority,RateHelpersIncluded),$B$1,0,2,"AllDepos",_xll.ohFilter(MinDistance,RateHelpersIncluded))</f>
        <v>obj_00206</v>
      </c>
      <c r="B5" s="17">
        <f>_xll.qlRateHelperRate($A5,InterestRatesTrigger)</f>
        <v>4.0700000000000007E-3</v>
      </c>
      <c r="C5" s="18">
        <f>_xll.qlRateHelperEarliestDate($A5)</f>
        <v>42664</v>
      </c>
      <c r="D5" s="19">
        <f>_xll.qlRateHelperPillarDate($A5)</f>
        <v>42671</v>
      </c>
      <c r="F5" s="84">
        <f t="shared" ref="F5:F30" si="0">IF(ISERROR(D5),NA(),(D5-D4)/2+D4)</f>
        <v>42667.5</v>
      </c>
      <c r="G5" s="85">
        <f>_xll.qlDayCounterYearFraction(DayCounter,D4,D5)</f>
        <v>1.9444444444444445E-2</v>
      </c>
      <c r="H5" s="104"/>
      <c r="I5" s="93" t="b">
        <f>IF(ISERROR(K5),FALSE,IF(OR(MONTH(K5)-MONTH(K4)=1,YEAR(K5)-YEAR(K4)=1),FALSE,TRUE))</f>
        <v>1</v>
      </c>
      <c r="J5" s="37">
        <v>4.0698389608611182E-3</v>
      </c>
      <c r="K5" s="94">
        <f>D5</f>
        <v>42671</v>
      </c>
      <c r="L5" s="75"/>
      <c r="M5" s="72" t="b">
        <f>IF(AND(NOT(I5),AND(I$4:I4)),TRUE,I5)</f>
        <v>1</v>
      </c>
      <c r="N5" s="172">
        <f>IF(AND(NOT(ISBLANK(Jumpoverwrite1)),AND(NOT(M5),AND(M$4:M4))),($J5*$G5-LN(1+Jumpoverwrite1*O$2))/$G5,_xll.qlInterpolationInterpolate(M$3,$F5,TRUE))</f>
        <v>4.0698389608611182E-3</v>
      </c>
      <c r="O5" s="152" t="str">
        <f>IF(AND(NOT(M5),AND(M$4:M4)),IF($N5&lt;0,IF($N5&lt;$J5,EXP(($N5-$J5)*$G5),EXP(($J5-$N5)*$G5)),EXP(($N5-$J5)*$G5)),"")</f>
        <v/>
      </c>
      <c r="P5" s="106"/>
      <c r="Q5" s="72" t="b">
        <f>IF(AND(NOT(M5),AND(M$4:M4)),TRUE,M5)</f>
        <v>1</v>
      </c>
      <c r="R5" s="172">
        <f>IF(AND(NOT(ISBLANK(Jumpoverwrite2)),AND(NOT(Q5),AND(Q$4:Q4))),($J5*$G5-LN(1+Jumpoverwrite2*S$2))/$G5,_xll.qlInterpolationInterpolate(Q$3,$F5,TRUE))</f>
        <v>4.0698389608611182E-3</v>
      </c>
      <c r="S5" s="178" t="str">
        <f>IF(AND(NOT(Q5),AND(Q$4:Q4)),IF($R5&lt;0,IF($R5&lt;$J5,EXP(($R5-$J5)*$G5),EXP(($J5-$R5)*$G5)),EXP(($R5-$J5)*$G5)),"")</f>
        <v/>
      </c>
      <c r="T5" s="107"/>
      <c r="U5" s="72" t="b">
        <f>IF(AND(NOT(Q5),AND(Q$4:Q4)),TRUE,Q5)</f>
        <v>1</v>
      </c>
      <c r="V5" s="172">
        <f>IF(AND(NOT(ISBLANK(Jumpoverwrite3)),AND(NOT(U5),AND(U$4:U4))),($J5*$G5-LN(1+Jumpoverwrite3*W$2))/$G5,_xll.qlInterpolationInterpolate(U$3,$F5,TRUE))</f>
        <v>4.0698389608611182E-3</v>
      </c>
      <c r="W5" s="178" t="str">
        <f>IF(AND(NOT(U5),AND(U$4:U4)),IF($V5&lt;0,IF($V5&lt;$J5,EXP(($V5-$J5)*$G5),EXP(($J5-$V5)*$G5)),EXP(($V5-$J5)*$G5)),"")</f>
        <v/>
      </c>
      <c r="X5" s="107"/>
      <c r="Y5" s="72" t="b">
        <f>IF(AND(NOT(U5),AND(U$4:U4)),TRUE,U5)</f>
        <v>1</v>
      </c>
      <c r="Z5" s="172">
        <f>IF(AND(NOT(ISBLANK(Jumpoverwrite4)),AND(NOT(Y5),AND(Y$4:Y4))),($J5*$G5-LN(1+Jumpoverwrite4*AA$2))/$G5,_xll.qlInterpolationInterpolate(Y$3,$F5,TRUE))</f>
        <v>4.0698389608611182E-3</v>
      </c>
      <c r="AA5" s="178" t="str">
        <f>IF(AND(NOT(Y5),AND(Y$4:Y4)),IF($Z5&lt;0,IF($Z5&lt;$J5,EXP(($Z5-$J5)*$G5),EXP(($J5-$Z5)*$G5)),EXP(($Z5-$J5)*$G5)),"")</f>
        <v/>
      </c>
      <c r="AB5" s="107"/>
      <c r="AC5" s="72" t="b">
        <f>IF(AND(NOT(Y5),AND(Y$4:Y4)),TRUE,Y5)</f>
        <v>1</v>
      </c>
      <c r="AD5" s="172">
        <f>IF(AND(NOT(ISBLANK(Jumpoverwrite5)),AND(NOT(AC5),AND(AC$4:AC4))),($J5*$G5-LN(1+Jumpoverwrite5*AE$2))/$G5,_xll.qlInterpolationInterpolate(AC$3,$F5,TRUE))</f>
        <v>4.0698389608611182E-3</v>
      </c>
      <c r="AE5" s="178" t="str">
        <f>IF(AND(NOT(AC5),AND(AC$4:AC4)),IF($AD5&lt;0,IF($AD5&lt;$J5,EXP(($AD5-$J5)*$G5),EXP(($J5-$AD5)*$G5)),EXP(($AD5-$J5)*$G5)),"")</f>
        <v/>
      </c>
      <c r="AF5" s="107"/>
      <c r="AG5" s="72" t="b">
        <f>IF(AND(NOT(AC5),AND(AC$4:AC4)),TRUE,AC5)</f>
        <v>1</v>
      </c>
      <c r="AH5" s="172">
        <f>IF(AND(NOT(ISBLANK(Jumpoverwrite6)),AND(NOT(AG5),AND(AG$4:AG4))),($J5*$G5-LN(1+Jumpoverwrite6*AI$2))/$G5,_xll.qlInterpolationInterpolate(AG$3,$F5,TRUE))</f>
        <v>4.0698389608611182E-3</v>
      </c>
      <c r="AI5" s="178" t="str">
        <f>IF(AND(NOT(AG5),AND(AG$4:AG4)),IF($AH5&lt;0,IF($AH5&lt;$J5,EXP(($AH5-$J5)*$G5),EXP(($J5-$AH5)*$G5)),EXP(($AH5-$J5)*$G5)),"")</f>
        <v/>
      </c>
      <c r="AJ5" s="107"/>
      <c r="AK5" s="72" t="b">
        <f>IF(AND(NOT(AG5),AND(AG$4:AG4)),TRUE,AG5)</f>
        <v>1</v>
      </c>
      <c r="AL5" s="172">
        <f>IF(AND(NOT(ISBLANK(Jumpoverwrite7)),AND(NOT(AK5),AND(AK$4:AK4))),($J5*$G5-LN(1+Jumpoverwrite7*AM$2))/$G5,_xll.qlInterpolationInterpolate(AK$3,$F5,TRUE))</f>
        <v>4.0698389608611182E-3</v>
      </c>
      <c r="AM5" s="178" t="str">
        <f>IF(AND(NOT(AK5),AND(AK$4:AK4)),IF($AL5&lt;0,IF($AL5&lt;$J5,EXP(($AL5-$J5)*$G5),EXP(($J5-$AL5)*$G5)),EXP(($AL5-$J5)*$G5)),"")</f>
        <v/>
      </c>
      <c r="AO5" s="72" t="b">
        <f>IF(AND(NOT(AK5),AND(AK$4:AK4)),TRUE,AK5)</f>
        <v>1</v>
      </c>
      <c r="AP5" s="172">
        <f>IF(AND(NOT(ISBLANK(Jumpoverwrite8)),AND(NOT(AO5),AND(AO$4:AO4))),($J5*$G5-LN(1+Jumpoverwrite8*AQ$2))/$G5,_xll.qlInterpolationInterpolate(AO$3,$F5,TRUE))</f>
        <v>4.0698389608611182E-3</v>
      </c>
      <c r="AQ5" s="178" t="str">
        <f>IF(AND(NOT(AO5),AND(AO$4:AO4)),IF($AP5&lt;0,IF($AP5&lt;$J5,EXP(($AP5-$J5)*$G5),EXP(($J5-$AP5)*$G5)),EXP(($AP5-$J5)*$G5)),"")</f>
        <v/>
      </c>
      <c r="AS5" s="72" t="b">
        <f>IF(AND(NOT(AO5),AND(AO$4:AO4)),TRUE,AO5)</f>
        <v>1</v>
      </c>
      <c r="AT5" s="172">
        <f>IF(AND(NOT(ISBLANK(Jumpoverwrite9)),AND(NOT(AS5),AND(AS$4:AS4))),($J5*$G5-LN(1+Jumpoverwrite9*AU$2))/$G5,_xll.qlInterpolationInterpolate(AS$3,$F5,TRUE))</f>
        <v>4.0698389608611182E-3</v>
      </c>
      <c r="AU5" s="178" t="str">
        <f>IF(AND(NOT(AS5),AND(AS$4:AS4)),IF($AT5&lt;0,IF($AT5&lt;$J5,EXP(($AT5-$J5)*$G5),EXP(($J5-$AT5)*$G5)),EXP(($AT5-$J5)*$G5)),"")</f>
        <v/>
      </c>
      <c r="AW5" s="72" t="b">
        <f>IF(AND(NOT(AS5),AND(AS$4:AS4)),TRUE,AS5)</f>
        <v>1</v>
      </c>
      <c r="AX5" s="172">
        <f>IF(AND(NOT(ISBLANK(Jumpoverwrite10)),AND(NOT(AW5),AND(AW$4:AW4))),($J5*$G5-LN(1+Jumpoverwrite10*AY$2))/$G5,_xll.qlInterpolationInterpolate(AW$3,$F5,TRUE))</f>
        <v>4.0698389608611182E-3</v>
      </c>
      <c r="AY5" s="178" t="str">
        <f>IF(AND(NOT(AW5),AND(AW$4:AW4)),IF($AX5&lt;0,IF($AX5&lt;$J5,EXP(($AX5-$J5)*$G5),EXP(($J5-$AX5)*$G5)),EXP(($AX5-$J5)*$G5)),"")</f>
        <v/>
      </c>
      <c r="BA5" s="72" t="b">
        <f>IF(AND(NOT(AW5),AND(AW$4:AW4)),TRUE,AW5)</f>
        <v>1</v>
      </c>
      <c r="BB5" s="172">
        <f>IF(AND(NOT(ISBLANK(Jumpoverwrite11)),AND(NOT(BA5),AND(BA$4:BA4))),($J5*$G5-LN(1+Jumpoverwrite11*BC$2))/$G5,_xll.qlInterpolationInterpolate(BA$3,$F5,TRUE))</f>
        <v>4.0698389608611182E-3</v>
      </c>
      <c r="BC5" s="178" t="str">
        <f>IF(AND(NOT(BA5),AND(BA$4:BA4)),IF($BB5&lt;0,IF($BB5&lt;$J5,EXP(($BB5-$J5)*$G5),EXP(($J5-$BB5)*$G5)),EXP(($BB5-$J5)*$G5)),"")</f>
        <v/>
      </c>
      <c r="BE5" s="72" t="b">
        <f>IF(AND(NOT(BA5),AND(BA$4:BA4)),TRUE,BA5)</f>
        <v>1</v>
      </c>
      <c r="BF5" s="172">
        <f>IF(AND(NOT(ISBLANK(Jumpoverwrite12)),AND(NOT(BE5),AND(BE$4:BE4))),($J5*$G5-LN(1+Jumpoverwrite12*BG$2))/$G5,_xll.qlInterpolationInterpolate(BE$3,$F5,TRUE))</f>
        <v>4.0698389608611182E-3</v>
      </c>
      <c r="BG5" s="178" t="str">
        <f>IF(AND(NOT(BE5),AND(BE$4:BE4)),IF($BF5&lt;0,IF($BF5&lt;$J5,EXP(($BF5-$J5)*$G5),EXP(($J5-$BF5)*$G5)),EXP(($BF5-$J5)*$G5)),"")</f>
        <v/>
      </c>
      <c r="BI5" s="72" t="b">
        <f t="shared" ref="BI5:BI36" si="1">IF(ISERROR(K5),FALSE,IF(YEAR(K5)-YEAR(SettlementDate)=2,FALSE,TRUE))</f>
        <v>1</v>
      </c>
      <c r="BJ5" s="172">
        <f>IF(AND(NOT(ISBLANK(jumpoverwrite13)),AND(NOT(BI5),AND(BI$4:BI4))),($J5*$G5-LN(1+jumpoverwrite13*BK$2))/$G5,_xll.qlInterpolationInterpolate(BI$3,$F5,TRUE))</f>
        <v>4.0698389608611182E-3</v>
      </c>
      <c r="BK5" s="178" t="str">
        <f>IF(AND(NOT(BI5),AND(BI$4:BI4)),IF($BJ5&lt;0,IF($BJ5&lt;$J5,EXP(($BJ5-$J5)*$G5),EXP(($J5-$BJ5)*$G5)),EXP(($BJ5-$J5)*$G5)),"")</f>
        <v/>
      </c>
      <c r="BM5" s="72" t="b">
        <f>IF(AND(NOT(BI5),AND(BI$4:BI4)),TRUE,BI5)</f>
        <v>1</v>
      </c>
      <c r="BN5" s="172">
        <f>IF(AND(NOT(ISBLANK(Jumpoverwrite14)),AND(NOT(BM5),AND(BM$4:BM4))),($J5*$G5-LN(1+Jumpoverwrite14*BO$2))/$G5,_xll.qlInterpolationInterpolate(BM$3,$F5,TRUE))</f>
        <v>4.0698389608611182E-3</v>
      </c>
      <c r="BO5" s="178" t="str">
        <f>IF(AND(NOT(BM5),AND(BM$4:BM4)),IF($BN5&lt;0,IF($BN5&lt;$J5,EXP(($BN5-$J5)*$G5),EXP(($J5-$BN5)*$G5)),EXP(($BN5-$J5)*$G5)),"")</f>
        <v/>
      </c>
      <c r="BQ5" s="72" t="b">
        <f>IF(AND(NOT(BM5),AND(BM$4:BM4)),TRUE,BM5)</f>
        <v>1</v>
      </c>
      <c r="BR5" s="172">
        <f>IF(AND(NOT(ISBLANK(Jumpoverwrite15)),AND(NOT(BQ5),AND(BQ$4:BQ4))),($J5*$G5-LN(1+Jumpoverwrite15*BS$2))/$G5,_xll.qlInterpolationInterpolate(BQ$3,$F5,TRUE))</f>
        <v>4.0698389608611182E-3</v>
      </c>
      <c r="BS5" s="178" t="str">
        <f>IF(AND(NOT(BQ5),AND(BQ$4:BQ4)),IF($BN5&lt;0,IF($BN5&lt;$J5,EXP(($BN5-$J5)*$G5),EXP(($J5-$BN5)*$G5)),EXP(($BN5-$J5)*$G5)),"")</f>
        <v/>
      </c>
    </row>
    <row r="6" spans="1:71" x14ac:dyDescent="0.2">
      <c r="A6" s="33" t="str">
        <v>obj_0020e</v>
      </c>
      <c r="B6" s="17">
        <f>_xll.qlRateHelperRate($A6,InterestRatesTrigger)</f>
        <v>4.0300000000000006E-3</v>
      </c>
      <c r="C6" s="18">
        <f>_xll.qlRateHelperEarliestDate($A6)</f>
        <v>42664</v>
      </c>
      <c r="D6" s="19">
        <f>_xll.qlRateHelperPillarDate($A6)</f>
        <v>42678</v>
      </c>
      <c r="F6" s="84">
        <f t="shared" si="0"/>
        <v>42674.5</v>
      </c>
      <c r="G6" s="85">
        <f>_xll.qlDayCounterYearFraction(DayCounter,D5,D6)</f>
        <v>1.9444444444444445E-2</v>
      </c>
      <c r="H6" s="104"/>
      <c r="I6" s="93" t="b">
        <f t="shared" ref="I6:I69" si="2">IF(ISERROR(K6),FALSE,IF(OR(MONTH(K6)-MONTH(K5)=1,YEAR(K6)-YEAR(K5)=1),FALSE,TRUE))</f>
        <v>0</v>
      </c>
      <c r="J6" s="37">
        <v>3.9895295145672355E-3</v>
      </c>
      <c r="K6" s="94">
        <f t="shared" ref="K6:K69" si="3">D6</f>
        <v>42678</v>
      </c>
      <c r="L6" s="75"/>
      <c r="M6" s="72" t="b">
        <f>IF(AND(NOT(I6),AND(I$4:I5)),TRUE,I6)</f>
        <v>0</v>
      </c>
      <c r="N6" s="172">
        <f>IF(AND(NOT(ISBLANK(Jumpoverwrite1)),AND(NOT(M6),AND(M$4:M5))),($J6*$G6-LN(1+Jumpoverwrite1*O$2))/$G6,_xll.qlInterpolationInterpolate(M$3,$F6,TRUE))</f>
        <v>4.1056390544781645E-3</v>
      </c>
      <c r="O6" s="34">
        <f>IF(AND(NOT(M6),AND(M$4:M5)),IF($N6&lt;0,IF($N6&lt;$J6,EXP(($N6-$J6)*$G6),EXP(($J6-$N6)*$G6)),EXP(($N6-$J6)*$G6)),"")</f>
        <v>1.0000022576880467</v>
      </c>
      <c r="P6" s="107"/>
      <c r="Q6" s="72" t="b">
        <f>IF(AND(NOT(M6),AND(M$4:M5)),TRUE,M6)</f>
        <v>1</v>
      </c>
      <c r="R6" s="172">
        <f>IF(AND(NOT(ISBLANK(Jumpoverwrite2)),AND(NOT(Q6),AND(Q$4:Q5))),($J6*$G6-LN(1+Jumpoverwrite2*S$2))/$G6,_xll.qlInterpolationInterpolate(Q$3,$F6,TRUE))</f>
        <v>4.1056390544781645E-3</v>
      </c>
      <c r="S6" s="176" t="str">
        <f>IF(AND(NOT(Q6),AND(Q$4:Q5)),IF($R6&lt;0,IF($R6&lt;$J6,EXP(($R6-$J6)*$G6),EXP(($J6-$R6)*$G6)),EXP(($R6-$J6)*$G6)),"")</f>
        <v/>
      </c>
      <c r="T6" s="107"/>
      <c r="U6" s="72" t="b">
        <f>IF(AND(NOT(Q6),AND(Q$4:Q5)),TRUE,Q6)</f>
        <v>1</v>
      </c>
      <c r="V6" s="172">
        <f>IF(AND(NOT(ISBLANK(Jumpoverwrite3)),AND(NOT(U6),AND(U$4:U5))),($J6*$G6-LN(1+Jumpoverwrite3*W$2))/$G6,_xll.qlInterpolationInterpolate(U$3,$F6,TRUE))</f>
        <v>4.1056390544781645E-3</v>
      </c>
      <c r="W6" s="176" t="str">
        <f>IF(AND(NOT(U6),AND(U$4:U5)),IF($V6&lt;0,IF($V6&lt;$J6,EXP(($V6-$J6)*$G6),EXP(($J6-$V6)*$G6)),EXP(($V6-$J6)*$G6)),"")</f>
        <v/>
      </c>
      <c r="X6" s="107"/>
      <c r="Y6" s="72" t="b">
        <f>IF(AND(NOT(U6),AND(U$4:U5)),TRUE,U6)</f>
        <v>1</v>
      </c>
      <c r="Z6" s="172">
        <f>IF(AND(NOT(ISBLANK(Jumpoverwrite4)),AND(NOT(Y6),AND(Y$4:Y5))),($J6*$G6-LN(1+Jumpoverwrite4*AA$2))/$G6,_xll.qlInterpolationInterpolate(Y$3,$F6,TRUE))</f>
        <v>4.1056390544781645E-3</v>
      </c>
      <c r="AA6" s="176" t="str">
        <f>IF(AND(NOT(Y6),AND(Y$4:Y5)),IF($Z6&lt;0,IF($Z6&lt;$J6,EXP(($Z6-$J6)*$G6),EXP(($J6-$Z6)*$G6)),EXP(($Z6-$J6)*$G6)),"")</f>
        <v/>
      </c>
      <c r="AB6" s="107"/>
      <c r="AC6" s="72" t="b">
        <f>IF(AND(NOT(Y6),AND(Y$4:Y5)),TRUE,Y6)</f>
        <v>1</v>
      </c>
      <c r="AD6" s="172">
        <f>IF(AND(NOT(ISBLANK(Jumpoverwrite5)),AND(NOT(AC6),AND(AC$4:AC5))),($J6*$G6-LN(1+Jumpoverwrite5*AE$2))/$G6,_xll.qlInterpolationInterpolate(AC$3,$F6,TRUE))</f>
        <v>4.1056390544781645E-3</v>
      </c>
      <c r="AE6" s="176" t="str">
        <f>IF(AND(NOT(AC6),AND(AC$4:AC5)),IF($AD6&lt;0,IF($AD6&lt;$J6,EXP(($AD6-$J6)*$G6),EXP(($J6-$AD6)*$G6)),EXP(($AD6-$J6)*$G6)),"")</f>
        <v/>
      </c>
      <c r="AF6" s="107"/>
      <c r="AG6" s="72" t="b">
        <f>IF(AND(NOT(AC6),AND(AC$4:AC5)),TRUE,AC6)</f>
        <v>1</v>
      </c>
      <c r="AH6" s="172">
        <f>IF(AND(NOT(ISBLANK(Jumpoverwrite6)),AND(NOT(AG6),AND(AG$4:AG5))),($J6*$G6-LN(1+Jumpoverwrite6*AI$2))/$G6,_xll.qlInterpolationInterpolate(AG$3,$F6,TRUE))</f>
        <v>4.1056390544781645E-3</v>
      </c>
      <c r="AI6" s="176" t="str">
        <f>IF(AND(NOT(AG6),AND(AG$4:AG5)),IF($AH6&lt;0,IF($AH6&lt;$J6,EXP(($AH6-$J6)*$G6),EXP(($J6-$AH6)*$G6)),EXP(($AH6-$J6)*$G6)),"")</f>
        <v/>
      </c>
      <c r="AJ6" s="107"/>
      <c r="AK6" s="72" t="b">
        <f>IF(AND(NOT(AG6),AND(AG$4:AG5)),TRUE,AG6)</f>
        <v>1</v>
      </c>
      <c r="AL6" s="172">
        <f>IF(AND(NOT(ISBLANK(Jumpoverwrite7)),AND(NOT(AK6),AND(AK$4:AK5))),($J6*$G6-LN(1+Jumpoverwrite7*AM$2))/$G6,_xll.qlInterpolationInterpolate(AK$3,$F6,TRUE))</f>
        <v>4.1056390544781645E-3</v>
      </c>
      <c r="AM6" s="176" t="str">
        <f>IF(AND(NOT(AK6),AND(AK$4:AK5)),IF($AL6&lt;0,IF($AL6&lt;$J6,EXP(($AL6-$J6)*$G6),EXP(($J6-$AL6)*$G6)),EXP(($AL6-$J6)*$G6)),"")</f>
        <v/>
      </c>
      <c r="AO6" s="72" t="b">
        <f>IF(AND(NOT(AK6),AND(AK$4:AK5)),TRUE,AK6)</f>
        <v>1</v>
      </c>
      <c r="AP6" s="172">
        <f>IF(AND(NOT(ISBLANK(Jumpoverwrite8)),AND(NOT(AO6),AND(AO$4:AO5))),($J6*$G6-LN(1+Jumpoverwrite8*AQ$2))/$G6,_xll.qlInterpolationInterpolate(AO$3,$F6,TRUE))</f>
        <v>4.1056390544781645E-3</v>
      </c>
      <c r="AQ6" s="176" t="str">
        <f>IF(AND(NOT(AO6),AND(AO$4:AO5)),IF($AP6&lt;0,IF($AP6&lt;$J6,EXP(($AP6-$J6)*$G6),EXP(($J6-$AP6)*$G6)),EXP(($AP6-$J6)*$G6)),"")</f>
        <v/>
      </c>
      <c r="AS6" s="72" t="b">
        <f>IF(AND(NOT(AO6),AND(AO$4:AO5)),TRUE,AO6)</f>
        <v>1</v>
      </c>
      <c r="AT6" s="172">
        <f>IF(AND(NOT(ISBLANK(Jumpoverwrite9)),AND(NOT(AS6),AND(AS$4:AS5))),($J6*$G6-LN(1+Jumpoverwrite9*AU$2))/$G6,_xll.qlInterpolationInterpolate(AS$3,$F6,TRUE))</f>
        <v>4.1056390544781645E-3</v>
      </c>
      <c r="AU6" s="176" t="str">
        <f>IF(AND(NOT(AS6),AND(AS$4:AS5)),IF($AT6&lt;0,IF($AT6&lt;$J6,EXP(($AT6-$J6)*$G6),EXP(($J6-$AT6)*$G6)),EXP(($AT6-$J6)*$G6)),"")</f>
        <v/>
      </c>
      <c r="AW6" s="72" t="b">
        <f>IF(AND(NOT(AS6),AND(AS$4:AS5)),TRUE,AS6)</f>
        <v>1</v>
      </c>
      <c r="AX6" s="172">
        <f>IF(AND(NOT(ISBLANK(Jumpoverwrite10)),AND(NOT(AW6),AND(AW$4:AW5))),($J6*$G6-LN(1+Jumpoverwrite10*AY$2))/$G6,_xll.qlInterpolationInterpolate(AW$3,$F6,TRUE))</f>
        <v>4.1056390544781645E-3</v>
      </c>
      <c r="AY6" s="176" t="str">
        <f>IF(AND(NOT(AW6),AND(AW$4:AW5)),IF($AX6&lt;0,IF($AX6&lt;$J6,EXP(($AX6-$J6)*$G6),EXP(($J6-$AX6)*$G6)),EXP(($AX6-$J6)*$G6)),"")</f>
        <v/>
      </c>
      <c r="BA6" s="72" t="b">
        <f>IF(AND(NOT(AW6),AND(AW$4:AW5)),TRUE,AW6)</f>
        <v>1</v>
      </c>
      <c r="BB6" s="172">
        <f>IF(AND(NOT(ISBLANK(Jumpoverwrite11)),AND(NOT(BA6),AND(BA$4:BA5))),($J6*$G6-LN(1+Jumpoverwrite11*BC$2))/$G6,_xll.qlInterpolationInterpolate(BA$3,$F6,TRUE))</f>
        <v>4.1056390544781645E-3</v>
      </c>
      <c r="BC6" s="176" t="str">
        <f>IF(AND(NOT(BA6),AND(BA$4:BA5)),IF($BB6&lt;0,IF($BB6&lt;$J6,EXP(($BB6-$J6)*$G6),EXP(($J6-$BB6)*$G6)),EXP(($BB6-$J6)*$G6)),"")</f>
        <v/>
      </c>
      <c r="BE6" s="72" t="b">
        <f>IF(AND(NOT(BA6),AND(BA$4:BA5)),TRUE,BA6)</f>
        <v>1</v>
      </c>
      <c r="BF6" s="172">
        <f>IF(AND(NOT(ISBLANK(Jumpoverwrite12)),AND(NOT(BE6),AND(BE$4:BE5))),($J6*$G6-LN(1+Jumpoverwrite12*BG$2))/$G6,_xll.qlInterpolationInterpolate(BE$3,$F6,TRUE))</f>
        <v>4.1056390544781645E-3</v>
      </c>
      <c r="BG6" s="176" t="str">
        <f>IF(AND(NOT(BE6),AND(BE$4:BE5)),IF($BF6&lt;0,IF($BF6&lt;$J6,EXP(($BF6-$J6)*$G6),EXP(($J6-$BF6)*$G6)),EXP(($BF6-$J6)*$G6)),"")</f>
        <v/>
      </c>
      <c r="BI6" s="72" t="b">
        <f t="shared" si="1"/>
        <v>1</v>
      </c>
      <c r="BJ6" s="172">
        <f>IF(AND(NOT(ISBLANK(jumpoverwrite13)),AND(NOT(BI6),AND(BI$4:BI5))),($J6*$G6-LN(1+jumpoverwrite13*BK$2))/$G6,_xll.qlInterpolationInterpolate(BI$3,$F6,TRUE))</f>
        <v>4.1056390544781645E-3</v>
      </c>
      <c r="BK6" s="176" t="str">
        <f>IF(AND(NOT(BI6),AND(BI$4:BI5)),IF($BJ6&lt;0,IF($BJ6&lt;$J6,EXP(($BJ6-$J6)*$G6),EXP(($J6-$BJ6)*$G6)),EXP(($BJ6-$J6)*$G6)),"")</f>
        <v/>
      </c>
      <c r="BM6" s="72" t="b">
        <f>IF(AND(NOT(BI6),AND(BI$4:BI5)),TRUE,BI6)</f>
        <v>1</v>
      </c>
      <c r="BN6" s="172">
        <f>IF(AND(NOT(ISBLANK(Jumpoverwrite14)),AND(NOT(BM6),AND(BM$4:BM5))),($J6*$G6-LN(1+Jumpoverwrite14*BO$2))/$G6,_xll.qlInterpolationInterpolate(BM$3,$F6,TRUE))</f>
        <v>4.1056390544781645E-3</v>
      </c>
      <c r="BO6" s="176" t="str">
        <f>IF(AND(NOT(BM6),AND(BM$4:BM5)),IF($BN6&lt;0,IF($BN6&lt;$J6,EXP(($BN6-$J6)*$G6),EXP(($J6-$BN6)*$G6)),EXP(($BN6-$J6)*$G6)),"")</f>
        <v/>
      </c>
      <c r="BQ6" s="72" t="b">
        <f>IF(AND(NOT(BM6),AND(BM$4:BM5)),TRUE,BM6)</f>
        <v>1</v>
      </c>
      <c r="BR6" s="172">
        <f>IF(AND(NOT(ISBLANK(Jumpoverwrite15)),AND(NOT(BQ6),AND(BQ$4:BQ5))),($J6*$G6-LN(1+Jumpoverwrite15*BS$2))/$G6,_xll.qlInterpolationInterpolate(BQ$3,$F6,TRUE))</f>
        <v>4.1056390544781645E-3</v>
      </c>
      <c r="BS6" s="176" t="str">
        <f>IF(AND(NOT(BQ6),AND(BQ$4:BQ5)),IF($BN6&lt;0,IF($BN6&lt;$J6,EXP(($BN6-$J6)*$G6),EXP(($J6-$BN6)*$G6)),EXP(($BN6-$J6)*$G6)),"")</f>
        <v/>
      </c>
    </row>
    <row r="7" spans="1:71" x14ac:dyDescent="0.2">
      <c r="A7" s="33" t="str">
        <v>obj_00204</v>
      </c>
      <c r="B7" s="17">
        <f>_xll.qlRateHelperRate($A7,InterestRatesTrigger)</f>
        <v>4.0800000000000003E-3</v>
      </c>
      <c r="C7" s="18">
        <f>_xll.qlRateHelperEarliestDate($A7)</f>
        <v>42664</v>
      </c>
      <c r="D7" s="19">
        <f>_xll.qlRateHelperPillarDate($A7)</f>
        <v>42688</v>
      </c>
      <c r="F7" s="84">
        <f t="shared" si="0"/>
        <v>42683</v>
      </c>
      <c r="G7" s="85">
        <f>_xll.qlDayCounterYearFraction(DayCounter,D6,D7)</f>
        <v>2.7777777777777776E-2</v>
      </c>
      <c r="I7" s="93" t="b">
        <f t="shared" si="2"/>
        <v>1</v>
      </c>
      <c r="J7" s="37">
        <v>4.1491105967274341E-3</v>
      </c>
      <c r="K7" s="94">
        <f t="shared" si="3"/>
        <v>42688</v>
      </c>
      <c r="L7" s="75"/>
      <c r="M7" s="72" t="b">
        <f>IF(AND(NOT(I7),AND(I$4:I6)),TRUE,I7)</f>
        <v>1</v>
      </c>
      <c r="N7" s="172">
        <f>IF(AND(NOT(ISBLANK(Jumpoverwrite1)),AND(NOT(M7),AND(M$4:M6))),($J7*$G7-LN(1+Jumpoverwrite1*O$2))/$G7,_xll.qlInterpolationInterpolate(M$3,$F7,TRUE))</f>
        <v>4.1491105967274341E-3</v>
      </c>
      <c r="O7" s="34" t="str">
        <f>IF(AND(NOT(M7),AND(M$4:M6)),IF($N7&lt;0,IF($N7&lt;$J7,EXP(($N7-$J7)*$G7),EXP(($J7-$N7)*$G7)),EXP(($N7-$J7)*$G7)),"")</f>
        <v/>
      </c>
      <c r="P7" s="108"/>
      <c r="Q7" s="72" t="b">
        <f>IF(AND(NOT(M7),AND(M$4:M6)),TRUE,M7)</f>
        <v>1</v>
      </c>
      <c r="R7" s="172">
        <f>IF(AND(NOT(ISBLANK(Jumpoverwrite2)),AND(NOT(Q7),AND(Q$4:Q6))),($J7*$G7-LN(1+Jumpoverwrite2*S$2))/$G7,_xll.qlInterpolationInterpolate(Q$3,$F7,TRUE))</f>
        <v>4.1491105967274341E-3</v>
      </c>
      <c r="S7" s="176" t="str">
        <f>IF(AND(NOT(Q7),AND(Q$4:Q6)),IF($R7&lt;0,IF($R7&lt;$J7,EXP(($R7-$J7)*$G7),EXP(($J7-$R7)*$G7)),EXP(($R7-$J7)*$G7)),"")</f>
        <v/>
      </c>
      <c r="T7" s="107"/>
      <c r="U7" s="72" t="b">
        <f>IF(AND(NOT(Q7),AND(Q$4:Q6)),TRUE,Q7)</f>
        <v>1</v>
      </c>
      <c r="V7" s="172">
        <f>IF(AND(NOT(ISBLANK(Jumpoverwrite3)),AND(NOT(U7),AND(U$4:U6))),($J7*$G7-LN(1+Jumpoverwrite3*W$2))/$G7,_xll.qlInterpolationInterpolate(U$3,$F7,TRUE))</f>
        <v>4.1491105967274341E-3</v>
      </c>
      <c r="W7" s="176" t="str">
        <f>IF(AND(NOT(U7),AND(U$4:U6)),IF($V7&lt;0,IF($V7&lt;$J7,EXP(($V7-$J7)*$G7),EXP(($J7-$V7)*$G7)),EXP(($V7-$J7)*$G7)),"")</f>
        <v/>
      </c>
      <c r="X7" s="107"/>
      <c r="Y7" s="72" t="b">
        <f>IF(AND(NOT(U7),AND(U$4:U6)),TRUE,U7)</f>
        <v>1</v>
      </c>
      <c r="Z7" s="172">
        <f>IF(AND(NOT(ISBLANK(Jumpoverwrite4)),AND(NOT(Y7),AND(Y$4:Y6))),($J7*$G7-LN(1+Jumpoverwrite4*AA$2))/$G7,_xll.qlInterpolationInterpolate(Y$3,$F7,TRUE))</f>
        <v>4.1491105967274341E-3</v>
      </c>
      <c r="AA7" s="176" t="str">
        <f>IF(AND(NOT(Y7),AND(Y$4:Y6)),IF($Z7&lt;0,IF($Z7&lt;$J7,EXP(($Z7-$J7)*$G7),EXP(($J7-$Z7)*$G7)),EXP(($Z7-$J7)*$G7)),"")</f>
        <v/>
      </c>
      <c r="AB7" s="107"/>
      <c r="AC7" s="72" t="b">
        <f>IF(AND(NOT(Y7),AND(Y$4:Y6)),TRUE,Y7)</f>
        <v>1</v>
      </c>
      <c r="AD7" s="172">
        <f>IF(AND(NOT(ISBLANK(Jumpoverwrite5)),AND(NOT(AC7),AND(AC$4:AC6))),($J7*$G7-LN(1+Jumpoverwrite5*AE$2))/$G7,_xll.qlInterpolationInterpolate(AC$3,$F7,TRUE))</f>
        <v>4.1491105967274341E-3</v>
      </c>
      <c r="AE7" s="176" t="str">
        <f>IF(AND(NOT(AC7),AND(AC$4:AC6)),IF($AD7&lt;0,IF($AD7&lt;$J7,EXP(($AD7-$J7)*$G7),EXP(($J7-$AD7)*$G7)),EXP(($AD7-$J7)*$G7)),"")</f>
        <v/>
      </c>
      <c r="AF7" s="107"/>
      <c r="AG7" s="72" t="b">
        <f>IF(AND(NOT(AC7),AND(AC$4:AC6)),TRUE,AC7)</f>
        <v>1</v>
      </c>
      <c r="AH7" s="172">
        <f>IF(AND(NOT(ISBLANK(Jumpoverwrite6)),AND(NOT(AG7),AND(AG$4:AG6))),($J7*$G7-LN(1+Jumpoverwrite6*AI$2))/$G7,_xll.qlInterpolationInterpolate(AG$3,$F7,TRUE))</f>
        <v>4.1491105967274341E-3</v>
      </c>
      <c r="AI7" s="176" t="str">
        <f>IF(AND(NOT(AG7),AND(AG$4:AG6)),IF($AH7&lt;0,IF($AH7&lt;$J7,EXP(($AH7-$J7)*$G7),EXP(($J7-$AH7)*$G7)),EXP(($AH7-$J7)*$G7)),"")</f>
        <v/>
      </c>
      <c r="AJ7" s="107"/>
      <c r="AK7" s="72" t="b">
        <f>IF(AND(NOT(AG7),AND(AG$4:AG6)),TRUE,AG7)</f>
        <v>1</v>
      </c>
      <c r="AL7" s="172">
        <f>IF(AND(NOT(ISBLANK(Jumpoverwrite7)),AND(NOT(AK7),AND(AK$4:AK6))),($J7*$G7-LN(1+Jumpoverwrite7*AM$2))/$G7,_xll.qlInterpolationInterpolate(AK$3,$F7,TRUE))</f>
        <v>4.1491105967274341E-3</v>
      </c>
      <c r="AM7" s="176" t="str">
        <f>IF(AND(NOT(AK7),AND(AK$4:AK6)),IF($AL7&lt;0,IF($AL7&lt;$J7,EXP(($AL7-$J7)*$G7),EXP(($J7-$AL7)*$G7)),EXP(($AL7-$J7)*$G7)),"")</f>
        <v/>
      </c>
      <c r="AO7" s="72" t="b">
        <f>IF(AND(NOT(AK7),AND(AK$4:AK6)),TRUE,AK7)</f>
        <v>1</v>
      </c>
      <c r="AP7" s="172">
        <f>IF(AND(NOT(ISBLANK(Jumpoverwrite8)),AND(NOT(AO7),AND(AO$4:AO6))),($J7*$G7-LN(1+Jumpoverwrite8*AQ$2))/$G7,_xll.qlInterpolationInterpolate(AO$3,$F7,TRUE))</f>
        <v>4.1491105967274341E-3</v>
      </c>
      <c r="AQ7" s="176" t="str">
        <f>IF(AND(NOT(AO7),AND(AO$4:AO6)),IF($AP7&lt;0,IF($AP7&lt;$J7,EXP(($AP7-$J7)*$G7),EXP(($J7-$AP7)*$G7)),EXP(($AP7-$J7)*$G7)),"")</f>
        <v/>
      </c>
      <c r="AS7" s="72" t="b">
        <f>IF(AND(NOT(AO7),AND(AO$4:AO6)),TRUE,AO7)</f>
        <v>1</v>
      </c>
      <c r="AT7" s="172">
        <f>IF(AND(NOT(ISBLANK(Jumpoverwrite9)),AND(NOT(AS7),AND(AS$4:AS6))),($J7*$G7-LN(1+Jumpoverwrite9*AU$2))/$G7,_xll.qlInterpolationInterpolate(AS$3,$F7,TRUE))</f>
        <v>4.1491105967274341E-3</v>
      </c>
      <c r="AU7" s="176" t="str">
        <f>IF(AND(NOT(AS7),AND(AS$4:AS6)),IF($AT7&lt;0,IF($AT7&lt;$J7,EXP(($AT7-$J7)*$G7),EXP(($J7-$AT7)*$G7)),EXP(($AT7-$J7)*$G7)),"")</f>
        <v/>
      </c>
      <c r="AW7" s="72" t="b">
        <f>IF(AND(NOT(AS7),AND(AS$4:AS6)),TRUE,AS7)</f>
        <v>1</v>
      </c>
      <c r="AX7" s="172">
        <f>IF(AND(NOT(ISBLANK(Jumpoverwrite10)),AND(NOT(AW7),AND(AW$4:AW6))),($J7*$G7-LN(1+Jumpoverwrite10*AY$2))/$G7,_xll.qlInterpolationInterpolate(AW$3,$F7,TRUE))</f>
        <v>4.1491105967274341E-3</v>
      </c>
      <c r="AY7" s="176" t="str">
        <f>IF(AND(NOT(AW7),AND(AW$4:AW6)),IF($AX7&lt;0,IF($AX7&lt;$J7,EXP(($AX7-$J7)*$G7),EXP(($J7-$AX7)*$G7)),EXP(($AX7-$J7)*$G7)),"")</f>
        <v/>
      </c>
      <c r="BA7" s="72" t="b">
        <f>IF(AND(NOT(AW7),AND(AW$4:AW6)),TRUE,AW7)</f>
        <v>1</v>
      </c>
      <c r="BB7" s="172">
        <f>IF(AND(NOT(ISBLANK(Jumpoverwrite11)),AND(NOT(BA7),AND(BA$4:BA6))),($J7*$G7-LN(1+Jumpoverwrite11*BC$2))/$G7,_xll.qlInterpolationInterpolate(BA$3,$F7,TRUE))</f>
        <v>4.1491105967274341E-3</v>
      </c>
      <c r="BC7" s="176" t="str">
        <f>IF(AND(NOT(BA7),AND(BA$4:BA6)),IF($BB7&lt;0,IF($BB7&lt;$J7,EXP(($BB7-$J7)*$G7),EXP(($J7-$BB7)*$G7)),EXP(($BB7-$J7)*$G7)),"")</f>
        <v/>
      </c>
      <c r="BE7" s="72" t="b">
        <f>IF(AND(NOT(BA7),AND(BA$4:BA6)),TRUE,BA7)</f>
        <v>1</v>
      </c>
      <c r="BF7" s="172">
        <f>IF(AND(NOT(ISBLANK(Jumpoverwrite12)),AND(NOT(BE7),AND(BE$4:BE6))),($J7*$G7-LN(1+Jumpoverwrite12*BG$2))/$G7,_xll.qlInterpolationInterpolate(BE$3,$F7,TRUE))</f>
        <v>4.1491105967274341E-3</v>
      </c>
      <c r="BG7" s="176" t="str">
        <f>IF(AND(NOT(BE7),AND(BE$4:BE6)),IF($BF7&lt;0,IF($BF7&lt;$J7,EXP(($BF7-$J7)*$G7),EXP(($J7-$BF7)*$G7)),EXP(($BF7-$J7)*$G7)),"")</f>
        <v/>
      </c>
      <c r="BI7" s="72" t="b">
        <f t="shared" si="1"/>
        <v>1</v>
      </c>
      <c r="BJ7" s="172">
        <f>IF(AND(NOT(ISBLANK(jumpoverwrite13)),AND(NOT(BI7),AND(BI$4:BI6))),($J7*$G7-LN(1+jumpoverwrite13*BK$2))/$G7,_xll.qlInterpolationInterpolate(BI$3,$F7,TRUE))</f>
        <v>4.1491105967274341E-3</v>
      </c>
      <c r="BK7" s="176" t="str">
        <f>IF(AND(NOT(BI7),AND(BI$4:BI6)),IF($BJ7&lt;0,IF($BJ7&lt;$J7,EXP(($BJ7-$J7)*$G7),EXP(($J7-$BJ7)*$G7)),EXP(($BJ7-$J7)*$G7)),"")</f>
        <v/>
      </c>
      <c r="BM7" s="72" t="b">
        <f>IF(AND(NOT(BI7),AND(BI$4:BI6)),TRUE,BI7)</f>
        <v>1</v>
      </c>
      <c r="BN7" s="172">
        <f>IF(AND(NOT(ISBLANK(Jumpoverwrite14)),AND(NOT(BM7),AND(BM$4:BM6))),($J7*$G7-LN(1+Jumpoverwrite14*BO$2))/$G7,_xll.qlInterpolationInterpolate(BM$3,$F7,TRUE))</f>
        <v>4.1491105967274341E-3</v>
      </c>
      <c r="BO7" s="176" t="str">
        <f>IF(AND(NOT(BM7),AND(BM$4:BM6)),IF($BN7&lt;0,IF($BN7&lt;$J7,EXP(($BN7-$J7)*$G7),EXP(($J7-$BN7)*$G7)),EXP(($BN7-$J7)*$G7)),"")</f>
        <v/>
      </c>
      <c r="BQ7" s="72" t="b">
        <f>IF(AND(NOT(BM7),AND(BM$4:BM6)),TRUE,BM7)</f>
        <v>1</v>
      </c>
      <c r="BR7" s="172">
        <f>IF(AND(NOT(ISBLANK(Jumpoverwrite15)),AND(NOT(BQ7),AND(BQ$4:BQ6))),($J7*$G7-LN(1+Jumpoverwrite15*BS$2))/$G7,_xll.qlInterpolationInterpolate(BQ$3,$F7,TRUE))</f>
        <v>4.1491105967274341E-3</v>
      </c>
      <c r="BS7" s="176" t="str">
        <f>IF(AND(NOT(BQ7),AND(BQ$4:BQ6)),IF($BN7&lt;0,IF($BN7&lt;$J7,EXP(($BN7-$J7)*$G7),EXP(($J7-$BN7)*$G7)),EXP(($BN7-$J7)*$G7)),"")</f>
        <v/>
      </c>
    </row>
    <row r="8" spans="1:71" x14ac:dyDescent="0.2">
      <c r="A8" s="33" t="str">
        <v>obj_00210</v>
      </c>
      <c r="B8" s="17">
        <f>_xll.qlRateHelperRate($A8,InterestRatesTrigger)</f>
        <v>4.1000000000000003E-3</v>
      </c>
      <c r="C8" s="18">
        <f>_xll.qlRateHelperEarliestDate($A8)</f>
        <v>42664</v>
      </c>
      <c r="D8" s="19">
        <f>_xll.qlRateHelperPillarDate($A8)</f>
        <v>42695</v>
      </c>
      <c r="F8" s="84">
        <f t="shared" si="0"/>
        <v>42691.5</v>
      </c>
      <c r="G8" s="85">
        <f>_xll.qlDayCounterYearFraction(DayCounter,D7,D8)</f>
        <v>1.9444444444444445E-2</v>
      </c>
      <c r="I8" s="93" t="b">
        <f t="shared" si="2"/>
        <v>1</v>
      </c>
      <c r="J8" s="37">
        <v>4.1672690433886888E-3</v>
      </c>
      <c r="K8" s="94">
        <f t="shared" si="3"/>
        <v>42695</v>
      </c>
      <c r="L8" s="75"/>
      <c r="M8" s="72" t="b">
        <f>IF(AND(NOT(I8),AND(I$4:I7)),TRUE,I8)</f>
        <v>1</v>
      </c>
      <c r="N8" s="172">
        <f>IF(AND(NOT(ISBLANK(Jumpoverwrite1)),AND(NOT(M8),AND(M$4:M7))),($J8*$G8-LN(1+Jumpoverwrite1*O$2))/$G8,_xll.qlInterpolationInterpolate(M$3,$F8,TRUE))</f>
        <v>4.1672690433886888E-3</v>
      </c>
      <c r="O8" s="34" t="str">
        <f>IF(AND(NOT(M8),AND(M$4:M7)),IF($N8&lt;0,IF($N8&lt;$J8,EXP(($N8-$J8)*$G8),EXP(($J8-$N8)*$G8)),EXP(($N8-$J8)*$G8)),"")</f>
        <v/>
      </c>
      <c r="P8" s="107"/>
      <c r="Q8" s="72" t="b">
        <f>IF(AND(NOT(M8),AND(M$4:M7)),TRUE,M8)</f>
        <v>1</v>
      </c>
      <c r="R8" s="172">
        <f>IF(AND(NOT(ISBLANK(Jumpoverwrite2)),AND(NOT(Q8),AND(Q$4:Q7))),($J8*$G8-LN(1+Jumpoverwrite2*S$2))/$G8,_xll.qlInterpolationInterpolate(Q$3,$F8,TRUE))</f>
        <v>4.1672690433886888E-3</v>
      </c>
      <c r="S8" s="176" t="str">
        <f>IF(AND(NOT(Q8),AND(Q$4:Q7)),IF($R8&lt;0,IF($R8&lt;$J8,EXP(($R8-$J8)*$G8),EXP(($J8-$R8)*$G8)),EXP(($R8-$J8)*$G8)),"")</f>
        <v/>
      </c>
      <c r="T8" s="107"/>
      <c r="U8" s="72" t="b">
        <f>IF(AND(NOT(Q8),AND(Q$4:Q7)),TRUE,Q8)</f>
        <v>1</v>
      </c>
      <c r="V8" s="172">
        <f>IF(AND(NOT(ISBLANK(Jumpoverwrite3)),AND(NOT(U8),AND(U$4:U7))),($J8*$G8-LN(1+Jumpoverwrite3*W$2))/$G8,_xll.qlInterpolationInterpolate(U$3,$F8,TRUE))</f>
        <v>4.1672690433886888E-3</v>
      </c>
      <c r="W8" s="176" t="str">
        <f>IF(AND(NOT(U8),AND(U$4:U7)),IF($V8&lt;0,IF($V8&lt;$J8,EXP(($V8-$J8)*$G8),EXP(($J8-$V8)*$G8)),EXP(($V8-$J8)*$G8)),"")</f>
        <v/>
      </c>
      <c r="X8" s="107"/>
      <c r="Y8" s="72" t="b">
        <f>IF(AND(NOT(U8),AND(U$4:U7)),TRUE,U8)</f>
        <v>1</v>
      </c>
      <c r="Z8" s="172">
        <f>IF(AND(NOT(ISBLANK(Jumpoverwrite4)),AND(NOT(Y8),AND(Y$4:Y7))),($J8*$G8-LN(1+Jumpoverwrite4*AA$2))/$G8,_xll.qlInterpolationInterpolate(Y$3,$F8,TRUE))</f>
        <v>4.1672690433886888E-3</v>
      </c>
      <c r="AA8" s="176" t="str">
        <f>IF(AND(NOT(Y8),AND(Y$4:Y7)),IF($Z8&lt;0,IF($Z8&lt;$J8,EXP(($Z8-$J8)*$G8),EXP(($J8-$Z8)*$G8)),EXP(($Z8-$J8)*$G8)),"")</f>
        <v/>
      </c>
      <c r="AB8" s="107"/>
      <c r="AC8" s="72" t="b">
        <f>IF(AND(NOT(Y8),AND(Y$4:Y7)),TRUE,Y8)</f>
        <v>1</v>
      </c>
      <c r="AD8" s="172">
        <f>IF(AND(NOT(ISBLANK(Jumpoverwrite5)),AND(NOT(AC8),AND(AC$4:AC7))),($J8*$G8-LN(1+Jumpoverwrite5*AE$2))/$G8,_xll.qlInterpolationInterpolate(AC$3,$F8,TRUE))</f>
        <v>4.1672690433886888E-3</v>
      </c>
      <c r="AE8" s="176" t="str">
        <f>IF(AND(NOT(AC8),AND(AC$4:AC7)),IF($AD8&lt;0,IF($AD8&lt;$J8,EXP(($AD8-$J8)*$G8),EXP(($J8-$AD8)*$G8)),EXP(($AD8-$J8)*$G8)),"")</f>
        <v/>
      </c>
      <c r="AF8" s="107"/>
      <c r="AG8" s="72" t="b">
        <f>IF(AND(NOT(AC8),AND(AC$4:AC7)),TRUE,AC8)</f>
        <v>1</v>
      </c>
      <c r="AH8" s="172">
        <f>IF(AND(NOT(ISBLANK(Jumpoverwrite6)),AND(NOT(AG8),AND(AG$4:AG7))),($J8*$G8-LN(1+Jumpoverwrite6*AI$2))/$G8,_xll.qlInterpolationInterpolate(AG$3,$F8,TRUE))</f>
        <v>4.1672690433886888E-3</v>
      </c>
      <c r="AI8" s="176" t="str">
        <f>IF(AND(NOT(AG8),AND(AG$4:AG7)),IF($AH8&lt;0,IF($AH8&lt;$J8,EXP(($AH8-$J8)*$G8),EXP(($J8-$AH8)*$G8)),EXP(($AH8-$J8)*$G8)),"")</f>
        <v/>
      </c>
      <c r="AJ8" s="107"/>
      <c r="AK8" s="72" t="b">
        <f>IF(AND(NOT(AG8),AND(AG$4:AG7)),TRUE,AG8)</f>
        <v>1</v>
      </c>
      <c r="AL8" s="172">
        <f>IF(AND(NOT(ISBLANK(Jumpoverwrite7)),AND(NOT(AK8),AND(AK$4:AK7))),($J8*$G8-LN(1+Jumpoverwrite7*AM$2))/$G8,_xll.qlInterpolationInterpolate(AK$3,$F8,TRUE))</f>
        <v>4.1672690433886888E-3</v>
      </c>
      <c r="AM8" s="176" t="str">
        <f>IF(AND(NOT(AK8),AND(AK$4:AK7)),IF($AL8&lt;0,IF($AL8&lt;$J8,EXP(($AL8-$J8)*$G8),EXP(($J8-$AL8)*$G8)),EXP(($AL8-$J8)*$G8)),"")</f>
        <v/>
      </c>
      <c r="AO8" s="72" t="b">
        <f>IF(AND(NOT(AK8),AND(AK$4:AK7)),TRUE,AK8)</f>
        <v>1</v>
      </c>
      <c r="AP8" s="172">
        <f>IF(AND(NOT(ISBLANK(Jumpoverwrite8)),AND(NOT(AO8),AND(AO$4:AO7))),($J8*$G8-LN(1+Jumpoverwrite8*AQ$2))/$G8,_xll.qlInterpolationInterpolate(AO$3,$F8,TRUE))</f>
        <v>4.1672690433886888E-3</v>
      </c>
      <c r="AQ8" s="176" t="str">
        <f>IF(AND(NOT(AO8),AND(AO$4:AO7)),IF($AP8&lt;0,IF($AP8&lt;$J8,EXP(($AP8-$J8)*$G8),EXP(($J8-$AP8)*$G8)),EXP(($AP8-$J8)*$G8)),"")</f>
        <v/>
      </c>
      <c r="AS8" s="72" t="b">
        <f>IF(AND(NOT(AO8),AND(AO$4:AO7)),TRUE,AO8)</f>
        <v>1</v>
      </c>
      <c r="AT8" s="172">
        <f>IF(AND(NOT(ISBLANK(Jumpoverwrite9)),AND(NOT(AS8),AND(AS$4:AS7))),($J8*$G8-LN(1+Jumpoverwrite9*AU$2))/$G8,_xll.qlInterpolationInterpolate(AS$3,$F8,TRUE))</f>
        <v>4.1672690433886888E-3</v>
      </c>
      <c r="AU8" s="176" t="str">
        <f>IF(AND(NOT(AS8),AND(AS$4:AS7)),IF($AT8&lt;0,IF($AT8&lt;$J8,EXP(($AT8-$J8)*$G8),EXP(($J8-$AT8)*$G8)),EXP(($AT8-$J8)*$G8)),"")</f>
        <v/>
      </c>
      <c r="AW8" s="72" t="b">
        <f>IF(AND(NOT(AS8),AND(AS$4:AS7)),TRUE,AS8)</f>
        <v>1</v>
      </c>
      <c r="AX8" s="172">
        <f>IF(AND(NOT(ISBLANK(Jumpoverwrite10)),AND(NOT(AW8),AND(AW$4:AW7))),($J8*$G8-LN(1+Jumpoverwrite10*AY$2))/$G8,_xll.qlInterpolationInterpolate(AW$3,$F8,TRUE))</f>
        <v>4.1672690433886888E-3</v>
      </c>
      <c r="AY8" s="176" t="str">
        <f>IF(AND(NOT(AW8),AND(AW$4:AW7)),IF($AX8&lt;0,IF($AX8&lt;$J8,EXP(($AX8-$J8)*$G8),EXP(($J8-$AX8)*$G8)),EXP(($AX8-$J8)*$G8)),"")</f>
        <v/>
      </c>
      <c r="BA8" s="72" t="b">
        <f>IF(AND(NOT(AW8),AND(AW$4:AW7)),TRUE,AW8)</f>
        <v>1</v>
      </c>
      <c r="BB8" s="172">
        <f>IF(AND(NOT(ISBLANK(Jumpoverwrite11)),AND(NOT(BA8),AND(BA$4:BA7))),($J8*$G8-LN(1+Jumpoverwrite11*BC$2))/$G8,_xll.qlInterpolationInterpolate(BA$3,$F8,TRUE))</f>
        <v>4.1672690433886888E-3</v>
      </c>
      <c r="BC8" s="176" t="str">
        <f>IF(AND(NOT(BA8),AND(BA$4:BA7)),IF($BB8&lt;0,IF($BB8&lt;$J8,EXP(($BB8-$J8)*$G8),EXP(($J8-$BB8)*$G8)),EXP(($BB8-$J8)*$G8)),"")</f>
        <v/>
      </c>
      <c r="BE8" s="72" t="b">
        <f>IF(AND(NOT(BA8),AND(BA$4:BA7)),TRUE,BA8)</f>
        <v>1</v>
      </c>
      <c r="BF8" s="172">
        <f>IF(AND(NOT(ISBLANK(Jumpoverwrite12)),AND(NOT(BE8),AND(BE$4:BE7))),($J8*$G8-LN(1+Jumpoverwrite12*BG$2))/$G8,_xll.qlInterpolationInterpolate(BE$3,$F8,TRUE))</f>
        <v>4.1672690433886888E-3</v>
      </c>
      <c r="BG8" s="176" t="str">
        <f>IF(AND(NOT(BE8),AND(BE$4:BE7)),IF($BF8&lt;0,IF($BF8&lt;$J8,EXP(($BF8-$J8)*$G8),EXP(($J8-$BF8)*$G8)),EXP(($BF8-$J8)*$G8)),"")</f>
        <v/>
      </c>
      <c r="BI8" s="72" t="b">
        <f t="shared" si="1"/>
        <v>1</v>
      </c>
      <c r="BJ8" s="172">
        <f>IF(AND(NOT(ISBLANK(jumpoverwrite13)),AND(NOT(BI8),AND(BI$4:BI7))),($J8*$G8-LN(1+jumpoverwrite13*BK$2))/$G8,_xll.qlInterpolationInterpolate(BI$3,$F8,TRUE))</f>
        <v>4.1672690433886888E-3</v>
      </c>
      <c r="BK8" s="176" t="str">
        <f>IF(AND(NOT(BI8),AND(BI$4:BI7)),IF($BJ8&lt;0,IF($BJ8&lt;$J8,EXP(($BJ8-$J8)*$G8),EXP(($J8-$BJ8)*$G8)),EXP(($BJ8-$J8)*$G8)),"")</f>
        <v/>
      </c>
      <c r="BM8" s="72" t="b">
        <f>IF(AND(NOT(BI8),AND(BI$4:BI7)),TRUE,BI8)</f>
        <v>1</v>
      </c>
      <c r="BN8" s="172">
        <f>IF(AND(NOT(ISBLANK(Jumpoverwrite14)),AND(NOT(BM8),AND(BM$4:BM7))),($J8*$G8-LN(1+Jumpoverwrite14*BO$2))/$G8,_xll.qlInterpolationInterpolate(BM$3,$F8,TRUE))</f>
        <v>4.1672690433886888E-3</v>
      </c>
      <c r="BO8" s="176" t="str">
        <f>IF(AND(NOT(BM8),AND(BM$4:BM7)),IF($BN8&lt;0,IF($BN8&lt;$J8,EXP(($BN8-$J8)*$G8),EXP(($J8-$BN8)*$G8)),EXP(($BN8-$J8)*$G8)),"")</f>
        <v/>
      </c>
      <c r="BQ8" s="72" t="b">
        <f>IF(AND(NOT(BM8),AND(BM$4:BM7)),TRUE,BM8)</f>
        <v>1</v>
      </c>
      <c r="BR8" s="172">
        <f>IF(AND(NOT(ISBLANK(Jumpoverwrite15)),AND(NOT(BQ8),AND(BQ$4:BQ7))),($J8*$G8-LN(1+Jumpoverwrite15*BS$2))/$G8,_xll.qlInterpolationInterpolate(BQ$3,$F8,TRUE))</f>
        <v>4.1672690433886888E-3</v>
      </c>
      <c r="BS8" s="176" t="str">
        <f>IF(AND(NOT(BQ8),AND(BQ$4:BQ7)),IF($BN8&lt;0,IF($BN8&lt;$J8,EXP(($BN8-$J8)*$G8),EXP(($J8-$BN8)*$G8)),EXP(($BN8-$J8)*$G8)),"")</f>
        <v/>
      </c>
    </row>
    <row r="9" spans="1:71" x14ac:dyDescent="0.2">
      <c r="A9" s="33" t="str">
        <v>obj_00207</v>
      </c>
      <c r="B9" s="17">
        <f>_xll.qlRateHelperRate($A9,InterestRatesTrigger)</f>
        <v>4.2900000000000004E-3</v>
      </c>
      <c r="C9" s="18">
        <f>_xll.qlRateHelperEarliestDate($A9)</f>
        <v>42664</v>
      </c>
      <c r="D9" s="19">
        <f>_xll.qlRateHelperPillarDate($A9)</f>
        <v>42725</v>
      </c>
      <c r="F9" s="84">
        <f t="shared" si="0"/>
        <v>42710</v>
      </c>
      <c r="G9" s="85">
        <f>_xll.qlDayCounterYearFraction(DayCounter,D8,D9)</f>
        <v>8.3333333333333329E-2</v>
      </c>
      <c r="I9" s="93" t="b">
        <f t="shared" si="2"/>
        <v>0</v>
      </c>
      <c r="J9" s="37">
        <v>4.4839121352559328E-3</v>
      </c>
      <c r="K9" s="94">
        <f t="shared" si="3"/>
        <v>42725</v>
      </c>
      <c r="L9" s="75"/>
      <c r="M9" s="72" t="b">
        <f>IF(AND(NOT(I9),AND(I$4:I8)),TRUE,I9)</f>
        <v>0</v>
      </c>
      <c r="N9" s="172">
        <f>IF(AND(NOT(ISBLANK(Jumpoverwrite1)),AND(NOT(M9),AND(M$4:M8))),($J9*$G9-LN(1+Jumpoverwrite1*O$2))/$G9,_xll.qlInterpolationInterpolate(M$3,$F9,TRUE))</f>
        <v>4.2864594799620183E-3</v>
      </c>
      <c r="O9" s="34" t="str">
        <f>IF(AND(NOT(M9),AND(M$4:M8)),IF($N9&lt;0,IF($N9&lt;$J9,EXP(($N9-$J9)*$G9),EXP(($J9-$N9)*$G9)),EXP(($N9-$J9)*$G9)),"")</f>
        <v/>
      </c>
      <c r="P9" s="107"/>
      <c r="Q9" s="72" t="b">
        <f>IF(AND(NOT(M9),AND(M$4:M8)),TRUE,M9)</f>
        <v>0</v>
      </c>
      <c r="R9" s="172">
        <f>IF(AND(NOT(ISBLANK(Jumpoverwrite2)),AND(NOT(Q9),AND(Q$4:Q8))),($J9*$G9-LN(1+Jumpoverwrite2*S$2))/$G9,_xll.qlInterpolationInterpolate(Q$3,$F9,TRUE))</f>
        <v>4.4839121352559328E-3</v>
      </c>
      <c r="S9" s="176">
        <f>IF(AND(NOT(Q9),AND(Q$4:Q8)),IF($R9&lt;0,IF($R9&lt;$J9,EXP(($R9-$J9)*$G9),EXP(($J9-$R9)*$G9)),EXP(($R9-$J9)*$G9)),"")</f>
        <v>1</v>
      </c>
      <c r="T9" s="107"/>
      <c r="U9" s="72" t="b">
        <f>IF(AND(NOT(Q9),AND(Q$4:Q8)),TRUE,Q9)</f>
        <v>1</v>
      </c>
      <c r="V9" s="172">
        <f>IF(AND(NOT(ISBLANK(Jumpoverwrite3)),AND(NOT(U9),AND(U$4:U8))),($J9*$G9-LN(1+Jumpoverwrite3*W$2))/$G9,_xll.qlInterpolationInterpolate(U$3,$F9,TRUE))</f>
        <v>4.4839121352559328E-3</v>
      </c>
      <c r="W9" s="176" t="str">
        <f>IF(AND(NOT(U9),AND(U$4:U8)),IF($V9&lt;0,IF($V9&lt;$J9,EXP(($V9-$J9)*$G9),EXP(($J9-$V9)*$G9)),EXP(($V9-$J9)*$G9)),"")</f>
        <v/>
      </c>
      <c r="X9" s="107"/>
      <c r="Y9" s="72" t="b">
        <f>IF(AND(NOT(U9),AND(U$4:U8)),TRUE,U9)</f>
        <v>1</v>
      </c>
      <c r="Z9" s="172">
        <f>IF(AND(NOT(ISBLANK(Jumpoverwrite4)),AND(NOT(Y9),AND(Y$4:Y8))),($J9*$G9-LN(1+Jumpoverwrite4*AA$2))/$G9,_xll.qlInterpolationInterpolate(Y$3,$F9,TRUE))</f>
        <v>4.4839121352559328E-3</v>
      </c>
      <c r="AA9" s="176" t="str">
        <f>IF(AND(NOT(Y9),AND(Y$4:Y8)),IF($Z9&lt;0,IF($Z9&lt;$J9,EXP(($Z9-$J9)*$G9),EXP(($J9-$Z9)*$G9)),EXP(($Z9-$J9)*$G9)),"")</f>
        <v/>
      </c>
      <c r="AB9" s="107"/>
      <c r="AC9" s="72" t="b">
        <f>IF(AND(NOT(Y9),AND(Y$4:Y8)),TRUE,Y9)</f>
        <v>1</v>
      </c>
      <c r="AD9" s="172">
        <f>IF(AND(NOT(ISBLANK(Jumpoverwrite5)),AND(NOT(AC9),AND(AC$4:AC8))),($J9*$G9-LN(1+Jumpoverwrite5*AE$2))/$G9,_xll.qlInterpolationInterpolate(AC$3,$F9,TRUE))</f>
        <v>4.4839121352559328E-3</v>
      </c>
      <c r="AE9" s="176" t="str">
        <f>IF(AND(NOT(AC9),AND(AC$4:AC8)),IF($AD9&lt;0,IF($AD9&lt;$J9,EXP(($AD9-$J9)*$G9),EXP(($J9-$AD9)*$G9)),EXP(($AD9-$J9)*$G9)),"")</f>
        <v/>
      </c>
      <c r="AF9" s="107"/>
      <c r="AG9" s="72" t="b">
        <f>IF(AND(NOT(AC9),AND(AC$4:AC8)),TRUE,AC9)</f>
        <v>1</v>
      </c>
      <c r="AH9" s="172">
        <f>IF(AND(NOT(ISBLANK(Jumpoverwrite6)),AND(NOT(AG9),AND(AG$4:AG8))),($J9*$G9-LN(1+Jumpoverwrite6*AI$2))/$G9,_xll.qlInterpolationInterpolate(AG$3,$F9,TRUE))</f>
        <v>4.4839121352559328E-3</v>
      </c>
      <c r="AI9" s="176" t="str">
        <f>IF(AND(NOT(AG9),AND(AG$4:AG8)),IF($AH9&lt;0,IF($AH9&lt;$J9,EXP(($AH9-$J9)*$G9),EXP(($J9-$AH9)*$G9)),EXP(($AH9-$J9)*$G9)),"")</f>
        <v/>
      </c>
      <c r="AJ9" s="107"/>
      <c r="AK9" s="72" t="b">
        <f>IF(AND(NOT(AG9),AND(AG$4:AG8)),TRUE,AG9)</f>
        <v>1</v>
      </c>
      <c r="AL9" s="172">
        <f>IF(AND(NOT(ISBLANK(Jumpoverwrite7)),AND(NOT(AK9),AND(AK$4:AK8))),($J9*$G9-LN(1+Jumpoverwrite7*AM$2))/$G9,_xll.qlInterpolationInterpolate(AK$3,$F9,TRUE))</f>
        <v>4.4839121352559328E-3</v>
      </c>
      <c r="AM9" s="176" t="str">
        <f>IF(AND(NOT(AK9),AND(AK$4:AK8)),IF($AL9&lt;0,IF($AL9&lt;$J9,EXP(($AL9-$J9)*$G9),EXP(($J9-$AL9)*$G9)),EXP(($AL9-$J9)*$G9)),"")</f>
        <v/>
      </c>
      <c r="AO9" s="72" t="b">
        <f>IF(AND(NOT(AK9),AND(AK$4:AK8)),TRUE,AK9)</f>
        <v>1</v>
      </c>
      <c r="AP9" s="172">
        <f>IF(AND(NOT(ISBLANK(Jumpoverwrite8)),AND(NOT(AO9),AND(AO$4:AO8))),($J9*$G9-LN(1+Jumpoverwrite8*AQ$2))/$G9,_xll.qlInterpolationInterpolate(AO$3,$F9,TRUE))</f>
        <v>4.4839121352559328E-3</v>
      </c>
      <c r="AQ9" s="176" t="str">
        <f>IF(AND(NOT(AO9),AND(AO$4:AO8)),IF($AP9&lt;0,IF($AP9&lt;$J9,EXP(($AP9-$J9)*$G9),EXP(($J9-$AP9)*$G9)),EXP(($AP9-$J9)*$G9)),"")</f>
        <v/>
      </c>
      <c r="AS9" s="72" t="b">
        <f>IF(AND(NOT(AO9),AND(AO$4:AO8)),TRUE,AO9)</f>
        <v>1</v>
      </c>
      <c r="AT9" s="172">
        <f>IF(AND(NOT(ISBLANK(Jumpoverwrite9)),AND(NOT(AS9),AND(AS$4:AS8))),($J9*$G9-LN(1+Jumpoverwrite9*AU$2))/$G9,_xll.qlInterpolationInterpolate(AS$3,$F9,TRUE))</f>
        <v>4.4839121352559328E-3</v>
      </c>
      <c r="AU9" s="176" t="str">
        <f>IF(AND(NOT(AS9),AND(AS$4:AS8)),IF($AT9&lt;0,IF($AT9&lt;$J9,EXP(($AT9-$J9)*$G9),EXP(($J9-$AT9)*$G9)),EXP(($AT9-$J9)*$G9)),"")</f>
        <v/>
      </c>
      <c r="AW9" s="72" t="b">
        <f>IF(AND(NOT(AS9),AND(AS$4:AS8)),TRUE,AS9)</f>
        <v>1</v>
      </c>
      <c r="AX9" s="172">
        <f>IF(AND(NOT(ISBLANK(Jumpoverwrite10)),AND(NOT(AW9),AND(AW$4:AW8))),($J9*$G9-LN(1+Jumpoverwrite10*AY$2))/$G9,_xll.qlInterpolationInterpolate(AW$3,$F9,TRUE))</f>
        <v>4.4839121352559328E-3</v>
      </c>
      <c r="AY9" s="176" t="str">
        <f>IF(AND(NOT(AW9),AND(AW$4:AW8)),IF($AX9&lt;0,IF($AX9&lt;$J9,EXP(($AX9-$J9)*$G9),EXP(($J9-$AX9)*$G9)),EXP(($AX9-$J9)*$G9)),"")</f>
        <v/>
      </c>
      <c r="BA9" s="72" t="b">
        <f>IF(AND(NOT(AW9),AND(AW$4:AW8)),TRUE,AW9)</f>
        <v>1</v>
      </c>
      <c r="BB9" s="172">
        <f>IF(AND(NOT(ISBLANK(Jumpoverwrite11)),AND(NOT(BA9),AND(BA$4:BA8))),($J9*$G9-LN(1+Jumpoverwrite11*BC$2))/$G9,_xll.qlInterpolationInterpolate(BA$3,$F9,TRUE))</f>
        <v>4.4839121352559328E-3</v>
      </c>
      <c r="BC9" s="176" t="str">
        <f>IF(AND(NOT(BA9),AND(BA$4:BA8)),IF($BB9&lt;0,IF($BB9&lt;$J9,EXP(($BB9-$J9)*$G9),EXP(($J9-$BB9)*$G9)),EXP(($BB9-$J9)*$G9)),"")</f>
        <v/>
      </c>
      <c r="BE9" s="72" t="b">
        <f>IF(AND(NOT(BA9),AND(BA$4:BA8)),TRUE,BA9)</f>
        <v>1</v>
      </c>
      <c r="BF9" s="172">
        <f>IF(AND(NOT(ISBLANK(Jumpoverwrite12)),AND(NOT(BE9),AND(BE$4:BE8))),($J9*$G9-LN(1+Jumpoverwrite12*BG$2))/$G9,_xll.qlInterpolationInterpolate(BE$3,$F9,TRUE))</f>
        <v>4.4839121352559328E-3</v>
      </c>
      <c r="BG9" s="176" t="str">
        <f>IF(AND(NOT(BE9),AND(BE$4:BE8)),IF($BF9&lt;0,IF($BF9&lt;$J9,EXP(($BF9-$J9)*$G9),EXP(($J9-$BF9)*$G9)),EXP(($BF9-$J9)*$G9)),"")</f>
        <v/>
      </c>
      <c r="BI9" s="72" t="b">
        <f t="shared" si="1"/>
        <v>1</v>
      </c>
      <c r="BJ9" s="172">
        <f>IF(AND(NOT(ISBLANK(jumpoverwrite13)),AND(NOT(BI9),AND(BI$4:BI8))),($J9*$G9-LN(1+jumpoverwrite13*BK$2))/$G9,_xll.qlInterpolationInterpolate(BI$3,$F9,TRUE))</f>
        <v>4.4839121352559328E-3</v>
      </c>
      <c r="BK9" s="176" t="str">
        <f>IF(AND(NOT(BI9),AND(BI$4:BI8)),IF($BJ9&lt;0,IF($BJ9&lt;$J9,EXP(($BJ9-$J9)*$G9),EXP(($J9-$BJ9)*$G9)),EXP(($BJ9-$J9)*$G9)),"")</f>
        <v/>
      </c>
      <c r="BM9" s="72" t="b">
        <f>IF(AND(NOT(BI9),AND(BI$4:BI8)),TRUE,BI9)</f>
        <v>1</v>
      </c>
      <c r="BN9" s="172">
        <f>IF(AND(NOT(ISBLANK(Jumpoverwrite14)),AND(NOT(BM9),AND(BM$4:BM8))),($J9*$G9-LN(1+Jumpoverwrite14*BO$2))/$G9,_xll.qlInterpolationInterpolate(BM$3,$F9,TRUE))</f>
        <v>4.4839121352559328E-3</v>
      </c>
      <c r="BO9" s="176" t="str">
        <f>IF(AND(NOT(BM9),AND(BM$4:BM8)),IF($BN9&lt;0,IF($BN9&lt;$J9,EXP(($BN9-$J9)*$G9),EXP(($J9-$BN9)*$G9)),EXP(($BN9-$J9)*$G9)),"")</f>
        <v/>
      </c>
      <c r="BQ9" s="72" t="b">
        <f>IF(AND(NOT(BM9),AND(BM$4:BM8)),TRUE,BM9)</f>
        <v>1</v>
      </c>
      <c r="BR9" s="172">
        <f>IF(AND(NOT(ISBLANK(Jumpoverwrite15)),AND(NOT(BQ9),AND(BQ$4:BQ8))),($J9*$G9-LN(1+Jumpoverwrite15*BS$2))/$G9,_xll.qlInterpolationInterpolate(BQ$3,$F9,TRUE))</f>
        <v>4.4839121352559328E-3</v>
      </c>
      <c r="BS9" s="176" t="str">
        <f>IF(AND(NOT(BQ9),AND(BQ$4:BQ8)),IF($BN9&lt;0,IF($BN9&lt;$J9,EXP(($BN9-$J9)*$G9),EXP(($J9-$BN9)*$G9)),EXP(($BN9-$J9)*$G9)),"")</f>
        <v/>
      </c>
    </row>
    <row r="10" spans="1:71" x14ac:dyDescent="0.2">
      <c r="A10" s="33" t="str">
        <v>obj_00203</v>
      </c>
      <c r="B10" s="17">
        <f>_xll.qlRateHelperRate($A10,InterestRatesTrigger)</f>
        <v>4.7199999999999994E-3</v>
      </c>
      <c r="C10" s="18">
        <f>_xll.qlRateHelperEarliestDate($A10)</f>
        <v>42664</v>
      </c>
      <c r="D10" s="19">
        <f>_xll.qlRateHelperPillarDate($A10)</f>
        <v>42758</v>
      </c>
      <c r="F10" s="84">
        <f t="shared" si="0"/>
        <v>42741.5</v>
      </c>
      <c r="G10" s="85">
        <f>_xll.qlDayCounterYearFraction(DayCounter,D9,D10)</f>
        <v>9.166666666666666E-2</v>
      </c>
      <c r="I10" s="93" t="b">
        <f t="shared" si="2"/>
        <v>0</v>
      </c>
      <c r="J10" s="37">
        <v>5.5094510999443343E-3</v>
      </c>
      <c r="K10" s="94">
        <f t="shared" si="3"/>
        <v>42758</v>
      </c>
      <c r="L10" s="75"/>
      <c r="M10" s="72" t="b">
        <f>IF(AND(NOT(I10),AND(I$4:I9)),TRUE,I10)</f>
        <v>0</v>
      </c>
      <c r="N10" s="172">
        <f>IF(AND(NOT(ISBLANK(Jumpoverwrite1)),AND(NOT(M10),AND(M$4:M9))),($J10*$G10-LN(1+Jumpoverwrite1*O$2))/$G10,_xll.qlInterpolationInterpolate(M$3,$F10,TRUE))</f>
        <v>4.4894053584517424E-3</v>
      </c>
      <c r="O10" s="34" t="str">
        <f>IF(AND(NOT(M10),AND(M$4:M9)),IF($N10&lt;0,IF($N10&lt;$J10,EXP(($N10-$J10)*$G10),EXP(($J10-$N10)*$G10)),EXP(($N10-$J10)*$G10)),"")</f>
        <v/>
      </c>
      <c r="P10" s="107"/>
      <c r="Q10" s="72" t="b">
        <f>IF(AND(NOT(M10),AND(M$4:M9)),TRUE,M10)</f>
        <v>0</v>
      </c>
      <c r="R10" s="172">
        <f>IF(AND(NOT(ISBLANK(Jumpoverwrite2)),AND(NOT(Q10),AND(Q$4:Q9))),($J10*$G10-LN(1+Jumpoverwrite2*S$2))/$G10,_xll.qlInterpolationInterpolate(Q$3,$F10,TRUE))</f>
        <v>4.4894053584517424E-3</v>
      </c>
      <c r="S10" s="176" t="str">
        <f>IF(AND(NOT(Q10),AND(Q$4:Q9)),IF($R10&lt;0,IF($R10&lt;$J10,EXP(($R10-$J10)*$G10),EXP(($J10-$R10)*$G10)),EXP(($R10-$J10)*$G10)),"")</f>
        <v/>
      </c>
      <c r="T10" s="107"/>
      <c r="U10" s="72" t="b">
        <f>IF(AND(NOT(Q10),AND(Q$4:Q9)),TRUE,Q10)</f>
        <v>0</v>
      </c>
      <c r="V10" s="172">
        <f>IF(AND(NOT(ISBLANK(Jumpoverwrite3)),AND(NOT(U10),AND(U$4:U9))),($J10*$G10-LN(1+Jumpoverwrite3*W$2))/$G10,_xll.qlInterpolationInterpolate(U$3,$F10,TRUE))</f>
        <v>5.5094510999443343E-3</v>
      </c>
      <c r="W10" s="176">
        <f>IF(AND(NOT(U10),AND(U$4:U9)),IF($V10&lt;0,IF($V10&lt;$J10,EXP(($V10-$J10)*$G10),EXP(($J10-$V10)*$G10)),EXP(($V10-$J10)*$G10)),"")</f>
        <v>1</v>
      </c>
      <c r="X10" s="107"/>
      <c r="Y10" s="72" t="b">
        <f>IF(AND(NOT(U10),AND(U$4:U9)),TRUE,U10)</f>
        <v>1</v>
      </c>
      <c r="Z10" s="172">
        <f>IF(AND(NOT(ISBLANK(Jumpoverwrite4)),AND(NOT(Y10),AND(Y$4:Y9))),($J10*$G10-LN(1+Jumpoverwrite4*AA$2))/$G10,_xll.qlInterpolationInterpolate(Y$3,$F10,TRUE))</f>
        <v>5.5094510999443343E-3</v>
      </c>
      <c r="AA10" s="176" t="str">
        <f>IF(AND(NOT(Y10),AND(Y$4:Y9)),IF($Z10&lt;0,IF($Z10&lt;$J10,EXP(($Z10-$J10)*$G10),EXP(($J10-$Z10)*$G10)),EXP(($Z10-$J10)*$G10)),"")</f>
        <v/>
      </c>
      <c r="AB10" s="107"/>
      <c r="AC10" s="72" t="b">
        <f>IF(AND(NOT(Y10),AND(Y$4:Y9)),TRUE,Y10)</f>
        <v>1</v>
      </c>
      <c r="AD10" s="172">
        <f>IF(AND(NOT(ISBLANK(Jumpoverwrite5)),AND(NOT(AC10),AND(AC$4:AC9))),($J10*$G10-LN(1+Jumpoverwrite5*AE$2))/$G10,_xll.qlInterpolationInterpolate(AC$3,$F10,TRUE))</f>
        <v>5.5094510999443343E-3</v>
      </c>
      <c r="AE10" s="176" t="str">
        <f>IF(AND(NOT(AC10),AND(AC$4:AC9)),IF($AD10&lt;0,IF($AD10&lt;$J10,EXP(($AD10-$J10)*$G10),EXP(($J10-$AD10)*$G10)),EXP(($AD10-$J10)*$G10)),"")</f>
        <v/>
      </c>
      <c r="AF10" s="107"/>
      <c r="AG10" s="72" t="b">
        <f>IF(AND(NOT(AC10),AND(AC$4:AC9)),TRUE,AC10)</f>
        <v>1</v>
      </c>
      <c r="AH10" s="172">
        <f>IF(AND(NOT(ISBLANK(Jumpoverwrite6)),AND(NOT(AG10),AND(AG$4:AG9))),($J10*$G10-LN(1+Jumpoverwrite6*AI$2))/$G10,_xll.qlInterpolationInterpolate(AG$3,$F10,TRUE))</f>
        <v>5.5094510999443343E-3</v>
      </c>
      <c r="AI10" s="176" t="str">
        <f>IF(AND(NOT(AG10),AND(AG$4:AG9)),IF($AH10&lt;0,IF($AH10&lt;$J10,EXP(($AH10-$J10)*$G10),EXP(($J10-$AH10)*$G10)),EXP(($AH10-$J10)*$G10)),"")</f>
        <v/>
      </c>
      <c r="AJ10" s="107"/>
      <c r="AK10" s="72" t="b">
        <f>IF(AND(NOT(AG10),AND(AG$4:AG9)),TRUE,AG10)</f>
        <v>1</v>
      </c>
      <c r="AL10" s="172">
        <f>IF(AND(NOT(ISBLANK(Jumpoverwrite7)),AND(NOT(AK10),AND(AK$4:AK9))),($J10*$G10-LN(1+Jumpoverwrite7*AM$2))/$G10,_xll.qlInterpolationInterpolate(AK$3,$F10,TRUE))</f>
        <v>5.5094510999443343E-3</v>
      </c>
      <c r="AM10" s="176" t="str">
        <f>IF(AND(NOT(AK10),AND(AK$4:AK9)),IF($AL10&lt;0,IF($AL10&lt;$J10,EXP(($AL10-$J10)*$G10),EXP(($J10-$AL10)*$G10)),EXP(($AL10-$J10)*$G10)),"")</f>
        <v/>
      </c>
      <c r="AO10" s="72" t="b">
        <f>IF(AND(NOT(AK10),AND(AK$4:AK9)),TRUE,AK10)</f>
        <v>1</v>
      </c>
      <c r="AP10" s="172">
        <f>IF(AND(NOT(ISBLANK(Jumpoverwrite8)),AND(NOT(AO10),AND(AO$4:AO9))),($J10*$G10-LN(1+Jumpoverwrite8*AQ$2))/$G10,_xll.qlInterpolationInterpolate(AO$3,$F10,TRUE))</f>
        <v>5.5094510999443343E-3</v>
      </c>
      <c r="AQ10" s="176" t="str">
        <f>IF(AND(NOT(AO10),AND(AO$4:AO9)),IF($AP10&lt;0,IF($AP10&lt;$J10,EXP(($AP10-$J10)*$G10),EXP(($J10-$AP10)*$G10)),EXP(($AP10-$J10)*$G10)),"")</f>
        <v/>
      </c>
      <c r="AS10" s="72" t="b">
        <f>IF(AND(NOT(AO10),AND(AO$4:AO9)),TRUE,AO10)</f>
        <v>1</v>
      </c>
      <c r="AT10" s="172">
        <f>IF(AND(NOT(ISBLANK(Jumpoverwrite9)),AND(NOT(AS10),AND(AS$4:AS9))),($J10*$G10-LN(1+Jumpoverwrite9*AU$2))/$G10,_xll.qlInterpolationInterpolate(AS$3,$F10,TRUE))</f>
        <v>5.5094510999443343E-3</v>
      </c>
      <c r="AU10" s="176" t="str">
        <f>IF(AND(NOT(AS10),AND(AS$4:AS9)),IF($AT10&lt;0,IF($AT10&lt;$J10,EXP(($AT10-$J10)*$G10),EXP(($J10-$AT10)*$G10)),EXP(($AT10-$J10)*$G10)),"")</f>
        <v/>
      </c>
      <c r="AW10" s="72" t="b">
        <f>IF(AND(NOT(AS10),AND(AS$4:AS9)),TRUE,AS10)</f>
        <v>1</v>
      </c>
      <c r="AX10" s="172">
        <f>IF(AND(NOT(ISBLANK(Jumpoverwrite10)),AND(NOT(AW10),AND(AW$4:AW9))),($J10*$G10-LN(1+Jumpoverwrite10*AY$2))/$G10,_xll.qlInterpolationInterpolate(AW$3,$F10,TRUE))</f>
        <v>5.5094510999443343E-3</v>
      </c>
      <c r="AY10" s="176" t="str">
        <f>IF(AND(NOT(AW10),AND(AW$4:AW9)),IF($AX10&lt;0,IF($AX10&lt;$J10,EXP(($AX10-$J10)*$G10),EXP(($J10-$AX10)*$G10)),EXP(($AX10-$J10)*$G10)),"")</f>
        <v/>
      </c>
      <c r="BA10" s="72" t="b">
        <f>IF(AND(NOT(AW10),AND(AW$4:AW9)),TRUE,AW10)</f>
        <v>1</v>
      </c>
      <c r="BB10" s="172">
        <f>IF(AND(NOT(ISBLANK(Jumpoverwrite11)),AND(NOT(BA10),AND(BA$4:BA9))),($J10*$G10-LN(1+Jumpoverwrite11*BC$2))/$G10,_xll.qlInterpolationInterpolate(BA$3,$F10,TRUE))</f>
        <v>5.5094510999443343E-3</v>
      </c>
      <c r="BC10" s="176" t="str">
        <f>IF(AND(NOT(BA10),AND(BA$4:BA9)),IF($BB10&lt;0,IF($BB10&lt;$J10,EXP(($BB10-$J10)*$G10),EXP(($J10-$BB10)*$G10)),EXP(($BB10-$J10)*$G10)),"")</f>
        <v/>
      </c>
      <c r="BE10" s="72" t="b">
        <f>IF(AND(NOT(BA10),AND(BA$4:BA9)),TRUE,BA10)</f>
        <v>1</v>
      </c>
      <c r="BF10" s="172">
        <f>IF(AND(NOT(ISBLANK(Jumpoverwrite12)),AND(NOT(BE10),AND(BE$4:BE9))),($J10*$G10-LN(1+Jumpoverwrite12*BG$2))/$G10,_xll.qlInterpolationInterpolate(BE$3,$F10,TRUE))</f>
        <v>5.5094510999443343E-3</v>
      </c>
      <c r="BG10" s="176" t="str">
        <f>IF(AND(NOT(BE10),AND(BE$4:BE9)),IF($BF10&lt;0,IF($BF10&lt;$J10,EXP(($BF10-$J10)*$G10),EXP(($J10-$BF10)*$G10)),EXP(($BF10-$J10)*$G10)),"")</f>
        <v/>
      </c>
      <c r="BI10" s="72" t="b">
        <f t="shared" si="1"/>
        <v>1</v>
      </c>
      <c r="BJ10" s="172">
        <f>IF(AND(NOT(ISBLANK(jumpoverwrite13)),AND(NOT(BI10),AND(BI$4:BI9))),($J10*$G10-LN(1+jumpoverwrite13*BK$2))/$G10,_xll.qlInterpolationInterpolate(BI$3,$F10,TRUE))</f>
        <v>5.5094510999443343E-3</v>
      </c>
      <c r="BK10" s="176" t="str">
        <f>IF(AND(NOT(BI10),AND(BI$4:BI9)),IF($BJ10&lt;0,IF($BJ10&lt;$J10,EXP(($BJ10-$J10)*$G10),EXP(($J10-$BJ10)*$G10)),EXP(($BJ10-$J10)*$G10)),"")</f>
        <v/>
      </c>
      <c r="BM10" s="72" t="b">
        <f>IF(AND(NOT(BI10),AND(BI$4:BI9)),TRUE,BI10)</f>
        <v>1</v>
      </c>
      <c r="BN10" s="172">
        <f>IF(AND(NOT(ISBLANK(Jumpoverwrite14)),AND(NOT(BM10),AND(BM$4:BM9))),($J10*$G10-LN(1+Jumpoverwrite14*BO$2))/$G10,_xll.qlInterpolationInterpolate(BM$3,$F10,TRUE))</f>
        <v>5.5094510999443343E-3</v>
      </c>
      <c r="BO10" s="176" t="str">
        <f>IF(AND(NOT(BM10),AND(BM$4:BM9)),IF($BN10&lt;0,IF($BN10&lt;$J10,EXP(($BN10-$J10)*$G10),EXP(($J10-$BN10)*$G10)),EXP(($BN10-$J10)*$G10)),"")</f>
        <v/>
      </c>
      <c r="BQ10" s="72" t="b">
        <f>IF(AND(NOT(BM10),AND(BM$4:BM9)),TRUE,BM10)</f>
        <v>1</v>
      </c>
      <c r="BR10" s="172">
        <f>IF(AND(NOT(ISBLANK(Jumpoverwrite15)),AND(NOT(BQ10),AND(BQ$4:BQ9))),($J10*$G10-LN(1+Jumpoverwrite15*BS$2))/$G10,_xll.qlInterpolationInterpolate(BQ$3,$F10,TRUE))</f>
        <v>5.5094510999443343E-3</v>
      </c>
      <c r="BS10" s="176" t="str">
        <f>IF(AND(NOT(BQ10),AND(BQ$4:BQ9)),IF($BN10&lt;0,IF($BN10&lt;$J10,EXP(($BN10-$J10)*$G10),EXP(($J10-$BN10)*$G10)),EXP(($BN10-$J10)*$G10)),"")</f>
        <v/>
      </c>
    </row>
    <row r="11" spans="1:71" x14ac:dyDescent="0.2">
      <c r="A11" s="33" t="str">
        <v>obj_0021b</v>
      </c>
      <c r="B11" s="17">
        <f>_xll.qlRateHelperRate($A11,InterestRatesTrigger)</f>
        <v>4.9499999999999995E-3</v>
      </c>
      <c r="C11" s="18">
        <f>_xll.qlRateHelperEarliestDate($A11)</f>
        <v>42664</v>
      </c>
      <c r="D11" s="19">
        <f>_xll.qlRateHelperPillarDate($A11)</f>
        <v>42787</v>
      </c>
      <c r="F11" s="84">
        <f t="shared" si="0"/>
        <v>42772.5</v>
      </c>
      <c r="G11" s="85">
        <f>_xll.qlDayCounterYearFraction(DayCounter,D10,D11)</f>
        <v>8.0555555555555561E-2</v>
      </c>
      <c r="I11" s="93" t="b">
        <f t="shared" si="2"/>
        <v>0</v>
      </c>
      <c r="J11" s="37">
        <v>5.6872035183346409E-3</v>
      </c>
      <c r="K11" s="94">
        <f t="shared" si="3"/>
        <v>42787</v>
      </c>
      <c r="L11" s="75"/>
      <c r="M11" s="72" t="b">
        <f>IF(AND(NOT(I11),AND(I$4:I10)),TRUE,I11)</f>
        <v>0</v>
      </c>
      <c r="N11" s="172">
        <f>IF(AND(NOT(ISBLANK(Jumpoverwrite1)),AND(NOT(M11),AND(M$4:M10))),($J11*$G11-LN(1+Jumpoverwrite1*O$2))/$G11,_xll.qlInterpolationInterpolate(M$3,$F11,TRUE))</f>
        <v>4.6891298737908359E-3</v>
      </c>
      <c r="O11" s="34" t="str">
        <f>IF(AND(NOT(M11),AND(M$4:M10)),IF($N11&lt;0,IF($N11&lt;$J11,EXP(($N11-$J11)*$G11),EXP(($J11-$N11)*$G11)),EXP(($N11-$J11)*$G11)),"")</f>
        <v/>
      </c>
      <c r="P11" s="107"/>
      <c r="Q11" s="72" t="b">
        <f>IF(AND(NOT(M11),AND(M$4:M10)),TRUE,M11)</f>
        <v>0</v>
      </c>
      <c r="R11" s="172">
        <f>IF(AND(NOT(ISBLANK(Jumpoverwrite2)),AND(NOT(Q11),AND(Q$4:Q10))),($J11*$G11-LN(1+Jumpoverwrite2*S$2))/$G11,_xll.qlInterpolationInterpolate(Q$3,$F11,TRUE))</f>
        <v>4.6891298737908359E-3</v>
      </c>
      <c r="S11" s="176" t="str">
        <f>IF(AND(NOT(Q11),AND(Q$4:Q10)),IF($R11&lt;0,IF($R11&lt;$J11,EXP(($R11-$J11)*$G11),EXP(($J11-$R11)*$G11)),EXP(($R11-$J11)*$G11)),"")</f>
        <v/>
      </c>
      <c r="T11" s="107"/>
      <c r="U11" s="72" t="b">
        <f>IF(AND(NOT(Q11),AND(Q$4:Q10)),TRUE,Q11)</f>
        <v>0</v>
      </c>
      <c r="V11" s="172">
        <f>IF(AND(NOT(ISBLANK(Jumpoverwrite3)),AND(NOT(U11),AND(U$4:U10))),($J11*$G11-LN(1+Jumpoverwrite3*W$2))/$G11,_xll.qlInterpolationInterpolate(U$3,$F11,TRUE))</f>
        <v>4.8640833659929182E-3</v>
      </c>
      <c r="W11" s="176" t="str">
        <f>IF(AND(NOT(U11),AND(U$4:U10)),IF($V11&lt;0,IF($V11&lt;$J11,EXP(($V11-$J11)*$G11),EXP(($J11-$V11)*$G11)),EXP(($V11-$J11)*$G11)),"")</f>
        <v/>
      </c>
      <c r="X11" s="107"/>
      <c r="Y11" s="72" t="b">
        <f>IF(AND(NOT(U11),AND(U$4:U10)),TRUE,U11)</f>
        <v>0</v>
      </c>
      <c r="Z11" s="172">
        <f>IF(AND(NOT(ISBLANK(Jumpoverwrite4)),AND(NOT(Y11),AND(Y$4:Y10))),($J11*$G11-LN(1+Jumpoverwrite4*AA$2))/$G11,_xll.qlInterpolationInterpolate(Y$3,$F11,TRUE))</f>
        <v>5.6872035183346409E-3</v>
      </c>
      <c r="AA11" s="176">
        <f>IF(AND(NOT(Y11),AND(Y$4:Y10)),IF($Z11&lt;0,IF($Z11&lt;$J11,EXP(($Z11-$J11)*$G11),EXP(($J11-$Z11)*$G11)),EXP(($Z11-$J11)*$G11)),"")</f>
        <v>1</v>
      </c>
      <c r="AB11" s="107"/>
      <c r="AC11" s="72" t="b">
        <f>IF(AND(NOT(Y11),AND(Y$4:Y10)),TRUE,Y11)</f>
        <v>1</v>
      </c>
      <c r="AD11" s="172">
        <f>IF(AND(NOT(ISBLANK(Jumpoverwrite5)),AND(NOT(AC11),AND(AC$4:AC10))),($J11*$G11-LN(1+Jumpoverwrite5*AE$2))/$G11,_xll.qlInterpolationInterpolate(AC$3,$F11,TRUE))</f>
        <v>5.6872035183346409E-3</v>
      </c>
      <c r="AE11" s="176" t="str">
        <f>IF(AND(NOT(AC11),AND(AC$4:AC10)),IF($AD11&lt;0,IF($AD11&lt;$J11,EXP(($AD11-$J11)*$G11),EXP(($J11-$AD11)*$G11)),EXP(($AD11-$J11)*$G11)),"")</f>
        <v/>
      </c>
      <c r="AF11" s="107"/>
      <c r="AG11" s="72" t="b">
        <f>IF(AND(NOT(AC11),AND(AC$4:AC10)),TRUE,AC11)</f>
        <v>1</v>
      </c>
      <c r="AH11" s="172">
        <f>IF(AND(NOT(ISBLANK(Jumpoverwrite6)),AND(NOT(AG11),AND(AG$4:AG10))),($J11*$G11-LN(1+Jumpoverwrite6*AI$2))/$G11,_xll.qlInterpolationInterpolate(AG$3,$F11,TRUE))</f>
        <v>5.6872035183346409E-3</v>
      </c>
      <c r="AI11" s="176" t="str">
        <f>IF(AND(NOT(AG11),AND(AG$4:AG10)),IF($AH11&lt;0,IF($AH11&lt;$J11,EXP(($AH11-$J11)*$G11),EXP(($J11-$AH11)*$G11)),EXP(($AH11-$J11)*$G11)),"")</f>
        <v/>
      </c>
      <c r="AJ11" s="107"/>
      <c r="AK11" s="72" t="b">
        <f>IF(AND(NOT(AG11),AND(AG$4:AG10)),TRUE,AG11)</f>
        <v>1</v>
      </c>
      <c r="AL11" s="172">
        <f>IF(AND(NOT(ISBLANK(Jumpoverwrite7)),AND(NOT(AK11),AND(AK$4:AK10))),($J11*$G11-LN(1+Jumpoverwrite7*AM$2))/$G11,_xll.qlInterpolationInterpolate(AK$3,$F11,TRUE))</f>
        <v>5.6872035183346409E-3</v>
      </c>
      <c r="AM11" s="176" t="str">
        <f>IF(AND(NOT(AK11),AND(AK$4:AK10)),IF($AL11&lt;0,IF($AL11&lt;$J11,EXP(($AL11-$J11)*$G11),EXP(($J11-$AL11)*$G11)),EXP(($AL11-$J11)*$G11)),"")</f>
        <v/>
      </c>
      <c r="AO11" s="72" t="b">
        <f>IF(AND(NOT(AK11),AND(AK$4:AK10)),TRUE,AK11)</f>
        <v>1</v>
      </c>
      <c r="AP11" s="172">
        <f>IF(AND(NOT(ISBLANK(Jumpoverwrite8)),AND(NOT(AO11),AND(AO$4:AO10))),($J11*$G11-LN(1+Jumpoverwrite8*AQ$2))/$G11,_xll.qlInterpolationInterpolate(AO$3,$F11,TRUE))</f>
        <v>5.6872035183346409E-3</v>
      </c>
      <c r="AQ11" s="176" t="str">
        <f>IF(AND(NOT(AO11),AND(AO$4:AO10)),IF($AP11&lt;0,IF($AP11&lt;$J11,EXP(($AP11-$J11)*$G11),EXP(($J11-$AP11)*$G11)),EXP(($AP11-$J11)*$G11)),"")</f>
        <v/>
      </c>
      <c r="AS11" s="72" t="b">
        <f>IF(AND(NOT(AO11),AND(AO$4:AO10)),TRUE,AO11)</f>
        <v>1</v>
      </c>
      <c r="AT11" s="172">
        <f>IF(AND(NOT(ISBLANK(Jumpoverwrite9)),AND(NOT(AS11),AND(AS$4:AS10))),($J11*$G11-LN(1+Jumpoverwrite9*AU$2))/$G11,_xll.qlInterpolationInterpolate(AS$3,$F11,TRUE))</f>
        <v>5.6872035183346409E-3</v>
      </c>
      <c r="AU11" s="176" t="str">
        <f>IF(AND(NOT(AS11),AND(AS$4:AS10)),IF($AT11&lt;0,IF($AT11&lt;$J11,EXP(($AT11-$J11)*$G11),EXP(($J11-$AT11)*$G11)),EXP(($AT11-$J11)*$G11)),"")</f>
        <v/>
      </c>
      <c r="AW11" s="72" t="b">
        <f>IF(AND(NOT(AS11),AND(AS$4:AS10)),TRUE,AS11)</f>
        <v>1</v>
      </c>
      <c r="AX11" s="172">
        <f>IF(AND(NOT(ISBLANK(Jumpoverwrite10)),AND(NOT(AW11),AND(AW$4:AW10))),($J11*$G11-LN(1+Jumpoverwrite10*AY$2))/$G11,_xll.qlInterpolationInterpolate(AW$3,$F11,TRUE))</f>
        <v>5.6872035183346409E-3</v>
      </c>
      <c r="AY11" s="176" t="str">
        <f>IF(AND(NOT(AW11),AND(AW$4:AW10)),IF($AX11&lt;0,IF($AX11&lt;$J11,EXP(($AX11-$J11)*$G11),EXP(($J11-$AX11)*$G11)),EXP(($AX11-$J11)*$G11)),"")</f>
        <v/>
      </c>
      <c r="BA11" s="72" t="b">
        <f>IF(AND(NOT(AW11),AND(AW$4:AW10)),TRUE,AW11)</f>
        <v>1</v>
      </c>
      <c r="BB11" s="172">
        <f>IF(AND(NOT(ISBLANK(Jumpoverwrite11)),AND(NOT(BA11),AND(BA$4:BA10))),($J11*$G11-LN(1+Jumpoverwrite11*BC$2))/$G11,_xll.qlInterpolationInterpolate(BA$3,$F11,TRUE))</f>
        <v>5.6872035183346409E-3</v>
      </c>
      <c r="BC11" s="176" t="str">
        <f>IF(AND(NOT(BA11),AND(BA$4:BA10)),IF($BB11&lt;0,IF($BB11&lt;$J11,EXP(($BB11-$J11)*$G11),EXP(($J11-$BB11)*$G11)),EXP(($BB11-$J11)*$G11)),"")</f>
        <v/>
      </c>
      <c r="BE11" s="72" t="b">
        <f>IF(AND(NOT(BA11),AND(BA$4:BA10)),TRUE,BA11)</f>
        <v>1</v>
      </c>
      <c r="BF11" s="172">
        <f>IF(AND(NOT(ISBLANK(Jumpoverwrite12)),AND(NOT(BE11),AND(BE$4:BE10))),($J11*$G11-LN(1+Jumpoverwrite12*BG$2))/$G11,_xll.qlInterpolationInterpolate(BE$3,$F11,TRUE))</f>
        <v>5.6872035183346409E-3</v>
      </c>
      <c r="BG11" s="176" t="str">
        <f>IF(AND(NOT(BE11),AND(BE$4:BE10)),IF($BF11&lt;0,IF($BF11&lt;$J11,EXP(($BF11-$J11)*$G11),EXP(($J11-$BF11)*$G11)),EXP(($BF11-$J11)*$G11)),"")</f>
        <v/>
      </c>
      <c r="BI11" s="72" t="b">
        <f t="shared" si="1"/>
        <v>1</v>
      </c>
      <c r="BJ11" s="172">
        <f>IF(AND(NOT(ISBLANK(jumpoverwrite13)),AND(NOT(BI11),AND(BI$4:BI10))),($J11*$G11-LN(1+jumpoverwrite13*BK$2))/$G11,_xll.qlInterpolationInterpolate(BI$3,$F11,TRUE))</f>
        <v>5.6872035183346409E-3</v>
      </c>
      <c r="BK11" s="176" t="str">
        <f>IF(AND(NOT(BI11),AND(BI$4:BI10)),IF($BJ11&lt;0,IF($BJ11&lt;$J11,EXP(($BJ11-$J11)*$G11),EXP(($J11-$BJ11)*$G11)),EXP(($BJ11-$J11)*$G11)),"")</f>
        <v/>
      </c>
      <c r="BM11" s="72" t="b">
        <f>IF(AND(NOT(BI11),AND(BI$4:BI10)),TRUE,BI11)</f>
        <v>1</v>
      </c>
      <c r="BN11" s="172">
        <f>IF(AND(NOT(ISBLANK(Jumpoverwrite14)),AND(NOT(BM11),AND(BM$4:BM10))),($J11*$G11-LN(1+Jumpoverwrite14*BO$2))/$G11,_xll.qlInterpolationInterpolate(BM$3,$F11,TRUE))</f>
        <v>5.6872035183346409E-3</v>
      </c>
      <c r="BO11" s="176" t="str">
        <f>IF(AND(NOT(BM11),AND(BM$4:BM10)),IF($BN11&lt;0,IF($BN11&lt;$J11,EXP(($BN11-$J11)*$G11),EXP(($J11-$BN11)*$G11)),EXP(($BN11-$J11)*$G11)),"")</f>
        <v/>
      </c>
      <c r="BQ11" s="72" t="b">
        <f>IF(AND(NOT(BM11),AND(BM$4:BM10)),TRUE,BM11)</f>
        <v>1</v>
      </c>
      <c r="BR11" s="172">
        <f>IF(AND(NOT(ISBLANK(Jumpoverwrite15)),AND(NOT(BQ11),AND(BQ$4:BQ10))),($J11*$G11-LN(1+Jumpoverwrite15*BS$2))/$G11,_xll.qlInterpolationInterpolate(BQ$3,$F11,TRUE))</f>
        <v>5.6872035183346409E-3</v>
      </c>
      <c r="BS11" s="176" t="str">
        <f>IF(AND(NOT(BQ11),AND(BQ$4:BQ10)),IF($BN11&lt;0,IF($BN11&lt;$J11,EXP(($BN11-$J11)*$G11),EXP(($J11-$BN11)*$G11)),EXP(($BN11-$J11)*$G11)),"")</f>
        <v/>
      </c>
    </row>
    <row r="12" spans="1:71" x14ac:dyDescent="0.2">
      <c r="A12" s="33" t="str">
        <v>obj_0021a</v>
      </c>
      <c r="B12" s="17">
        <f>_xll.qlRateHelperRate($A12,InterestRatesTrigger)</f>
        <v>5.11E-3</v>
      </c>
      <c r="C12" s="18">
        <f>_xll.qlRateHelperEarliestDate($A12)</f>
        <v>42664</v>
      </c>
      <c r="D12" s="19">
        <f>_xll.qlRateHelperPillarDate($A12)</f>
        <v>42815</v>
      </c>
      <c r="F12" s="84">
        <f t="shared" si="0"/>
        <v>42801</v>
      </c>
      <c r="G12" s="85">
        <f>_xll.qlDayCounterYearFraction(DayCounter,D11,D12)</f>
        <v>7.7777777777777779E-2</v>
      </c>
      <c r="I12" s="93" t="b">
        <f t="shared" si="2"/>
        <v>0</v>
      </c>
      <c r="J12" s="37">
        <v>5.8017335455328601E-3</v>
      </c>
      <c r="K12" s="94">
        <f t="shared" si="3"/>
        <v>42815</v>
      </c>
      <c r="L12" s="75"/>
      <c r="M12" s="72" t="b">
        <f>IF(AND(NOT(I12),AND(I$4:I11)),TRUE,I12)</f>
        <v>0</v>
      </c>
      <c r="N12" s="172">
        <f>IF(AND(NOT(ISBLANK(Jumpoverwrite1)),AND(NOT(M12),AND(M$4:M11))),($J12*$G12-LN(1+Jumpoverwrite1*O$2))/$G12,_xll.qlInterpolationInterpolate(M$3,$F12,TRUE))</f>
        <v>4.8727475733767759E-3</v>
      </c>
      <c r="O12" s="34" t="str">
        <f>IF(AND(NOT(M12),AND(M$4:M11)),IF($N12&lt;0,IF($N12&lt;$J12,EXP(($N12-$J12)*$G12),EXP(($J12-$N12)*$G12)),EXP(($N12-$J12)*$G12)),"")</f>
        <v/>
      </c>
      <c r="P12" s="107"/>
      <c r="Q12" s="72" t="b">
        <f>IF(AND(NOT(M12),AND(M$4:M11)),TRUE,M12)</f>
        <v>0</v>
      </c>
      <c r="R12" s="172">
        <f>IF(AND(NOT(ISBLANK(Jumpoverwrite2)),AND(NOT(Q12),AND(Q$4:Q11))),($J12*$G12-LN(1+Jumpoverwrite2*S$2))/$G12,_xll.qlInterpolationInterpolate(Q$3,$F12,TRUE))</f>
        <v>4.8727475733767759E-3</v>
      </c>
      <c r="S12" s="176" t="str">
        <f>IF(AND(NOT(Q12),AND(Q$4:Q11)),IF($R12&lt;0,IF($R12&lt;$J12,EXP(($R12-$J12)*$G12),EXP(($J12-$R12)*$G12)),EXP(($R12-$J12)*$G12)),"")</f>
        <v/>
      </c>
      <c r="T12" s="107"/>
      <c r="U12" s="72" t="b">
        <f>IF(AND(NOT(Q12),AND(Q$4:Q11)),TRUE,Q12)</f>
        <v>0</v>
      </c>
      <c r="V12" s="172">
        <f>IF(AND(NOT(ISBLANK(Jumpoverwrite3)),AND(NOT(U12),AND(U$4:U11))),($J12*$G12-LN(1+Jumpoverwrite3*W$2))/$G12,_xll.qlInterpolationInterpolate(U$3,$F12,TRUE))</f>
        <v>5.0374414472089835E-3</v>
      </c>
      <c r="W12" s="176" t="str">
        <f>IF(AND(NOT(U12),AND(U$4:U11)),IF($V12&lt;0,IF($V12&lt;$J12,EXP(($V12-$J12)*$G12),EXP(($J12-$V12)*$G12)),EXP(($V12-$J12)*$G12)),"")</f>
        <v/>
      </c>
      <c r="X12" s="107"/>
      <c r="Y12" s="72" t="b">
        <f>IF(AND(NOT(U12),AND(U$4:U11)),TRUE,U12)</f>
        <v>0</v>
      </c>
      <c r="Z12" s="172">
        <f>IF(AND(NOT(ISBLANK(Jumpoverwrite4)),AND(NOT(Y12),AND(Y$4:Y11))),($J12*$G12-LN(1+Jumpoverwrite4*AA$2))/$G12,_xll.qlInterpolationInterpolate(Y$3,$F12,TRUE))</f>
        <v>5.7753992691850177E-3</v>
      </c>
      <c r="AA12" s="176" t="str">
        <f>IF(AND(NOT(Y12),AND(Y$4:Y11)),IF($Z12&lt;0,IF($Z12&lt;$J12,EXP(($Z12-$J12)*$G12),EXP(($J12-$Z12)*$G12)),EXP(($Z12-$J12)*$G12)),"")</f>
        <v/>
      </c>
      <c r="AB12" s="107"/>
      <c r="AC12" s="72" t="b">
        <f>IF(AND(NOT(Y12),AND(Y$4:Y11)),TRUE,Y12)</f>
        <v>0</v>
      </c>
      <c r="AD12" s="172">
        <f>IF(AND(NOT(ISBLANK(Jumpoverwrite5)),AND(NOT(AC12),AND(AC$4:AC11))),($J12*$G12-LN(1+Jumpoverwrite5*AE$2))/$G12,_xll.qlInterpolationInterpolate(AC$3,$F12,TRUE))</f>
        <v>5.8017335455328601E-3</v>
      </c>
      <c r="AE12" s="176">
        <f>IF(AND(NOT(AC12),AND(AC$4:AC11)),IF($AD12&lt;0,IF($AD12&lt;$J12,EXP(($AD12-$J12)*$G12),EXP(($J12-$AD12)*$G12)),EXP(($AD12-$J12)*$G12)),"")</f>
        <v>1</v>
      </c>
      <c r="AF12" s="107"/>
      <c r="AG12" s="72" t="b">
        <f>IF(AND(NOT(AC12),AND(AC$4:AC11)),TRUE,AC12)</f>
        <v>1</v>
      </c>
      <c r="AH12" s="172">
        <f>IF(AND(NOT(ISBLANK(Jumpoverwrite6)),AND(NOT(AG12),AND(AG$4:AG11))),($J12*$G12-LN(1+Jumpoverwrite6*AI$2))/$G12,_xll.qlInterpolationInterpolate(AG$3,$F12,TRUE))</f>
        <v>5.8017335455328601E-3</v>
      </c>
      <c r="AI12" s="176" t="str">
        <f>IF(AND(NOT(AG12),AND(AG$4:AG11)),IF($AH12&lt;0,IF($AH12&lt;$J12,EXP(($AH12-$J12)*$G12),EXP(($J12-$AH12)*$G12)),EXP(($AH12-$J12)*$G12)),"")</f>
        <v/>
      </c>
      <c r="AJ12" s="107"/>
      <c r="AK12" s="72" t="b">
        <f>IF(AND(NOT(AG12),AND(AG$4:AG11)),TRUE,AG12)</f>
        <v>1</v>
      </c>
      <c r="AL12" s="172">
        <f>IF(AND(NOT(ISBLANK(Jumpoverwrite7)),AND(NOT(AK12),AND(AK$4:AK11))),($J12*$G12-LN(1+Jumpoverwrite7*AM$2))/$G12,_xll.qlInterpolationInterpolate(AK$3,$F12,TRUE))</f>
        <v>5.8017335455328601E-3</v>
      </c>
      <c r="AM12" s="176" t="str">
        <f>IF(AND(NOT(AK12),AND(AK$4:AK11)),IF($AL12&lt;0,IF($AL12&lt;$J12,EXP(($AL12-$J12)*$G12),EXP(($J12-$AL12)*$G12)),EXP(($AL12-$J12)*$G12)),"")</f>
        <v/>
      </c>
      <c r="AO12" s="72" t="b">
        <f>IF(AND(NOT(AK12),AND(AK$4:AK11)),TRUE,AK12)</f>
        <v>1</v>
      </c>
      <c r="AP12" s="172">
        <f>IF(AND(NOT(ISBLANK(Jumpoverwrite8)),AND(NOT(AO12),AND(AO$4:AO11))),($J12*$G12-LN(1+Jumpoverwrite8*AQ$2))/$G12,_xll.qlInterpolationInterpolate(AO$3,$F12,TRUE))</f>
        <v>5.8017335455328601E-3</v>
      </c>
      <c r="AQ12" s="176" t="str">
        <f>IF(AND(NOT(AO12),AND(AO$4:AO11)),IF($AP12&lt;0,IF($AP12&lt;$J12,EXP(($AP12-$J12)*$G12),EXP(($J12-$AP12)*$G12)),EXP(($AP12-$J12)*$G12)),"")</f>
        <v/>
      </c>
      <c r="AS12" s="72" t="b">
        <f>IF(AND(NOT(AO12),AND(AO$4:AO11)),TRUE,AO12)</f>
        <v>1</v>
      </c>
      <c r="AT12" s="172">
        <f>IF(AND(NOT(ISBLANK(Jumpoverwrite9)),AND(NOT(AS12),AND(AS$4:AS11))),($J12*$G12-LN(1+Jumpoverwrite9*AU$2))/$G12,_xll.qlInterpolationInterpolate(AS$3,$F12,TRUE))</f>
        <v>5.8017335455328601E-3</v>
      </c>
      <c r="AU12" s="176" t="str">
        <f>IF(AND(NOT(AS12),AND(AS$4:AS11)),IF($AT12&lt;0,IF($AT12&lt;$J12,EXP(($AT12-$J12)*$G12),EXP(($J12-$AT12)*$G12)),EXP(($AT12-$J12)*$G12)),"")</f>
        <v/>
      </c>
      <c r="AW12" s="72" t="b">
        <f>IF(AND(NOT(AS12),AND(AS$4:AS11)),TRUE,AS12)</f>
        <v>1</v>
      </c>
      <c r="AX12" s="172">
        <f>IF(AND(NOT(ISBLANK(Jumpoverwrite10)),AND(NOT(AW12),AND(AW$4:AW11))),($J12*$G12-LN(1+Jumpoverwrite10*AY$2))/$G12,_xll.qlInterpolationInterpolate(AW$3,$F12,TRUE))</f>
        <v>5.8017335455328601E-3</v>
      </c>
      <c r="AY12" s="176" t="str">
        <f>IF(AND(NOT(AW12),AND(AW$4:AW11)),IF($AX12&lt;0,IF($AX12&lt;$J12,EXP(($AX12-$J12)*$G12),EXP(($J12-$AX12)*$G12)),EXP(($AX12-$J12)*$G12)),"")</f>
        <v/>
      </c>
      <c r="BA12" s="72" t="b">
        <f>IF(AND(NOT(AW12),AND(AW$4:AW11)),TRUE,AW12)</f>
        <v>1</v>
      </c>
      <c r="BB12" s="172">
        <f>IF(AND(NOT(ISBLANK(Jumpoverwrite11)),AND(NOT(BA12),AND(BA$4:BA11))),($J12*$G12-LN(1+Jumpoverwrite11*BC$2))/$G12,_xll.qlInterpolationInterpolate(BA$3,$F12,TRUE))</f>
        <v>5.8017335455328601E-3</v>
      </c>
      <c r="BC12" s="176" t="str">
        <f>IF(AND(NOT(BA12),AND(BA$4:BA11)),IF($BB12&lt;0,IF($BB12&lt;$J12,EXP(($BB12-$J12)*$G12),EXP(($J12-$BB12)*$G12)),EXP(($BB12-$J12)*$G12)),"")</f>
        <v/>
      </c>
      <c r="BE12" s="72" t="b">
        <f>IF(AND(NOT(BA12),AND(BA$4:BA11)),TRUE,BA12)</f>
        <v>1</v>
      </c>
      <c r="BF12" s="172">
        <f>IF(AND(NOT(ISBLANK(Jumpoverwrite12)),AND(NOT(BE12),AND(BE$4:BE11))),($J12*$G12-LN(1+Jumpoverwrite12*BG$2))/$G12,_xll.qlInterpolationInterpolate(BE$3,$F12,TRUE))</f>
        <v>5.8017335455328601E-3</v>
      </c>
      <c r="BG12" s="176" t="str">
        <f>IF(AND(NOT(BE12),AND(BE$4:BE11)),IF($BF12&lt;0,IF($BF12&lt;$J12,EXP(($BF12-$J12)*$G12),EXP(($J12-$BF12)*$G12)),EXP(($BF12-$J12)*$G12)),"")</f>
        <v/>
      </c>
      <c r="BI12" s="72" t="b">
        <f t="shared" si="1"/>
        <v>1</v>
      </c>
      <c r="BJ12" s="172">
        <f>IF(AND(NOT(ISBLANK(jumpoverwrite13)),AND(NOT(BI12),AND(BI$4:BI11))),($J12*$G12-LN(1+jumpoverwrite13*BK$2))/$G12,_xll.qlInterpolationInterpolate(BI$3,$F12,TRUE))</f>
        <v>5.8017335455328601E-3</v>
      </c>
      <c r="BK12" s="176" t="str">
        <f>IF(AND(NOT(BI12),AND(BI$4:BI11)),IF($BJ12&lt;0,IF($BJ12&lt;$J12,EXP(($BJ12-$J12)*$G12),EXP(($J12-$BJ12)*$G12)),EXP(($BJ12-$J12)*$G12)),"")</f>
        <v/>
      </c>
      <c r="BM12" s="72" t="b">
        <f>IF(AND(NOT(BI12),AND(BI$4:BI11)),TRUE,BI12)</f>
        <v>1</v>
      </c>
      <c r="BN12" s="172">
        <f>IF(AND(NOT(ISBLANK(Jumpoverwrite14)),AND(NOT(BM12),AND(BM$4:BM11))),($J12*$G12-LN(1+Jumpoverwrite14*BO$2))/$G12,_xll.qlInterpolationInterpolate(BM$3,$F12,TRUE))</f>
        <v>5.8017335455328601E-3</v>
      </c>
      <c r="BO12" s="176" t="str">
        <f>IF(AND(NOT(BM12),AND(BM$4:BM11)),IF($BN12&lt;0,IF($BN12&lt;$J12,EXP(($BN12-$J12)*$G12),EXP(($J12-$BN12)*$G12)),EXP(($BN12-$J12)*$G12)),"")</f>
        <v/>
      </c>
      <c r="BQ12" s="72" t="b">
        <f>IF(AND(NOT(BM12),AND(BM$4:BM11)),TRUE,BM12)</f>
        <v>1</v>
      </c>
      <c r="BR12" s="172">
        <f>IF(AND(NOT(ISBLANK(Jumpoverwrite15)),AND(NOT(BQ12),AND(BQ$4:BQ11))),($J12*$G12-LN(1+Jumpoverwrite15*BS$2))/$G12,_xll.qlInterpolationInterpolate(BQ$3,$F12,TRUE))</f>
        <v>5.8017335455328601E-3</v>
      </c>
      <c r="BS12" s="176" t="str">
        <f>IF(AND(NOT(BQ12),AND(BQ$4:BQ11)),IF($BN12&lt;0,IF($BN12&lt;$J12,EXP(($BN12-$J12)*$G12),EXP(($J12-$BN12)*$G12)),EXP(($BN12-$J12)*$G12)),"")</f>
        <v/>
      </c>
    </row>
    <row r="13" spans="1:71" x14ac:dyDescent="0.2">
      <c r="A13" s="33" t="str">
        <v>obj_0020f</v>
      </c>
      <c r="B13" s="17">
        <f>_xll.qlRateHelperRate($A13,InterestRatesTrigger)</f>
        <v>5.2700000000000004E-3</v>
      </c>
      <c r="C13" s="18">
        <f>_xll.qlRateHelperEarliestDate($A13)</f>
        <v>42664</v>
      </c>
      <c r="D13" s="19">
        <f>_xll.qlRateHelperPillarDate($A13)</f>
        <v>42846</v>
      </c>
      <c r="F13" s="84">
        <f t="shared" si="0"/>
        <v>42830.5</v>
      </c>
      <c r="G13" s="85">
        <f>_xll.qlDayCounterYearFraction(DayCounter,D12,D13)</f>
        <v>8.611111111111111E-2</v>
      </c>
      <c r="I13" s="93" t="b">
        <f t="shared" si="2"/>
        <v>0</v>
      </c>
      <c r="J13" s="37">
        <v>6.0348482891865842E-3</v>
      </c>
      <c r="K13" s="94">
        <f t="shared" si="3"/>
        <v>42846</v>
      </c>
      <c r="L13" s="75"/>
      <c r="M13" s="72" t="b">
        <f>IF(AND(NOT(I13),AND(I$4:I12)),TRUE,I13)</f>
        <v>0</v>
      </c>
      <c r="N13" s="172">
        <f>IF(AND(NOT(ISBLANK(Jumpoverwrite1)),AND(NOT(M13),AND(M$4:M12))),($J13*$G13-LN(1+Jumpoverwrite1*O$2))/$G13,_xll.qlInterpolationInterpolate(M$3,$F13,TRUE))</f>
        <v>5.0628079992639779E-3</v>
      </c>
      <c r="O13" s="34" t="str">
        <f>IF(AND(NOT(M13),AND(M$4:M12)),IF($N13&lt;0,IF($N13&lt;$J13,EXP(($N13-$J13)*$G13),EXP(($J13-$N13)*$G13)),EXP(($N13-$J13)*$G13)),"")</f>
        <v/>
      </c>
      <c r="P13" s="107"/>
      <c r="Q13" s="72" t="b">
        <f>IF(AND(NOT(M13),AND(M$4:M12)),TRUE,M13)</f>
        <v>0</v>
      </c>
      <c r="R13" s="172">
        <f>IF(AND(NOT(ISBLANK(Jumpoverwrite2)),AND(NOT(Q13),AND(Q$4:Q12))),($J13*$G13-LN(1+Jumpoverwrite2*S$2))/$G13,_xll.qlInterpolationInterpolate(Q$3,$F13,TRUE))</f>
        <v>5.0628079992639779E-3</v>
      </c>
      <c r="S13" s="176" t="str">
        <f>IF(AND(NOT(Q13),AND(Q$4:Q12)),IF($R13&lt;0,IF($R13&lt;$J13,EXP(($R13-$J13)*$G13),EXP(($J13-$R13)*$G13)),EXP(($R13-$J13)*$G13)),"")</f>
        <v/>
      </c>
      <c r="T13" s="107"/>
      <c r="U13" s="72" t="b">
        <f>IF(AND(NOT(Q13),AND(Q$4:Q12)),TRUE,Q13)</f>
        <v>0</v>
      </c>
      <c r="V13" s="172">
        <f>IF(AND(NOT(ISBLANK(Jumpoverwrite3)),AND(NOT(U13),AND(U$4:U12))),($J13*$G13-LN(1+Jumpoverwrite3*W$2))/$G13,_xll.qlInterpolationInterpolate(U$3,$F13,TRUE))</f>
        <v>5.2168822681168403E-3</v>
      </c>
      <c r="W13" s="176" t="str">
        <f>IF(AND(NOT(U13),AND(U$4:U12)),IF($V13&lt;0,IF($V13&lt;$J13,EXP(($V13-$J13)*$G13),EXP(($J13-$V13)*$G13)),EXP(($V13-$J13)*$G13)),"")</f>
        <v/>
      </c>
      <c r="X13" s="107"/>
      <c r="Y13" s="72" t="b">
        <f>IF(AND(NOT(U13),AND(U$4:U12)),TRUE,U13)</f>
        <v>0</v>
      </c>
      <c r="Z13" s="172">
        <f>IF(AND(NOT(ISBLANK(Jumpoverwrite4)),AND(NOT(Y13),AND(Y$4:Y12))),($J13*$G13-LN(1+Jumpoverwrite4*AA$2))/$G13,_xll.qlInterpolationInterpolate(Y$3,$F13,TRUE))</f>
        <v>5.9072559245228352E-3</v>
      </c>
      <c r="AA13" s="176" t="str">
        <f>IF(AND(NOT(Y13),AND(Y$4:Y12)),IF($Z13&lt;0,IF($Z13&lt;$J13,EXP(($Z13-$J13)*$G13),EXP(($J13-$Z13)*$G13)),EXP(($Z13-$J13)*$G13)),"")</f>
        <v/>
      </c>
      <c r="AB13" s="107"/>
      <c r="AC13" s="72" t="b">
        <f>IF(AND(NOT(Y13),AND(Y$4:Y12)),TRUE,Y13)</f>
        <v>0</v>
      </c>
      <c r="AD13" s="172">
        <f>IF(AND(NOT(ISBLANK(Jumpoverwrite5)),AND(NOT(AC13),AND(AC$4:AC12))),($J13*$G13-LN(1+Jumpoverwrite5*AE$2))/$G13,_xll.qlInterpolationInterpolate(AC$3,$F13,TRUE))</f>
        <v>5.9417699742943244E-3</v>
      </c>
      <c r="AE13" s="176" t="str">
        <f>IF(AND(NOT(AC13),AND(AC$4:AC12)),IF($AD13&lt;0,IF($AD13&lt;$J13,EXP(($AD13-$J13)*$G13),EXP(($J13-$AD13)*$G13)),EXP(($AD13-$J13)*$G13)),"")</f>
        <v/>
      </c>
      <c r="AF13" s="107"/>
      <c r="AG13" s="72" t="b">
        <f>IF(AND(NOT(AC13),AND(AC$4:AC12)),TRUE,AC13)</f>
        <v>0</v>
      </c>
      <c r="AH13" s="172">
        <f>IF(AND(NOT(ISBLANK(Jumpoverwrite6)),AND(NOT(AG13),AND(AG$4:AG12))),($J13*$G13-LN(1+Jumpoverwrite6*AI$2))/$G13,_xll.qlInterpolationInterpolate(AG$3,$F13,TRUE))</f>
        <v>6.034848289186585E-3</v>
      </c>
      <c r="AI13" s="176">
        <f>IF(AND(NOT(AG13),AND(AG$4:AG12)),IF($AH13&lt;0,IF($AH13&lt;$J13,EXP(($AH13-$J13)*$G13),EXP(($J13-$AH13)*$G13)),EXP(($AH13-$J13)*$G13)),"")</f>
        <v>1</v>
      </c>
      <c r="AJ13" s="107"/>
      <c r="AK13" s="72" t="b">
        <f>IF(AND(NOT(AG13),AND(AG$4:AG12)),TRUE,AG13)</f>
        <v>1</v>
      </c>
      <c r="AL13" s="172">
        <f>IF(AND(NOT(ISBLANK(Jumpoverwrite7)),AND(NOT(AK13),AND(AK$4:AK12))),($J13*$G13-LN(1+Jumpoverwrite7*AM$2))/$G13,_xll.qlInterpolationInterpolate(AK$3,$F13,TRUE))</f>
        <v>6.034848289186585E-3</v>
      </c>
      <c r="AM13" s="176" t="str">
        <f>IF(AND(NOT(AK13),AND(AK$4:AK12)),IF($AL13&lt;0,IF($AL13&lt;$J13,EXP(($AL13-$J13)*$G13),EXP(($J13-$AL13)*$G13)),EXP(($AL13-$J13)*$G13)),"")</f>
        <v/>
      </c>
      <c r="AO13" s="72" t="b">
        <f>IF(AND(NOT(AK13),AND(AK$4:AK12)),TRUE,AK13)</f>
        <v>1</v>
      </c>
      <c r="AP13" s="172">
        <f>IF(AND(NOT(ISBLANK(Jumpoverwrite8)),AND(NOT(AO13),AND(AO$4:AO12))),($J13*$G13-LN(1+Jumpoverwrite8*AQ$2))/$G13,_xll.qlInterpolationInterpolate(AO$3,$F13,TRUE))</f>
        <v>6.034848289186585E-3</v>
      </c>
      <c r="AQ13" s="176" t="str">
        <f>IF(AND(NOT(AO13),AND(AO$4:AO12)),IF($AP13&lt;0,IF($AP13&lt;$J13,EXP(($AP13-$J13)*$G13),EXP(($J13-$AP13)*$G13)),EXP(($AP13-$J13)*$G13)),"")</f>
        <v/>
      </c>
      <c r="AS13" s="72" t="b">
        <f>IF(AND(NOT(AO13),AND(AO$4:AO12)),TRUE,AO13)</f>
        <v>1</v>
      </c>
      <c r="AT13" s="172">
        <f>IF(AND(NOT(ISBLANK(Jumpoverwrite9)),AND(NOT(AS13),AND(AS$4:AS12))),($J13*$G13-LN(1+Jumpoverwrite9*AU$2))/$G13,_xll.qlInterpolationInterpolate(AS$3,$F13,TRUE))</f>
        <v>6.034848289186585E-3</v>
      </c>
      <c r="AU13" s="176" t="str">
        <f>IF(AND(NOT(AS13),AND(AS$4:AS12)),IF($AT13&lt;0,IF($AT13&lt;$J13,EXP(($AT13-$J13)*$G13),EXP(($J13-$AT13)*$G13)),EXP(($AT13-$J13)*$G13)),"")</f>
        <v/>
      </c>
      <c r="AW13" s="72" t="b">
        <f>IF(AND(NOT(AS13),AND(AS$4:AS12)),TRUE,AS13)</f>
        <v>1</v>
      </c>
      <c r="AX13" s="172">
        <f>IF(AND(NOT(ISBLANK(Jumpoverwrite10)),AND(NOT(AW13),AND(AW$4:AW12))),($J13*$G13-LN(1+Jumpoverwrite10*AY$2))/$G13,_xll.qlInterpolationInterpolate(AW$3,$F13,TRUE))</f>
        <v>6.034848289186585E-3</v>
      </c>
      <c r="AY13" s="176" t="str">
        <f>IF(AND(NOT(AW13),AND(AW$4:AW12)),IF($AX13&lt;0,IF($AX13&lt;$J13,EXP(($AX13-$J13)*$G13),EXP(($J13-$AX13)*$G13)),EXP(($AX13-$J13)*$G13)),"")</f>
        <v/>
      </c>
      <c r="BA13" s="72" t="b">
        <f>IF(AND(NOT(AW13),AND(AW$4:AW12)),TRUE,AW13)</f>
        <v>1</v>
      </c>
      <c r="BB13" s="172">
        <f>IF(AND(NOT(ISBLANK(Jumpoverwrite11)),AND(NOT(BA13),AND(BA$4:BA12))),($J13*$G13-LN(1+Jumpoverwrite11*BC$2))/$G13,_xll.qlInterpolationInterpolate(BA$3,$F13,TRUE))</f>
        <v>6.034848289186585E-3</v>
      </c>
      <c r="BC13" s="176" t="str">
        <f>IF(AND(NOT(BA13),AND(BA$4:BA12)),IF($BB13&lt;0,IF($BB13&lt;$J13,EXP(($BB13-$J13)*$G13),EXP(($J13-$BB13)*$G13)),EXP(($BB13-$J13)*$G13)),"")</f>
        <v/>
      </c>
      <c r="BE13" s="72" t="b">
        <f>IF(AND(NOT(BA13),AND(BA$4:BA12)),TRUE,BA13)</f>
        <v>1</v>
      </c>
      <c r="BF13" s="172">
        <f>IF(AND(NOT(ISBLANK(Jumpoverwrite12)),AND(NOT(BE13),AND(BE$4:BE12))),($J13*$G13-LN(1+Jumpoverwrite12*BG$2))/$G13,_xll.qlInterpolationInterpolate(BE$3,$F13,TRUE))</f>
        <v>6.034848289186585E-3</v>
      </c>
      <c r="BG13" s="176" t="str">
        <f>IF(AND(NOT(BE13),AND(BE$4:BE12)),IF($BF13&lt;0,IF($BF13&lt;$J13,EXP(($BF13-$J13)*$G13),EXP(($J13-$BF13)*$G13)),EXP(($BF13-$J13)*$G13)),"")</f>
        <v/>
      </c>
      <c r="BI13" s="72" t="b">
        <f t="shared" si="1"/>
        <v>1</v>
      </c>
      <c r="BJ13" s="172">
        <f>IF(AND(NOT(ISBLANK(jumpoverwrite13)),AND(NOT(BI13),AND(BI$4:BI12))),($J13*$G13-LN(1+jumpoverwrite13*BK$2))/$G13,_xll.qlInterpolationInterpolate(BI$3,$F13,TRUE))</f>
        <v>6.034848289186585E-3</v>
      </c>
      <c r="BK13" s="176" t="str">
        <f>IF(AND(NOT(BI13),AND(BI$4:BI12)),IF($BJ13&lt;0,IF($BJ13&lt;$J13,EXP(($BJ13-$J13)*$G13),EXP(($J13-$BJ13)*$G13)),EXP(($BJ13-$J13)*$G13)),"")</f>
        <v/>
      </c>
      <c r="BM13" s="72" t="b">
        <f>IF(AND(NOT(BI13),AND(BI$4:BI12)),TRUE,BI13)</f>
        <v>1</v>
      </c>
      <c r="BN13" s="172">
        <f>IF(AND(NOT(ISBLANK(Jumpoverwrite14)),AND(NOT(BM13),AND(BM$4:BM12))),($J13*$G13-LN(1+Jumpoverwrite14*BO$2))/$G13,_xll.qlInterpolationInterpolate(BM$3,$F13,TRUE))</f>
        <v>6.034848289186585E-3</v>
      </c>
      <c r="BO13" s="176" t="str">
        <f>IF(AND(NOT(BM13),AND(BM$4:BM12)),IF($BN13&lt;0,IF($BN13&lt;$J13,EXP(($BN13-$J13)*$G13),EXP(($J13-$BN13)*$G13)),EXP(($BN13-$J13)*$G13)),"")</f>
        <v/>
      </c>
      <c r="BQ13" s="72" t="b">
        <f>IF(AND(NOT(BM13),AND(BM$4:BM12)),TRUE,BM13)</f>
        <v>1</v>
      </c>
      <c r="BR13" s="172">
        <f>IF(AND(NOT(ISBLANK(Jumpoverwrite15)),AND(NOT(BQ13),AND(BQ$4:BQ12))),($J13*$G13-LN(1+Jumpoverwrite15*BS$2))/$G13,_xll.qlInterpolationInterpolate(BQ$3,$F13,TRUE))</f>
        <v>6.034848289186585E-3</v>
      </c>
      <c r="BS13" s="176" t="str">
        <f>IF(AND(NOT(BQ13),AND(BQ$4:BQ12)),IF($BN13&lt;0,IF($BN13&lt;$J13,EXP(($BN13-$J13)*$G13),EXP(($J13-$BN13)*$G13)),EXP(($BN13-$J13)*$G13)),"")</f>
        <v/>
      </c>
    </row>
    <row r="14" spans="1:71" x14ac:dyDescent="0.2">
      <c r="A14" s="33" t="str">
        <v>obj_0020b</v>
      </c>
      <c r="B14" s="17">
        <f>_xll.qlRateHelperRate($A14,InterestRatesTrigger)</f>
        <v>5.3900000000000007E-3</v>
      </c>
      <c r="C14" s="18">
        <f>_xll.qlRateHelperEarliestDate($A14)</f>
        <v>42664</v>
      </c>
      <c r="D14" s="19">
        <f>_xll.qlRateHelperPillarDate($A14)</f>
        <v>42877</v>
      </c>
      <c r="F14" s="84">
        <f t="shared" si="0"/>
        <v>42861.5</v>
      </c>
      <c r="G14" s="85">
        <f>_xll.qlDayCounterYearFraction(DayCounter,D13,D14)</f>
        <v>8.611111111111111E-2</v>
      </c>
      <c r="I14" s="93" t="b">
        <f t="shared" si="2"/>
        <v>0</v>
      </c>
      <c r="J14" s="37">
        <v>6.0767316160141548E-3</v>
      </c>
      <c r="K14" s="94">
        <f t="shared" si="3"/>
        <v>42877</v>
      </c>
      <c r="L14" s="75"/>
      <c r="M14" s="72" t="b">
        <f>IF(AND(NOT(I14),AND(I$4:I13)),TRUE,I14)</f>
        <v>0</v>
      </c>
      <c r="N14" s="172">
        <f>IF(AND(NOT(ISBLANK(Jumpoverwrite1)),AND(NOT(M14),AND(M$4:M13))),($J14*$G14-LN(1+Jumpoverwrite1*O$2))/$G14,_xll.qlInterpolationInterpolate(M$3,$F14,TRUE))</f>
        <v>5.2625325146030705E-3</v>
      </c>
      <c r="O14" s="34" t="str">
        <f>IF(AND(NOT(M14),AND(M$4:M13)),IF($N14&lt;0,IF($N14&lt;$J14,EXP(($N14-$J14)*$G14),EXP(($J14-$N14)*$G14)),EXP(($N14-$J14)*$G14)),"")</f>
        <v/>
      </c>
      <c r="P14" s="107"/>
      <c r="Q14" s="72" t="b">
        <f>IF(AND(NOT(M14),AND(M$4:M13)),TRUE,M14)</f>
        <v>0</v>
      </c>
      <c r="R14" s="172">
        <f>IF(AND(NOT(ISBLANK(Jumpoverwrite2)),AND(NOT(Q14),AND(Q$4:Q13))),($J14*$G14-LN(1+Jumpoverwrite2*S$2))/$G14,_xll.qlInterpolationInterpolate(Q$3,$F14,TRUE))</f>
        <v>5.2625325146030705E-3</v>
      </c>
      <c r="S14" s="176" t="str">
        <f>IF(AND(NOT(Q14),AND(Q$4:Q13)),IF($R14&lt;0,IF($R14&lt;$J14,EXP(($R14-$J14)*$G14),EXP(($J14-$R14)*$G14)),EXP(($R14-$J14)*$G14)),"")</f>
        <v/>
      </c>
      <c r="T14" s="107"/>
      <c r="U14" s="72" t="b">
        <f>IF(AND(NOT(Q14),AND(Q$4:Q13)),TRUE,Q14)</f>
        <v>0</v>
      </c>
      <c r="V14" s="172">
        <f>IF(AND(NOT(ISBLANK(Jumpoverwrite3)),AND(NOT(U14),AND(U$4:U13))),($J14*$G14-LN(1+Jumpoverwrite3*W$2))/$G14,_xll.qlInterpolationInterpolate(U$3,$F14,TRUE))</f>
        <v>5.4054471985623851E-3</v>
      </c>
      <c r="W14" s="176" t="str">
        <f>IF(AND(NOT(U14),AND(U$4:U13)),IF($V14&lt;0,IF($V14&lt;$J14,EXP(($V14-$J14)*$G14),EXP(($J14-$V14)*$G14)),EXP(($V14-$J14)*$G14)),"")</f>
        <v/>
      </c>
      <c r="X14" s="107"/>
      <c r="Y14" s="72" t="b">
        <f>IF(AND(NOT(U14),AND(U$4:U13)),TRUE,U14)</f>
        <v>0</v>
      </c>
      <c r="Z14" s="172">
        <f>IF(AND(NOT(ISBLANK(Jumpoverwrite4)),AND(NOT(Y14),AND(Y$4:Y13))),($J14*$G14-LN(1+Jumpoverwrite4*AA$2))/$G14,_xll.qlInterpolationInterpolate(Y$3,$F14,TRUE))</f>
        <v>6.0458171555557959E-3</v>
      </c>
      <c r="AA14" s="176" t="str">
        <f>IF(AND(NOT(Y14),AND(Y$4:Y13)),IF($Z14&lt;0,IF($Z14&lt;$J14,EXP(($Z14-$J14)*$G14),EXP(($J14-$Z14)*$G14)),EXP(($Z14-$J14)*$G14)),"")</f>
        <v/>
      </c>
      <c r="AB14" s="107"/>
      <c r="AC14" s="72" t="b">
        <f>IF(AND(NOT(Y14),AND(Y$4:Y13)),TRUE,Y14)</f>
        <v>0</v>
      </c>
      <c r="AD14" s="172">
        <f>IF(AND(NOT(ISBLANK(Jumpoverwrite5)),AND(NOT(AC14),AND(AC$4:AC13))),($J14*$G14-LN(1+Jumpoverwrite5*AE$2))/$G14,_xll.qlInterpolationInterpolate(AC$3,$F14,TRUE))</f>
        <v>6.0778313559279491E-3</v>
      </c>
      <c r="AE14" s="176" t="str">
        <f>IF(AND(NOT(AC14),AND(AC$4:AC13)),IF($AD14&lt;0,IF($AD14&lt;$J14,EXP(($AD14-$J14)*$G14),EXP(($J14-$AD14)*$G14)),EXP(($AD14-$J14)*$G14)),"")</f>
        <v/>
      </c>
      <c r="AF14" s="107"/>
      <c r="AG14" s="72" t="b">
        <f>IF(AND(NOT(AC14),AND(AC$4:AC13)),TRUE,AC14)</f>
        <v>0</v>
      </c>
      <c r="AH14" s="172">
        <f>IF(AND(NOT(ISBLANK(Jumpoverwrite6)),AND(NOT(AG14),AND(AG$4:AG13))),($J14*$G14-LN(1+Jumpoverwrite6*AI$2))/$G14,_xll.qlInterpolationInterpolate(AG$3,$F14,TRUE))</f>
        <v>6.0686689756871484E-3</v>
      </c>
      <c r="AI14" s="176" t="str">
        <f>IF(AND(NOT(AG14),AND(AG$4:AG13)),IF($AH14&lt;0,IF($AH14&lt;$J14,EXP(($AH14-$J14)*$G14),EXP(($J14-$AH14)*$G14)),EXP(($AH14-$J14)*$G14)),"")</f>
        <v/>
      </c>
      <c r="AJ14" s="107"/>
      <c r="AK14" s="72" t="b">
        <f>IF(AND(NOT(AG14),AND(AG$4:AG13)),TRUE,AG14)</f>
        <v>0</v>
      </c>
      <c r="AL14" s="172">
        <f>IF(AND(NOT(ISBLANK(Jumpoverwrite7)),AND(NOT(AK14),AND(AK$4:AK13))),($J14*$G14-LN(1+Jumpoverwrite7*AM$2))/$G14,_xll.qlInterpolationInterpolate(AK$3,$F14,TRUE))</f>
        <v>6.0767316160141548E-3</v>
      </c>
      <c r="AM14" s="176">
        <f>IF(AND(NOT(AK14),AND(AK$4:AK13)),IF($AL14&lt;0,IF($AL14&lt;$J14,EXP(($AL14-$J14)*$G14),EXP(($J14-$AL14)*$G14)),EXP(($AL14-$J14)*$G14)),"")</f>
        <v>1</v>
      </c>
      <c r="AO14" s="72" t="b">
        <f>IF(AND(NOT(AK14),AND(AK$4:AK13)),TRUE,AK14)</f>
        <v>1</v>
      </c>
      <c r="AP14" s="172">
        <f>IF(AND(NOT(ISBLANK(Jumpoverwrite8)),AND(NOT(AO14),AND(AO$4:AO13))),($J14*$G14-LN(1+Jumpoverwrite8*AQ$2))/$G14,_xll.qlInterpolationInterpolate(AO$3,$F14,TRUE))</f>
        <v>6.0767316160141548E-3</v>
      </c>
      <c r="AQ14" s="176" t="str">
        <f>IF(AND(NOT(AO14),AND(AO$4:AO13)),IF($AP14&lt;0,IF($AP14&lt;$J14,EXP(($AP14-$J14)*$G14),EXP(($J14-$AP14)*$G14)),EXP(($AP14-$J14)*$G14)),"")</f>
        <v/>
      </c>
      <c r="AS14" s="72" t="b">
        <f>IF(AND(NOT(AO14),AND(AO$4:AO13)),TRUE,AO14)</f>
        <v>1</v>
      </c>
      <c r="AT14" s="172">
        <f>IF(AND(NOT(ISBLANK(Jumpoverwrite9)),AND(NOT(AS14),AND(AS$4:AS13))),($J14*$G14-LN(1+Jumpoverwrite9*AU$2))/$G14,_xll.qlInterpolationInterpolate(AS$3,$F14,TRUE))</f>
        <v>6.0767316160141548E-3</v>
      </c>
      <c r="AU14" s="176" t="str">
        <f>IF(AND(NOT(AS14),AND(AS$4:AS13)),IF($AT14&lt;0,IF($AT14&lt;$J14,EXP(($AT14-$J14)*$G14),EXP(($J14-$AT14)*$G14)),EXP(($AT14-$J14)*$G14)),"")</f>
        <v/>
      </c>
      <c r="AW14" s="72" t="b">
        <f>IF(AND(NOT(AS14),AND(AS$4:AS13)),TRUE,AS14)</f>
        <v>1</v>
      </c>
      <c r="AX14" s="172">
        <f>IF(AND(NOT(ISBLANK(Jumpoverwrite10)),AND(NOT(AW14),AND(AW$4:AW13))),($J14*$G14-LN(1+Jumpoverwrite10*AY$2))/$G14,_xll.qlInterpolationInterpolate(AW$3,$F14,TRUE))</f>
        <v>6.0767316160141548E-3</v>
      </c>
      <c r="AY14" s="176" t="str">
        <f>IF(AND(NOT(AW14),AND(AW$4:AW13)),IF($AX14&lt;0,IF($AX14&lt;$J14,EXP(($AX14-$J14)*$G14),EXP(($J14-$AX14)*$G14)),EXP(($AX14-$J14)*$G14)),"")</f>
        <v/>
      </c>
      <c r="BA14" s="72" t="b">
        <f>IF(AND(NOT(AW14),AND(AW$4:AW13)),TRUE,AW14)</f>
        <v>1</v>
      </c>
      <c r="BB14" s="172">
        <f>IF(AND(NOT(ISBLANK(Jumpoverwrite11)),AND(NOT(BA14),AND(BA$4:BA13))),($J14*$G14-LN(1+Jumpoverwrite11*BC$2))/$G14,_xll.qlInterpolationInterpolate(BA$3,$F14,TRUE))</f>
        <v>6.0767316160141548E-3</v>
      </c>
      <c r="BC14" s="176" t="str">
        <f>IF(AND(NOT(BA14),AND(BA$4:BA13)),IF($BB14&lt;0,IF($BB14&lt;$J14,EXP(($BB14-$J14)*$G14),EXP(($J14-$BB14)*$G14)),EXP(($BB14-$J14)*$G14)),"")</f>
        <v/>
      </c>
      <c r="BE14" s="72" t="b">
        <f>IF(AND(NOT(BA14),AND(BA$4:BA13)),TRUE,BA14)</f>
        <v>1</v>
      </c>
      <c r="BF14" s="172">
        <f>IF(AND(NOT(ISBLANK(Jumpoverwrite12)),AND(NOT(BE14),AND(BE$4:BE13))),($J14*$G14-LN(1+Jumpoverwrite12*BG$2))/$G14,_xll.qlInterpolationInterpolate(BE$3,$F14,TRUE))</f>
        <v>6.0767316160141548E-3</v>
      </c>
      <c r="BG14" s="176" t="str">
        <f>IF(AND(NOT(BE14),AND(BE$4:BE13)),IF($BF14&lt;0,IF($BF14&lt;$J14,EXP(($BF14-$J14)*$G14),EXP(($J14-$BF14)*$G14)),EXP(($BF14-$J14)*$G14)),"")</f>
        <v/>
      </c>
      <c r="BI14" s="72" t="b">
        <f t="shared" si="1"/>
        <v>1</v>
      </c>
      <c r="BJ14" s="172">
        <f>IF(AND(NOT(ISBLANK(jumpoverwrite13)),AND(NOT(BI14),AND(BI$4:BI13))),($J14*$G14-LN(1+jumpoverwrite13*BK$2))/$G14,_xll.qlInterpolationInterpolate(BI$3,$F14,TRUE))</f>
        <v>6.0767316160141548E-3</v>
      </c>
      <c r="BK14" s="176" t="str">
        <f>IF(AND(NOT(BI14),AND(BI$4:BI13)),IF($BJ14&lt;0,IF($BJ14&lt;$J14,EXP(($BJ14-$J14)*$G14),EXP(($J14-$BJ14)*$G14)),EXP(($BJ14-$J14)*$G14)),"")</f>
        <v/>
      </c>
      <c r="BM14" s="72" t="b">
        <f>IF(AND(NOT(BI14),AND(BI$4:BI13)),TRUE,BI14)</f>
        <v>1</v>
      </c>
      <c r="BN14" s="172">
        <f>IF(AND(NOT(ISBLANK(Jumpoverwrite14)),AND(NOT(BM14),AND(BM$4:BM13))),($J14*$G14-LN(1+Jumpoverwrite14*BO$2))/$G14,_xll.qlInterpolationInterpolate(BM$3,$F14,TRUE))</f>
        <v>6.0767316160141548E-3</v>
      </c>
      <c r="BO14" s="176" t="str">
        <f>IF(AND(NOT(BM14),AND(BM$4:BM13)),IF($BN14&lt;0,IF($BN14&lt;$J14,EXP(($BN14-$J14)*$G14),EXP(($J14-$BN14)*$G14)),EXP(($BN14-$J14)*$G14)),"")</f>
        <v/>
      </c>
      <c r="BQ14" s="72" t="b">
        <f>IF(AND(NOT(BM14),AND(BM$4:BM13)),TRUE,BM14)</f>
        <v>1</v>
      </c>
      <c r="BR14" s="172">
        <f>IF(AND(NOT(ISBLANK(Jumpoverwrite15)),AND(NOT(BQ14),AND(BQ$4:BQ13))),($J14*$G14-LN(1+Jumpoverwrite15*BS$2))/$G14,_xll.qlInterpolationInterpolate(BQ$3,$F14,TRUE))</f>
        <v>6.0767316160141548E-3</v>
      </c>
      <c r="BS14" s="176" t="str">
        <f>IF(AND(NOT(BQ14),AND(BQ$4:BQ13)),IF($BN14&lt;0,IF($BN14&lt;$J14,EXP(($BN14-$J14)*$G14),EXP(($J14-$BN14)*$G14)),EXP(($BN14-$J14)*$G14)),"")</f>
        <v/>
      </c>
    </row>
    <row r="15" spans="1:71" x14ac:dyDescent="0.2">
      <c r="A15" s="33" t="str">
        <v>obj_00214</v>
      </c>
      <c r="B15" s="17">
        <f>_xll.qlRateHelperRate($A15,InterestRatesTrigger)</f>
        <v>5.4900000000000001E-3</v>
      </c>
      <c r="C15" s="18">
        <f>_xll.qlRateHelperEarliestDate($A15)</f>
        <v>42664</v>
      </c>
      <c r="D15" s="19">
        <f>_xll.qlRateHelperPillarDate($A15)</f>
        <v>42907</v>
      </c>
      <c r="F15" s="84">
        <f t="shared" si="0"/>
        <v>42892</v>
      </c>
      <c r="G15" s="85">
        <f>_xll.qlDayCounterYearFraction(DayCounter,D14,D15)</f>
        <v>8.3333333333333329E-2</v>
      </c>
      <c r="I15" s="93" t="b">
        <f t="shared" si="2"/>
        <v>0</v>
      </c>
      <c r="J15" s="37">
        <v>6.1786995848634963E-3</v>
      </c>
      <c r="K15" s="94">
        <f t="shared" si="3"/>
        <v>42907</v>
      </c>
      <c r="L15" s="75"/>
      <c r="M15" s="72" t="b">
        <f>IF(AND(NOT(I15),AND(I$4:I14)),TRUE,I15)</f>
        <v>0</v>
      </c>
      <c r="N15" s="172">
        <f>IF(AND(NOT(ISBLANK(Jumpoverwrite1)),AND(NOT(M15),AND(M$4:M14))),($J15*$G15-LN(1+Jumpoverwrite1*O$2))/$G15,_xll.qlInterpolationInterpolate(M$3,$F15,TRUE))</f>
        <v>5.4590356667915335E-3</v>
      </c>
      <c r="O15" s="34" t="str">
        <f>IF(AND(NOT(M15),AND(M$4:M14)),IF($N15&lt;0,IF($N15&lt;$J15,EXP(($N15-$J15)*$G15),EXP(($J15-$N15)*$G15)),EXP(($N15-$J15)*$G15)),"")</f>
        <v/>
      </c>
      <c r="P15" s="107"/>
      <c r="Q15" s="72" t="b">
        <f>IF(AND(NOT(M15),AND(M$4:M14)),TRUE,M15)</f>
        <v>0</v>
      </c>
      <c r="R15" s="172">
        <f>IF(AND(NOT(ISBLANK(Jumpoverwrite2)),AND(NOT(Q15),AND(Q$4:Q14))),($J15*$G15-LN(1+Jumpoverwrite2*S$2))/$G15,_xll.qlInterpolationInterpolate(Q$3,$F15,TRUE))</f>
        <v>5.4590356667915335E-3</v>
      </c>
      <c r="S15" s="176" t="str">
        <f>IF(AND(NOT(Q15),AND(Q$4:Q14)),IF($R15&lt;0,IF($R15&lt;$J15,EXP(($R15-$J15)*$G15),EXP(($J15-$R15)*$G15)),EXP(($R15-$J15)*$G15)),"")</f>
        <v/>
      </c>
      <c r="T15" s="107"/>
      <c r="U15" s="72" t="b">
        <f>IF(AND(NOT(Q15),AND(Q$4:Q14)),TRUE,Q15)</f>
        <v>0</v>
      </c>
      <c r="V15" s="172">
        <f>IF(AND(NOT(ISBLANK(Jumpoverwrite3)),AND(NOT(U15),AND(U$4:U14))),($J15*$G15-LN(1+Jumpoverwrite3*W$2))/$G15,_xll.qlInterpolationInterpolate(U$3,$F15,TRUE))</f>
        <v>5.5909707591620342E-3</v>
      </c>
      <c r="W15" s="176" t="str">
        <f>IF(AND(NOT(U15),AND(U$4:U14)),IF($V15&lt;0,IF($V15&lt;$J15,EXP(($V15-$J15)*$G15),EXP(($J15-$V15)*$G15)),EXP(($V15-$J15)*$G15)),"")</f>
        <v/>
      </c>
      <c r="X15" s="107"/>
      <c r="Y15" s="72" t="b">
        <f>IF(AND(NOT(U15),AND(U$4:U14)),TRUE,U15)</f>
        <v>0</v>
      </c>
      <c r="Z15" s="172">
        <f>IF(AND(NOT(ISBLANK(Jumpoverwrite4)),AND(NOT(Y15),AND(Y$4:Y14))),($J15*$G15-LN(1+Jumpoverwrite4*AA$2))/$G15,_xll.qlInterpolationInterpolate(Y$3,$F15,TRUE))</f>
        <v>6.1821435280237091E-3</v>
      </c>
      <c r="AA15" s="176" t="str">
        <f>IF(AND(NOT(Y15),AND(Y$4:Y14)),IF($Z15&lt;0,IF($Z15&lt;$J15,EXP(($Z15-$J15)*$G15),EXP(($J15-$Z15)*$G15)),EXP(($Z15-$J15)*$G15)),"")</f>
        <v/>
      </c>
      <c r="AB15" s="107"/>
      <c r="AC15" s="72" t="b">
        <f>IF(AND(NOT(Y15),AND(Y$4:Y14)),TRUE,Y15)</f>
        <v>0</v>
      </c>
      <c r="AD15" s="172">
        <f>IF(AND(NOT(ISBLANK(Jumpoverwrite5)),AND(NOT(AC15),AND(AC$4:AC14))),($J15*$G15-LN(1+Jumpoverwrite5*AE$2))/$G15,_xll.qlInterpolationInterpolate(AC$3,$F15,TRUE))</f>
        <v>6.2116981991481275E-3</v>
      </c>
      <c r="AE15" s="176" t="str">
        <f>IF(AND(NOT(AC15),AND(AC$4:AC14)),IF($AD15&lt;0,IF($AD15&lt;$J15,EXP(($AD15-$J15)*$G15),EXP(($J15-$AD15)*$G15)),EXP(($AD15-$J15)*$G15)),"")</f>
        <v/>
      </c>
      <c r="AF15" s="107"/>
      <c r="AG15" s="72" t="b">
        <f>IF(AND(NOT(AC15),AND(AC$4:AC14)),TRUE,AC15)</f>
        <v>0</v>
      </c>
      <c r="AH15" s="172">
        <f>IF(AND(NOT(ISBLANK(Jumpoverwrite6)),AND(NOT(AG15),AND(AG$4:AG14))),($J15*$G15-LN(1+Jumpoverwrite6*AI$2))/$G15,_xll.qlInterpolationInterpolate(AG$3,$F15,TRUE))</f>
        <v>6.2032397297318714E-3</v>
      </c>
      <c r="AI15" s="176" t="str">
        <f>IF(AND(NOT(AG15),AND(AG$4:AG14)),IF($AH15&lt;0,IF($AH15&lt;$J15,EXP(($AH15-$J15)*$G15),EXP(($J15-$AH15)*$G15)),EXP(($AH15-$J15)*$G15)),"")</f>
        <v/>
      </c>
      <c r="AJ15" s="107"/>
      <c r="AK15" s="72" t="b">
        <f>IF(AND(NOT(AG15),AND(AG$4:AG14)),TRUE,AG15)</f>
        <v>0</v>
      </c>
      <c r="AL15" s="172">
        <f>IF(AND(NOT(ISBLANK(Jumpoverwrite7)),AND(NOT(AK15),AND(AK$4:AK14))),($J15*$G15-LN(1+Jumpoverwrite7*AM$2))/$G15,_xll.qlInterpolationInterpolate(AK$3,$F15,TRUE))</f>
        <v>6.2914019430920839E-3</v>
      </c>
      <c r="AM15" s="176" t="str">
        <f>IF(AND(NOT(AK15),AND(AK$4:AK14)),IF($AL15&lt;0,IF($AL15&lt;$J15,EXP(($AL15-$J15)*$G15),EXP(($J15-$AL15)*$G15)),EXP(($AL15-$J15)*$G15)),"")</f>
        <v/>
      </c>
      <c r="AO15" s="72" t="b">
        <f>IF(AND(NOT(AK15),AND(AK$4:AK14)),TRUE,AK15)</f>
        <v>0</v>
      </c>
      <c r="AP15" s="172">
        <f>IF(AND(NOT(ISBLANK(Jumpoverwrite8)),AND(NOT(AO15),AND(AO$4:AO14))),($J15*$G15-LN(1+Jumpoverwrite8*AQ$2))/$G15,_xll.qlInterpolationInterpolate(AO$3,$F15,TRUE))</f>
        <v>6.1786995848634963E-3</v>
      </c>
      <c r="AQ15" s="176">
        <f>IF(AND(NOT(AO15),AND(AO$4:AO14)),IF($AP15&lt;0,IF($AP15&lt;$J15,EXP(($AP15-$J15)*$G15),EXP(($J15-$AP15)*$G15)),EXP(($AP15-$J15)*$G15)),"")</f>
        <v>1</v>
      </c>
      <c r="AS15" s="72" t="b">
        <f>IF(AND(NOT(AO15),AND(AO$4:AO14)),TRUE,AO15)</f>
        <v>1</v>
      </c>
      <c r="AT15" s="172">
        <f>IF(AND(NOT(ISBLANK(Jumpoverwrite9)),AND(NOT(AS15),AND(AS$4:AS14))),($J15*$G15-LN(1+Jumpoverwrite9*AU$2))/$G15,_xll.qlInterpolationInterpolate(AS$3,$F15,TRUE))</f>
        <v>6.1786995848634963E-3</v>
      </c>
      <c r="AU15" s="176" t="str">
        <f>IF(AND(NOT(AS15),AND(AS$4:AS14)),IF($AT15&lt;0,IF($AT15&lt;$J15,EXP(($AT15-$J15)*$G15),EXP(($J15-$AT15)*$G15)),EXP(($AT15-$J15)*$G15)),"")</f>
        <v/>
      </c>
      <c r="AW15" s="72" t="b">
        <f>IF(AND(NOT(AS15),AND(AS$4:AS14)),TRUE,AS15)</f>
        <v>1</v>
      </c>
      <c r="AX15" s="172">
        <f>IF(AND(NOT(ISBLANK(Jumpoverwrite10)),AND(NOT(AW15),AND(AW$4:AW14))),($J15*$G15-LN(1+Jumpoverwrite10*AY$2))/$G15,_xll.qlInterpolationInterpolate(AW$3,$F15,TRUE))</f>
        <v>6.1786995848634963E-3</v>
      </c>
      <c r="AY15" s="176" t="str">
        <f>IF(AND(NOT(AW15),AND(AW$4:AW14)),IF($AX15&lt;0,IF($AX15&lt;$J15,EXP(($AX15-$J15)*$G15),EXP(($J15-$AX15)*$G15)),EXP(($AX15-$J15)*$G15)),"")</f>
        <v/>
      </c>
      <c r="BA15" s="72" t="b">
        <f>IF(AND(NOT(AW15),AND(AW$4:AW14)),TRUE,AW15)</f>
        <v>1</v>
      </c>
      <c r="BB15" s="172">
        <f>IF(AND(NOT(ISBLANK(Jumpoverwrite11)),AND(NOT(BA15),AND(BA$4:BA14))),($J15*$G15-LN(1+Jumpoverwrite11*BC$2))/$G15,_xll.qlInterpolationInterpolate(BA$3,$F15,TRUE))</f>
        <v>6.1786995848634963E-3</v>
      </c>
      <c r="BC15" s="176" t="str">
        <f>IF(AND(NOT(BA15),AND(BA$4:BA14)),IF($BB15&lt;0,IF($BB15&lt;$J15,EXP(($BB15-$J15)*$G15),EXP(($J15-$BB15)*$G15)),EXP(($BB15-$J15)*$G15)),"")</f>
        <v/>
      </c>
      <c r="BE15" s="72" t="b">
        <f>IF(AND(NOT(BA15),AND(BA$4:BA14)),TRUE,BA15)</f>
        <v>1</v>
      </c>
      <c r="BF15" s="172">
        <f>IF(AND(NOT(ISBLANK(Jumpoverwrite12)),AND(NOT(BE15),AND(BE$4:BE14))),($J15*$G15-LN(1+Jumpoverwrite12*BG$2))/$G15,_xll.qlInterpolationInterpolate(BE$3,$F15,TRUE))</f>
        <v>6.1786995848634963E-3</v>
      </c>
      <c r="BG15" s="176" t="str">
        <f>IF(AND(NOT(BE15),AND(BE$4:BE14)),IF($BF15&lt;0,IF($BF15&lt;$J15,EXP(($BF15-$J15)*$G15),EXP(($J15-$BF15)*$G15)),EXP(($BF15-$J15)*$G15)),"")</f>
        <v/>
      </c>
      <c r="BI15" s="72" t="b">
        <f t="shared" si="1"/>
        <v>1</v>
      </c>
      <c r="BJ15" s="172">
        <f>IF(AND(NOT(ISBLANK(jumpoverwrite13)),AND(NOT(BI15),AND(BI$4:BI14))),($J15*$G15-LN(1+jumpoverwrite13*BK$2))/$G15,_xll.qlInterpolationInterpolate(BI$3,$F15,TRUE))</f>
        <v>6.1786995848634963E-3</v>
      </c>
      <c r="BK15" s="176" t="str">
        <f>IF(AND(NOT(BI15),AND(BI$4:BI14)),IF($BJ15&lt;0,IF($BJ15&lt;$J15,EXP(($BJ15-$J15)*$G15),EXP(($J15-$BJ15)*$G15)),EXP(($BJ15-$J15)*$G15)),"")</f>
        <v/>
      </c>
      <c r="BM15" s="72" t="b">
        <f>IF(AND(NOT(BI15),AND(BI$4:BI14)),TRUE,BI15)</f>
        <v>1</v>
      </c>
      <c r="BN15" s="172">
        <f>IF(AND(NOT(ISBLANK(Jumpoverwrite14)),AND(NOT(BM15),AND(BM$4:BM14))),($J15*$G15-LN(1+Jumpoverwrite14*BO$2))/$G15,_xll.qlInterpolationInterpolate(BM$3,$F15,TRUE))</f>
        <v>6.1786995848634963E-3</v>
      </c>
      <c r="BO15" s="176" t="str">
        <f>IF(AND(NOT(BM15),AND(BM$4:BM14)),IF($BN15&lt;0,IF($BN15&lt;$J15,EXP(($BN15-$J15)*$G15),EXP(($J15-$BN15)*$G15)),EXP(($BN15-$J15)*$G15)),"")</f>
        <v/>
      </c>
      <c r="BQ15" s="72" t="b">
        <f>IF(AND(NOT(BM15),AND(BM$4:BM14)),TRUE,BM15)</f>
        <v>1</v>
      </c>
      <c r="BR15" s="172">
        <f>IF(AND(NOT(ISBLANK(Jumpoverwrite15)),AND(NOT(BQ15),AND(BQ$4:BQ14))),($J15*$G15-LN(1+Jumpoverwrite15*BS$2))/$G15,_xll.qlInterpolationInterpolate(BQ$3,$F15,TRUE))</f>
        <v>6.1786995848634963E-3</v>
      </c>
      <c r="BS15" s="176" t="str">
        <f>IF(AND(NOT(BQ15),AND(BQ$4:BQ14)),IF($BN15&lt;0,IF($BN15&lt;$J15,EXP(($BN15-$J15)*$G15),EXP(($J15-$BN15)*$G15)),EXP(($BN15-$J15)*$G15)),"")</f>
        <v/>
      </c>
    </row>
    <row r="16" spans="1:71" x14ac:dyDescent="0.2">
      <c r="A16" s="33" t="str">
        <v>obj_00205</v>
      </c>
      <c r="B16" s="17">
        <f>_xll.qlRateHelperRate($A16,InterestRatesTrigger)</f>
        <v>5.6000000000000008E-3</v>
      </c>
      <c r="C16" s="18">
        <f>_xll.qlRateHelperEarliestDate($A16)</f>
        <v>42664</v>
      </c>
      <c r="D16" s="19">
        <f>_xll.qlRateHelperPillarDate($A16)</f>
        <v>42937</v>
      </c>
      <c r="F16" s="84">
        <f t="shared" si="0"/>
        <v>42922</v>
      </c>
      <c r="G16" s="85">
        <f>_xll.qlDayCounterYearFraction(DayCounter,D15,D16)</f>
        <v>8.3333333333333329E-2</v>
      </c>
      <c r="I16" s="93" t="b">
        <f t="shared" si="2"/>
        <v>0</v>
      </c>
      <c r="J16" s="37">
        <v>6.4652928058836637E-3</v>
      </c>
      <c r="K16" s="94">
        <f t="shared" si="3"/>
        <v>42937</v>
      </c>
      <c r="L16" s="75"/>
      <c r="M16" s="72" t="b">
        <f>IF(AND(NOT(I16),AND(I$4:I15)),TRUE,I16)</f>
        <v>0</v>
      </c>
      <c r="N16" s="172">
        <f>IF(AND(NOT(ISBLANK(Jumpoverwrite1)),AND(NOT(M16),AND(M$4:M15))),($J16*$G16-LN(1+Jumpoverwrite1*O$2))/$G16,_xll.qlInterpolationInterpolate(M$3,$F16,TRUE))</f>
        <v>5.652317455829366E-3</v>
      </c>
      <c r="O16" s="34" t="str">
        <f>IF(AND(NOT(M16),AND(M$4:M15)),IF($N16&lt;0,IF($N16&lt;$J16,EXP(($N16-$J16)*$G16),EXP(($J16-$N16)*$G16)),EXP(($N16-$J16)*$G16)),"")</f>
        <v/>
      </c>
      <c r="P16" s="107"/>
      <c r="Q16" s="72" t="b">
        <f>IF(AND(NOT(M16),AND(M$4:M15)),TRUE,M16)</f>
        <v>0</v>
      </c>
      <c r="R16" s="172">
        <f>IF(AND(NOT(ISBLANK(Jumpoverwrite2)),AND(NOT(Q16),AND(Q$4:Q15))),($J16*$G16-LN(1+Jumpoverwrite2*S$2))/$G16,_xll.qlInterpolationInterpolate(Q$3,$F16,TRUE))</f>
        <v>5.652317455829366E-3</v>
      </c>
      <c r="S16" s="176" t="str">
        <f>IF(AND(NOT(Q16),AND(Q$4:Q15)),IF($R16&lt;0,IF($R16&lt;$J16,EXP(($R16-$J16)*$G16),EXP(($J16-$R16)*$G16)),EXP(($R16-$J16)*$G16)),"")</f>
        <v/>
      </c>
      <c r="T16" s="107"/>
      <c r="U16" s="72" t="b">
        <f>IF(AND(NOT(Q16),AND(Q$4:Q15)),TRUE,Q16)</f>
        <v>0</v>
      </c>
      <c r="V16" s="172">
        <f>IF(AND(NOT(ISBLANK(Jumpoverwrite3)),AND(NOT(U16),AND(U$4:U15))),($J16*$G16-LN(1+Jumpoverwrite3*W$2))/$G16,_xll.qlInterpolationInterpolate(U$3,$F16,TRUE))</f>
        <v>5.7734529499157868E-3</v>
      </c>
      <c r="W16" s="176" t="str">
        <f>IF(AND(NOT(U16),AND(U$4:U15)),IF($V16&lt;0,IF($V16&lt;$J16,EXP(($V16-$J16)*$G16),EXP(($J16-$V16)*$G16)),EXP(($V16-$J16)*$G16)),"")</f>
        <v/>
      </c>
      <c r="X16" s="107"/>
      <c r="Y16" s="72" t="b">
        <f>IF(AND(NOT(U16),AND(U$4:U15)),TRUE,U16)</f>
        <v>0</v>
      </c>
      <c r="Z16" s="172">
        <f>IF(AND(NOT(ISBLANK(Jumpoverwrite4)),AND(NOT(Y16),AND(Y$4:Y15))),($J16*$G16-LN(1+Jumpoverwrite4*AA$2))/$G16,_xll.qlInterpolationInterpolate(Y$3,$F16,TRUE))</f>
        <v>6.316235041926575E-3</v>
      </c>
      <c r="AA16" s="176" t="str">
        <f>IF(AND(NOT(Y16),AND(Y$4:Y15)),IF($Z16&lt;0,IF($Z16&lt;$J16,EXP(($Z16-$J16)*$G16),EXP(($J16-$Z16)*$G16)),EXP(($Z16-$J16)*$G16)),"")</f>
        <v/>
      </c>
      <c r="AB16" s="107"/>
      <c r="AC16" s="72" t="b">
        <f>IF(AND(NOT(Y16),AND(Y$4:Y15)),TRUE,Y16)</f>
        <v>0</v>
      </c>
      <c r="AD16" s="172">
        <f>IF(AND(NOT(ISBLANK(Jumpoverwrite5)),AND(NOT(AC16),AND(AC$4:AC15))),($J16*$G16-LN(1+Jumpoverwrite5*AE$2))/$G16,_xll.qlInterpolationInterpolate(AC$3,$F16,TRUE))</f>
        <v>6.3433705039548606E-3</v>
      </c>
      <c r="AE16" s="176" t="str">
        <f>IF(AND(NOT(AC16),AND(AC$4:AC15)),IF($AD16&lt;0,IF($AD16&lt;$J16,EXP(($AD16-$J16)*$G16),EXP(($J16-$AD16)*$G16)),EXP(($AD16-$J16)*$G16)),"")</f>
        <v/>
      </c>
      <c r="AF16" s="107"/>
      <c r="AG16" s="72" t="b">
        <f>IF(AND(NOT(AC16),AND(AC$4:AC15)),TRUE,AC16)</f>
        <v>0</v>
      </c>
      <c r="AH16" s="172">
        <f>IF(AND(NOT(ISBLANK(Jumpoverwrite6)),AND(NOT(AG16),AND(AG$4:AG15))),($J16*$G16-LN(1+Jumpoverwrite6*AI$2))/$G16,_xll.qlInterpolationInterpolate(AG$3,$F16,TRUE))</f>
        <v>6.3356044058414359E-3</v>
      </c>
      <c r="AI16" s="176" t="str">
        <f>IF(AND(NOT(AG16),AND(AG$4:AG15)),IF($AH16&lt;0,IF($AH16&lt;$J16,EXP(($AH16-$J16)*$G16),EXP(($J16-$AH16)*$G16)),EXP(($AH16-$J16)*$G16)),"")</f>
        <v/>
      </c>
      <c r="AJ16" s="107"/>
      <c r="AK16" s="72" t="b">
        <f>IF(AND(NOT(AG16),AND(AG$4:AG15)),TRUE,AG16)</f>
        <v>0</v>
      </c>
      <c r="AL16" s="172">
        <f>IF(AND(NOT(ISBLANK(Jumpoverwrite7)),AND(NOT(AK16),AND(AK$4:AK15))),($J16*$G16-LN(1+Jumpoverwrite7*AM$2))/$G16,_xll.qlInterpolationInterpolate(AK$3,$F16,TRUE))</f>
        <v>6.4165500669484251E-3</v>
      </c>
      <c r="AM16" s="176" t="str">
        <f>IF(AND(NOT(AK16),AND(AK$4:AK15)),IF($AL16&lt;0,IF($AL16&lt;$J16,EXP(($AL16-$J16)*$G16),EXP(($J16-$AL16)*$G16)),EXP(($AL16-$J16)*$G16)),"")</f>
        <v/>
      </c>
      <c r="AO16" s="72" t="b">
        <f>IF(AND(NOT(AK16),AND(AK$4:AK15)),TRUE,AK16)</f>
        <v>0</v>
      </c>
      <c r="AP16" s="172">
        <f>IF(AND(NOT(ISBLANK(Jumpoverwrite8)),AND(NOT(AO16),AND(AO$4:AO15))),($J16*$G16-LN(1+Jumpoverwrite8*AQ$2))/$G16,_xll.qlInterpolationInterpolate(AO$3,$F16,TRUE))</f>
        <v>6.3424383566475766E-3</v>
      </c>
      <c r="AQ16" s="176" t="str">
        <f>IF(AND(NOT(AO16),AND(AO$4:AO15)),IF($AP16&lt;0,IF($AP16&lt;$J16,EXP(($AP16-$J16)*$G16),EXP(($J16-$AP16)*$G16)),EXP(($AP16-$J16)*$G16)),"")</f>
        <v/>
      </c>
      <c r="AS16" s="72" t="b">
        <f>IF(AND(NOT(AO16),AND(AO$4:AO15)),TRUE,AO16)</f>
        <v>0</v>
      </c>
      <c r="AT16" s="172">
        <f>IF(AND(NOT(ISBLANK(Jumpoverwrite9)),AND(NOT(AS16),AND(AS$4:AS15))),($J16*$G16-LN(1+Jumpoverwrite9*AU$2))/$G16,_xll.qlInterpolationInterpolate(AS$3,$F16,TRUE))</f>
        <v>6.4652928058836637E-3</v>
      </c>
      <c r="AU16" s="176">
        <f>IF(AND(NOT(AS16),AND(AS$4:AS15)),IF($AT16&lt;0,IF($AT16&lt;$J16,EXP(($AT16-$J16)*$G16),EXP(($J16-$AT16)*$G16)),EXP(($AT16-$J16)*$G16)),"")</f>
        <v>1</v>
      </c>
      <c r="AW16" s="72" t="b">
        <f>IF(AND(NOT(AS16),AND(AS$4:AS15)),TRUE,AS16)</f>
        <v>1</v>
      </c>
      <c r="AX16" s="172">
        <f>IF(AND(NOT(ISBLANK(Jumpoverwrite10)),AND(NOT(AW16),AND(AW$4:AW15))),($J16*$G16-LN(1+Jumpoverwrite10*AY$2))/$G16,_xll.qlInterpolationInterpolate(AW$3,$F16,TRUE))</f>
        <v>6.4652928058836637E-3</v>
      </c>
      <c r="AY16" s="176" t="str">
        <f>IF(AND(NOT(AW16),AND(AW$4:AW15)),IF($AX16&lt;0,IF($AX16&lt;$J16,EXP(($AX16-$J16)*$G16),EXP(($J16-$AX16)*$G16)),EXP(($AX16-$J16)*$G16)),"")</f>
        <v/>
      </c>
      <c r="BA16" s="72" t="b">
        <f>IF(AND(NOT(AW16),AND(AW$4:AW15)),TRUE,AW16)</f>
        <v>1</v>
      </c>
      <c r="BB16" s="172">
        <f>IF(AND(NOT(ISBLANK(Jumpoverwrite11)),AND(NOT(BA16),AND(BA$4:BA15))),($J16*$G16-LN(1+Jumpoverwrite11*BC$2))/$G16,_xll.qlInterpolationInterpolate(BA$3,$F16,TRUE))</f>
        <v>6.4652928058836637E-3</v>
      </c>
      <c r="BC16" s="176" t="str">
        <f>IF(AND(NOT(BA16),AND(BA$4:BA15)),IF($BB16&lt;0,IF($BB16&lt;$J16,EXP(($BB16-$J16)*$G16),EXP(($J16-$BB16)*$G16)),EXP(($BB16-$J16)*$G16)),"")</f>
        <v/>
      </c>
      <c r="BE16" s="72" t="b">
        <f>IF(AND(NOT(BA16),AND(BA$4:BA15)),TRUE,BA16)</f>
        <v>1</v>
      </c>
      <c r="BF16" s="172">
        <f>IF(AND(NOT(ISBLANK(Jumpoverwrite12)),AND(NOT(BE16),AND(BE$4:BE15))),($J16*$G16-LN(1+Jumpoverwrite12*BG$2))/$G16,_xll.qlInterpolationInterpolate(BE$3,$F16,TRUE))</f>
        <v>6.4652928058836637E-3</v>
      </c>
      <c r="BG16" s="176" t="str">
        <f>IF(AND(NOT(BE16),AND(BE$4:BE15)),IF($BF16&lt;0,IF($BF16&lt;$J16,EXP(($BF16-$J16)*$G16),EXP(($J16-$BF16)*$G16)),EXP(($BF16-$J16)*$G16)),"")</f>
        <v/>
      </c>
      <c r="BI16" s="72" t="b">
        <f t="shared" si="1"/>
        <v>1</v>
      </c>
      <c r="BJ16" s="172">
        <f>IF(AND(NOT(ISBLANK(jumpoverwrite13)),AND(NOT(BI16),AND(BI$4:BI15))),($J16*$G16-LN(1+jumpoverwrite13*BK$2))/$G16,_xll.qlInterpolationInterpolate(BI$3,$F16,TRUE))</f>
        <v>6.4652928058836637E-3</v>
      </c>
      <c r="BK16" s="176" t="str">
        <f>IF(AND(NOT(BI16),AND(BI$4:BI15)),IF($BJ16&lt;0,IF($BJ16&lt;$J16,EXP(($BJ16-$J16)*$G16),EXP(($J16-$BJ16)*$G16)),EXP(($BJ16-$J16)*$G16)),"")</f>
        <v/>
      </c>
      <c r="BM16" s="72" t="b">
        <f>IF(AND(NOT(BI16),AND(BI$4:BI15)),TRUE,BI16)</f>
        <v>1</v>
      </c>
      <c r="BN16" s="172">
        <f>IF(AND(NOT(ISBLANK(Jumpoverwrite14)),AND(NOT(BM16),AND(BM$4:BM15))),($J16*$G16-LN(1+Jumpoverwrite14*BO$2))/$G16,_xll.qlInterpolationInterpolate(BM$3,$F16,TRUE))</f>
        <v>6.4652928058836637E-3</v>
      </c>
      <c r="BO16" s="176" t="str">
        <f>IF(AND(NOT(BM16),AND(BM$4:BM15)),IF($BN16&lt;0,IF($BN16&lt;$J16,EXP(($BN16-$J16)*$G16),EXP(($J16-$BN16)*$G16)),EXP(($BN16-$J16)*$G16)),"")</f>
        <v/>
      </c>
      <c r="BQ16" s="72" t="b">
        <f>IF(AND(NOT(BM16),AND(BM$4:BM15)),TRUE,BM16)</f>
        <v>1</v>
      </c>
      <c r="BR16" s="172">
        <f>IF(AND(NOT(ISBLANK(Jumpoverwrite15)),AND(NOT(BQ16),AND(BQ$4:BQ15))),($J16*$G16-LN(1+Jumpoverwrite15*BS$2))/$G16,_xll.qlInterpolationInterpolate(BQ$3,$F16,TRUE))</f>
        <v>6.4652928058836637E-3</v>
      </c>
      <c r="BS16" s="176" t="str">
        <f>IF(AND(NOT(BQ16),AND(BQ$4:BQ15)),IF($BN16&lt;0,IF($BN16&lt;$J16,EXP(($BN16-$J16)*$G16),EXP(($J16-$BN16)*$G16)),EXP(($BN16-$J16)*$G16)),"")</f>
        <v/>
      </c>
    </row>
    <row r="17" spans="1:71" x14ac:dyDescent="0.2">
      <c r="A17" s="33" t="str">
        <v>obj_00213</v>
      </c>
      <c r="B17" s="17">
        <f>_xll.qlRateHelperRate($A17,InterestRatesTrigger)</f>
        <v>5.7099999999999998E-3</v>
      </c>
      <c r="C17" s="18">
        <f>_xll.qlRateHelperEarliestDate($A17)</f>
        <v>42664</v>
      </c>
      <c r="D17" s="19">
        <f>_xll.qlRateHelperPillarDate($A17)</f>
        <v>42968</v>
      </c>
      <c r="F17" s="84">
        <f t="shared" si="0"/>
        <v>42952.5</v>
      </c>
      <c r="G17" s="85">
        <f>_xll.qlDayCounterYearFraction(DayCounter,D16,D17)</f>
        <v>8.611111111111111E-2</v>
      </c>
      <c r="I17" s="93" t="b">
        <f t="shared" si="2"/>
        <v>0</v>
      </c>
      <c r="J17" s="37">
        <v>6.6485637941418527E-3</v>
      </c>
      <c r="K17" s="94">
        <f t="shared" si="3"/>
        <v>42968</v>
      </c>
      <c r="L17" s="75"/>
      <c r="M17" s="72" t="b">
        <f>IF(AND(NOT(I17),AND(I$4:I16)),TRUE,I17)</f>
        <v>0</v>
      </c>
      <c r="N17" s="172">
        <f>IF(AND(NOT(ISBLANK(Jumpoverwrite1)),AND(NOT(M17),AND(M$4:M16))),($J17*$G17-LN(1+Jumpoverwrite1*O$2))/$G17,_xll.qlInterpolationInterpolate(M$3,$F17,TRUE))</f>
        <v>5.8488206080178282E-3</v>
      </c>
      <c r="O17" s="34" t="str">
        <f>IF(AND(NOT(M17),AND(M$4:M16)),IF($N17&lt;0,IF($N17&lt;$J17,EXP(($N17-$J17)*$G17),EXP(($J17-$N17)*$G17)),EXP(($N17-$J17)*$G17)),"")</f>
        <v/>
      </c>
      <c r="P17" s="107"/>
      <c r="Q17" s="72" t="b">
        <f>IF(AND(NOT(M17),AND(M$4:M16)),TRUE,M17)</f>
        <v>0</v>
      </c>
      <c r="R17" s="172">
        <f>IF(AND(NOT(ISBLANK(Jumpoverwrite2)),AND(NOT(Q17),AND(Q$4:Q16))),($J17*$G17-LN(1+Jumpoverwrite2*S$2))/$G17,_xll.qlInterpolationInterpolate(Q$3,$F17,TRUE))</f>
        <v>5.8488206080178282E-3</v>
      </c>
      <c r="S17" s="176" t="str">
        <f>IF(AND(NOT(Q17),AND(Q$4:Q16)),IF($R17&lt;0,IF($R17&lt;$J17,EXP(($R17-$J17)*$G17),EXP(($J17-$R17)*$G17)),EXP(($R17-$J17)*$G17)),"")</f>
        <v/>
      </c>
      <c r="T17" s="107"/>
      <c r="U17" s="72" t="b">
        <f>IF(AND(NOT(Q17),AND(Q$4:Q16)),TRUE,Q17)</f>
        <v>0</v>
      </c>
      <c r="V17" s="172">
        <f>IF(AND(NOT(ISBLANK(Jumpoverwrite3)),AND(NOT(U17),AND(U$4:U16))),($J17*$G17-LN(1+Jumpoverwrite3*W$2))/$G17,_xll.qlInterpolationInterpolate(U$3,$F17,TRUE))</f>
        <v>5.9589765105154359E-3</v>
      </c>
      <c r="W17" s="176" t="str">
        <f>IF(AND(NOT(U17),AND(U$4:U16)),IF($V17&lt;0,IF($V17&lt;$J17,EXP(($V17-$J17)*$G17),EXP(($J17-$V17)*$G17)),EXP(($V17-$J17)*$G17)),"")</f>
        <v/>
      </c>
      <c r="X17" s="107"/>
      <c r="Y17" s="72" t="b">
        <f>IF(AND(NOT(U17),AND(U$4:U16)),TRUE,U17)</f>
        <v>0</v>
      </c>
      <c r="Z17" s="172">
        <f>IF(AND(NOT(ISBLANK(Jumpoverwrite4)),AND(NOT(Y17),AND(Y$4:Y16))),($J17*$G17-LN(1+Jumpoverwrite4*AA$2))/$G17,_xll.qlInterpolationInterpolate(Y$3,$F17,TRUE))</f>
        <v>6.4525614143944882E-3</v>
      </c>
      <c r="AA17" s="176" t="str">
        <f>IF(AND(NOT(Y17),AND(Y$4:Y16)),IF($Z17&lt;0,IF($Z17&lt;$J17,EXP(($Z17-$J17)*$G17),EXP(($J17-$Z17)*$G17)),EXP(($Z17-$J17)*$G17)),"")</f>
        <v/>
      </c>
      <c r="AB17" s="107"/>
      <c r="AC17" s="72" t="b">
        <f>IF(AND(NOT(Y17),AND(Y$4:Y16)),TRUE,Y17)</f>
        <v>0</v>
      </c>
      <c r="AD17" s="172">
        <f>IF(AND(NOT(ISBLANK(Jumpoverwrite5)),AND(NOT(AC17),AND(AC$4:AC16))),($J17*$G17-LN(1+Jumpoverwrite5*AE$2))/$G17,_xll.qlInterpolationInterpolate(AC$3,$F17,TRUE))</f>
        <v>6.477237347175039E-3</v>
      </c>
      <c r="AE17" s="176" t="str">
        <f>IF(AND(NOT(AC17),AND(AC$4:AC16)),IF($AD17&lt;0,IF($AD17&lt;$J17,EXP(($AD17-$J17)*$G17),EXP(($J17-$AD17)*$G17)),EXP(($AD17-$J17)*$G17)),"")</f>
        <v/>
      </c>
      <c r="AF17" s="107"/>
      <c r="AG17" s="72" t="b">
        <f>IF(AND(NOT(AC17),AND(AC$4:AC16)),TRUE,AC17)</f>
        <v>0</v>
      </c>
      <c r="AH17" s="172">
        <f>IF(AND(NOT(ISBLANK(Jumpoverwrite6)),AND(NOT(AG17),AND(AG$4:AG16))),($J17*$G17-LN(1+Jumpoverwrite6*AI$2))/$G17,_xll.qlInterpolationInterpolate(AG$3,$F17,TRUE))</f>
        <v>6.4701751598861598E-3</v>
      </c>
      <c r="AI17" s="176" t="str">
        <f>IF(AND(NOT(AG17),AND(AG$4:AG16)),IF($AH17&lt;0,IF($AH17&lt;$J17,EXP(($AH17-$J17)*$G17),EXP(($J17-$AH17)*$G17)),EXP(($AH17-$J17)*$G17)),"")</f>
        <v/>
      </c>
      <c r="AJ17" s="107"/>
      <c r="AK17" s="72" t="b">
        <f>IF(AND(NOT(AG17),AND(AG$4:AG16)),TRUE,AG17)</f>
        <v>0</v>
      </c>
      <c r="AL17" s="172">
        <f>IF(AND(NOT(ISBLANK(Jumpoverwrite7)),AND(NOT(AK17),AND(AK$4:AK16))),($J17*$G17-LN(1+Jumpoverwrite7*AM$2))/$G17,_xll.qlInterpolationInterpolate(AK$3,$F17,TRUE))</f>
        <v>6.5437839928690379E-3</v>
      </c>
      <c r="AM17" s="176" t="str">
        <f>IF(AND(NOT(AK17),AND(AK$4:AK16)),IF($AL17&lt;0,IF($AL17&lt;$J17,EXP(($AL17-$J17)*$G17),EXP(($J17-$AL17)*$G17)),EXP(($AL17-$J17)*$G17)),"")</f>
        <v/>
      </c>
      <c r="AO17" s="72" t="b">
        <f>IF(AND(NOT(AK17),AND(AK$4:AK16)),TRUE,AK17)</f>
        <v>0</v>
      </c>
      <c r="AP17" s="172">
        <f>IF(AND(NOT(ISBLANK(Jumpoverwrite8)),AND(NOT(AO17),AND(AO$4:AO16))),($J17*$G17-LN(1+Jumpoverwrite8*AQ$2))/$G17,_xll.qlInterpolationInterpolate(AO$3,$F17,TRUE))</f>
        <v>6.4763896887024422E-3</v>
      </c>
      <c r="AQ17" s="176" t="str">
        <f>IF(AND(NOT(AO17),AND(AO$4:AO16)),IF($AP17&lt;0,IF($AP17&lt;$J17,EXP(($AP17-$J17)*$G17),EXP(($J17-$AP17)*$G17)),EXP(($AP17-$J17)*$G17)),"")</f>
        <v/>
      </c>
      <c r="AS17" s="72" t="b">
        <f>IF(AND(NOT(AO17),AND(AO$4:AO16)),TRUE,AO17)</f>
        <v>0</v>
      </c>
      <c r="AT17" s="172">
        <f>IF(AND(NOT(ISBLANK(Jumpoverwrite9)),AND(NOT(AS17),AND(AS$4:AS16))),($J17*$G17-LN(1+Jumpoverwrite9*AU$2))/$G17,_xll.qlInterpolationInterpolate(AS$3,$F17,TRUE))</f>
        <v>6.4496859802689079E-3</v>
      </c>
      <c r="AU17" s="176" t="str">
        <f>IF(AND(NOT(AS17),AND(AS$4:AS16)),IF($AT17&lt;0,IF($AT17&lt;$J17,EXP(($AT17-$J17)*$G17),EXP(($J17-$AT17)*$G17)),EXP(($AT17-$J17)*$G17)),"")</f>
        <v/>
      </c>
      <c r="AW17" s="72" t="b">
        <f>IF(AND(NOT(AS17),AND(AS$4:AS16)),TRUE,AS17)</f>
        <v>0</v>
      </c>
      <c r="AX17" s="172">
        <f>IF(AND(NOT(ISBLANK(Jumpoverwrite10)),AND(NOT(AW17),AND(AW$4:AW16))),($J17*$G17-LN(1+Jumpoverwrite10*AY$2))/$G17,_xll.qlInterpolationInterpolate(AW$3,$F17,TRUE))</f>
        <v>6.6485637941418518E-3</v>
      </c>
      <c r="AY17" s="176">
        <f>IF(AND(NOT(AW17),AND(AW$4:AW16)),IF($AX17&lt;0,IF($AX17&lt;$J17,EXP(($AX17-$J17)*$G17),EXP(($J17-$AX17)*$G17)),EXP(($AX17-$J17)*$G17)),"")</f>
        <v>1</v>
      </c>
      <c r="BA17" s="72" t="b">
        <f>IF(AND(NOT(AW17),AND(AW$4:AW16)),TRUE,AW17)</f>
        <v>1</v>
      </c>
      <c r="BB17" s="172">
        <f>IF(AND(NOT(ISBLANK(Jumpoverwrite11)),AND(NOT(BA17),AND(BA$4:BA16))),($J17*$G17-LN(1+Jumpoverwrite11*BC$2))/$G17,_xll.qlInterpolationInterpolate(BA$3,$F17,TRUE))</f>
        <v>6.6485637941418518E-3</v>
      </c>
      <c r="BC17" s="176" t="str">
        <f>IF(AND(NOT(BA17),AND(BA$4:BA16)),IF($BB17&lt;0,IF($BB17&lt;$J17,EXP(($BB17-$J17)*$G17),EXP(($J17-$BB17)*$G17)),EXP(($BB17-$J17)*$G17)),"")</f>
        <v/>
      </c>
      <c r="BE17" s="72" t="b">
        <f>IF(AND(NOT(BA17),AND(BA$4:BA16)),TRUE,BA17)</f>
        <v>1</v>
      </c>
      <c r="BF17" s="172">
        <f>IF(AND(NOT(ISBLANK(Jumpoverwrite12)),AND(NOT(BE17),AND(BE$4:BE16))),($J17*$G17-LN(1+Jumpoverwrite12*BG$2))/$G17,_xll.qlInterpolationInterpolate(BE$3,$F17,TRUE))</f>
        <v>6.6485637941418518E-3</v>
      </c>
      <c r="BG17" s="176" t="str">
        <f>IF(AND(NOT(BE17),AND(BE$4:BE16)),IF($BF17&lt;0,IF($BF17&lt;$J17,EXP(($BF17-$J17)*$G17),EXP(($J17-$BF17)*$G17)),EXP(($BF17-$J17)*$G17)),"")</f>
        <v/>
      </c>
      <c r="BI17" s="72" t="b">
        <f t="shared" si="1"/>
        <v>1</v>
      </c>
      <c r="BJ17" s="172">
        <f>IF(AND(NOT(ISBLANK(jumpoverwrite13)),AND(NOT(BI17),AND(BI$4:BI16))),($J17*$G17-LN(1+jumpoverwrite13*BK$2))/$G17,_xll.qlInterpolationInterpolate(BI$3,$F17,TRUE))</f>
        <v>6.6485637941418518E-3</v>
      </c>
      <c r="BK17" s="176" t="str">
        <f>IF(AND(NOT(BI17),AND(BI$4:BI16)),IF($BJ17&lt;0,IF($BJ17&lt;$J17,EXP(($BJ17-$J17)*$G17),EXP(($J17-$BJ17)*$G17)),EXP(($BJ17-$J17)*$G17)),"")</f>
        <v/>
      </c>
      <c r="BM17" s="72" t="b">
        <f>IF(AND(NOT(BI17),AND(BI$4:BI16)),TRUE,BI17)</f>
        <v>1</v>
      </c>
      <c r="BN17" s="172">
        <f>IF(AND(NOT(ISBLANK(Jumpoverwrite14)),AND(NOT(BM17),AND(BM$4:BM16))),($J17*$G17-LN(1+Jumpoverwrite14*BO$2))/$G17,_xll.qlInterpolationInterpolate(BM$3,$F17,TRUE))</f>
        <v>6.6485637941418518E-3</v>
      </c>
      <c r="BO17" s="176" t="str">
        <f>IF(AND(NOT(BM17),AND(BM$4:BM16)),IF($BN17&lt;0,IF($BN17&lt;$J17,EXP(($BN17-$J17)*$G17),EXP(($J17-$BN17)*$G17)),EXP(($BN17-$J17)*$G17)),"")</f>
        <v/>
      </c>
      <c r="BQ17" s="72" t="b">
        <f>IF(AND(NOT(BM17),AND(BM$4:BM16)),TRUE,BM17)</f>
        <v>1</v>
      </c>
      <c r="BR17" s="172">
        <f>IF(AND(NOT(ISBLANK(Jumpoverwrite15)),AND(NOT(BQ17),AND(BQ$4:BQ16))),($J17*$G17-LN(1+Jumpoverwrite15*BS$2))/$G17,_xll.qlInterpolationInterpolate(BQ$3,$F17,TRUE))</f>
        <v>6.6485637941418518E-3</v>
      </c>
      <c r="BS17" s="176" t="str">
        <f>IF(AND(NOT(BQ17),AND(BQ$4:BQ16)),IF($BN17&lt;0,IF($BN17&lt;$J17,EXP(($BN17-$J17)*$G17),EXP(($J17-$BN17)*$G17)),EXP(($BN17-$J17)*$G17)),"")</f>
        <v/>
      </c>
    </row>
    <row r="18" spans="1:71" x14ac:dyDescent="0.2">
      <c r="A18" s="33" t="str">
        <v>obj_0020d</v>
      </c>
      <c r="B18" s="17">
        <f>_xll.qlRateHelperRate($A18,InterestRatesTrigger)</f>
        <v>5.79E-3</v>
      </c>
      <c r="C18" s="18">
        <f>_xll.qlRateHelperEarliestDate($A18)</f>
        <v>42664</v>
      </c>
      <c r="D18" s="19">
        <f>_xll.qlRateHelperPillarDate($A18)</f>
        <v>42999</v>
      </c>
      <c r="F18" s="84">
        <f t="shared" si="0"/>
        <v>42983.5</v>
      </c>
      <c r="G18" s="85">
        <f>_xll.qlDayCounterYearFraction(DayCounter,D17,D18)</f>
        <v>8.611111111111111E-2</v>
      </c>
      <c r="I18" s="93" t="b">
        <f t="shared" si="2"/>
        <v>0</v>
      </c>
      <c r="J18" s="37">
        <v>6.5411248597840397E-3</v>
      </c>
      <c r="K18" s="94">
        <f t="shared" si="3"/>
        <v>42999</v>
      </c>
      <c r="L18" s="75"/>
      <c r="M18" s="72" t="b">
        <f>IF(AND(NOT(I18),AND(I$4:I17)),TRUE,I18)</f>
        <v>0</v>
      </c>
      <c r="N18" s="172">
        <f>IF(AND(NOT(ISBLANK(Jumpoverwrite1)),AND(NOT(M18),AND(M$4:M17))),($J18*$G18-LN(1+Jumpoverwrite1*O$2))/$G18,_xll.qlInterpolationInterpolate(M$3,$F18,TRUE))</f>
        <v>6.0485451233569217E-3</v>
      </c>
      <c r="O18" s="34" t="str">
        <f>IF(AND(NOT(M18),AND(M$4:M17)),IF($N18&lt;0,IF($N18&lt;$J18,EXP(($N18-$J18)*$G18),EXP(($J18-$N18)*$G18)),EXP(($N18-$J18)*$G18)),"")</f>
        <v/>
      </c>
      <c r="P18" s="107"/>
      <c r="Q18" s="72" t="b">
        <f>IF(AND(NOT(M18),AND(M$4:M17)),TRUE,M18)</f>
        <v>0</v>
      </c>
      <c r="R18" s="172">
        <f>IF(AND(NOT(ISBLANK(Jumpoverwrite2)),AND(NOT(Q18),AND(Q$4:Q17))),($J18*$G18-LN(1+Jumpoverwrite2*S$2))/$G18,_xll.qlInterpolationInterpolate(Q$3,$F18,TRUE))</f>
        <v>6.0485451233569217E-3</v>
      </c>
      <c r="S18" s="176" t="str">
        <f>IF(AND(NOT(Q18),AND(Q$4:Q17)),IF($R18&lt;0,IF($R18&lt;$J18,EXP(($R18-$J18)*$G18),EXP(($J18-$R18)*$G18)),EXP(($R18-$J18)*$G18)),"")</f>
        <v/>
      </c>
      <c r="T18" s="107"/>
      <c r="U18" s="72" t="b">
        <f>IF(AND(NOT(Q18),AND(Q$4:Q17)),TRUE,Q18)</f>
        <v>0</v>
      </c>
      <c r="V18" s="172">
        <f>IF(AND(NOT(ISBLANK(Jumpoverwrite3)),AND(NOT(U18),AND(U$4:U17))),($J18*$G18-LN(1+Jumpoverwrite3*W$2))/$G18,_xll.qlInterpolationInterpolate(U$3,$F18,TRUE))</f>
        <v>6.1475414409609807E-3</v>
      </c>
      <c r="W18" s="176" t="str">
        <f>IF(AND(NOT(U18),AND(U$4:U17)),IF($V18&lt;0,IF($V18&lt;$J18,EXP(($V18-$J18)*$G18),EXP(($J18-$V18)*$G18)),EXP(($V18-$J18)*$G18)),"")</f>
        <v/>
      </c>
      <c r="X18" s="107"/>
      <c r="Y18" s="72" t="b">
        <f>IF(AND(NOT(U18),AND(U$4:U17)),TRUE,U18)</f>
        <v>0</v>
      </c>
      <c r="Z18" s="172">
        <f>IF(AND(NOT(ISBLANK(Jumpoverwrite4)),AND(NOT(Y18),AND(Y$4:Y17))),($J18*$G18-LN(1+Jumpoverwrite4*AA$2))/$G18,_xll.qlInterpolationInterpolate(Y$3,$F18,TRUE))</f>
        <v>6.5911226454274489E-3</v>
      </c>
      <c r="AA18" s="176" t="str">
        <f>IF(AND(NOT(Y18),AND(Y$4:Y17)),IF($Z18&lt;0,IF($Z18&lt;$J18,EXP(($Z18-$J18)*$G18),EXP(($J18-$Z18)*$G18)),EXP(($Z18-$J18)*$G18)),"")</f>
        <v/>
      </c>
      <c r="AB18" s="107"/>
      <c r="AC18" s="72" t="b">
        <f>IF(AND(NOT(Y18),AND(Y$4:Y17)),TRUE,Y18)</f>
        <v>0</v>
      </c>
      <c r="AD18" s="172">
        <f>IF(AND(NOT(ISBLANK(Jumpoverwrite5)),AND(NOT(AC18),AND(AC$4:AC17))),($J18*$G18-LN(1+Jumpoverwrite5*AE$2))/$G18,_xll.qlInterpolationInterpolate(AC$3,$F18,TRUE))</f>
        <v>6.6132987288086628E-3</v>
      </c>
      <c r="AE18" s="176" t="str">
        <f>IF(AND(NOT(AC18),AND(AC$4:AC17)),IF($AD18&lt;0,IF($AD18&lt;$J18,EXP(($AD18-$J18)*$G18),EXP(($J18-$AD18)*$G18)),EXP(($AD18-$J18)*$G18)),"")</f>
        <v/>
      </c>
      <c r="AF18" s="107"/>
      <c r="AG18" s="72" t="b">
        <f>IF(AND(NOT(AC18),AND(AC$4:AC17)),TRUE,AC18)</f>
        <v>0</v>
      </c>
      <c r="AH18" s="172">
        <f>IF(AND(NOT(ISBLANK(Jumpoverwrite6)),AND(NOT(AG18),AND(AG$4:AG17))),($J18*$G18-LN(1+Jumpoverwrite6*AI$2))/$G18,_xll.qlInterpolationInterpolate(AG$3,$F18,TRUE))</f>
        <v>6.6069519918660431E-3</v>
      </c>
      <c r="AI18" s="176" t="str">
        <f>IF(AND(NOT(AG18),AND(AG$4:AG17)),IF($AH18&lt;0,IF($AH18&lt;$J18,EXP(($AH18-$J18)*$G18),EXP(($J18-$AH18)*$G18)),EXP(($AH18-$J18)*$G18)),"")</f>
        <v/>
      </c>
      <c r="AJ18" s="107"/>
      <c r="AK18" s="72" t="b">
        <f>IF(AND(NOT(AG18),AND(AG$4:AG17)),TRUE,AG18)</f>
        <v>0</v>
      </c>
      <c r="AL18" s="172">
        <f>IF(AND(NOT(ISBLANK(Jumpoverwrite7)),AND(NOT(AK18),AND(AK$4:AK17))),($J18*$G18-LN(1+Jumpoverwrite7*AM$2))/$G18,_xll.qlInterpolationInterpolate(AK$3,$F18,TRUE))</f>
        <v>6.673103720853924E-3</v>
      </c>
      <c r="AM18" s="176" t="str">
        <f>IF(AND(NOT(AK18),AND(AK$4:AK17)),IF($AL18&lt;0,IF($AL18&lt;$J18,EXP(($AL18-$J18)*$G18),EXP(($J18-$AL18)*$G18)),EXP(($AL18-$J18)*$G18)),"")</f>
        <v/>
      </c>
      <c r="AO18" s="72" t="b">
        <f>IF(AND(NOT(AK18),AND(AK$4:AK17)),TRUE,AK18)</f>
        <v>0</v>
      </c>
      <c r="AP18" s="172">
        <f>IF(AND(NOT(ISBLANK(Jumpoverwrite8)),AND(NOT(AO18),AND(AO$4:AO17))),($J18*$G18-LN(1+Jumpoverwrite8*AQ$2))/$G18,_xll.qlInterpolationInterpolate(AO$3,$F18,TRUE))</f>
        <v>6.6125369442336171E-3</v>
      </c>
      <c r="AQ18" s="176" t="str">
        <f>IF(AND(NOT(AO18),AND(AO$4:AO17)),IF($AP18&lt;0,IF($AP18&lt;$J18,EXP(($AP18-$J18)*$G18),EXP(($J18-$AP18)*$G18)),EXP(($AP18-$J18)*$G18)),"")</f>
        <v/>
      </c>
      <c r="AS18" s="72" t="b">
        <f>IF(AND(NOT(AO18),AND(AO$4:AO17)),TRUE,AO18)</f>
        <v>0</v>
      </c>
      <c r="AT18" s="172">
        <f>IF(AND(NOT(ISBLANK(Jumpoverwrite9)),AND(NOT(AS18),AND(AS$4:AS17))),($J18*$G18-LN(1+Jumpoverwrite9*AU$2))/$G18,_xll.qlInterpolationInterpolate(AS$3,$F18,TRUE))</f>
        <v>6.5885385134518458E-3</v>
      </c>
      <c r="AU18" s="176" t="str">
        <f>IF(AND(NOT(AS18),AND(AS$4:AS17)),IF($AT18&lt;0,IF($AT18&lt;$J18,EXP(($AT18-$J18)*$G18),EXP(($J18-$AT18)*$G18)),EXP(($AT18-$J18)*$G18)),"")</f>
        <v/>
      </c>
      <c r="AW18" s="72" t="b">
        <f>IF(AND(NOT(AS18),AND(AS$4:AS17)),TRUE,AS18)</f>
        <v>0</v>
      </c>
      <c r="AX18" s="172">
        <f>IF(AND(NOT(ISBLANK(Jumpoverwrite10)),AND(NOT(AW18),AND(AW$4:AW17))),($J18*$G18-LN(1+Jumpoverwrite10*AY$2))/$G18,_xll.qlInterpolationInterpolate(AW$3,$F18,TRUE))</f>
        <v>6.712938054307685E-3</v>
      </c>
      <c r="AY18" s="176" t="str">
        <f>IF(AND(NOT(AW18),AND(AW$4:AW17)),IF($AX18&lt;0,IF($AX18&lt;$J18,EXP(($AX18-$J18)*$G18),EXP(($J18-$AX18)*$G18)),EXP(($AX18-$J18)*$G18)),"")</f>
        <v/>
      </c>
      <c r="BA18" s="72" t="b">
        <f>IF(AND(NOT(AW18),AND(AW$4:AW17)),TRUE,AW18)</f>
        <v>0</v>
      </c>
      <c r="BB18" s="172">
        <f>IF(AND(NOT(ISBLANK(Jumpoverwrite11)),AND(NOT(BA18),AND(BA$4:BA17))),($J18*$G18-LN(1+Jumpoverwrite11*BC$2))/$G18,_xll.qlInterpolationInterpolate(BA$3,$F18,TRUE))</f>
        <v>6.5411248597840397E-3</v>
      </c>
      <c r="BC18" s="176">
        <f>IF(AND(NOT(BA18),AND(BA$4:BA17)),IF($BB18&lt;0,IF($BB18&lt;$J18,EXP(($BB18-$J18)*$G18),EXP(($J18-$BB18)*$G18)),EXP(($BB18-$J18)*$G18)),"")</f>
        <v>1</v>
      </c>
      <c r="BE18" s="72" t="b">
        <f>IF(AND(NOT(BA18),AND(BA$4:BA17)),TRUE,BA18)</f>
        <v>1</v>
      </c>
      <c r="BF18" s="172">
        <f>IF(AND(NOT(ISBLANK(Jumpoverwrite12)),AND(NOT(BE18),AND(BE$4:BE17))),($J18*$G18-LN(1+Jumpoverwrite12*BG$2))/$G18,_xll.qlInterpolationInterpolate(BE$3,$F18,TRUE))</f>
        <v>6.5411248597840397E-3</v>
      </c>
      <c r="BG18" s="176" t="str">
        <f>IF(AND(NOT(BE18),AND(BE$4:BE17)),IF($BF18&lt;0,IF($BF18&lt;$J18,EXP(($BF18-$J18)*$G18),EXP(($J18-$BF18)*$G18)),EXP(($BF18-$J18)*$G18)),"")</f>
        <v/>
      </c>
      <c r="BI18" s="72" t="b">
        <f t="shared" si="1"/>
        <v>1</v>
      </c>
      <c r="BJ18" s="172">
        <f>IF(AND(NOT(ISBLANK(jumpoverwrite13)),AND(NOT(BI18),AND(BI$4:BI17))),($J18*$G18-LN(1+jumpoverwrite13*BK$2))/$G18,_xll.qlInterpolationInterpolate(BI$3,$F18,TRUE))</f>
        <v>6.5411248597840397E-3</v>
      </c>
      <c r="BK18" s="176" t="str">
        <f>IF(AND(NOT(BI18),AND(BI$4:BI17)),IF($BJ18&lt;0,IF($BJ18&lt;$J18,EXP(($BJ18-$J18)*$G18),EXP(($J18-$BJ18)*$G18)),EXP(($BJ18-$J18)*$G18)),"")</f>
        <v/>
      </c>
      <c r="BM18" s="72" t="b">
        <f>IF(AND(NOT(BI18),AND(BI$4:BI17)),TRUE,BI18)</f>
        <v>1</v>
      </c>
      <c r="BN18" s="172">
        <f>IF(AND(NOT(ISBLANK(Jumpoverwrite14)),AND(NOT(BM18),AND(BM$4:BM17))),($J18*$G18-LN(1+Jumpoverwrite14*BO$2))/$G18,_xll.qlInterpolationInterpolate(BM$3,$F18,TRUE))</f>
        <v>6.5411248597840397E-3</v>
      </c>
      <c r="BO18" s="176" t="str">
        <f>IF(AND(NOT(BM18),AND(BM$4:BM17)),IF($BN18&lt;0,IF($BN18&lt;$J18,EXP(($BN18-$J18)*$G18),EXP(($J18-$BN18)*$G18)),EXP(($BN18-$J18)*$G18)),"")</f>
        <v/>
      </c>
      <c r="BQ18" s="72" t="b">
        <f>IF(AND(NOT(BM18),AND(BM$4:BM17)),TRUE,BM18)</f>
        <v>1</v>
      </c>
      <c r="BR18" s="172">
        <f>IF(AND(NOT(ISBLANK(Jumpoverwrite15)),AND(NOT(BQ18),AND(BQ$4:BQ17))),($J18*$G18-LN(1+Jumpoverwrite15*BS$2))/$G18,_xll.qlInterpolationInterpolate(BQ$3,$F18,TRUE))</f>
        <v>6.5411248597840397E-3</v>
      </c>
      <c r="BS18" s="176" t="str">
        <f>IF(AND(NOT(BQ18),AND(BQ$4:BQ17)),IF($BN18&lt;0,IF($BN18&lt;$J18,EXP(($BN18-$J18)*$G18),EXP(($J18-$BN18)*$G18)),EXP(($BN18-$J18)*$G18)),"")</f>
        <v/>
      </c>
    </row>
    <row r="19" spans="1:71" x14ac:dyDescent="0.2">
      <c r="A19" s="33" t="str">
        <v>obj_00202</v>
      </c>
      <c r="B19" s="17">
        <f>_xll.qlRateHelperRate($A19,InterestRatesTrigger)</f>
        <v>5.8800000000000007E-3</v>
      </c>
      <c r="C19" s="18">
        <f>_xll.qlRateHelperEarliestDate($A19)</f>
        <v>42664</v>
      </c>
      <c r="D19" s="19">
        <f>_xll.qlRateHelperPillarDate($A19)</f>
        <v>43031</v>
      </c>
      <c r="F19" s="84">
        <f t="shared" si="0"/>
        <v>43015</v>
      </c>
      <c r="G19" s="85">
        <f>_xll.qlDayCounterYearFraction(DayCounter,D18,D19)</f>
        <v>8.8888888888888892E-2</v>
      </c>
      <c r="I19" s="93" t="b">
        <f t="shared" si="2"/>
        <v>0</v>
      </c>
      <c r="J19" s="37">
        <v>6.7835814964638764E-3</v>
      </c>
      <c r="K19" s="94">
        <f t="shared" si="3"/>
        <v>43031</v>
      </c>
      <c r="L19" s="75"/>
      <c r="M19" s="72" t="b">
        <f>IF(AND(NOT(I19),AND(I$4:I18)),TRUE,I19)</f>
        <v>0</v>
      </c>
      <c r="N19" s="172">
        <f>IF(AND(NOT(ISBLANK(Jumpoverwrite1)),AND(NOT(M19),AND(M$4:M18))),($J19*$G19-LN(1+Jumpoverwrite1*O$2))/$G19,_xll.qlInterpolationInterpolate(M$3,$F19,TRUE))</f>
        <v>6.2514910018466457E-3</v>
      </c>
      <c r="O19" s="34" t="str">
        <f>IF(AND(NOT(M19),AND(M$4:M18)),IF($N19&lt;0,IF($N19&lt;$J19,EXP(($N19-$J19)*$G19),EXP(($J19-$N19)*$G19)),EXP(($N19-$J19)*$G19)),"")</f>
        <v/>
      </c>
      <c r="P19" s="107"/>
      <c r="Q19" s="72" t="b">
        <f>IF(AND(NOT(M19),AND(M$4:M18)),TRUE,M19)</f>
        <v>0</v>
      </c>
      <c r="R19" s="172">
        <f>IF(AND(NOT(ISBLANK(Jumpoverwrite2)),AND(NOT(Q19),AND(Q$4:Q18))),($J19*$G19-LN(1+Jumpoverwrite2*S$2))/$G19,_xll.qlInterpolationInterpolate(Q$3,$F19,TRUE))</f>
        <v>6.2514910018466457E-3</v>
      </c>
      <c r="S19" s="176" t="str">
        <f>IF(AND(NOT(Q19),AND(Q$4:Q18)),IF($R19&lt;0,IF($R19&lt;$J19,EXP(($R19-$J19)*$G19),EXP(($J19-$R19)*$G19)),EXP(($R19-$J19)*$G19)),"")</f>
        <v/>
      </c>
      <c r="T19" s="107"/>
      <c r="U19" s="72" t="b">
        <f>IF(AND(NOT(Q19),AND(Q$4:Q18)),TRUE,Q19)</f>
        <v>0</v>
      </c>
      <c r="V19" s="172">
        <f>IF(AND(NOT(ISBLANK(Jumpoverwrite3)),AND(NOT(U19),AND(U$4:U18))),($J19*$G19-LN(1+Jumpoverwrite3*W$2))/$G19,_xll.qlInterpolationInterpolate(U$3,$F19,TRUE))</f>
        <v>6.3391477412524213E-3</v>
      </c>
      <c r="W19" s="176" t="str">
        <f>IF(AND(NOT(U19),AND(U$4:U18)),IF($V19&lt;0,IF($V19&lt;$J19,EXP(($V19-$J19)*$G19),EXP(($J19-$V19)*$G19)),EXP(($V19-$J19)*$G19)),"")</f>
        <v/>
      </c>
      <c r="X19" s="107"/>
      <c r="Y19" s="72" t="b">
        <f>IF(AND(NOT(U19),AND(U$4:U18)),TRUE,U19)</f>
        <v>0</v>
      </c>
      <c r="Z19" s="172">
        <f>IF(AND(NOT(ISBLANK(Jumpoverwrite4)),AND(NOT(Y19),AND(Y$4:Y18))),($J19*$G19-LN(1+Jumpoverwrite4*AA$2))/$G19,_xll.qlInterpolationInterpolate(Y$3,$F19,TRUE))</f>
        <v>6.731918735025458E-3</v>
      </c>
      <c r="AA19" s="176" t="str">
        <f>IF(AND(NOT(Y19),AND(Y$4:Y18)),IF($Z19&lt;0,IF($Z19&lt;$J19,EXP(($Z19-$J19)*$G19),EXP(($J19-$Z19)*$G19)),EXP(($Z19-$J19)*$G19)),"")</f>
        <v/>
      </c>
      <c r="AB19" s="107"/>
      <c r="AC19" s="72" t="b">
        <f>IF(AND(NOT(Y19),AND(Y$4:Y18)),TRUE,Y19)</f>
        <v>0</v>
      </c>
      <c r="AD19" s="172">
        <f>IF(AND(NOT(ISBLANK(Jumpoverwrite5)),AND(NOT(AC19),AND(AC$4:AC18))),($J19*$G19-LN(1+Jumpoverwrite5*AE$2))/$G19,_xll.qlInterpolationInterpolate(AC$3,$F19,TRUE))</f>
        <v>6.7515546488557329E-3</v>
      </c>
      <c r="AE19" s="176" t="str">
        <f>IF(AND(NOT(AC19),AND(AC$4:AC18)),IF($AD19&lt;0,IF($AD19&lt;$J19,EXP(($AD19-$J19)*$G19),EXP(($J19-$AD19)*$G19)),EXP(($AD19-$J19)*$G19)),"")</f>
        <v/>
      </c>
      <c r="AF19" s="107"/>
      <c r="AG19" s="72" t="b">
        <f>IF(AND(NOT(AC19),AND(AC$4:AC18)),TRUE,AC19)</f>
        <v>0</v>
      </c>
      <c r="AH19" s="172">
        <f>IF(AND(NOT(ISBLANK(Jumpoverwrite6)),AND(NOT(AG19),AND(AG$4:AG18))),($J19*$G19-LN(1+Jumpoverwrite6*AI$2))/$G19,_xll.qlInterpolationInterpolate(AG$3,$F19,TRUE))</f>
        <v>6.7459349017810859E-3</v>
      </c>
      <c r="AI19" s="176" t="str">
        <f>IF(AND(NOT(AG19),AND(AG$4:AG18)),IF($AH19&lt;0,IF($AH19&lt;$J19,EXP(($AH19-$J19)*$G19),EXP(($J19-$AH19)*$G19)),EXP(($AH19-$J19)*$G19)),"")</f>
        <v/>
      </c>
      <c r="AJ19" s="107"/>
      <c r="AK19" s="72" t="b">
        <f>IF(AND(NOT(AG19),AND(AG$4:AG18)),TRUE,AG19)</f>
        <v>0</v>
      </c>
      <c r="AL19" s="172">
        <f>IF(AND(NOT(ISBLANK(Jumpoverwrite7)),AND(NOT(AK19),AND(AK$4:AK18))),($J19*$G19-LN(1+Jumpoverwrite7*AM$2))/$G19,_xll.qlInterpolationInterpolate(AK$3,$F19,TRUE))</f>
        <v>6.8045092509030815E-3</v>
      </c>
      <c r="AM19" s="176" t="str">
        <f>IF(AND(NOT(AK19),AND(AK$4:AK18)),IF($AL19&lt;0,IF($AL19&lt;$J19,EXP(($AL19-$J19)*$G19),EXP(($J19-$AL19)*$G19)),EXP(($AL19-$J19)*$G19)),"")</f>
        <v/>
      </c>
      <c r="AO19" s="72" t="b">
        <f>IF(AND(NOT(AK19),AND(AK$4:AK18)),TRUE,AK19)</f>
        <v>0</v>
      </c>
      <c r="AP19" s="172">
        <f>IF(AND(NOT(ISBLANK(Jumpoverwrite8)),AND(NOT(AO19),AND(AO$4:AO18))),($J19*$G19-LN(1+Jumpoverwrite8*AQ$2))/$G19,_xll.qlInterpolationInterpolate(AO$3,$F19,TRUE))</f>
        <v>6.7508801232411013E-3</v>
      </c>
      <c r="AQ19" s="176" t="str">
        <f>IF(AND(NOT(AO19),AND(AO$4:AO18)),IF($AP19&lt;0,IF($AP19&lt;$J19,EXP(($AP19-$J19)*$G19),EXP(($J19-$AP19)*$G19)),EXP(($AP19-$J19)*$G19)),"")</f>
        <v/>
      </c>
      <c r="AS19" s="72" t="b">
        <f>IF(AND(NOT(AO19),AND(AO$4:AO18)),TRUE,AO19)</f>
        <v>0</v>
      </c>
      <c r="AT19" s="172">
        <f>IF(AND(NOT(ISBLANK(Jumpoverwrite9)),AND(NOT(AS19),AND(AS$4:AS18))),($J19*$G19-LN(1+Jumpoverwrite9*AU$2))/$G19,_xll.qlInterpolationInterpolate(AS$3,$F19,TRUE))</f>
        <v>6.7296306036216053E-3</v>
      </c>
      <c r="AU19" s="176" t="str">
        <f>IF(AND(NOT(AS19),AND(AS$4:AS18)),IF($AT19&lt;0,IF($AT19&lt;$J19,EXP(($AT19-$J19)*$G19),EXP(($J19-$AT19)*$G19)),EXP(($AT19-$J19)*$G19)),"")</f>
        <v/>
      </c>
      <c r="AW19" s="72" t="b">
        <f>IF(AND(NOT(AS19),AND(AS$4:AS18)),TRUE,AS19)</f>
        <v>0</v>
      </c>
      <c r="AX19" s="172">
        <f>IF(AND(NOT(ISBLANK(Jumpoverwrite10)),AND(NOT(AW19),AND(AW$4:AW18))),($J19*$G19-LN(1+Jumpoverwrite10*AY$2))/$G19,_xll.qlInterpolationInterpolate(AW$3,$F19,TRUE))</f>
        <v>6.8397807425248664E-3</v>
      </c>
      <c r="AY19" s="176" t="str">
        <f>IF(AND(NOT(AW19),AND(AW$4:AW18)),IF($AX19&lt;0,IF($AX19&lt;$J19,EXP(($AX19-$J19)*$G19),EXP(($J19-$AX19)*$G19)),EXP(($AX19-$J19)*$G19)),"")</f>
        <v/>
      </c>
      <c r="BA19" s="72" t="b">
        <f>IF(AND(NOT(AW19),AND(AW$4:AW18)),TRUE,AW19)</f>
        <v>0</v>
      </c>
      <c r="BB19" s="172">
        <f>IF(AND(NOT(ISBLANK(Jumpoverwrite11)),AND(NOT(BA19),AND(BA$4:BA18))),($J19*$G19-LN(1+Jumpoverwrite11*BC$2))/$G19,_xll.qlInterpolationInterpolate(BA$3,$F19,TRUE))</f>
        <v>6.8878879489747491E-3</v>
      </c>
      <c r="BC19" s="176" t="str">
        <f>IF(AND(NOT(BA19),AND(BA$4:BA18)),IF($BB19&lt;0,IF($BB19&lt;$J19,EXP(($BB19-$J19)*$G19),EXP(($J19-$BB19)*$G19)),EXP(($BB19-$J19)*$G19)),"")</f>
        <v/>
      </c>
      <c r="BE19" s="72" t="b">
        <f>IF(AND(NOT(BA19),AND(BA$4:BA18)),TRUE,BA19)</f>
        <v>0</v>
      </c>
      <c r="BF19" s="172">
        <f>IF(AND(NOT(ISBLANK(Jumpoverwrite12)),AND(NOT(BE19),AND(BE$4:BE18))),($J19*$G19-LN(1+Jumpoverwrite12*BG$2))/$G19,_xll.qlInterpolationInterpolate(BE$3,$F19,TRUE))</f>
        <v>6.7835814964638773E-3</v>
      </c>
      <c r="BG19" s="176">
        <f>IF(AND(NOT(BE19),AND(BE$4:BE18)),IF($BF19&lt;0,IF($BF19&lt;$J19,EXP(($BF19-$J19)*$G19),EXP(($J19-$BF19)*$G19)),EXP(($BF19-$J19)*$G19)),"")</f>
        <v>1</v>
      </c>
      <c r="BI19" s="72" t="b">
        <f t="shared" si="1"/>
        <v>1</v>
      </c>
      <c r="BJ19" s="172">
        <f>IF(AND(NOT(ISBLANK(jumpoverwrite13)),AND(NOT(BI19),AND(BI$4:BI18))),($J19*$G19-LN(1+jumpoverwrite13*BK$2))/$G19,_xll.qlInterpolationInterpolate(BI$3,$F19,TRUE))</f>
        <v>6.7835814964638773E-3</v>
      </c>
      <c r="BK19" s="176" t="str">
        <f>IF(AND(NOT(BI19),AND(BI$4:BI18)),IF($BJ19&lt;0,IF($BJ19&lt;$J19,EXP(($BJ19-$J19)*$G19),EXP(($J19-$BJ19)*$G19)),EXP(($BJ19-$J19)*$G19)),"")</f>
        <v/>
      </c>
      <c r="BM19" s="72" t="b">
        <f>IF(AND(NOT(BI19),AND(BI$4:BI18)),TRUE,BI19)</f>
        <v>1</v>
      </c>
      <c r="BN19" s="172">
        <f>IF(AND(NOT(ISBLANK(Jumpoverwrite14)),AND(NOT(BM19),AND(BM$4:BM18))),($J19*$G19-LN(1+Jumpoverwrite14*BO$2))/$G19,_xll.qlInterpolationInterpolate(BM$3,$F19,TRUE))</f>
        <v>6.7835814964638773E-3</v>
      </c>
      <c r="BO19" s="176" t="str">
        <f>IF(AND(NOT(BM19),AND(BM$4:BM18)),IF($BN19&lt;0,IF($BN19&lt;$J19,EXP(($BN19-$J19)*$G19),EXP(($J19-$BN19)*$G19)),EXP(($BN19-$J19)*$G19)),"")</f>
        <v/>
      </c>
      <c r="BQ19" s="72" t="b">
        <f>IF(AND(NOT(BM19),AND(BM$4:BM18)),TRUE,BM19)</f>
        <v>1</v>
      </c>
      <c r="BR19" s="172">
        <f>IF(AND(NOT(ISBLANK(Jumpoverwrite15)),AND(NOT(BQ19),AND(BQ$4:BQ18))),($J19*$G19-LN(1+Jumpoverwrite15*BS$2))/$G19,_xll.qlInterpolationInterpolate(BQ$3,$F19,TRUE))</f>
        <v>6.7835814964638773E-3</v>
      </c>
      <c r="BS19" s="176" t="str">
        <f>IF(AND(NOT(BQ19),AND(BQ$4:BQ18)),IF($BN19&lt;0,IF($BN19&lt;$J19,EXP(($BN19-$J19)*$G19),EXP(($J19-$BN19)*$G19)),EXP(($BN19-$J19)*$G19)),"")</f>
        <v/>
      </c>
    </row>
    <row r="20" spans="1:71" x14ac:dyDescent="0.2">
      <c r="A20" s="33" t="str">
        <v>obj_00208</v>
      </c>
      <c r="B20" s="17">
        <f>_xll.qlRateHelperRate($A20,InterestRatesTrigger)</f>
        <v>6.1399999999999996E-3</v>
      </c>
      <c r="C20" s="18">
        <f>_xll.qlRateHelperEarliestDate($A20)</f>
        <v>42664</v>
      </c>
      <c r="D20" s="19">
        <f>_xll.qlRateHelperPillarDate($A20)</f>
        <v>43122</v>
      </c>
      <c r="F20" s="84">
        <f t="shared" si="0"/>
        <v>43076.5</v>
      </c>
      <c r="G20" s="85">
        <f>_xll.qlDayCounterYearFraction(DayCounter,D19,D20)</f>
        <v>0.25277777777777777</v>
      </c>
      <c r="I20" s="93" t="b">
        <f t="shared" si="2"/>
        <v>0</v>
      </c>
      <c r="J20" s="37">
        <v>7.1807101282411502E-3</v>
      </c>
      <c r="K20" s="94">
        <f t="shared" si="3"/>
        <v>43122</v>
      </c>
      <c r="L20" s="75"/>
      <c r="M20" s="72" t="b">
        <f>IF(AND(NOT(I20),AND(I$4:I19)),TRUE,I20)</f>
        <v>0</v>
      </c>
      <c r="N20" s="172">
        <f>IF(AND(NOT(ISBLANK(Jumpoverwrite1)),AND(NOT(M20),AND(M$4:M19))),($J20*$G20-LN(1+Jumpoverwrite1*O$2))/$G20,_xll.qlInterpolationInterpolate(M$3,$F20,TRUE))</f>
        <v>6.6477186693742005E-3</v>
      </c>
      <c r="O20" s="34" t="str">
        <f>IF(AND(NOT(M20),AND(M$4:M19)),IF($N20&lt;0,IF($N20&lt;$J20,EXP(($N20-$J20)*$G20),EXP(($J20-$N20)*$G20)),EXP(($N20-$J20)*$G20)),"")</f>
        <v/>
      </c>
      <c r="P20" s="107"/>
      <c r="Q20" s="72" t="b">
        <f>IF(AND(NOT(M20),AND(M$4:M19)),TRUE,M20)</f>
        <v>0</v>
      </c>
      <c r="R20" s="172">
        <f>IF(AND(NOT(ISBLANK(Jumpoverwrite2)),AND(NOT(Q20),AND(Q$4:Q19))),($J20*$G20-LN(1+Jumpoverwrite2*S$2))/$G20,_xll.qlInterpolationInterpolate(Q$3,$F20,TRUE))</f>
        <v>6.6477186693742005E-3</v>
      </c>
      <c r="S20" s="176" t="str">
        <f>IF(AND(NOT(Q20),AND(Q$4:Q19)),IF($R20&lt;0,IF($R20&lt;$J20,EXP(($R20-$J20)*$G20),EXP(($J20-$R20)*$G20)),EXP(($R20-$J20)*$G20)),"")</f>
        <v/>
      </c>
      <c r="T20" s="107"/>
      <c r="U20" s="72" t="b">
        <f>IF(AND(NOT(Q20),AND(Q$4:Q19)),TRUE,Q20)</f>
        <v>0</v>
      </c>
      <c r="V20" s="172">
        <f>IF(AND(NOT(ISBLANK(Jumpoverwrite3)),AND(NOT(U20),AND(U$4:U19))),($J20*$G20-LN(1+Jumpoverwrite3*W$2))/$G20,_xll.qlInterpolationInterpolate(U$3,$F20,TRUE))</f>
        <v>6.7132362322976143E-3</v>
      </c>
      <c r="W20" s="176" t="str">
        <f>IF(AND(NOT(U20),AND(U$4:U19)),IF($V20&lt;0,IF($V20&lt;$J20,EXP(($V20-$J20)*$G20),EXP(($J20-$V20)*$G20)),EXP(($V20-$J20)*$G20)),"")</f>
        <v/>
      </c>
      <c r="X20" s="107"/>
      <c r="Y20" s="72" t="b">
        <f>IF(AND(NOT(U20),AND(U$4:U19)),TRUE,U20)</f>
        <v>0</v>
      </c>
      <c r="Z20" s="172">
        <f>IF(AND(NOT(ISBLANK(Jumpoverwrite4)),AND(NOT(Y20),AND(Y$4:Y19))),($J20*$G20-LN(1+Jumpoverwrite4*AA$2))/$G20,_xll.qlInterpolationInterpolate(Y$3,$F20,TRUE))</f>
        <v>7.0068063385263319E-3</v>
      </c>
      <c r="AA20" s="176" t="str">
        <f>IF(AND(NOT(Y20),AND(Y$4:Y19)),IF($Z20&lt;0,IF($Z20&lt;$J20,EXP(($Z20-$J20)*$G20),EXP(($J20-$Z20)*$G20)),EXP(($Z20-$J20)*$G20)),"")</f>
        <v/>
      </c>
      <c r="AB20" s="107"/>
      <c r="AC20" s="72" t="b">
        <f>IF(AND(NOT(Y20),AND(Y$4:Y19)),TRUE,Y20)</f>
        <v>0</v>
      </c>
      <c r="AD20" s="172">
        <f>IF(AND(NOT(ISBLANK(Jumpoverwrite5)),AND(NOT(AC20),AND(AC$4:AC19))),($J20*$G20-LN(1+Jumpoverwrite5*AE$2))/$G20,_xll.qlInterpolationInterpolate(AC$3,$F20,TRUE))</f>
        <v>7.0214828737095352E-3</v>
      </c>
      <c r="AE20" s="176" t="str">
        <f>IF(AND(NOT(AC20),AND(AC$4:AC19)),IF($AD20&lt;0,IF($AD20&lt;$J20,EXP(($AD20-$J20)*$G20),EXP(($J20-$AD20)*$G20)),EXP(($AD20-$J20)*$G20)),"")</f>
        <v/>
      </c>
      <c r="AF20" s="107"/>
      <c r="AG20" s="72" t="b">
        <f>IF(AND(NOT(AC20),AND(AC$4:AC19)),TRUE,AC20)</f>
        <v>0</v>
      </c>
      <c r="AH20" s="172">
        <f>IF(AND(NOT(ISBLANK(Jumpoverwrite6)),AND(NOT(AG20),AND(AG$4:AG19))),($J20*$G20-LN(1+Jumpoverwrite6*AI$2))/$G20,_xll.qlInterpolationInterpolate(AG$3,$F20,TRUE))</f>
        <v>7.0172824878056922E-3</v>
      </c>
      <c r="AI20" s="176" t="str">
        <f>IF(AND(NOT(AG20),AND(AG$4:AG19)),IF($AH20&lt;0,IF($AH20&lt;$J20,EXP(($AH20-$J20)*$G20),EXP(($J20-$AH20)*$G20)),EXP(($AH20-$J20)*$G20)),"")</f>
        <v/>
      </c>
      <c r="AJ20" s="107"/>
      <c r="AK20" s="72" t="b">
        <f>IF(AND(NOT(AG20),AND(AG$4:AG19)),TRUE,AG20)</f>
        <v>0</v>
      </c>
      <c r="AL20" s="172">
        <f>IF(AND(NOT(ISBLANK(Jumpoverwrite7)),AND(NOT(AK20),AND(AK$4:AK19))),($J20*$G20-LN(1+Jumpoverwrite7*AM$2))/$G20,_xll.qlInterpolationInterpolate(AK$3,$F20,TRUE))</f>
        <v>7.0610629048085804E-3</v>
      </c>
      <c r="AM20" s="176" t="str">
        <f>IF(AND(NOT(AK20),AND(AK$4:AK19)),IF($AL20&lt;0,IF($AL20&lt;$J20,EXP(($AL20-$J20)*$G20),EXP(($J20-$AL20)*$G20)),EXP(($AL20-$J20)*$G20)),"")</f>
        <v/>
      </c>
      <c r="AO20" s="72" t="b">
        <f>IF(AND(NOT(AK20),AND(AK$4:AK19)),TRUE,AK20)</f>
        <v>0</v>
      </c>
      <c r="AP20" s="172">
        <f>IF(AND(NOT(ISBLANK(Jumpoverwrite8)),AND(NOT(AO20),AND(AO$4:AO19))),($J20*$G20-LN(1+Jumpoverwrite8*AQ$2))/$G20,_xll.qlInterpolationInterpolate(AO$3,$F20,TRUE))</f>
        <v>7.0209787108271408E-3</v>
      </c>
      <c r="AQ20" s="176" t="str">
        <f>IF(AND(NOT(AO20),AND(AO$4:AO19)),IF($AP20&lt;0,IF($AP20&lt;$J20,EXP(($AP20-$J20)*$G20),EXP(($J20-$AP20)*$G20)),EXP(($AP20-$J20)*$G20)),"")</f>
        <v/>
      </c>
      <c r="AS20" s="72" t="b">
        <f>IF(AND(NOT(AO20),AND(AO$4:AO19)),TRUE,AO20)</f>
        <v>0</v>
      </c>
      <c r="AT20" s="172">
        <f>IF(AND(NOT(ISBLANK(Jumpoverwrite9)),AND(NOT(AS20),AND(AS$4:AS19))),($J20*$G20-LN(1+Jumpoverwrite9*AU$2))/$G20,_xll.qlInterpolationInterpolate(AS$3,$F20,TRUE))</f>
        <v>7.0050961130006598E-3</v>
      </c>
      <c r="AU20" s="176" t="str">
        <f>IF(AND(NOT(AS20),AND(AS$4:AS19)),IF($AT20&lt;0,IF($AT20&lt;$J20,EXP(($AT20-$J20)*$G20),EXP(($J20-$AT20)*$G20)),EXP(($AT20-$J20)*$G20)),"")</f>
        <v/>
      </c>
      <c r="AW20" s="72" t="b">
        <f>IF(AND(NOT(AS20),AND(AS$4:AS19)),TRUE,AS20)</f>
        <v>0</v>
      </c>
      <c r="AX20" s="172">
        <f>IF(AND(NOT(ISBLANK(Jumpoverwrite10)),AND(NOT(AW20),AND(AW$4:AW19))),($J20*$G20-LN(1+Jumpoverwrite10*AY$2))/$G20,_xll.qlInterpolationInterpolate(AW$3,$F20,TRUE))</f>
        <v>7.0874259909488885E-3</v>
      </c>
      <c r="AY20" s="176" t="str">
        <f>IF(AND(NOT(AW20),AND(AW$4:AW19)),IF($AX20&lt;0,IF($AX20&lt;$J20,EXP(($AX20-$J20)*$G20),EXP(($J20-$AX20)*$G20)),EXP(($AX20-$J20)*$G20)),"")</f>
        <v/>
      </c>
      <c r="BA20" s="72" t="b">
        <f>IF(AND(NOT(AW20),AND(AW$4:AW19)),TRUE,AW20)</f>
        <v>0</v>
      </c>
      <c r="BB20" s="172">
        <f>IF(AND(NOT(ISBLANK(Jumpoverwrite11)),AND(NOT(BA20),AND(BA$4:BA19))),($J20*$G20-LN(1+Jumpoverwrite11*BC$2))/$G20,_xll.qlInterpolationInterpolate(BA$3,$F20,TRUE))</f>
        <v>7.1233829173303195E-3</v>
      </c>
      <c r="BC20" s="176" t="str">
        <f>IF(AND(NOT(BA20),AND(BA$4:BA19)),IF($BB20&lt;0,IF($BB20&lt;$J20,EXP(($BB20-$J20)*$G20),EXP(($J20-$BB20)*$G20)),EXP(($BB20-$J20)*$G20)),"")</f>
        <v/>
      </c>
      <c r="BE20" s="72" t="b">
        <f>IF(AND(NOT(BA20),AND(BA$4:BA19)),TRUE,BA20)</f>
        <v>0</v>
      </c>
      <c r="BF20" s="172">
        <f>IF(AND(NOT(ISBLANK(Jumpoverwrite12)),AND(NOT(BE20),AND(BE$4:BE19))),($J20*$G20-LN(1+Jumpoverwrite12*BG$2))/$G20,_xll.qlInterpolationInterpolate(BE$3,$F20,TRUE))</f>
        <v>6.9737168949368759E-3</v>
      </c>
      <c r="BG20" s="176" t="str">
        <f>IF(AND(NOT(BE20),AND(BE$4:BE19)),IF($BF20&lt;0,IF($BF20&lt;$J20,EXP(($BF20-$J20)*$G20),EXP(($J20-$BF20)*$G20)),EXP(($BF20-$J20)*$G20)),"")</f>
        <v/>
      </c>
      <c r="BI20" s="72" t="b">
        <f t="shared" si="1"/>
        <v>0</v>
      </c>
      <c r="BJ20" s="172">
        <f>IF(AND(NOT(ISBLANK(jumpoverwrite13)),AND(NOT(BI20),AND(BI$4:BI19))),($J20*$G20-LN(1+jumpoverwrite13*BK$2))/$G20,_xll.qlInterpolationInterpolate(BI$3,$F20,TRUE))</f>
        <v>7.1807101282411502E-3</v>
      </c>
      <c r="BK20" s="176">
        <f>IF(AND(NOT(BI20),AND(BI$4:BI19)),IF($BJ20&lt;0,IF($BJ20&lt;$J20,EXP(($BJ20-$J20)*$G20),EXP(($J20-$BJ20)*$G20)),EXP(($BJ20-$J20)*$G20)),"")</f>
        <v>1</v>
      </c>
      <c r="BM20" s="72" t="b">
        <f>IF(AND(NOT(BI20),AND(BI$4:BI19)),TRUE,BI20)</f>
        <v>1</v>
      </c>
      <c r="BN20" s="172">
        <f>IF(AND(NOT(ISBLANK(Jumpoverwrite14)),AND(NOT(BM20),AND(BM$4:BM19))),($J20*$G20-LN(1+Jumpoverwrite14*BO$2))/$G20,_xll.qlInterpolationInterpolate(BM$3,$F20,TRUE))</f>
        <v>7.1807101282411502E-3</v>
      </c>
      <c r="BO20" s="176" t="str">
        <f>IF(AND(NOT(BM20),AND(BM$4:BM19)),IF($BN20&lt;0,IF($BN20&lt;$J20,EXP(($BN20-$J20)*$G20),EXP(($J20-$BN20)*$G20)),EXP(($BN20-$J20)*$G20)),"")</f>
        <v/>
      </c>
      <c r="BQ20" s="72" t="b">
        <f>IF(AND(NOT(BM20),AND(BM$4:BM19)),TRUE,BM20)</f>
        <v>1</v>
      </c>
      <c r="BR20" s="172">
        <f>IF(AND(NOT(ISBLANK(Jumpoverwrite15)),AND(NOT(BQ20),AND(BQ$4:BQ19))),($J20*$G20-LN(1+Jumpoverwrite15*BS$2))/$G20,_xll.qlInterpolationInterpolate(BQ$3,$F20,TRUE))</f>
        <v>7.1807101282411502E-3</v>
      </c>
      <c r="BS20" s="176" t="str">
        <f>IF(AND(NOT(BQ20),AND(BQ$4:BQ19)),IF($BN20&lt;0,IF($BN20&lt;$J20,EXP(($BN20-$J20)*$G20),EXP(($J20-$BN20)*$G20)),EXP(($BN20-$J20)*$G20)),"")</f>
        <v/>
      </c>
    </row>
    <row r="21" spans="1:71" x14ac:dyDescent="0.2">
      <c r="A21" s="33" t="str">
        <v>obj_00218</v>
      </c>
      <c r="B21" s="17">
        <f>_xll.qlRateHelperRate($A21,InterestRatesTrigger)</f>
        <v>6.3699999999999998E-3</v>
      </c>
      <c r="C21" s="18">
        <f>_xll.qlRateHelperEarliestDate($A21)</f>
        <v>42664</v>
      </c>
      <c r="D21" s="19">
        <f>_xll.qlRateHelperPillarDate($A21)</f>
        <v>43213</v>
      </c>
      <c r="F21" s="84">
        <f t="shared" si="0"/>
        <v>43167.5</v>
      </c>
      <c r="G21" s="85">
        <f>_xll.qlDayCounterYearFraction(DayCounter,D20,D21)</f>
        <v>0.25277777777777777</v>
      </c>
      <c r="I21" s="93" t="b">
        <v>0</v>
      </c>
      <c r="J21" s="37">
        <v>7.5097771256177857E-3</v>
      </c>
      <c r="K21" s="94">
        <f t="shared" si="3"/>
        <v>43213</v>
      </c>
      <c r="L21" s="75"/>
      <c r="M21" s="72" t="b">
        <f>IF(AND(NOT(I21),AND(I$4:I20)),TRUE,I21)</f>
        <v>0</v>
      </c>
      <c r="N21" s="172">
        <f>IF(AND(NOT(ISBLANK(Jumpoverwrite1)),AND(NOT(M21),AND(M$4:M20))),($J21*$G21-LN(1+Jumpoverwrite1*O$2))/$G21,_xll.qlInterpolationInterpolate(M$3,$F21,TRUE))</f>
        <v>7.2340067627889582E-3</v>
      </c>
      <c r="O21" s="34" t="str">
        <f>IF(AND(NOT(M21),AND(M$4:M20)),IF($N21&lt;0,IF($N21&lt;$J21,EXP(($N21-$J21)*$G21),EXP(($J21-$N21)*$G21)),EXP(($N21-$J21)*$G21)),"")</f>
        <v/>
      </c>
      <c r="P21" s="107"/>
      <c r="Q21" s="72" t="b">
        <f>IF(AND(NOT(M21),AND(M$4:M20)),TRUE,M21)</f>
        <v>0</v>
      </c>
      <c r="R21" s="172">
        <f>IF(AND(NOT(ISBLANK(Jumpoverwrite2)),AND(NOT(Q21),AND(Q$4:Q20))),($J21*$G21-LN(1+Jumpoverwrite2*S$2))/$G21,_xll.qlInterpolationInterpolate(Q$3,$F21,TRUE))</f>
        <v>7.2340067627889582E-3</v>
      </c>
      <c r="S21" s="176" t="str">
        <f>IF(AND(NOT(Q21),AND(Q$4:Q20)),IF($R21&lt;0,IF($R21&lt;$J21,EXP(($R21-$J21)*$G21),EXP(($J21-$R21)*$G21)),EXP(($R21-$J21)*$G21)),"")</f>
        <v/>
      </c>
      <c r="T21" s="107"/>
      <c r="U21" s="72" t="b">
        <f>IF(AND(NOT(Q21),AND(Q$4:Q20)),TRUE,Q21)</f>
        <v>0</v>
      </c>
      <c r="V21" s="172">
        <f>IF(AND(NOT(ISBLANK(Jumpoverwrite3)),AND(NOT(U21),AND(U$4:U20))),($J21*$G21-LN(1+Jumpoverwrite3*W$2))/$G21,_xll.qlInterpolationInterpolate(U$3,$F21,TRUE))</f>
        <v>7.2667655442506651E-3</v>
      </c>
      <c r="W21" s="176" t="str">
        <f>IF(AND(NOT(U21),AND(U$4:U20)),IF($V21&lt;0,IF($V21&lt;$J21,EXP(($V21-$J21)*$G21),EXP(($J21-$V21)*$G21)),EXP(($V21-$J21)*$G21)),"")</f>
        <v/>
      </c>
      <c r="X21" s="107"/>
      <c r="Y21" s="72" t="b">
        <f>IF(AND(NOT(U21),AND(U$4:U20)),TRUE,U21)</f>
        <v>0</v>
      </c>
      <c r="Z21" s="172">
        <f>IF(AND(NOT(ISBLANK(Jumpoverwrite4)),AND(NOT(Y21),AND(Y$4:Y20))),($J21*$G21-LN(1+Jumpoverwrite4*AA$2))/$G21,_xll.qlInterpolationInterpolate(Y$3,$F21,TRUE))</f>
        <v>7.4135505973650234E-3</v>
      </c>
      <c r="AA21" s="176" t="str">
        <f>IF(AND(NOT(Y21),AND(Y$4:Y20)),IF($Z21&lt;0,IF($Z21&lt;$J21,EXP(($Z21-$J21)*$G21),EXP(($J21-$Z21)*$G21)),EXP(($Z21-$J21)*$G21)),"")</f>
        <v/>
      </c>
      <c r="AB21" s="107"/>
      <c r="AC21" s="72" t="b">
        <f>IF(AND(NOT(Y21),AND(Y$4:Y20)),TRUE,Y21)</f>
        <v>0</v>
      </c>
      <c r="AD21" s="172">
        <f>IF(AND(NOT(ISBLANK(Jumpoverwrite5)),AND(NOT(AC21),AND(AC$4:AC20))),($J21*$G21-LN(1+Jumpoverwrite5*AE$2))/$G21,_xll.qlInterpolationInterpolate(AC$3,$F21,TRUE))</f>
        <v>7.4208888649566259E-3</v>
      </c>
      <c r="AE21" s="176" t="str">
        <f>IF(AND(NOT(AC21),AND(AC$4:AC20)),IF($AD21&lt;0,IF($AD21&lt;$J21,EXP(($AD21-$J21)*$G21),EXP(($J21-$AD21)*$G21)),EXP(($AD21-$J21)*$G21)),"")</f>
        <v/>
      </c>
      <c r="AF21" s="107"/>
      <c r="AG21" s="72" t="b">
        <f>IF(AND(NOT(AC21),AND(AC$4:AC20)),TRUE,AC21)</f>
        <v>0</v>
      </c>
      <c r="AH21" s="172">
        <f>IF(AND(NOT(ISBLANK(Jumpoverwrite6)),AND(NOT(AG21),AND(AG$4:AG20))),($J21*$G21-LN(1+Jumpoverwrite6*AI$2))/$G21,_xll.qlInterpolationInterpolate(AG$3,$F21,TRUE))</f>
        <v>7.4187886720047044E-3</v>
      </c>
      <c r="AI21" s="176" t="str">
        <f>IF(AND(NOT(AG21),AND(AG$4:AG20)),IF($AH21&lt;0,IF($AH21&lt;$J21,EXP(($AH21-$J21)*$G21),EXP(($J21-$AH21)*$G21)),EXP(($AH21-$J21)*$G21)),"")</f>
        <v/>
      </c>
      <c r="AJ21" s="107"/>
      <c r="AK21" s="72" t="b">
        <f>IF(AND(NOT(AG21),AND(AG$4:AG20)),TRUE,AG21)</f>
        <v>0</v>
      </c>
      <c r="AL21" s="172">
        <f>IF(AND(NOT(ISBLANK(Jumpoverwrite7)),AND(NOT(AK21),AND(AK$4:AK20))),($J21*$G21-LN(1+Jumpoverwrite7*AM$2))/$G21,_xll.qlInterpolationInterpolate(AK$3,$F21,TRUE))</f>
        <v>7.4406788805061481E-3</v>
      </c>
      <c r="AM21" s="176" t="str">
        <f>IF(AND(NOT(AK21),AND(AK$4:AK20)),IF($AL21&lt;0,IF($AL21&lt;$J21,EXP(($AL21-$J21)*$G21),EXP(($J21-$AL21)*$G21)),EXP(($AL21-$J21)*$G21)),"")</f>
        <v/>
      </c>
      <c r="AO21" s="72" t="b">
        <f>IF(AND(NOT(AK21),AND(AK$4:AK20)),TRUE,AK21)</f>
        <v>0</v>
      </c>
      <c r="AP21" s="172">
        <f>IF(AND(NOT(ISBLANK(Jumpoverwrite8)),AND(NOT(AO21),AND(AO$4:AO20))),($J21*$G21-LN(1+Jumpoverwrite8*AQ$2))/$G21,_xll.qlInterpolationInterpolate(AO$3,$F21,TRUE))</f>
        <v>7.4206367835154283E-3</v>
      </c>
      <c r="AQ21" s="176" t="str">
        <f>IF(AND(NOT(AO21),AND(AO$4:AO20)),IF($AP21&lt;0,IF($AP21&lt;$J21,EXP(($AP21-$J21)*$G21),EXP(($J21-$AP21)*$G21)),EXP(($AP21-$J21)*$G21)),"")</f>
        <v/>
      </c>
      <c r="AS21" s="72" t="b">
        <f>IF(AND(NOT(AO21),AND(AO$4:AO20)),TRUE,AO21)</f>
        <v>0</v>
      </c>
      <c r="AT21" s="172">
        <f>IF(AND(NOT(ISBLANK(Jumpoverwrite9)),AND(NOT(AS21),AND(AS$4:AS20))),($J21*$G21-LN(1+Jumpoverwrite9*AU$2))/$G21,_xll.qlInterpolationInterpolate(AS$3,$F21,TRUE))</f>
        <v>7.4126954846021878E-3</v>
      </c>
      <c r="AU21" s="176" t="str">
        <f>IF(AND(NOT(AS21),AND(AS$4:AS20)),IF($AT21&lt;0,IF($AT21&lt;$J21,EXP(($AT21-$J21)*$G21),EXP(($J21-$AT21)*$G21)),EXP(($AT21-$J21)*$G21)),"")</f>
        <v/>
      </c>
      <c r="AW21" s="72" t="b">
        <f>IF(AND(NOT(AS21),AND(AS$4:AS20)),TRUE,AS21)</f>
        <v>0</v>
      </c>
      <c r="AX21" s="172">
        <f>IF(AND(NOT(ISBLANK(Jumpoverwrite10)),AND(NOT(AW21),AND(AW$4:AW20))),($J21*$G21-LN(1+Jumpoverwrite10*AY$2))/$G21,_xll.qlInterpolationInterpolate(AW$3,$F21,TRUE))</f>
        <v>7.4538604235763022E-3</v>
      </c>
      <c r="AY21" s="176" t="str">
        <f>IF(AND(NOT(AW21),AND(AW$4:AW20)),IF($AX21&lt;0,IF($AX21&lt;$J21,EXP(($AX21-$J21)*$G21),EXP(($J21-$AX21)*$G21)),EXP(($AX21-$J21)*$G21)),"")</f>
        <v/>
      </c>
      <c r="BA21" s="72" t="b">
        <f>IF(AND(NOT(AW21),AND(AW$4:AW20)),TRUE,AW21)</f>
        <v>0</v>
      </c>
      <c r="BB21" s="172">
        <f>IF(AND(NOT(ISBLANK(Jumpoverwrite11)),AND(NOT(BA21),AND(BA$4:BA20))),($J21*$G21-LN(1+Jumpoverwrite11*BC$2))/$G21,_xll.qlInterpolationInterpolate(BA$3,$F21,TRUE))</f>
        <v>7.4718388867670181E-3</v>
      </c>
      <c r="BC21" s="176" t="str">
        <f>IF(AND(NOT(BA21),AND(BA$4:BA20)),IF($BB21&lt;0,IF($BB21&lt;$J21,EXP(($BB21-$J21)*$G21),EXP(($J21-$BB21)*$G21)),EXP(($BB21-$J21)*$G21)),"")</f>
        <v/>
      </c>
      <c r="BE21" s="72" t="b">
        <f>IF(AND(NOT(BA21),AND(BA$4:BA20)),TRUE,BA21)</f>
        <v>0</v>
      </c>
      <c r="BF21" s="172">
        <f>IF(AND(NOT(ISBLANK(Jumpoverwrite12)),AND(NOT(BE21),AND(BE$4:BE20))),($J21*$G21-LN(1+Jumpoverwrite12*BG$2))/$G21,_xll.qlInterpolationInterpolate(BE$3,$F21,TRUE))</f>
        <v>7.3970058755702959E-3</v>
      </c>
      <c r="BG21" s="176" t="str">
        <f>IF(AND(NOT(BE21),AND(BE$4:BE20)),IF($BF21&lt;0,IF($BF21&lt;$J21,EXP(($BF21-$J21)*$G21),EXP(($J21-$BF21)*$G21)),EXP(($BF21-$J21)*$G21)),"")</f>
        <v/>
      </c>
      <c r="BI21" s="72" t="b">
        <f t="shared" si="1"/>
        <v>0</v>
      </c>
      <c r="BJ21" s="172">
        <f>IF(AND(NOT(ISBLANK(jumpoverwrite13)),AND(NOT(BI21),AND(BI$4:BI20))),($J21*$G21-LN(1+jumpoverwrite13*BK$2))/$G21,_xll.qlInterpolationInterpolate(BI$3,$F21,TRUE))</f>
        <v>7.9573794994376949E-3</v>
      </c>
      <c r="BK21" s="176" t="str">
        <f>IF(AND(NOT(BI21),AND(BI$4:BI20)),IF($BJ21&lt;0,IF($BJ21&lt;$J21,EXP(($BJ21-$J21)*$G21),EXP(($J21-$BJ21)*$G21)),EXP(($BJ21-$J21)*$G21)),"")</f>
        <v/>
      </c>
      <c r="BM21" s="72" t="b">
        <f>IF(AND(NOT(BI21),AND(BI$4:BI20)),TRUE,BI21)</f>
        <v>0</v>
      </c>
      <c r="BN21" s="172">
        <f>IF(AND(NOT(ISBLANK(Jumpoverwrite14)),AND(NOT(BM21),AND(BM$4:BM20))),($J21*$G21-LN(1+Jumpoverwrite14*BO$2))/$G21,_xll.qlInterpolationInterpolate(BM$3,$F21,TRUE))</f>
        <v>7.5097771256177857E-3</v>
      </c>
      <c r="BO21" s="176">
        <f>IF(AND(NOT(BM21),AND(BM$4:BM20)),IF($BN21&lt;0,IF($BN21&lt;$J21,EXP(($BN21-$J21)*$G21),EXP(($J21-$BN21)*$G21)),EXP(($BN21-$J21)*$G21)),"")</f>
        <v>1</v>
      </c>
      <c r="BQ21" s="72" t="b">
        <f>IF(AND(NOT(BM21),AND(BM$4:BM20)),TRUE,BM21)</f>
        <v>1</v>
      </c>
      <c r="BR21" s="172">
        <f>IF(AND(NOT(ISBLANK(Jumpoverwrite15)),AND(NOT(BQ21),AND(BQ$4:BQ20))),($J21*$G21-LN(1+Jumpoverwrite15*BS$2))/$G21,_xll.qlInterpolationInterpolate(BQ$3,$F21,TRUE))</f>
        <v>7.5097771256177857E-3</v>
      </c>
      <c r="BS21" s="176" t="str">
        <f>IF(AND(NOT(BQ21),AND(BQ$4:BQ20)),IF($BN21&lt;0,IF($BN21&lt;$J21,EXP(($BN21-$J21)*$G21),EXP(($J21-$BN21)*$G21)),EXP(($BN21-$J21)*$G21)),"")</f>
        <v/>
      </c>
    </row>
    <row r="22" spans="1:71" x14ac:dyDescent="0.2">
      <c r="A22" s="33" t="str">
        <v>obj_00212</v>
      </c>
      <c r="B22" s="17">
        <f>_xll.qlRateHelperRate($A22,InterestRatesTrigger)</f>
        <v>6.5799999999999999E-3</v>
      </c>
      <c r="C22" s="18">
        <f>_xll.qlRateHelperEarliestDate($A22)</f>
        <v>42664</v>
      </c>
      <c r="D22" s="19">
        <f>_xll.qlRateHelperPillarDate($A22)</f>
        <v>43304</v>
      </c>
      <c r="F22" s="84">
        <f t="shared" si="0"/>
        <v>43258.5</v>
      </c>
      <c r="G22" s="85">
        <f>_xll.qlDayCounterYearFraction(DayCounter,D21,D22)</f>
        <v>0.25277777777777777</v>
      </c>
      <c r="I22" s="93" t="b">
        <f t="shared" si="2"/>
        <v>1</v>
      </c>
      <c r="J22" s="37">
        <v>7.8202948562037158E-3</v>
      </c>
      <c r="K22" s="94">
        <f t="shared" si="3"/>
        <v>43304</v>
      </c>
      <c r="L22" s="75"/>
      <c r="M22" s="72" t="b">
        <f>IF(AND(NOT(I22),AND(I$4:I21)),TRUE,I22)</f>
        <v>1</v>
      </c>
      <c r="N22" s="172">
        <f>IF(AND(NOT(ISBLANK(Jumpoverwrite1)),AND(NOT(M22),AND(M$4:M21))),($J22*$G22-LN(1+Jumpoverwrite1*O$2))/$G22,_xll.qlInterpolationInterpolate(M$3,$F22,TRUE))</f>
        <v>7.8202948562037158E-3</v>
      </c>
      <c r="O22" s="34" t="str">
        <f>IF(AND(NOT(M22),AND(M$4:M21)),IF($N22&lt;0,IF($N22&lt;$J22,EXP(($N22-$J22)*$G22),EXP(($J22-$N22)*$G22)),EXP(($N22-$J22)*$G22)),"")</f>
        <v/>
      </c>
      <c r="P22" s="107"/>
      <c r="Q22" s="72" t="b">
        <f>IF(AND(NOT(M22),AND(M$4:M21)),TRUE,M22)</f>
        <v>1</v>
      </c>
      <c r="R22" s="172">
        <f>IF(AND(NOT(ISBLANK(Jumpoverwrite2)),AND(NOT(Q22),AND(Q$4:Q21))),($J22*$G22-LN(1+Jumpoverwrite2*S$2))/$G22,_xll.qlInterpolationInterpolate(Q$3,$F22,TRUE))</f>
        <v>7.8202948562037158E-3</v>
      </c>
      <c r="S22" s="176" t="str">
        <f>IF(AND(NOT(Q22),AND(Q$4:Q21)),IF($R22&lt;0,IF($R22&lt;$J22,EXP(($R22-$J22)*$G22),EXP(($J22-$R22)*$G22)),EXP(($R22-$J22)*$G22)),"")</f>
        <v/>
      </c>
      <c r="T22" s="107"/>
      <c r="U22" s="72" t="b">
        <f>IF(AND(NOT(Q22),AND(Q$4:Q21)),TRUE,Q22)</f>
        <v>1</v>
      </c>
      <c r="V22" s="172">
        <f>IF(AND(NOT(ISBLANK(Jumpoverwrite3)),AND(NOT(U22),AND(U$4:U21))),($J22*$G22-LN(1+Jumpoverwrite3*W$2))/$G22,_xll.qlInterpolationInterpolate(U$3,$F22,TRUE))</f>
        <v>7.8202948562037158E-3</v>
      </c>
      <c r="W22" s="176" t="str">
        <f>IF(AND(NOT(U22),AND(U$4:U21)),IF($V22&lt;0,IF($V22&lt;$J22,EXP(($V22-$J22)*$G22),EXP(($J22-$V22)*$G22)),EXP(($V22-$J22)*$G22)),"")</f>
        <v/>
      </c>
      <c r="X22" s="107"/>
      <c r="Y22" s="72" t="b">
        <f>IF(AND(NOT(U22),AND(U$4:U21)),TRUE,U22)</f>
        <v>1</v>
      </c>
      <c r="Z22" s="172">
        <f>IF(AND(NOT(ISBLANK(Jumpoverwrite4)),AND(NOT(Y22),AND(Y$4:Y21))),($J22*$G22-LN(1+Jumpoverwrite4*AA$2))/$G22,_xll.qlInterpolationInterpolate(Y$3,$F22,TRUE))</f>
        <v>7.8202948562037158E-3</v>
      </c>
      <c r="AA22" s="176" t="str">
        <f>IF(AND(NOT(Y22),AND(Y$4:Y21)),IF($Z22&lt;0,IF($Z22&lt;$J22,EXP(($Z22-$J22)*$G22),EXP(($J22-$Z22)*$G22)),EXP(($Z22-$J22)*$G22)),"")</f>
        <v/>
      </c>
      <c r="AB22" s="107"/>
      <c r="AC22" s="72" t="b">
        <f>IF(AND(NOT(Y22),AND(Y$4:Y21)),TRUE,Y22)</f>
        <v>1</v>
      </c>
      <c r="AD22" s="172">
        <f>IF(AND(NOT(ISBLANK(Jumpoverwrite5)),AND(NOT(AC22),AND(AC$4:AC21))),($J22*$G22-LN(1+Jumpoverwrite5*AE$2))/$G22,_xll.qlInterpolationInterpolate(AC$3,$F22,TRUE))</f>
        <v>7.8202948562037158E-3</v>
      </c>
      <c r="AE22" s="176" t="str">
        <f>IF(AND(NOT(AC22),AND(AC$4:AC21)),IF($AD22&lt;0,IF($AD22&lt;$J22,EXP(($AD22-$J22)*$G22),EXP(($J22-$AD22)*$G22)),EXP(($AD22-$J22)*$G22)),"")</f>
        <v/>
      </c>
      <c r="AF22" s="107"/>
      <c r="AG22" s="72" t="b">
        <f>IF(AND(NOT(AC22),AND(AC$4:AC21)),TRUE,AC22)</f>
        <v>1</v>
      </c>
      <c r="AH22" s="172">
        <f>IF(AND(NOT(ISBLANK(Jumpoverwrite6)),AND(NOT(AG22),AND(AG$4:AG21))),($J22*$G22-LN(1+Jumpoverwrite6*AI$2))/$G22,_xll.qlInterpolationInterpolate(AG$3,$F22,TRUE))</f>
        <v>7.8202948562037158E-3</v>
      </c>
      <c r="AI22" s="176" t="str">
        <f>IF(AND(NOT(AG22),AND(AG$4:AG21)),IF($AH22&lt;0,IF($AH22&lt;$J22,EXP(($AH22-$J22)*$G22),EXP(($J22-$AH22)*$G22)),EXP(($AH22-$J22)*$G22)),"")</f>
        <v/>
      </c>
      <c r="AJ22" s="107"/>
      <c r="AK22" s="72" t="b">
        <f>IF(AND(NOT(AG22),AND(AG$4:AG21)),TRUE,AG22)</f>
        <v>1</v>
      </c>
      <c r="AL22" s="172">
        <f>IF(AND(NOT(ISBLANK(Jumpoverwrite7)),AND(NOT(AK22),AND(AK$4:AK21))),($J22*$G22-LN(1+Jumpoverwrite7*AM$2))/$G22,_xll.qlInterpolationInterpolate(AK$3,$F22,TRUE))</f>
        <v>7.8202948562037158E-3</v>
      </c>
      <c r="AM22" s="176" t="str">
        <f>IF(AND(NOT(AK22),AND(AK$4:AK21)),IF($AL22&lt;0,IF($AL22&lt;$J22,EXP(($AL22-$J22)*$G22),EXP(($J22-$AL22)*$G22)),EXP(($AL22-$J22)*$G22)),"")</f>
        <v/>
      </c>
      <c r="AO22" s="72" t="b">
        <f>IF(AND(NOT(AK22),AND(AK$4:AK21)),TRUE,AK22)</f>
        <v>1</v>
      </c>
      <c r="AP22" s="172">
        <f>IF(AND(NOT(ISBLANK(Jumpoverwrite8)),AND(NOT(AO22),AND(AO$4:AO21))),($J22*$G22-LN(1+Jumpoverwrite8*AQ$2))/$G22,_xll.qlInterpolationInterpolate(AO$3,$F22,TRUE))</f>
        <v>7.8202948562037158E-3</v>
      </c>
      <c r="AQ22" s="176" t="str">
        <f>IF(AND(NOT(AO22),AND(AO$4:AO21)),IF($AP22&lt;0,IF($AP22&lt;$J22,EXP(($AP22-$J22)*$G22),EXP(($J22-$AP22)*$G22)),EXP(($AP22-$J22)*$G22)),"")</f>
        <v/>
      </c>
      <c r="AS22" s="72" t="b">
        <f>IF(AND(NOT(AO22),AND(AO$4:AO21)),TRUE,AO22)</f>
        <v>1</v>
      </c>
      <c r="AT22" s="172">
        <f>IF(AND(NOT(ISBLANK(Jumpoverwrite9)),AND(NOT(AS22),AND(AS$4:AS21))),($J22*$G22-LN(1+Jumpoverwrite9*AU$2))/$G22,_xll.qlInterpolationInterpolate(AS$3,$F22,TRUE))</f>
        <v>7.8202948562037158E-3</v>
      </c>
      <c r="AU22" s="176" t="str">
        <f>IF(AND(NOT(AS22),AND(AS$4:AS21)),IF($AT22&lt;0,IF($AT22&lt;$J22,EXP(($AT22-$J22)*$G22),EXP(($J22-$AT22)*$G22)),EXP(($AT22-$J22)*$G22)),"")</f>
        <v/>
      </c>
      <c r="AW22" s="72" t="b">
        <f>IF(AND(NOT(AS22),AND(AS$4:AS21)),TRUE,AS22)</f>
        <v>1</v>
      </c>
      <c r="AX22" s="172">
        <f>IF(AND(NOT(ISBLANK(Jumpoverwrite10)),AND(NOT(AW22),AND(AW$4:AW21))),($J22*$G22-LN(1+Jumpoverwrite10*AY$2))/$G22,_xll.qlInterpolationInterpolate(AW$3,$F22,TRUE))</f>
        <v>7.8202948562037158E-3</v>
      </c>
      <c r="AY22" s="176" t="str">
        <f>IF(AND(NOT(AW22),AND(AW$4:AW21)),IF($AX22&lt;0,IF($AX22&lt;$J22,EXP(($AX22-$J22)*$G22),EXP(($J22-$AX22)*$G22)),EXP(($AX22-$J22)*$G22)),"")</f>
        <v/>
      </c>
      <c r="BA22" s="72" t="b">
        <f>IF(AND(NOT(AW22),AND(AW$4:AW21)),TRUE,AW22)</f>
        <v>1</v>
      </c>
      <c r="BB22" s="172">
        <f>IF(AND(NOT(ISBLANK(Jumpoverwrite11)),AND(NOT(BA22),AND(BA$4:BA21))),($J22*$G22-LN(1+Jumpoverwrite11*BC$2))/$G22,_xll.qlInterpolationInterpolate(BA$3,$F22,TRUE))</f>
        <v>7.8202948562037158E-3</v>
      </c>
      <c r="BC22" s="176" t="str">
        <f>IF(AND(NOT(BA22),AND(BA$4:BA21)),IF($BB22&lt;0,IF($BB22&lt;$J22,EXP(($BB22-$J22)*$G22),EXP(($J22-$BB22)*$G22)),EXP(($BB22-$J22)*$G22)),"")</f>
        <v/>
      </c>
      <c r="BE22" s="72" t="b">
        <f>IF(AND(NOT(BA22),AND(BA$4:BA21)),TRUE,BA22)</f>
        <v>1</v>
      </c>
      <c r="BF22" s="172">
        <f>IF(AND(NOT(ISBLANK(Jumpoverwrite12)),AND(NOT(BE22),AND(BE$4:BE21))),($J22*$G22-LN(1+Jumpoverwrite12*BG$2))/$G22,_xll.qlInterpolationInterpolate(BE$3,$F22,TRUE))</f>
        <v>7.8202948562037158E-3</v>
      </c>
      <c r="BG22" s="176" t="str">
        <f>IF(AND(NOT(BE22),AND(BE$4:BE21)),IF($BF22&lt;0,IF($BF22&lt;$J22,EXP(($BF22-$J22)*$G22),EXP(($J22-$BF22)*$G22)),EXP(($BF22-$J22)*$G22)),"")</f>
        <v/>
      </c>
      <c r="BI22" s="72" t="b">
        <f t="shared" si="1"/>
        <v>0</v>
      </c>
      <c r="BJ22" s="172">
        <f>IF(AND(NOT(ISBLANK(jumpoverwrite13)),AND(NOT(BI22),AND(BI$4:BI21))),($J22*$G22-LN(1+jumpoverwrite13*BK$2))/$G22,_xll.qlInterpolationInterpolate(BI$3,$F22,TRUE))</f>
        <v>8.6578097831794473E-3</v>
      </c>
      <c r="BK22" s="176" t="str">
        <f>IF(AND(NOT(BI22),AND(BI$4:BI21)),IF($BJ22&lt;0,IF($BJ22&lt;$J22,EXP(($BJ22-$J22)*$G22),EXP(($J22-$BJ22)*$G22)),EXP(($BJ22-$J22)*$G22)),"")</f>
        <v/>
      </c>
      <c r="BM22" s="72" t="b">
        <f>IF(AND(NOT(BI22),AND(BI$4:BI21)),TRUE,BI22)</f>
        <v>0</v>
      </c>
      <c r="BN22" s="172">
        <f>IF(AND(NOT(ISBLANK(Jumpoverwrite14)),AND(NOT(BM22),AND(BM$4:BM21))),($J22*$G22-LN(1+Jumpoverwrite14*BO$2))/$G22,_xll.qlInterpolationInterpolate(BM$3,$F22,TRUE))</f>
        <v>8.3559525832568194E-3</v>
      </c>
      <c r="BO22" s="176" t="str">
        <f>IF(AND(NOT(BM22),AND(BM$4:BM21)),IF($BN22&lt;0,IF($BN22&lt;$J22,EXP(($BN22-$J22)*$G22),EXP(($J22-$BN22)*$G22)),EXP(($BN22-$J22)*$G22)),"")</f>
        <v/>
      </c>
      <c r="BQ22" s="72" t="b">
        <f>IF(AND(NOT(BM22),AND(BM$4:BM21)),TRUE,BM22)</f>
        <v>0</v>
      </c>
      <c r="BR22" s="172">
        <f>IF(AND(NOT(ISBLANK(Jumpoverwrite15)),AND(NOT(BQ22),AND(BQ$4:BQ21))),($J22*$G22-LN(1+Jumpoverwrite15*BS$2))/$G22,_xll.qlInterpolationInterpolate(BQ$3,$F22,TRUE))</f>
        <v>7.8388441229944213E-3</v>
      </c>
      <c r="BS22" s="176">
        <f>IF(AND(NOT(BQ22),AND(BQ$4:BQ21)),IF($BN22&lt;0,IF($BN22&lt;$J22,EXP(($BN22-$J22)*$G22),EXP(($J22-$BN22)*$G22)),EXP(($BN22-$J22)*$G22)),"")</f>
        <v>1.0001354115372085</v>
      </c>
    </row>
    <row r="23" spans="1:71" x14ac:dyDescent="0.2">
      <c r="A23" s="33" t="str">
        <v>obj_00215</v>
      </c>
      <c r="B23" s="17">
        <f>_xll.qlRateHelperRate($A23,InterestRatesTrigger)</f>
        <v>6.7800000000000004E-3</v>
      </c>
      <c r="C23" s="18">
        <f>_xll.qlRateHelperEarliestDate($A23)</f>
        <v>42664</v>
      </c>
      <c r="D23" s="19">
        <f>_xll.qlRateHelperPillarDate($A23)</f>
        <v>43395</v>
      </c>
      <c r="F23" s="84">
        <f t="shared" si="0"/>
        <v>43349.5</v>
      </c>
      <c r="G23" s="85">
        <f>_xll.qlDayCounterYearFraction(DayCounter,D22,D23)</f>
        <v>0.25277777777777777</v>
      </c>
      <c r="I23" s="93" t="b">
        <f t="shared" si="2"/>
        <v>1</v>
      </c>
      <c r="J23" s="37">
        <v>8.1480186978442493E-3</v>
      </c>
      <c r="K23" s="94">
        <f t="shared" si="3"/>
        <v>43395</v>
      </c>
      <c r="L23" s="75"/>
      <c r="M23" s="72" t="b">
        <f>IF(AND(NOT(I23),AND(I$4:I22)),TRUE,I23)</f>
        <v>1</v>
      </c>
      <c r="N23" s="172">
        <f>IF(AND(NOT(ISBLANK(Jumpoverwrite1)),AND(NOT(M23),AND(M$4:M22))),($J23*$G23-LN(1+Jumpoverwrite1*O$2))/$G23,_xll.qlInterpolationInterpolate(M$3,$F23,TRUE))</f>
        <v>8.1480186978442493E-3</v>
      </c>
      <c r="O23" s="34" t="str">
        <f>IF(AND(NOT(M23),AND(M$4:M22)),IF($N23&lt;0,IF($N23&lt;$J23,EXP(($N23-$J23)*$G23),EXP(($J23-$N23)*$G23)),EXP(($N23-$J23)*$G23)),"")</f>
        <v/>
      </c>
      <c r="P23" s="107"/>
      <c r="Q23" s="72" t="b">
        <f>IF(AND(NOT(M23),AND(M$4:M22)),TRUE,M23)</f>
        <v>1</v>
      </c>
      <c r="R23" s="172">
        <f>IF(AND(NOT(ISBLANK(Jumpoverwrite2)),AND(NOT(Q23),AND(Q$4:Q22))),($J23*$G23-LN(1+Jumpoverwrite2*S$2))/$G23,_xll.qlInterpolationInterpolate(Q$3,$F23,TRUE))</f>
        <v>8.1480186978442493E-3</v>
      </c>
      <c r="S23" s="176" t="str">
        <f>IF(AND(NOT(Q23),AND(Q$4:Q22)),IF($R23&lt;0,IF($R23&lt;$J23,EXP(($R23-$J23)*$G23),EXP(($J23-$R23)*$G23)),EXP(($R23-$J23)*$G23)),"")</f>
        <v/>
      </c>
      <c r="T23" s="107"/>
      <c r="U23" s="72" t="b">
        <f>IF(AND(NOT(Q23),AND(Q$4:Q22)),TRUE,Q23)</f>
        <v>1</v>
      </c>
      <c r="V23" s="172">
        <f>IF(AND(NOT(ISBLANK(Jumpoverwrite3)),AND(NOT(U23),AND(U$4:U22))),($J23*$G23-LN(1+Jumpoverwrite3*W$2))/$G23,_xll.qlInterpolationInterpolate(U$3,$F23,TRUE))</f>
        <v>8.1480186978442493E-3</v>
      </c>
      <c r="W23" s="176" t="str">
        <f>IF(AND(NOT(U23),AND(U$4:U22)),IF($V23&lt;0,IF($V23&lt;$J23,EXP(($V23-$J23)*$G23),EXP(($J23-$V23)*$G23)),EXP(($V23-$J23)*$G23)),"")</f>
        <v/>
      </c>
      <c r="X23" s="107"/>
      <c r="Y23" s="72" t="b">
        <f>IF(AND(NOT(U23),AND(U$4:U22)),TRUE,U23)</f>
        <v>1</v>
      </c>
      <c r="Z23" s="172">
        <f>IF(AND(NOT(ISBLANK(Jumpoverwrite4)),AND(NOT(Y23),AND(Y$4:Y22))),($J23*$G23-LN(1+Jumpoverwrite4*AA$2))/$G23,_xll.qlInterpolationInterpolate(Y$3,$F23,TRUE))</f>
        <v>8.1480186978442493E-3</v>
      </c>
      <c r="AA23" s="176" t="str">
        <f>IF(AND(NOT(Y23),AND(Y$4:Y22)),IF($Z23&lt;0,IF($Z23&lt;$J23,EXP(($Z23-$J23)*$G23),EXP(($J23-$Z23)*$G23)),EXP(($Z23-$J23)*$G23)),"")</f>
        <v/>
      </c>
      <c r="AB23" s="107"/>
      <c r="AC23" s="72" t="b">
        <f>IF(AND(NOT(Y23),AND(Y$4:Y22)),TRUE,Y23)</f>
        <v>1</v>
      </c>
      <c r="AD23" s="172">
        <f>IF(AND(NOT(ISBLANK(Jumpoverwrite5)),AND(NOT(AC23),AND(AC$4:AC22))),($J23*$G23-LN(1+Jumpoverwrite5*AE$2))/$G23,_xll.qlInterpolationInterpolate(AC$3,$F23,TRUE))</f>
        <v>8.1480186978442493E-3</v>
      </c>
      <c r="AE23" s="176" t="str">
        <f>IF(AND(NOT(AC23),AND(AC$4:AC22)),IF($AD23&lt;0,IF($AD23&lt;$J23,EXP(($AD23-$J23)*$G23),EXP(($J23-$AD23)*$G23)),EXP(($AD23-$J23)*$G23)),"")</f>
        <v/>
      </c>
      <c r="AF23" s="107"/>
      <c r="AG23" s="72" t="b">
        <f>IF(AND(NOT(AC23),AND(AC$4:AC22)),TRUE,AC23)</f>
        <v>1</v>
      </c>
      <c r="AH23" s="172">
        <f>IF(AND(NOT(ISBLANK(Jumpoverwrite6)),AND(NOT(AG23),AND(AG$4:AG22))),($J23*$G23-LN(1+Jumpoverwrite6*AI$2))/$G23,_xll.qlInterpolationInterpolate(AG$3,$F23,TRUE))</f>
        <v>8.1480186978442493E-3</v>
      </c>
      <c r="AI23" s="176" t="str">
        <f>IF(AND(NOT(AG23),AND(AG$4:AG22)),IF($AH23&lt;0,IF($AH23&lt;$J23,EXP(($AH23-$J23)*$G23),EXP(($J23-$AH23)*$G23)),EXP(($AH23-$J23)*$G23)),"")</f>
        <v/>
      </c>
      <c r="AJ23" s="107"/>
      <c r="AK23" s="72" t="b">
        <f>IF(AND(NOT(AG23),AND(AG$4:AG22)),TRUE,AG23)</f>
        <v>1</v>
      </c>
      <c r="AL23" s="172">
        <f>IF(AND(NOT(ISBLANK(Jumpoverwrite7)),AND(NOT(AK23),AND(AK$4:AK22))),($J23*$G23-LN(1+Jumpoverwrite7*AM$2))/$G23,_xll.qlInterpolationInterpolate(AK$3,$F23,TRUE))</f>
        <v>8.1480186978442493E-3</v>
      </c>
      <c r="AM23" s="176" t="str">
        <f>IF(AND(NOT(AK23),AND(AK$4:AK22)),IF($AL23&lt;0,IF($AL23&lt;$J23,EXP(($AL23-$J23)*$G23),EXP(($J23-$AL23)*$G23)),EXP(($AL23-$J23)*$G23)),"")</f>
        <v/>
      </c>
      <c r="AO23" s="72" t="b">
        <f>IF(AND(NOT(AK23),AND(AK$4:AK22)),TRUE,AK23)</f>
        <v>1</v>
      </c>
      <c r="AP23" s="172">
        <f>IF(AND(NOT(ISBLANK(Jumpoverwrite8)),AND(NOT(AO23),AND(AO$4:AO22))),($J23*$G23-LN(1+Jumpoverwrite8*AQ$2))/$G23,_xll.qlInterpolationInterpolate(AO$3,$F23,TRUE))</f>
        <v>8.1480186978442493E-3</v>
      </c>
      <c r="AQ23" s="176" t="str">
        <f>IF(AND(NOT(AO23),AND(AO$4:AO22)),IF($AP23&lt;0,IF($AP23&lt;$J23,EXP(($AP23-$J23)*$G23),EXP(($J23-$AP23)*$G23)),EXP(($AP23-$J23)*$G23)),"")</f>
        <v/>
      </c>
      <c r="AS23" s="72" t="b">
        <f>IF(AND(NOT(AO23),AND(AO$4:AO22)),TRUE,AO23)</f>
        <v>1</v>
      </c>
      <c r="AT23" s="172">
        <f>IF(AND(NOT(ISBLANK(Jumpoverwrite9)),AND(NOT(AS23),AND(AS$4:AS22))),($J23*$G23-LN(1+Jumpoverwrite9*AU$2))/$G23,_xll.qlInterpolationInterpolate(AS$3,$F23,TRUE))</f>
        <v>8.1480186978442493E-3</v>
      </c>
      <c r="AU23" s="176" t="str">
        <f>IF(AND(NOT(AS23),AND(AS$4:AS22)),IF($AT23&lt;0,IF($AT23&lt;$J23,EXP(($AT23-$J23)*$G23),EXP(($J23-$AT23)*$G23)),EXP(($AT23-$J23)*$G23)),"")</f>
        <v/>
      </c>
      <c r="AW23" s="72" t="b">
        <f>IF(AND(NOT(AS23),AND(AS$4:AS22)),TRUE,AS23)</f>
        <v>1</v>
      </c>
      <c r="AX23" s="172">
        <f>IF(AND(NOT(ISBLANK(Jumpoverwrite10)),AND(NOT(AW23),AND(AW$4:AW22))),($J23*$G23-LN(1+Jumpoverwrite10*AY$2))/$G23,_xll.qlInterpolationInterpolate(AW$3,$F23,TRUE))</f>
        <v>8.1480186978442493E-3</v>
      </c>
      <c r="AY23" s="176" t="str">
        <f>IF(AND(NOT(AW23),AND(AW$4:AW22)),IF($AX23&lt;0,IF($AX23&lt;$J23,EXP(($AX23-$J23)*$G23),EXP(($J23-$AX23)*$G23)),EXP(($AX23-$J23)*$G23)),"")</f>
        <v/>
      </c>
      <c r="BA23" s="72" t="b">
        <f>IF(AND(NOT(AW23),AND(AW$4:AW22)),TRUE,AW23)</f>
        <v>1</v>
      </c>
      <c r="BB23" s="172">
        <f>IF(AND(NOT(ISBLANK(Jumpoverwrite11)),AND(NOT(BA23),AND(BA$4:BA22))),($J23*$G23-LN(1+Jumpoverwrite11*BC$2))/$G23,_xll.qlInterpolationInterpolate(BA$3,$F23,TRUE))</f>
        <v>8.1480186978442493E-3</v>
      </c>
      <c r="BC23" s="176" t="str">
        <f>IF(AND(NOT(BA23),AND(BA$4:BA22)),IF($BB23&lt;0,IF($BB23&lt;$J23,EXP(($BB23-$J23)*$G23),EXP(($J23-$BB23)*$G23)),EXP(($BB23-$J23)*$G23)),"")</f>
        <v/>
      </c>
      <c r="BE23" s="72" t="b">
        <f>IF(AND(NOT(BA23),AND(BA$4:BA22)),TRUE,BA23)</f>
        <v>1</v>
      </c>
      <c r="BF23" s="172">
        <f>IF(AND(NOT(ISBLANK(Jumpoverwrite12)),AND(NOT(BE23),AND(BE$4:BE22))),($J23*$G23-LN(1+Jumpoverwrite12*BG$2))/$G23,_xll.qlInterpolationInterpolate(BE$3,$F23,TRUE))</f>
        <v>8.1480186978442493E-3</v>
      </c>
      <c r="BG23" s="176" t="str">
        <f>IF(AND(NOT(BE23),AND(BE$4:BE22)),IF($BF23&lt;0,IF($BF23&lt;$J23,EXP(($BF23-$J23)*$G23),EXP(($J23-$BF23)*$G23)),EXP(($BF23-$J23)*$G23)),"")</f>
        <v/>
      </c>
      <c r="BI23" s="72" t="b">
        <f t="shared" si="1"/>
        <v>0</v>
      </c>
      <c r="BJ23" s="172">
        <f>IF(AND(NOT(ISBLANK(jumpoverwrite13)),AND(NOT(BI23),AND(BI$4:BI22))),($J23*$G23-LN(1+jumpoverwrite13*BK$2))/$G23,_xll.qlInterpolationInterpolate(BI$3,$F23,TRUE))</f>
        <v>9.3582400669212015E-3</v>
      </c>
      <c r="BK23" s="176" t="str">
        <f>IF(AND(NOT(BI23),AND(BI$4:BI22)),IF($BJ23&lt;0,IF($BJ23&lt;$J23,EXP(($BJ23-$J23)*$G23),EXP(($J23-$BJ23)*$G23)),EXP(($BJ23-$J23)*$G23)),"")</f>
        <v/>
      </c>
      <c r="BM23" s="72" t="b">
        <f>IF(AND(NOT(BI23),AND(BI$4:BI22)),TRUE,BI23)</f>
        <v>0</v>
      </c>
      <c r="BN23" s="172">
        <f>IF(AND(NOT(ISBLANK(Jumpoverwrite14)),AND(NOT(BM23),AND(BM$4:BM22))),($J23*$G23-LN(1+Jumpoverwrite14*BO$2))/$G23,_xll.qlInterpolationInterpolate(BM$3,$F23,TRUE))</f>
        <v>8.9435738107646549E-3</v>
      </c>
      <c r="BO23" s="176" t="str">
        <f>IF(AND(NOT(BM23),AND(BM$4:BM22)),IF($BN23&lt;0,IF($BN23&lt;$J23,EXP(($BN23-$J23)*$G23),EXP(($J23-$BN23)*$G23)),EXP(($BN23-$J23)*$G23)),"")</f>
        <v/>
      </c>
      <c r="BQ23" s="72" t="b">
        <f>IF(AND(NOT(BM23),AND(BM$4:BM22)),TRUE,BM23)</f>
        <v>0</v>
      </c>
      <c r="BR23" s="172">
        <f>IF(AND(NOT(ISBLANK(Jumpoverwrite15)),AND(NOT(BQ23),AND(BQ$4:BQ22))),($J23*$G23-LN(1+Jumpoverwrite15*BS$2))/$G23,_xll.qlInterpolationInterpolate(BQ$3,$F23,TRUE))</f>
        <v>8.1679111203710568E-3</v>
      </c>
      <c r="BS23" s="176" t="str">
        <f>IF(AND(NOT(BQ23),AND(BQ$4:BQ22)),IF($BN23&lt;0,IF($BN23&lt;$J23,EXP(($BN23-$J23)*$G23),EXP(($J23-$BN23)*$G23)),EXP(($BN23-$J23)*$G23)),"")</f>
        <v/>
      </c>
    </row>
    <row r="24" spans="1:71" x14ac:dyDescent="0.2">
      <c r="A24" s="33" t="e">
        <v>#N/A</v>
      </c>
      <c r="B24" s="17" t="e">
        <f>_xll.qlRateHelperRate($A24,InterestRatesTrigger)</f>
        <v>#VALUE!</v>
      </c>
      <c r="C24" s="18" t="e">
        <f>_xll.qlRateHelperEarliestDate($A24)</f>
        <v>#VALUE!</v>
      </c>
      <c r="D24" s="19" t="e">
        <f>_xll.qlRateHelperPillarDate($A24)</f>
        <v>#VALUE!</v>
      </c>
      <c r="F24" s="84" t="e">
        <f t="shared" si="0"/>
        <v>#N/A</v>
      </c>
      <c r="G24" s="85" t="e">
        <f>_xll.qlDayCounterYearFraction(DayCounter,D23,D24)</f>
        <v>#NUM!</v>
      </c>
      <c r="I24" s="93" t="b">
        <f t="shared" si="2"/>
        <v>0</v>
      </c>
      <c r="J24" s="37" t="e">
        <v>#N/A</v>
      </c>
      <c r="K24" s="94" t="e">
        <f t="shared" si="3"/>
        <v>#VALUE!</v>
      </c>
      <c r="L24" s="75"/>
      <c r="M24" s="72" t="b">
        <f>IF(AND(NOT(I24),AND(I$4:I23)),TRUE,I24)</f>
        <v>0</v>
      </c>
      <c r="N24" s="172" t="e">
        <f>IF(AND(NOT(ISBLANK(Jumpoverwrite1)),AND(NOT(M24),AND(M$4:M23))),($J24*$G24-LN(1+Jumpoverwrite1*O$2))/$G24,_xll.qlInterpolationInterpolate(M$3,$F24,TRUE))</f>
        <v>#NUM!</v>
      </c>
      <c r="O24" s="34" t="str">
        <f>IF(AND(NOT(M24),AND(M$4:M23)),IF($N24&lt;0,IF($N24&lt;$J24,EXP(($N24-$J24)*$G24),EXP(($J24-$N24)*$G24)),EXP(($N24-$J24)*$G24)),"")</f>
        <v/>
      </c>
      <c r="P24" s="107"/>
      <c r="Q24" s="72" t="b">
        <f>IF(AND(NOT(M24),AND(M$4:M23)),TRUE,M24)</f>
        <v>0</v>
      </c>
      <c r="R24" s="172" t="e">
        <f>IF(AND(NOT(ISBLANK(Jumpoverwrite2)),AND(NOT(Q24),AND(Q$4:Q23))),($J24*$G24-LN(1+Jumpoverwrite2*S$2))/$G24,_xll.qlInterpolationInterpolate(Q$3,$F24,TRUE))</f>
        <v>#NUM!</v>
      </c>
      <c r="S24" s="176" t="str">
        <f>IF(AND(NOT(Q24),AND(Q$4:Q23)),IF($R24&lt;0,IF($R24&lt;$J24,EXP(($R24-$J24)*$G24),EXP(($J24-$R24)*$G24)),EXP(($R24-$J24)*$G24)),"")</f>
        <v/>
      </c>
      <c r="T24" s="107"/>
      <c r="U24" s="72" t="b">
        <f>IF(AND(NOT(Q24),AND(Q$4:Q23)),TRUE,Q24)</f>
        <v>0</v>
      </c>
      <c r="V24" s="172" t="e">
        <f>IF(AND(NOT(ISBLANK(Jumpoverwrite3)),AND(NOT(U24),AND(U$4:U23))),($J24*$G24-LN(1+Jumpoverwrite3*W$2))/$G24,_xll.qlInterpolationInterpolate(U$3,$F24,TRUE))</f>
        <v>#NUM!</v>
      </c>
      <c r="W24" s="176" t="str">
        <f>IF(AND(NOT(U24),AND(U$4:U23)),IF($V24&lt;0,IF($V24&lt;$J24,EXP(($V24-$J24)*$G24),EXP(($J24-$V24)*$G24)),EXP(($V24-$J24)*$G24)),"")</f>
        <v/>
      </c>
      <c r="X24" s="107"/>
      <c r="Y24" s="72" t="b">
        <f>IF(AND(NOT(U24),AND(U$4:U23)),TRUE,U24)</f>
        <v>0</v>
      </c>
      <c r="Z24" s="172" t="e">
        <f>IF(AND(NOT(ISBLANK(Jumpoverwrite4)),AND(NOT(Y24),AND(Y$4:Y23))),($J24*$G24-LN(1+Jumpoverwrite4*AA$2))/$G24,_xll.qlInterpolationInterpolate(Y$3,$F24,TRUE))</f>
        <v>#NUM!</v>
      </c>
      <c r="AA24" s="176" t="str">
        <f>IF(AND(NOT(Y24),AND(Y$4:Y23)),IF($Z24&lt;0,IF($Z24&lt;$J24,EXP(($Z24-$J24)*$G24),EXP(($J24-$Z24)*$G24)),EXP(($Z24-$J24)*$G24)),"")</f>
        <v/>
      </c>
      <c r="AB24" s="107"/>
      <c r="AC24" s="72" t="b">
        <f>IF(AND(NOT(Y24),AND(Y$4:Y23)),TRUE,Y24)</f>
        <v>0</v>
      </c>
      <c r="AD24" s="172" t="e">
        <f>IF(AND(NOT(ISBLANK(Jumpoverwrite5)),AND(NOT(AC24),AND(AC$4:AC23))),($J24*$G24-LN(1+Jumpoverwrite5*AE$2))/$G24,_xll.qlInterpolationInterpolate(AC$3,$F24,TRUE))</f>
        <v>#NUM!</v>
      </c>
      <c r="AE24" s="176" t="str">
        <f>IF(AND(NOT(AC24),AND(AC$4:AC23)),IF($AD24&lt;0,IF($AD24&lt;$J24,EXP(($AD24-$J24)*$G24),EXP(($J24-$AD24)*$G24)),EXP(($AD24-$J24)*$G24)),"")</f>
        <v/>
      </c>
      <c r="AF24" s="107"/>
      <c r="AG24" s="72" t="b">
        <f>IF(AND(NOT(AC24),AND(AC$4:AC23)),TRUE,AC24)</f>
        <v>0</v>
      </c>
      <c r="AH24" s="172" t="e">
        <f>IF(AND(NOT(ISBLANK(Jumpoverwrite6)),AND(NOT(AG24),AND(AG$4:AG23))),($J24*$G24-LN(1+Jumpoverwrite6*AI$2))/$G24,_xll.qlInterpolationInterpolate(AG$3,$F24,TRUE))</f>
        <v>#NUM!</v>
      </c>
      <c r="AI24" s="176" t="str">
        <f>IF(AND(NOT(AG24),AND(AG$4:AG23)),IF($AH24&lt;0,IF($AH24&lt;$J24,EXP(($AH24-$J24)*$G24),EXP(($J24-$AH24)*$G24)),EXP(($AH24-$J24)*$G24)),"")</f>
        <v/>
      </c>
      <c r="AJ24" s="107"/>
      <c r="AK24" s="72" t="b">
        <f>IF(AND(NOT(AG24),AND(AG$4:AG23)),TRUE,AG24)</f>
        <v>0</v>
      </c>
      <c r="AL24" s="172" t="e">
        <f>IF(AND(NOT(ISBLANK(Jumpoverwrite7)),AND(NOT(AK24),AND(AK$4:AK23))),($J24*$G24-LN(1+Jumpoverwrite7*AM$2))/$G24,_xll.qlInterpolationInterpolate(AK$3,$F24,TRUE))</f>
        <v>#NUM!</v>
      </c>
      <c r="AM24" s="176" t="str">
        <f>IF(AND(NOT(AK24),AND(AK$4:AK23)),IF($AL24&lt;0,IF($AL24&lt;$J24,EXP(($AL24-$J24)*$G24),EXP(($J24-$AL24)*$G24)),EXP(($AL24-$J24)*$G24)),"")</f>
        <v/>
      </c>
      <c r="AO24" s="72" t="b">
        <f>IF(AND(NOT(AK24),AND(AK$4:AK23)),TRUE,AK24)</f>
        <v>0</v>
      </c>
      <c r="AP24" s="172" t="e">
        <f>IF(AND(NOT(ISBLANK(Jumpoverwrite8)),AND(NOT(AO24),AND(AO$4:AO23))),($J24*$G24-LN(1+Jumpoverwrite8*AQ$2))/$G24,_xll.qlInterpolationInterpolate(AO$3,$F24,TRUE))</f>
        <v>#NUM!</v>
      </c>
      <c r="AQ24" s="176" t="str">
        <f>IF(AND(NOT(AO24),AND(AO$4:AO23)),IF($AP24&lt;0,IF($AP24&lt;$J24,EXP(($AP24-$J24)*$G24),EXP(($J24-$AP24)*$G24)),EXP(($AP24-$J24)*$G24)),"")</f>
        <v/>
      </c>
      <c r="AS24" s="72" t="b">
        <f>IF(AND(NOT(AO24),AND(AO$4:AO23)),TRUE,AO24)</f>
        <v>0</v>
      </c>
      <c r="AT24" s="172" t="e">
        <f>IF(AND(NOT(ISBLANK(Jumpoverwrite9)),AND(NOT(AS24),AND(AS$4:AS23))),($J24*$G24-LN(1+Jumpoverwrite9*AU$2))/$G24,_xll.qlInterpolationInterpolate(AS$3,$F24,TRUE))</f>
        <v>#NUM!</v>
      </c>
      <c r="AU24" s="176" t="str">
        <f>IF(AND(NOT(AS24),AND(AS$4:AS23)),IF($AT24&lt;0,IF($AT24&lt;$J24,EXP(($AT24-$J24)*$G24),EXP(($J24-$AT24)*$G24)),EXP(($AT24-$J24)*$G24)),"")</f>
        <v/>
      </c>
      <c r="AW24" s="72" t="b">
        <f>IF(AND(NOT(AS24),AND(AS$4:AS23)),TRUE,AS24)</f>
        <v>0</v>
      </c>
      <c r="AX24" s="172" t="e">
        <f>IF(AND(NOT(ISBLANK(Jumpoverwrite10)),AND(NOT(AW24),AND(AW$4:AW23))),($J24*$G24-LN(1+Jumpoverwrite10*AY$2))/$G24,_xll.qlInterpolationInterpolate(AW$3,$F24,TRUE))</f>
        <v>#NUM!</v>
      </c>
      <c r="AY24" s="176" t="str">
        <f>IF(AND(NOT(AW24),AND(AW$4:AW23)),IF($AX24&lt;0,IF($AX24&lt;$J24,EXP(($AX24-$J24)*$G24),EXP(($J24-$AX24)*$G24)),EXP(($AX24-$J24)*$G24)),"")</f>
        <v/>
      </c>
      <c r="BA24" s="72" t="b">
        <f>IF(AND(NOT(AW24),AND(AW$4:AW23)),TRUE,AW24)</f>
        <v>0</v>
      </c>
      <c r="BB24" s="172" t="e">
        <f>IF(AND(NOT(ISBLANK(Jumpoverwrite11)),AND(NOT(BA24),AND(BA$4:BA23))),($J24*$G24-LN(1+Jumpoverwrite11*BC$2))/$G24,_xll.qlInterpolationInterpolate(BA$3,$F24,TRUE))</f>
        <v>#NUM!</v>
      </c>
      <c r="BC24" s="176" t="str">
        <f>IF(AND(NOT(BA24),AND(BA$4:BA23)),IF($BB24&lt;0,IF($BB24&lt;$J24,EXP(($BB24-$J24)*$G24),EXP(($J24-$BB24)*$G24)),EXP(($BB24-$J24)*$G24)),"")</f>
        <v/>
      </c>
      <c r="BE24" s="72" t="b">
        <f>IF(AND(NOT(BA24),AND(BA$4:BA23)),TRUE,BA24)</f>
        <v>0</v>
      </c>
      <c r="BF24" s="172" t="e">
        <f>IF(AND(NOT(ISBLANK(Jumpoverwrite12)),AND(NOT(BE24),AND(BE$4:BE23))),($J24*$G24-LN(1+Jumpoverwrite12*BG$2))/$G24,_xll.qlInterpolationInterpolate(BE$3,$F24,TRUE))</f>
        <v>#NUM!</v>
      </c>
      <c r="BG24" s="176" t="str">
        <f>IF(AND(NOT(BE24),AND(BE$4:BE23)),IF($BF24&lt;0,IF($BF24&lt;$J24,EXP(($BF24-$J24)*$G24),EXP(($J24-$BF24)*$G24)),EXP(($BF24-$J24)*$G24)),"")</f>
        <v/>
      </c>
      <c r="BI24" s="72" t="b">
        <f t="shared" si="1"/>
        <v>0</v>
      </c>
      <c r="BJ24" s="172" t="e">
        <f>IF(AND(NOT(ISBLANK(jumpoverwrite13)),AND(NOT(BI24),AND(BI$4:BI23))),($J24*$G24-LN(1+jumpoverwrite13*BK$2))/$G24,_xll.qlInterpolationInterpolate(BI$3,$F24,TRUE))</f>
        <v>#NUM!</v>
      </c>
      <c r="BK24" s="176" t="str">
        <f>IF(AND(NOT(BI24),AND(BI$4:BI23)),IF($BJ24&lt;0,IF($BJ24&lt;$J24,EXP(($BJ24-$J24)*$G24),EXP(($J24-$BJ24)*$G24)),EXP(($BJ24-$J24)*$G24)),"")</f>
        <v/>
      </c>
      <c r="BM24" s="72" t="b">
        <f>IF(AND(NOT(BI24),AND(BI$4:BI23)),TRUE,BI24)</f>
        <v>0</v>
      </c>
      <c r="BN24" s="172" t="e">
        <f>IF(AND(NOT(ISBLANK(Jumpoverwrite14)),AND(NOT(BM24),AND(BM$4:BM23))),($J24*$G24-LN(1+Jumpoverwrite14*BO$2))/$G24,_xll.qlInterpolationInterpolate(BM$3,$F24,TRUE))</f>
        <v>#NUM!</v>
      </c>
      <c r="BO24" s="176" t="str">
        <f>IF(AND(NOT(BM24),AND(BM$4:BM23)),IF($BN24&lt;0,IF($BN24&lt;$J24,EXP(($BN24-$J24)*$G24),EXP(($J24-$BN24)*$G24)),EXP(($BN24-$J24)*$G24)),"")</f>
        <v/>
      </c>
      <c r="BQ24" s="72" t="b">
        <f>IF(AND(NOT(BM24),AND(BM$4:BM23)),TRUE,BM24)</f>
        <v>0</v>
      </c>
      <c r="BR24" s="172" t="e">
        <f>IF(AND(NOT(ISBLANK(Jumpoverwrite15)),AND(NOT(BQ24),AND(BQ$4:BQ23))),($J24*$G24-LN(1+Jumpoverwrite15*BS$2))/$G24,_xll.qlInterpolationInterpolate(BQ$3,$F24,TRUE))</f>
        <v>#NUM!</v>
      </c>
      <c r="BS24" s="176" t="str">
        <f>IF(AND(NOT(BQ24),AND(BQ$4:BQ23)),IF($BN24&lt;0,IF($BN24&lt;$J24,EXP(($BN24-$J24)*$G24),EXP(($J24-$BN24)*$G24)),EXP(($BN24-$J24)*$G24)),"")</f>
        <v/>
      </c>
    </row>
    <row r="25" spans="1:71" x14ac:dyDescent="0.2">
      <c r="A25" s="33" t="e">
        <v>#N/A</v>
      </c>
      <c r="B25" s="17" t="e">
        <f>_xll.qlRateHelperRate($A25,InterestRatesTrigger)</f>
        <v>#VALUE!</v>
      </c>
      <c r="C25" s="18" t="e">
        <f>_xll.qlRateHelperEarliestDate($A25)</f>
        <v>#VALUE!</v>
      </c>
      <c r="D25" s="19" t="e">
        <f>_xll.qlRateHelperPillarDate($A25)</f>
        <v>#VALUE!</v>
      </c>
      <c r="F25" s="84" t="e">
        <f t="shared" si="0"/>
        <v>#N/A</v>
      </c>
      <c r="G25" s="85" t="e">
        <f>_xll.qlDayCounterYearFraction(DayCounter,D24,D25)</f>
        <v>#NUM!</v>
      </c>
      <c r="I25" s="93" t="b">
        <f t="shared" si="2"/>
        <v>0</v>
      </c>
      <c r="J25" s="37" t="e">
        <v>#N/A</v>
      </c>
      <c r="K25" s="94" t="e">
        <f t="shared" si="3"/>
        <v>#VALUE!</v>
      </c>
      <c r="L25" s="75"/>
      <c r="M25" s="72" t="b">
        <f>IF(AND(NOT(I25),AND(I$4:I24)),TRUE,I25)</f>
        <v>0</v>
      </c>
      <c r="N25" s="172" t="e">
        <f>IF(AND(NOT(ISBLANK(Jumpoverwrite1)),AND(NOT(M25),AND(M$4:M24))),($J25*$G25-LN(1+Jumpoverwrite1*O$2))/$G25,_xll.qlInterpolationInterpolate(M$3,$F25,TRUE))</f>
        <v>#NUM!</v>
      </c>
      <c r="O25" s="34" t="str">
        <f>IF(AND(NOT(M25),AND(M$4:M24)),IF($N25&lt;0,IF($N25&lt;$J25,EXP(($N25-$J25)*$G25),EXP(($J25-$N25)*$G25)),EXP(($N25-$J25)*$G25)),"")</f>
        <v/>
      </c>
      <c r="P25" s="107"/>
      <c r="Q25" s="72" t="b">
        <f>IF(AND(NOT(M25),AND(M$4:M24)),TRUE,M25)</f>
        <v>0</v>
      </c>
      <c r="R25" s="172" t="e">
        <f>IF(AND(NOT(ISBLANK(Jumpoverwrite2)),AND(NOT(Q25),AND(Q$4:Q24))),($J25*$G25-LN(1+Jumpoverwrite2*S$2))/$G25,_xll.qlInterpolationInterpolate(Q$3,$F25,TRUE))</f>
        <v>#NUM!</v>
      </c>
      <c r="S25" s="176" t="str">
        <f>IF(AND(NOT(Q25),AND(Q$4:Q24)),IF($R25&lt;0,IF($R25&lt;$J25,EXP(($R25-$J25)*$G25),EXP(($J25-$R25)*$G25)),EXP(($R25-$J25)*$G25)),"")</f>
        <v/>
      </c>
      <c r="T25" s="107"/>
      <c r="U25" s="72" t="b">
        <f>IF(AND(NOT(Q25),AND(Q$4:Q24)),TRUE,Q25)</f>
        <v>0</v>
      </c>
      <c r="V25" s="172" t="e">
        <f>IF(AND(NOT(ISBLANK(Jumpoverwrite3)),AND(NOT(U25),AND(U$4:U24))),($J25*$G25-LN(1+Jumpoverwrite3*W$2))/$G25,_xll.qlInterpolationInterpolate(U$3,$F25,TRUE))</f>
        <v>#NUM!</v>
      </c>
      <c r="W25" s="176" t="str">
        <f>IF(AND(NOT(U25),AND(U$4:U24)),IF($V25&lt;0,IF($V25&lt;$J25,EXP(($V25-$J25)*$G25),EXP(($J25-$V25)*$G25)),EXP(($V25-$J25)*$G25)),"")</f>
        <v/>
      </c>
      <c r="X25" s="107"/>
      <c r="Y25" s="72" t="b">
        <f>IF(AND(NOT(U25),AND(U$4:U24)),TRUE,U25)</f>
        <v>0</v>
      </c>
      <c r="Z25" s="172" t="e">
        <f>IF(AND(NOT(ISBLANK(Jumpoverwrite4)),AND(NOT(Y25),AND(Y$4:Y24))),($J25*$G25-LN(1+Jumpoverwrite4*AA$2))/$G25,_xll.qlInterpolationInterpolate(Y$3,$F25,TRUE))</f>
        <v>#NUM!</v>
      </c>
      <c r="AA25" s="176" t="str">
        <f>IF(AND(NOT(Y25),AND(Y$4:Y24)),IF($Z25&lt;0,IF($Z25&lt;$J25,EXP(($Z25-$J25)*$G25),EXP(($J25-$Z25)*$G25)),EXP(($Z25-$J25)*$G25)),"")</f>
        <v/>
      </c>
      <c r="AB25" s="107"/>
      <c r="AC25" s="72" t="b">
        <f>IF(AND(NOT(Y25),AND(Y$4:Y24)),TRUE,Y25)</f>
        <v>0</v>
      </c>
      <c r="AD25" s="172" t="e">
        <f>IF(AND(NOT(ISBLANK(Jumpoverwrite5)),AND(NOT(AC25),AND(AC$4:AC24))),($J25*$G25-LN(1+Jumpoverwrite5*AE$2))/$G25,_xll.qlInterpolationInterpolate(AC$3,$F25,TRUE))</f>
        <v>#NUM!</v>
      </c>
      <c r="AE25" s="176" t="str">
        <f>IF(AND(NOT(AC25),AND(AC$4:AC24)),IF($AD25&lt;0,IF($AD25&lt;$J25,EXP(($AD25-$J25)*$G25),EXP(($J25-$AD25)*$G25)),EXP(($AD25-$J25)*$G25)),"")</f>
        <v/>
      </c>
      <c r="AF25" s="107"/>
      <c r="AG25" s="72" t="b">
        <f>IF(AND(NOT(AC25),AND(AC$4:AC24)),TRUE,AC25)</f>
        <v>0</v>
      </c>
      <c r="AH25" s="172" t="e">
        <f>IF(AND(NOT(ISBLANK(Jumpoverwrite6)),AND(NOT(AG25),AND(AG$4:AG24))),($J25*$G25-LN(1+Jumpoverwrite6*AI$2))/$G25,_xll.qlInterpolationInterpolate(AG$3,$F25,TRUE))</f>
        <v>#NUM!</v>
      </c>
      <c r="AI25" s="176" t="str">
        <f>IF(AND(NOT(AG25),AND(AG$4:AG24)),IF($AH25&lt;0,IF($AH25&lt;$J25,EXP(($AH25-$J25)*$G25),EXP(($J25-$AH25)*$G25)),EXP(($AH25-$J25)*$G25)),"")</f>
        <v/>
      </c>
      <c r="AJ25" s="107"/>
      <c r="AK25" s="72" t="b">
        <f>IF(AND(NOT(AG25),AND(AG$4:AG24)),TRUE,AG25)</f>
        <v>0</v>
      </c>
      <c r="AL25" s="172" t="e">
        <f>IF(AND(NOT(ISBLANK(Jumpoverwrite7)),AND(NOT(AK25),AND(AK$4:AK24))),($J25*$G25-LN(1+Jumpoverwrite7*AM$2))/$G25,_xll.qlInterpolationInterpolate(AK$3,$F25,TRUE))</f>
        <v>#NUM!</v>
      </c>
      <c r="AM25" s="176" t="str">
        <f>IF(AND(NOT(AK25),AND(AK$4:AK24)),IF($AL25&lt;0,IF($AL25&lt;$J25,EXP(($AL25-$J25)*$G25),EXP(($J25-$AL25)*$G25)),EXP(($AL25-$J25)*$G25)),"")</f>
        <v/>
      </c>
      <c r="AO25" s="72" t="b">
        <f>IF(AND(NOT(AK25),AND(AK$4:AK24)),TRUE,AK25)</f>
        <v>0</v>
      </c>
      <c r="AP25" s="172" t="e">
        <f>IF(AND(NOT(ISBLANK(Jumpoverwrite8)),AND(NOT(AO25),AND(AO$4:AO24))),($J25*$G25-LN(1+Jumpoverwrite8*AQ$2))/$G25,_xll.qlInterpolationInterpolate(AO$3,$F25,TRUE))</f>
        <v>#NUM!</v>
      </c>
      <c r="AQ25" s="176" t="str">
        <f>IF(AND(NOT(AO25),AND(AO$4:AO24)),IF($AP25&lt;0,IF($AP25&lt;$J25,EXP(($AP25-$J25)*$G25),EXP(($J25-$AP25)*$G25)),EXP(($AP25-$J25)*$G25)),"")</f>
        <v/>
      </c>
      <c r="AS25" s="72" t="b">
        <f>IF(AND(NOT(AO25),AND(AO$4:AO24)),TRUE,AO25)</f>
        <v>0</v>
      </c>
      <c r="AT25" s="172" t="e">
        <f>IF(AND(NOT(ISBLANK(Jumpoverwrite9)),AND(NOT(AS25),AND(AS$4:AS24))),($J25*$G25-LN(1+Jumpoverwrite9*AU$2))/$G25,_xll.qlInterpolationInterpolate(AS$3,$F25,TRUE))</f>
        <v>#NUM!</v>
      </c>
      <c r="AU25" s="176" t="str">
        <f>IF(AND(NOT(AS25),AND(AS$4:AS24)),IF($AT25&lt;0,IF($AT25&lt;$J25,EXP(($AT25-$J25)*$G25),EXP(($J25-$AT25)*$G25)),EXP(($AT25-$J25)*$G25)),"")</f>
        <v/>
      </c>
      <c r="AW25" s="72" t="b">
        <f>IF(AND(NOT(AS25),AND(AS$4:AS24)),TRUE,AS25)</f>
        <v>0</v>
      </c>
      <c r="AX25" s="172" t="e">
        <f>IF(AND(NOT(ISBLANK(Jumpoverwrite10)),AND(NOT(AW25),AND(AW$4:AW24))),($J25*$G25-LN(1+Jumpoverwrite10*AY$2))/$G25,_xll.qlInterpolationInterpolate(AW$3,$F25,TRUE))</f>
        <v>#NUM!</v>
      </c>
      <c r="AY25" s="176" t="str">
        <f>IF(AND(NOT(AW25),AND(AW$4:AW24)),IF($AX25&lt;0,IF($AX25&lt;$J25,EXP(($AX25-$J25)*$G25),EXP(($J25-$AX25)*$G25)),EXP(($AX25-$J25)*$G25)),"")</f>
        <v/>
      </c>
      <c r="BA25" s="72" t="b">
        <f>IF(AND(NOT(AW25),AND(AW$4:AW24)),TRUE,AW25)</f>
        <v>0</v>
      </c>
      <c r="BB25" s="172" t="e">
        <f>IF(AND(NOT(ISBLANK(Jumpoverwrite11)),AND(NOT(BA25),AND(BA$4:BA24))),($J25*$G25-LN(1+Jumpoverwrite11*BC$2))/$G25,_xll.qlInterpolationInterpolate(BA$3,$F25,TRUE))</f>
        <v>#NUM!</v>
      </c>
      <c r="BC25" s="176" t="str">
        <f>IF(AND(NOT(BA25),AND(BA$4:BA24)),IF($BB25&lt;0,IF($BB25&lt;$J25,EXP(($BB25-$J25)*$G25),EXP(($J25-$BB25)*$G25)),EXP(($BB25-$J25)*$G25)),"")</f>
        <v/>
      </c>
      <c r="BE25" s="72" t="b">
        <f>IF(AND(NOT(BA25),AND(BA$4:BA24)),TRUE,BA25)</f>
        <v>0</v>
      </c>
      <c r="BF25" s="172" t="e">
        <f>IF(AND(NOT(ISBLANK(Jumpoverwrite12)),AND(NOT(BE25),AND(BE$4:BE24))),($J25*$G25-LN(1+Jumpoverwrite12*BG$2))/$G25,_xll.qlInterpolationInterpolate(BE$3,$F25,TRUE))</f>
        <v>#NUM!</v>
      </c>
      <c r="BG25" s="176" t="str">
        <f>IF(AND(NOT(BE25),AND(BE$4:BE24)),IF($BF25&lt;0,IF($BF25&lt;$J25,EXP(($BF25-$J25)*$G25),EXP(($J25-$BF25)*$G25)),EXP(($BF25-$J25)*$G25)),"")</f>
        <v/>
      </c>
      <c r="BI25" s="72" t="b">
        <f t="shared" si="1"/>
        <v>0</v>
      </c>
      <c r="BJ25" s="172" t="e">
        <f>IF(AND(NOT(ISBLANK(jumpoverwrite13)),AND(NOT(BI25),AND(BI$4:BI24))),($J25*$G25-LN(1+jumpoverwrite13*BK$2))/$G25,_xll.qlInterpolationInterpolate(BI$3,$F25,TRUE))</f>
        <v>#NUM!</v>
      </c>
      <c r="BK25" s="176" t="str">
        <f>IF(AND(NOT(BI25),AND(BI$4:BI24)),IF($BJ25&lt;0,IF($BJ25&lt;$J25,EXP(($BJ25-$J25)*$G25),EXP(($J25-$BJ25)*$G25)),EXP(($BJ25-$J25)*$G25)),"")</f>
        <v/>
      </c>
      <c r="BM25" s="72" t="b">
        <f>IF(AND(NOT(BI25),AND(BI$4:BI24)),TRUE,BI25)</f>
        <v>0</v>
      </c>
      <c r="BN25" s="172" t="e">
        <f>IF(AND(NOT(ISBLANK(Jumpoverwrite14)),AND(NOT(BM25),AND(BM$4:BM24))),($J25*$G25-LN(1+Jumpoverwrite14*BO$2))/$G25,_xll.qlInterpolationInterpolate(BM$3,$F25,TRUE))</f>
        <v>#NUM!</v>
      </c>
      <c r="BO25" s="176" t="str">
        <f>IF(AND(NOT(BM25),AND(BM$4:BM24)),IF($BN25&lt;0,IF($BN25&lt;$J25,EXP(($BN25-$J25)*$G25),EXP(($J25-$BN25)*$G25)),EXP(($BN25-$J25)*$G25)),"")</f>
        <v/>
      </c>
      <c r="BQ25" s="72" t="b">
        <f>IF(AND(NOT(BM25),AND(BM$4:BM24)),TRUE,BM25)</f>
        <v>0</v>
      </c>
      <c r="BR25" s="172" t="e">
        <f>IF(AND(NOT(ISBLANK(Jumpoverwrite15)),AND(NOT(BQ25),AND(BQ$4:BQ24))),($J25*$G25-LN(1+Jumpoverwrite15*BS$2))/$G25,_xll.qlInterpolationInterpolate(BQ$3,$F25,TRUE))</f>
        <v>#NUM!</v>
      </c>
      <c r="BS25" s="176" t="str">
        <f>IF(AND(NOT(BQ25),AND(BQ$4:BQ24)),IF($BN25&lt;0,IF($BN25&lt;$J25,EXP(($BN25-$J25)*$G25),EXP(($J25-$BN25)*$G25)),EXP(($BN25-$J25)*$G25)),"")</f>
        <v/>
      </c>
    </row>
    <row r="26" spans="1:71" x14ac:dyDescent="0.2">
      <c r="A26" s="33" t="e">
        <v>#N/A</v>
      </c>
      <c r="B26" s="17" t="e">
        <f>_xll.qlRateHelperRate($A26,InterestRatesTrigger)</f>
        <v>#VALUE!</v>
      </c>
      <c r="C26" s="18" t="e">
        <f>_xll.qlRateHelperEarliestDate($A26)</f>
        <v>#VALUE!</v>
      </c>
      <c r="D26" s="19" t="e">
        <f>_xll.qlRateHelperPillarDate($A26)</f>
        <v>#VALUE!</v>
      </c>
      <c r="F26" s="84" t="e">
        <f t="shared" si="0"/>
        <v>#N/A</v>
      </c>
      <c r="G26" s="85" t="e">
        <f>_xll.qlDayCounterYearFraction(DayCounter,D25,D26)</f>
        <v>#NUM!</v>
      </c>
      <c r="I26" s="93" t="b">
        <f t="shared" si="2"/>
        <v>0</v>
      </c>
      <c r="J26" s="37" t="e">
        <v>#N/A</v>
      </c>
      <c r="K26" s="94" t="e">
        <f t="shared" si="3"/>
        <v>#VALUE!</v>
      </c>
      <c r="L26" s="75"/>
      <c r="M26" s="72" t="b">
        <f>IF(AND(NOT(I26),AND(I$4:I25)),TRUE,I26)</f>
        <v>0</v>
      </c>
      <c r="N26" s="172" t="e">
        <f>IF(AND(NOT(ISBLANK(Jumpoverwrite1)),AND(NOT(M26),AND(M$4:M25))),($J26*$G26-LN(1+Jumpoverwrite1*O$2))/$G26,_xll.qlInterpolationInterpolate(M$3,$F26,TRUE))</f>
        <v>#NUM!</v>
      </c>
      <c r="O26" s="34" t="str">
        <f>IF(AND(NOT(M26),AND(M$4:M25)),IF($N26&lt;0,IF($N26&lt;$J26,EXP(($N26-$J26)*$G26),EXP(($J26-$N26)*$G26)),EXP(($N26-$J26)*$G26)),"")</f>
        <v/>
      </c>
      <c r="P26" s="107"/>
      <c r="Q26" s="72" t="b">
        <f>IF(AND(NOT(M26),AND(M$4:M25)),TRUE,M26)</f>
        <v>0</v>
      </c>
      <c r="R26" s="172" t="e">
        <f>IF(AND(NOT(ISBLANK(Jumpoverwrite2)),AND(NOT(Q26),AND(Q$4:Q25))),($J26*$G26-LN(1+Jumpoverwrite2*S$2))/$G26,_xll.qlInterpolationInterpolate(Q$3,$F26,TRUE))</f>
        <v>#NUM!</v>
      </c>
      <c r="S26" s="176" t="str">
        <f>IF(AND(NOT(Q26),AND(Q$4:Q25)),IF($R26&lt;0,IF($R26&lt;$J26,EXP(($R26-$J26)*$G26),EXP(($J26-$R26)*$G26)),EXP(($R26-$J26)*$G26)),"")</f>
        <v/>
      </c>
      <c r="T26" s="107"/>
      <c r="U26" s="72" t="b">
        <f>IF(AND(NOT(Q26),AND(Q$4:Q25)),TRUE,Q26)</f>
        <v>0</v>
      </c>
      <c r="V26" s="172" t="e">
        <f>IF(AND(NOT(ISBLANK(Jumpoverwrite3)),AND(NOT(U26),AND(U$4:U25))),($J26*$G26-LN(1+Jumpoverwrite3*W$2))/$G26,_xll.qlInterpolationInterpolate(U$3,$F26,TRUE))</f>
        <v>#NUM!</v>
      </c>
      <c r="W26" s="176" t="str">
        <f>IF(AND(NOT(U26),AND(U$4:U25)),IF($V26&lt;0,IF($V26&lt;$J26,EXP(($V26-$J26)*$G26),EXP(($J26-$V26)*$G26)),EXP(($V26-$J26)*$G26)),"")</f>
        <v/>
      </c>
      <c r="X26" s="107"/>
      <c r="Y26" s="72" t="b">
        <f>IF(AND(NOT(U26),AND(U$4:U25)),TRUE,U26)</f>
        <v>0</v>
      </c>
      <c r="Z26" s="172" t="e">
        <f>IF(AND(NOT(ISBLANK(Jumpoverwrite4)),AND(NOT(Y26),AND(Y$4:Y25))),($J26*$G26-LN(1+Jumpoverwrite4*AA$2))/$G26,_xll.qlInterpolationInterpolate(Y$3,$F26,TRUE))</f>
        <v>#NUM!</v>
      </c>
      <c r="AA26" s="176" t="str">
        <f>IF(AND(NOT(Y26),AND(Y$4:Y25)),IF($Z26&lt;0,IF($Z26&lt;$J26,EXP(($Z26-$J26)*$G26),EXP(($J26-$Z26)*$G26)),EXP(($Z26-$J26)*$G26)),"")</f>
        <v/>
      </c>
      <c r="AB26" s="107"/>
      <c r="AC26" s="72" t="b">
        <f>IF(AND(NOT(Y26),AND(Y$4:Y25)),TRUE,Y26)</f>
        <v>0</v>
      </c>
      <c r="AD26" s="172" t="e">
        <f>IF(AND(NOT(ISBLANK(Jumpoverwrite5)),AND(NOT(AC26),AND(AC$4:AC25))),($J26*$G26-LN(1+Jumpoverwrite5*AE$2))/$G26,_xll.qlInterpolationInterpolate(AC$3,$F26,TRUE))</f>
        <v>#NUM!</v>
      </c>
      <c r="AE26" s="176" t="str">
        <f>IF(AND(NOT(AC26),AND(AC$4:AC25)),IF($AD26&lt;0,IF($AD26&lt;$J26,EXP(($AD26-$J26)*$G26),EXP(($J26-$AD26)*$G26)),EXP(($AD26-$J26)*$G26)),"")</f>
        <v/>
      </c>
      <c r="AF26" s="107"/>
      <c r="AG26" s="72" t="b">
        <f>IF(AND(NOT(AC26),AND(AC$4:AC25)),TRUE,AC26)</f>
        <v>0</v>
      </c>
      <c r="AH26" s="172" t="e">
        <f>IF(AND(NOT(ISBLANK(Jumpoverwrite6)),AND(NOT(AG26),AND(AG$4:AG25))),($J26*$G26-LN(1+Jumpoverwrite6*AI$2))/$G26,_xll.qlInterpolationInterpolate(AG$3,$F26,TRUE))</f>
        <v>#NUM!</v>
      </c>
      <c r="AI26" s="176" t="str">
        <f>IF(AND(NOT(AG26),AND(AG$4:AG25)),IF($AH26&lt;0,IF($AH26&lt;$J26,EXP(($AH26-$J26)*$G26),EXP(($J26-$AH26)*$G26)),EXP(($AH26-$J26)*$G26)),"")</f>
        <v/>
      </c>
      <c r="AJ26" s="107"/>
      <c r="AK26" s="72" t="b">
        <f>IF(AND(NOT(AG26),AND(AG$4:AG25)),TRUE,AG26)</f>
        <v>0</v>
      </c>
      <c r="AL26" s="172" t="e">
        <f>IF(AND(NOT(ISBLANK(Jumpoverwrite7)),AND(NOT(AK26),AND(AK$4:AK25))),($J26*$G26-LN(1+Jumpoverwrite7*AM$2))/$G26,_xll.qlInterpolationInterpolate(AK$3,$F26,TRUE))</f>
        <v>#NUM!</v>
      </c>
      <c r="AM26" s="176" t="str">
        <f>IF(AND(NOT(AK26),AND(AK$4:AK25)),IF($AL26&lt;0,IF($AL26&lt;$J26,EXP(($AL26-$J26)*$G26),EXP(($J26-$AL26)*$G26)),EXP(($AL26-$J26)*$G26)),"")</f>
        <v/>
      </c>
      <c r="AO26" s="72" t="b">
        <f>IF(AND(NOT(AK26),AND(AK$4:AK25)),TRUE,AK26)</f>
        <v>0</v>
      </c>
      <c r="AP26" s="172" t="e">
        <f>IF(AND(NOT(ISBLANK(Jumpoverwrite8)),AND(NOT(AO26),AND(AO$4:AO25))),($J26*$G26-LN(1+Jumpoverwrite8*AQ$2))/$G26,_xll.qlInterpolationInterpolate(AO$3,$F26,TRUE))</f>
        <v>#NUM!</v>
      </c>
      <c r="AQ26" s="176" t="str">
        <f>IF(AND(NOT(AO26),AND(AO$4:AO25)),IF($AP26&lt;0,IF($AP26&lt;$J26,EXP(($AP26-$J26)*$G26),EXP(($J26-$AP26)*$G26)),EXP(($AP26-$J26)*$G26)),"")</f>
        <v/>
      </c>
      <c r="AS26" s="72" t="b">
        <f>IF(AND(NOT(AO26),AND(AO$4:AO25)),TRUE,AO26)</f>
        <v>0</v>
      </c>
      <c r="AT26" s="172" t="e">
        <f>IF(AND(NOT(ISBLANK(Jumpoverwrite9)),AND(NOT(AS26),AND(AS$4:AS25))),($J26*$G26-LN(1+Jumpoverwrite9*AU$2))/$G26,_xll.qlInterpolationInterpolate(AS$3,$F26,TRUE))</f>
        <v>#NUM!</v>
      </c>
      <c r="AU26" s="176" t="str">
        <f>IF(AND(NOT(AS26),AND(AS$4:AS25)),IF($AT26&lt;0,IF($AT26&lt;$J26,EXP(($AT26-$J26)*$G26),EXP(($J26-$AT26)*$G26)),EXP(($AT26-$J26)*$G26)),"")</f>
        <v/>
      </c>
      <c r="AW26" s="72" t="b">
        <f>IF(AND(NOT(AS26),AND(AS$4:AS25)),TRUE,AS26)</f>
        <v>0</v>
      </c>
      <c r="AX26" s="172" t="e">
        <f>IF(AND(NOT(ISBLANK(Jumpoverwrite10)),AND(NOT(AW26),AND(AW$4:AW25))),($J26*$G26-LN(1+Jumpoverwrite10*AY$2))/$G26,_xll.qlInterpolationInterpolate(AW$3,$F26,TRUE))</f>
        <v>#NUM!</v>
      </c>
      <c r="AY26" s="176" t="str">
        <f>IF(AND(NOT(AW26),AND(AW$4:AW25)),IF($AX26&lt;0,IF($AX26&lt;$J26,EXP(($AX26-$J26)*$G26),EXP(($J26-$AX26)*$G26)),EXP(($AX26-$J26)*$G26)),"")</f>
        <v/>
      </c>
      <c r="BA26" s="72" t="b">
        <f>IF(AND(NOT(AW26),AND(AW$4:AW25)),TRUE,AW26)</f>
        <v>0</v>
      </c>
      <c r="BB26" s="172" t="e">
        <f>IF(AND(NOT(ISBLANK(Jumpoverwrite11)),AND(NOT(BA26),AND(BA$4:BA25))),($J26*$G26-LN(1+Jumpoverwrite11*BC$2))/$G26,_xll.qlInterpolationInterpolate(BA$3,$F26,TRUE))</f>
        <v>#NUM!</v>
      </c>
      <c r="BC26" s="176" t="str">
        <f>IF(AND(NOT(BA26),AND(BA$4:BA25)),IF($BB26&lt;0,IF($BB26&lt;$J26,EXP(($BB26-$J26)*$G26),EXP(($J26-$BB26)*$G26)),EXP(($BB26-$J26)*$G26)),"")</f>
        <v/>
      </c>
      <c r="BE26" s="72" t="b">
        <f>IF(AND(NOT(BA26),AND(BA$4:BA25)),TRUE,BA26)</f>
        <v>0</v>
      </c>
      <c r="BF26" s="172" t="e">
        <f>IF(AND(NOT(ISBLANK(Jumpoverwrite12)),AND(NOT(BE26),AND(BE$4:BE25))),($J26*$G26-LN(1+Jumpoverwrite12*BG$2))/$G26,_xll.qlInterpolationInterpolate(BE$3,$F26,TRUE))</f>
        <v>#NUM!</v>
      </c>
      <c r="BG26" s="176" t="str">
        <f>IF(AND(NOT(BE26),AND(BE$4:BE25)),IF($BF26&lt;0,IF($BF26&lt;$J26,EXP(($BF26-$J26)*$G26),EXP(($J26-$BF26)*$G26)),EXP(($BF26-$J26)*$G26)),"")</f>
        <v/>
      </c>
      <c r="BI26" s="72" t="b">
        <f t="shared" si="1"/>
        <v>0</v>
      </c>
      <c r="BJ26" s="172" t="e">
        <f>IF(AND(NOT(ISBLANK(jumpoverwrite13)),AND(NOT(BI26),AND(BI$4:BI25))),($J26*$G26-LN(1+jumpoverwrite13*BK$2))/$G26,_xll.qlInterpolationInterpolate(BI$3,$F26,TRUE))</f>
        <v>#NUM!</v>
      </c>
      <c r="BK26" s="176" t="str">
        <f>IF(AND(NOT(BI26),AND(BI$4:BI25)),IF($BJ26&lt;0,IF($BJ26&lt;$J26,EXP(($BJ26-$J26)*$G26),EXP(($J26-$BJ26)*$G26)),EXP(($BJ26-$J26)*$G26)),"")</f>
        <v/>
      </c>
      <c r="BM26" s="72" t="b">
        <f>IF(AND(NOT(BI26),AND(BI$4:BI25)),TRUE,BI26)</f>
        <v>0</v>
      </c>
      <c r="BN26" s="172" t="e">
        <f>IF(AND(NOT(ISBLANK(Jumpoverwrite14)),AND(NOT(BM26),AND(BM$4:BM25))),($J26*$G26-LN(1+Jumpoverwrite14*BO$2))/$G26,_xll.qlInterpolationInterpolate(BM$3,$F26,TRUE))</f>
        <v>#NUM!</v>
      </c>
      <c r="BO26" s="176" t="str">
        <f>IF(AND(NOT(BM26),AND(BM$4:BM25)),IF($BN26&lt;0,IF($BN26&lt;$J26,EXP(($BN26-$J26)*$G26),EXP(($J26-$BN26)*$G26)),EXP(($BN26-$J26)*$G26)),"")</f>
        <v/>
      </c>
      <c r="BQ26" s="72" t="b">
        <f>IF(AND(NOT(BM26),AND(BM$4:BM25)),TRUE,BM26)</f>
        <v>0</v>
      </c>
      <c r="BR26" s="172" t="e">
        <f>IF(AND(NOT(ISBLANK(Jumpoverwrite15)),AND(NOT(BQ26),AND(BQ$4:BQ25))),($J26*$G26-LN(1+Jumpoverwrite15*BS$2))/$G26,_xll.qlInterpolationInterpolate(BQ$3,$F26,TRUE))</f>
        <v>#NUM!</v>
      </c>
      <c r="BS26" s="176" t="str">
        <f>IF(AND(NOT(BQ26),AND(BQ$4:BQ25)),IF($BN26&lt;0,IF($BN26&lt;$J26,EXP(($BN26-$J26)*$G26),EXP(($J26-$BN26)*$G26)),EXP(($BN26-$J26)*$G26)),"")</f>
        <v/>
      </c>
    </row>
    <row r="27" spans="1:71" x14ac:dyDescent="0.2">
      <c r="A27" s="33" t="e">
        <v>#N/A</v>
      </c>
      <c r="B27" s="17" t="e">
        <f>_xll.qlRateHelperRate($A27,InterestRatesTrigger)</f>
        <v>#VALUE!</v>
      </c>
      <c r="C27" s="18" t="e">
        <f>_xll.qlRateHelperEarliestDate($A27)</f>
        <v>#VALUE!</v>
      </c>
      <c r="D27" s="19" t="e">
        <f>_xll.qlRateHelperPillarDate($A27)</f>
        <v>#VALUE!</v>
      </c>
      <c r="F27" s="84" t="e">
        <f t="shared" si="0"/>
        <v>#N/A</v>
      </c>
      <c r="G27" s="85" t="e">
        <f>_xll.qlDayCounterYearFraction(DayCounter,D26,D27)</f>
        <v>#NUM!</v>
      </c>
      <c r="I27" s="93" t="b">
        <f t="shared" si="2"/>
        <v>0</v>
      </c>
      <c r="J27" s="37" t="e">
        <v>#N/A</v>
      </c>
      <c r="K27" s="94" t="e">
        <f t="shared" si="3"/>
        <v>#VALUE!</v>
      </c>
      <c r="L27" s="75"/>
      <c r="M27" s="72" t="b">
        <f>IF(AND(NOT(I27),AND(I$4:I26)),TRUE,I27)</f>
        <v>0</v>
      </c>
      <c r="N27" s="172" t="e">
        <f>IF(AND(NOT(ISBLANK(Jumpoverwrite1)),AND(NOT(M27),AND(M$4:M26))),($J27*$G27-LN(1+Jumpoverwrite1*O$2))/$G27,_xll.qlInterpolationInterpolate(M$3,$F27,TRUE))</f>
        <v>#NUM!</v>
      </c>
      <c r="O27" s="34" t="str">
        <f>IF(AND(NOT(M27),AND(M$4:M26)),IF($N27&lt;0,IF($N27&lt;$J27,EXP(($N27-$J27)*$G27),EXP(($J27-$N27)*$G27)),EXP(($N27-$J27)*$G27)),"")</f>
        <v/>
      </c>
      <c r="P27" s="107"/>
      <c r="Q27" s="72" t="b">
        <f>IF(AND(NOT(M27),AND(M$4:M26)),TRUE,M27)</f>
        <v>0</v>
      </c>
      <c r="R27" s="172" t="e">
        <f>IF(AND(NOT(ISBLANK(Jumpoverwrite2)),AND(NOT(Q27),AND(Q$4:Q26))),($J27*$G27-LN(1+Jumpoverwrite2*S$2))/$G27,_xll.qlInterpolationInterpolate(Q$3,$F27,TRUE))</f>
        <v>#NUM!</v>
      </c>
      <c r="S27" s="176" t="str">
        <f>IF(AND(NOT(Q27),AND(Q$4:Q26)),IF($R27&lt;0,IF($R27&lt;$J27,EXP(($R27-$J27)*$G27),EXP(($J27-$R27)*$G27)),EXP(($R27-$J27)*$G27)),"")</f>
        <v/>
      </c>
      <c r="T27" s="107"/>
      <c r="U27" s="72" t="b">
        <f>IF(AND(NOT(Q27),AND(Q$4:Q26)),TRUE,Q27)</f>
        <v>0</v>
      </c>
      <c r="V27" s="172" t="e">
        <f>IF(AND(NOT(ISBLANK(Jumpoverwrite3)),AND(NOT(U27),AND(U$4:U26))),($J27*$G27-LN(1+Jumpoverwrite3*W$2))/$G27,_xll.qlInterpolationInterpolate(U$3,$F27,TRUE))</f>
        <v>#NUM!</v>
      </c>
      <c r="W27" s="176" t="str">
        <f>IF(AND(NOT(U27),AND(U$4:U26)),IF($V27&lt;0,IF($V27&lt;$J27,EXP(($V27-$J27)*$G27),EXP(($J27-$V27)*$G27)),EXP(($V27-$J27)*$G27)),"")</f>
        <v/>
      </c>
      <c r="X27" s="107"/>
      <c r="Y27" s="72" t="b">
        <f>IF(AND(NOT(U27),AND(U$4:U26)),TRUE,U27)</f>
        <v>0</v>
      </c>
      <c r="Z27" s="172" t="e">
        <f>IF(AND(NOT(ISBLANK(Jumpoverwrite4)),AND(NOT(Y27),AND(Y$4:Y26))),($J27*$G27-LN(1+Jumpoverwrite4*AA$2))/$G27,_xll.qlInterpolationInterpolate(Y$3,$F27,TRUE))</f>
        <v>#NUM!</v>
      </c>
      <c r="AA27" s="176" t="str">
        <f>IF(AND(NOT(Y27),AND(Y$4:Y26)),IF($Z27&lt;0,IF($Z27&lt;$J27,EXP(($Z27-$J27)*$G27),EXP(($J27-$Z27)*$G27)),EXP(($Z27-$J27)*$G27)),"")</f>
        <v/>
      </c>
      <c r="AB27" s="107"/>
      <c r="AC27" s="72" t="b">
        <f>IF(AND(NOT(Y27),AND(Y$4:Y26)),TRUE,Y27)</f>
        <v>0</v>
      </c>
      <c r="AD27" s="172" t="e">
        <f>IF(AND(NOT(ISBLANK(Jumpoverwrite5)),AND(NOT(AC27),AND(AC$4:AC26))),($J27*$G27-LN(1+Jumpoverwrite5*AE$2))/$G27,_xll.qlInterpolationInterpolate(AC$3,$F27,TRUE))</f>
        <v>#NUM!</v>
      </c>
      <c r="AE27" s="176" t="str">
        <f>IF(AND(NOT(AC27),AND(AC$4:AC26)),IF($AD27&lt;0,IF($AD27&lt;$J27,EXP(($AD27-$J27)*$G27),EXP(($J27-$AD27)*$G27)),EXP(($AD27-$J27)*$G27)),"")</f>
        <v/>
      </c>
      <c r="AF27" s="107"/>
      <c r="AG27" s="72" t="b">
        <f>IF(AND(NOT(AC27),AND(AC$4:AC26)),TRUE,AC27)</f>
        <v>0</v>
      </c>
      <c r="AH27" s="172" t="e">
        <f>IF(AND(NOT(ISBLANK(Jumpoverwrite6)),AND(NOT(AG27),AND(AG$4:AG26))),($J27*$G27-LN(1+Jumpoverwrite6*AI$2))/$G27,_xll.qlInterpolationInterpolate(AG$3,$F27,TRUE))</f>
        <v>#NUM!</v>
      </c>
      <c r="AI27" s="176" t="str">
        <f>IF(AND(NOT(AG27),AND(AG$4:AG26)),IF($AH27&lt;0,IF($AH27&lt;$J27,EXP(($AH27-$J27)*$G27),EXP(($J27-$AH27)*$G27)),EXP(($AH27-$J27)*$G27)),"")</f>
        <v/>
      </c>
      <c r="AJ27" s="107"/>
      <c r="AK27" s="72" t="b">
        <f>IF(AND(NOT(AG27),AND(AG$4:AG26)),TRUE,AG27)</f>
        <v>0</v>
      </c>
      <c r="AL27" s="172" t="e">
        <f>IF(AND(NOT(ISBLANK(Jumpoverwrite7)),AND(NOT(AK27),AND(AK$4:AK26))),($J27*$G27-LN(1+Jumpoverwrite7*AM$2))/$G27,_xll.qlInterpolationInterpolate(AK$3,$F27,TRUE))</f>
        <v>#NUM!</v>
      </c>
      <c r="AM27" s="176" t="str">
        <f>IF(AND(NOT(AK27),AND(AK$4:AK26)),IF($AL27&lt;0,IF($AL27&lt;$J27,EXP(($AL27-$J27)*$G27),EXP(($J27-$AL27)*$G27)),EXP(($AL27-$J27)*$G27)),"")</f>
        <v/>
      </c>
      <c r="AO27" s="72" t="b">
        <f>IF(AND(NOT(AK27),AND(AK$4:AK26)),TRUE,AK27)</f>
        <v>0</v>
      </c>
      <c r="AP27" s="172" t="e">
        <f>IF(AND(NOT(ISBLANK(Jumpoverwrite8)),AND(NOT(AO27),AND(AO$4:AO26))),($J27*$G27-LN(1+Jumpoverwrite8*AQ$2))/$G27,_xll.qlInterpolationInterpolate(AO$3,$F27,TRUE))</f>
        <v>#NUM!</v>
      </c>
      <c r="AQ27" s="176" t="str">
        <f>IF(AND(NOT(AO27),AND(AO$4:AO26)),IF($AP27&lt;0,IF($AP27&lt;$J27,EXP(($AP27-$J27)*$G27),EXP(($J27-$AP27)*$G27)),EXP(($AP27-$J27)*$G27)),"")</f>
        <v/>
      </c>
      <c r="AS27" s="72" t="b">
        <f>IF(AND(NOT(AO27),AND(AO$4:AO26)),TRUE,AO27)</f>
        <v>0</v>
      </c>
      <c r="AT27" s="172" t="e">
        <f>IF(AND(NOT(ISBLANK(Jumpoverwrite9)),AND(NOT(AS27),AND(AS$4:AS26))),($J27*$G27-LN(1+Jumpoverwrite9*AU$2))/$G27,_xll.qlInterpolationInterpolate(AS$3,$F27,TRUE))</f>
        <v>#NUM!</v>
      </c>
      <c r="AU27" s="176" t="str">
        <f>IF(AND(NOT(AS27),AND(AS$4:AS26)),IF($AT27&lt;0,IF($AT27&lt;$J27,EXP(($AT27-$J27)*$G27),EXP(($J27-$AT27)*$G27)),EXP(($AT27-$J27)*$G27)),"")</f>
        <v/>
      </c>
      <c r="AW27" s="72" t="b">
        <f>IF(AND(NOT(AS27),AND(AS$4:AS26)),TRUE,AS27)</f>
        <v>0</v>
      </c>
      <c r="AX27" s="172" t="e">
        <f>IF(AND(NOT(ISBLANK(Jumpoverwrite10)),AND(NOT(AW27),AND(AW$4:AW26))),($J27*$G27-LN(1+Jumpoverwrite10*AY$2))/$G27,_xll.qlInterpolationInterpolate(AW$3,$F27,TRUE))</f>
        <v>#NUM!</v>
      </c>
      <c r="AY27" s="176" t="str">
        <f>IF(AND(NOT(AW27),AND(AW$4:AW26)),IF($AX27&lt;0,IF($AX27&lt;$J27,EXP(($AX27-$J27)*$G27),EXP(($J27-$AX27)*$G27)),EXP(($AX27-$J27)*$G27)),"")</f>
        <v/>
      </c>
      <c r="BA27" s="72" t="b">
        <f>IF(AND(NOT(AW27),AND(AW$4:AW26)),TRUE,AW27)</f>
        <v>0</v>
      </c>
      <c r="BB27" s="172" t="e">
        <f>IF(AND(NOT(ISBLANK(Jumpoverwrite11)),AND(NOT(BA27),AND(BA$4:BA26))),($J27*$G27-LN(1+Jumpoverwrite11*BC$2))/$G27,_xll.qlInterpolationInterpolate(BA$3,$F27,TRUE))</f>
        <v>#NUM!</v>
      </c>
      <c r="BC27" s="176" t="str">
        <f>IF(AND(NOT(BA27),AND(BA$4:BA26)),IF($BB27&lt;0,IF($BB27&lt;$J27,EXP(($BB27-$J27)*$G27),EXP(($J27-$BB27)*$G27)),EXP(($BB27-$J27)*$G27)),"")</f>
        <v/>
      </c>
      <c r="BE27" s="72" t="b">
        <f>IF(AND(NOT(BA27),AND(BA$4:BA26)),TRUE,BA27)</f>
        <v>0</v>
      </c>
      <c r="BF27" s="172" t="e">
        <f>IF(AND(NOT(ISBLANK(Jumpoverwrite12)),AND(NOT(BE27),AND(BE$4:BE26))),($J27*$G27-LN(1+Jumpoverwrite12*BG$2))/$G27,_xll.qlInterpolationInterpolate(BE$3,$F27,TRUE))</f>
        <v>#NUM!</v>
      </c>
      <c r="BG27" s="176" t="str">
        <f>IF(AND(NOT(BE27),AND(BE$4:BE26)),IF($BF27&lt;0,IF($BF27&lt;$J27,EXP(($BF27-$J27)*$G27),EXP(($J27-$BF27)*$G27)),EXP(($BF27-$J27)*$G27)),"")</f>
        <v/>
      </c>
      <c r="BI27" s="72" t="b">
        <f t="shared" si="1"/>
        <v>0</v>
      </c>
      <c r="BJ27" s="172" t="e">
        <f>IF(AND(NOT(ISBLANK(jumpoverwrite13)),AND(NOT(BI27),AND(BI$4:BI26))),($J27*$G27-LN(1+jumpoverwrite13*BK$2))/$G27,_xll.qlInterpolationInterpolate(BI$3,$F27,TRUE))</f>
        <v>#NUM!</v>
      </c>
      <c r="BK27" s="176" t="str">
        <f>IF(AND(NOT(BI27),AND(BI$4:BI26)),IF($BJ27&lt;0,IF($BJ27&lt;$J27,EXP(($BJ27-$J27)*$G27),EXP(($J27-$BJ27)*$G27)),EXP(($BJ27-$J27)*$G27)),"")</f>
        <v/>
      </c>
      <c r="BM27" s="72" t="b">
        <f>IF(AND(NOT(BI27),AND(BI$4:BI26)),TRUE,BI27)</f>
        <v>0</v>
      </c>
      <c r="BN27" s="172" t="e">
        <f>IF(AND(NOT(ISBLANK(Jumpoverwrite14)),AND(NOT(BM27),AND(BM$4:BM26))),($J27*$G27-LN(1+Jumpoverwrite14*BO$2))/$G27,_xll.qlInterpolationInterpolate(BM$3,$F27,TRUE))</f>
        <v>#NUM!</v>
      </c>
      <c r="BO27" s="176" t="str">
        <f>IF(AND(NOT(BM27),AND(BM$4:BM26)),IF($BN27&lt;0,IF($BN27&lt;$J27,EXP(($BN27-$J27)*$G27),EXP(($J27-$BN27)*$G27)),EXP(($BN27-$J27)*$G27)),"")</f>
        <v/>
      </c>
      <c r="BQ27" s="72" t="b">
        <f>IF(AND(NOT(BM27),AND(BM$4:BM26)),TRUE,BM27)</f>
        <v>0</v>
      </c>
      <c r="BR27" s="172" t="e">
        <f>IF(AND(NOT(ISBLANK(Jumpoverwrite15)),AND(NOT(BQ27),AND(BQ$4:BQ26))),($J27*$G27-LN(1+Jumpoverwrite15*BS$2))/$G27,_xll.qlInterpolationInterpolate(BQ$3,$F27,TRUE))</f>
        <v>#NUM!</v>
      </c>
      <c r="BS27" s="176" t="str">
        <f>IF(AND(NOT(BQ27),AND(BQ$4:BQ26)),IF($BN27&lt;0,IF($BN27&lt;$J27,EXP(($BN27-$J27)*$G27),EXP(($J27-$BN27)*$G27)),EXP(($BN27-$J27)*$G27)),"")</f>
        <v/>
      </c>
    </row>
    <row r="28" spans="1:71" x14ac:dyDescent="0.2">
      <c r="A28" s="33" t="e">
        <v>#N/A</v>
      </c>
      <c r="B28" s="17" t="e">
        <f>_xll.qlRateHelperRate($A28,InterestRatesTrigger)</f>
        <v>#VALUE!</v>
      </c>
      <c r="C28" s="18" t="e">
        <f>_xll.qlRateHelperEarliestDate($A28)</f>
        <v>#VALUE!</v>
      </c>
      <c r="D28" s="19" t="e">
        <f>_xll.qlRateHelperPillarDate($A28)</f>
        <v>#VALUE!</v>
      </c>
      <c r="F28" s="84" t="e">
        <f t="shared" si="0"/>
        <v>#N/A</v>
      </c>
      <c r="G28" s="85" t="e">
        <f>_xll.qlDayCounterYearFraction(DayCounter,D27,D28)</f>
        <v>#NUM!</v>
      </c>
      <c r="I28" s="93" t="b">
        <f t="shared" si="2"/>
        <v>0</v>
      </c>
      <c r="J28" s="37" t="e">
        <v>#N/A</v>
      </c>
      <c r="K28" s="94" t="e">
        <f t="shared" si="3"/>
        <v>#VALUE!</v>
      </c>
      <c r="L28" s="75"/>
      <c r="M28" s="72" t="b">
        <f>IF(AND(NOT(I28),AND(I$4:I27)),TRUE,I28)</f>
        <v>0</v>
      </c>
      <c r="N28" s="172" t="e">
        <f>IF(AND(NOT(ISBLANK(Jumpoverwrite1)),AND(NOT(M28),AND(M$4:M27))),($J28*$G28-LN(1+Jumpoverwrite1*O$2))/$G28,_xll.qlInterpolationInterpolate(M$3,$F28,TRUE))</f>
        <v>#NUM!</v>
      </c>
      <c r="O28" s="34" t="str">
        <f>IF(AND(NOT(M28),AND(M$4:M27)),IF($N28&lt;0,IF($N28&lt;$J28,EXP(($N28-$J28)*$G28),EXP(($J28-$N28)*$G28)),EXP(($N28-$J28)*$G28)),"")</f>
        <v/>
      </c>
      <c r="P28" s="107"/>
      <c r="Q28" s="72" t="b">
        <f>IF(AND(NOT(M28),AND(M$4:M27)),TRUE,M28)</f>
        <v>0</v>
      </c>
      <c r="R28" s="172" t="e">
        <f>IF(AND(NOT(ISBLANK(Jumpoverwrite2)),AND(NOT(Q28),AND(Q$4:Q27))),($J28*$G28-LN(1+Jumpoverwrite2*S$2))/$G28,_xll.qlInterpolationInterpolate(Q$3,$F28,TRUE))</f>
        <v>#NUM!</v>
      </c>
      <c r="S28" s="176" t="str">
        <f>IF(AND(NOT(Q28),AND(Q$4:Q27)),IF($R28&lt;0,IF($R28&lt;$J28,EXP(($R28-$J28)*$G28),EXP(($J28-$R28)*$G28)),EXP(($R28-$J28)*$G28)),"")</f>
        <v/>
      </c>
      <c r="T28" s="107"/>
      <c r="U28" s="72" t="b">
        <f>IF(AND(NOT(Q28),AND(Q$4:Q27)),TRUE,Q28)</f>
        <v>0</v>
      </c>
      <c r="V28" s="172" t="e">
        <f>IF(AND(NOT(ISBLANK(Jumpoverwrite3)),AND(NOT(U28),AND(U$4:U27))),($J28*$G28-LN(1+Jumpoverwrite3*W$2))/$G28,_xll.qlInterpolationInterpolate(U$3,$F28,TRUE))</f>
        <v>#NUM!</v>
      </c>
      <c r="W28" s="176" t="str">
        <f>IF(AND(NOT(U28),AND(U$4:U27)),IF($V28&lt;0,IF($V28&lt;$J28,EXP(($V28-$J28)*$G28),EXP(($J28-$V28)*$G28)),EXP(($V28-$J28)*$G28)),"")</f>
        <v/>
      </c>
      <c r="X28" s="107"/>
      <c r="Y28" s="72" t="b">
        <f>IF(AND(NOT(U28),AND(U$4:U27)),TRUE,U28)</f>
        <v>0</v>
      </c>
      <c r="Z28" s="172" t="e">
        <f>IF(AND(NOT(ISBLANK(Jumpoverwrite4)),AND(NOT(Y28),AND(Y$4:Y27))),($J28*$G28-LN(1+Jumpoverwrite4*AA$2))/$G28,_xll.qlInterpolationInterpolate(Y$3,$F28,TRUE))</f>
        <v>#NUM!</v>
      </c>
      <c r="AA28" s="176" t="str">
        <f>IF(AND(NOT(Y28),AND(Y$4:Y27)),IF($Z28&lt;0,IF($Z28&lt;$J28,EXP(($Z28-$J28)*$G28),EXP(($J28-$Z28)*$G28)),EXP(($Z28-$J28)*$G28)),"")</f>
        <v/>
      </c>
      <c r="AB28" s="107"/>
      <c r="AC28" s="72" t="b">
        <f>IF(AND(NOT(Y28),AND(Y$4:Y27)),TRUE,Y28)</f>
        <v>0</v>
      </c>
      <c r="AD28" s="172" t="e">
        <f>IF(AND(NOT(ISBLANK(Jumpoverwrite5)),AND(NOT(AC28),AND(AC$4:AC27))),($J28*$G28-LN(1+Jumpoverwrite5*AE$2))/$G28,_xll.qlInterpolationInterpolate(AC$3,$F28,TRUE))</f>
        <v>#NUM!</v>
      </c>
      <c r="AE28" s="176" t="str">
        <f>IF(AND(NOT(AC28),AND(AC$4:AC27)),IF($AD28&lt;0,IF($AD28&lt;$J28,EXP(($AD28-$J28)*$G28),EXP(($J28-$AD28)*$G28)),EXP(($AD28-$J28)*$G28)),"")</f>
        <v/>
      </c>
      <c r="AF28" s="107"/>
      <c r="AG28" s="72" t="b">
        <f>IF(AND(NOT(AC28),AND(AC$4:AC27)),TRUE,AC28)</f>
        <v>0</v>
      </c>
      <c r="AH28" s="172" t="e">
        <f>IF(AND(NOT(ISBLANK(Jumpoverwrite6)),AND(NOT(AG28),AND(AG$4:AG27))),($J28*$G28-LN(1+Jumpoverwrite6*AI$2))/$G28,_xll.qlInterpolationInterpolate(AG$3,$F28,TRUE))</f>
        <v>#NUM!</v>
      </c>
      <c r="AI28" s="176" t="str">
        <f>IF(AND(NOT(AG28),AND(AG$4:AG27)),IF($AH28&lt;0,IF($AH28&lt;$J28,EXP(($AH28-$J28)*$G28),EXP(($J28-$AH28)*$G28)),EXP(($AH28-$J28)*$G28)),"")</f>
        <v/>
      </c>
      <c r="AJ28" s="107"/>
      <c r="AK28" s="72" t="b">
        <f>IF(AND(NOT(AG28),AND(AG$4:AG27)),TRUE,AG28)</f>
        <v>0</v>
      </c>
      <c r="AL28" s="172" t="e">
        <f>IF(AND(NOT(ISBLANK(Jumpoverwrite7)),AND(NOT(AK28),AND(AK$4:AK27))),($J28*$G28-LN(1+Jumpoverwrite7*AM$2))/$G28,_xll.qlInterpolationInterpolate(AK$3,$F28,TRUE))</f>
        <v>#NUM!</v>
      </c>
      <c r="AM28" s="176" t="str">
        <f>IF(AND(NOT(AK28),AND(AK$4:AK27)),IF($AL28&lt;0,IF($AL28&lt;$J28,EXP(($AL28-$J28)*$G28),EXP(($J28-$AL28)*$G28)),EXP(($AL28-$J28)*$G28)),"")</f>
        <v/>
      </c>
      <c r="AO28" s="72" t="b">
        <f>IF(AND(NOT(AK28),AND(AK$4:AK27)),TRUE,AK28)</f>
        <v>0</v>
      </c>
      <c r="AP28" s="172" t="e">
        <f>IF(AND(NOT(ISBLANK(Jumpoverwrite8)),AND(NOT(AO28),AND(AO$4:AO27))),($J28*$G28-LN(1+Jumpoverwrite8*AQ$2))/$G28,_xll.qlInterpolationInterpolate(AO$3,$F28,TRUE))</f>
        <v>#NUM!</v>
      </c>
      <c r="AQ28" s="176" t="str">
        <f>IF(AND(NOT(AO28),AND(AO$4:AO27)),IF($AP28&lt;0,IF($AP28&lt;$J28,EXP(($AP28-$J28)*$G28),EXP(($J28-$AP28)*$G28)),EXP(($AP28-$J28)*$G28)),"")</f>
        <v/>
      </c>
      <c r="AS28" s="72" t="b">
        <f>IF(AND(NOT(AO28),AND(AO$4:AO27)),TRUE,AO28)</f>
        <v>0</v>
      </c>
      <c r="AT28" s="172" t="e">
        <f>IF(AND(NOT(ISBLANK(Jumpoverwrite9)),AND(NOT(AS28),AND(AS$4:AS27))),($J28*$G28-LN(1+Jumpoverwrite9*AU$2))/$G28,_xll.qlInterpolationInterpolate(AS$3,$F28,TRUE))</f>
        <v>#NUM!</v>
      </c>
      <c r="AU28" s="176" t="str">
        <f>IF(AND(NOT(AS28),AND(AS$4:AS27)),IF($AT28&lt;0,IF($AT28&lt;$J28,EXP(($AT28-$J28)*$G28),EXP(($J28-$AT28)*$G28)),EXP(($AT28-$J28)*$G28)),"")</f>
        <v/>
      </c>
      <c r="AW28" s="72" t="b">
        <f>IF(AND(NOT(AS28),AND(AS$4:AS27)),TRUE,AS28)</f>
        <v>0</v>
      </c>
      <c r="AX28" s="172" t="e">
        <f>IF(AND(NOT(ISBLANK(Jumpoverwrite10)),AND(NOT(AW28),AND(AW$4:AW27))),($J28*$G28-LN(1+Jumpoverwrite10*AY$2))/$G28,_xll.qlInterpolationInterpolate(AW$3,$F28,TRUE))</f>
        <v>#NUM!</v>
      </c>
      <c r="AY28" s="176" t="str">
        <f>IF(AND(NOT(AW28),AND(AW$4:AW27)),IF($AX28&lt;0,IF($AX28&lt;$J28,EXP(($AX28-$J28)*$G28),EXP(($J28-$AX28)*$G28)),EXP(($AX28-$J28)*$G28)),"")</f>
        <v/>
      </c>
      <c r="BA28" s="72" t="b">
        <f>IF(AND(NOT(AW28),AND(AW$4:AW27)),TRUE,AW28)</f>
        <v>0</v>
      </c>
      <c r="BB28" s="172" t="e">
        <f>IF(AND(NOT(ISBLANK(Jumpoverwrite11)),AND(NOT(BA28),AND(BA$4:BA27))),($J28*$G28-LN(1+Jumpoverwrite11*BC$2))/$G28,_xll.qlInterpolationInterpolate(BA$3,$F28,TRUE))</f>
        <v>#NUM!</v>
      </c>
      <c r="BC28" s="176" t="str">
        <f>IF(AND(NOT(BA28),AND(BA$4:BA27)),IF($BB28&lt;0,IF($BB28&lt;$J28,EXP(($BB28-$J28)*$G28),EXP(($J28-$BB28)*$G28)),EXP(($BB28-$J28)*$G28)),"")</f>
        <v/>
      </c>
      <c r="BE28" s="72" t="b">
        <f>IF(AND(NOT(BA28),AND(BA$4:BA27)),TRUE,BA28)</f>
        <v>0</v>
      </c>
      <c r="BF28" s="172" t="e">
        <f>IF(AND(NOT(ISBLANK(Jumpoverwrite12)),AND(NOT(BE28),AND(BE$4:BE27))),($J28*$G28-LN(1+Jumpoverwrite12*BG$2))/$G28,_xll.qlInterpolationInterpolate(BE$3,$F28,TRUE))</f>
        <v>#NUM!</v>
      </c>
      <c r="BG28" s="176" t="str">
        <f>IF(AND(NOT(BE28),AND(BE$4:BE27)),IF($BF28&lt;0,IF($BF28&lt;$J28,EXP(($BF28-$J28)*$G28),EXP(($J28-$BF28)*$G28)),EXP(($BF28-$J28)*$G28)),"")</f>
        <v/>
      </c>
      <c r="BI28" s="72" t="b">
        <f t="shared" si="1"/>
        <v>0</v>
      </c>
      <c r="BJ28" s="172" t="e">
        <f>IF(AND(NOT(ISBLANK(jumpoverwrite13)),AND(NOT(BI28),AND(BI$4:BI27))),($J28*$G28-LN(1+jumpoverwrite13*BK$2))/$G28,_xll.qlInterpolationInterpolate(BI$3,$F28,TRUE))</f>
        <v>#NUM!</v>
      </c>
      <c r="BK28" s="176" t="str">
        <f>IF(AND(NOT(BI28),AND(BI$4:BI27)),IF($BJ28&lt;0,IF($BJ28&lt;$J28,EXP(($BJ28-$J28)*$G28),EXP(($J28-$BJ28)*$G28)),EXP(($BJ28-$J28)*$G28)),"")</f>
        <v/>
      </c>
      <c r="BM28" s="72" t="b">
        <f>IF(AND(NOT(BI28),AND(BI$4:BI27)),TRUE,BI28)</f>
        <v>0</v>
      </c>
      <c r="BN28" s="172" t="e">
        <f>IF(AND(NOT(ISBLANK(Jumpoverwrite14)),AND(NOT(BM28),AND(BM$4:BM27))),($J28*$G28-LN(1+Jumpoverwrite14*BO$2))/$G28,_xll.qlInterpolationInterpolate(BM$3,$F28,TRUE))</f>
        <v>#NUM!</v>
      </c>
      <c r="BO28" s="176" t="str">
        <f>IF(AND(NOT(BM28),AND(BM$4:BM27)),IF($BN28&lt;0,IF($BN28&lt;$J28,EXP(($BN28-$J28)*$G28),EXP(($J28-$BN28)*$G28)),EXP(($BN28-$J28)*$G28)),"")</f>
        <v/>
      </c>
      <c r="BQ28" s="72" t="b">
        <f>IF(AND(NOT(BM28),AND(BM$4:BM27)),TRUE,BM28)</f>
        <v>0</v>
      </c>
      <c r="BR28" s="172" t="e">
        <f>IF(AND(NOT(ISBLANK(Jumpoverwrite15)),AND(NOT(BQ28),AND(BQ$4:BQ27))),($J28*$G28-LN(1+Jumpoverwrite15*BS$2))/$G28,_xll.qlInterpolationInterpolate(BQ$3,$F28,TRUE))</f>
        <v>#NUM!</v>
      </c>
      <c r="BS28" s="176" t="str">
        <f>IF(AND(NOT(BQ28),AND(BQ$4:BQ27)),IF($BN28&lt;0,IF($BN28&lt;$J28,EXP(($BN28-$J28)*$G28),EXP(($J28-$BN28)*$G28)),EXP(($BN28-$J28)*$G28)),"")</f>
        <v/>
      </c>
    </row>
    <row r="29" spans="1:71" x14ac:dyDescent="0.2">
      <c r="A29" s="33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_xll.qlRateHelperPillarDate($A29)</f>
        <v>#VALUE!</v>
      </c>
      <c r="F29" s="84" t="e">
        <f t="shared" si="0"/>
        <v>#N/A</v>
      </c>
      <c r="G29" s="85" t="e">
        <f>_xll.qlDayCounterYearFraction(DayCounter,D28,D29)</f>
        <v>#NUM!</v>
      </c>
      <c r="I29" s="93" t="b">
        <f t="shared" si="2"/>
        <v>0</v>
      </c>
      <c r="J29" s="37" t="e">
        <v>#N/A</v>
      </c>
      <c r="K29" s="94" t="e">
        <f t="shared" si="3"/>
        <v>#VALUE!</v>
      </c>
      <c r="L29" s="75"/>
      <c r="M29" s="72" t="b">
        <f>IF(AND(NOT(I29),AND(I$4:I28)),TRUE,I29)</f>
        <v>0</v>
      </c>
      <c r="N29" s="172" t="e">
        <f>IF(AND(NOT(ISBLANK(Jumpoverwrite1)),AND(NOT(M29),AND(M$4:M28))),($J29*$G29-LN(1+Jumpoverwrite1*O$2))/$G29,_xll.qlInterpolationInterpolate(M$3,$F29,TRUE))</f>
        <v>#NUM!</v>
      </c>
      <c r="O29" s="34" t="str">
        <f>IF(AND(NOT(M29),AND(M$4:M28)),IF($N29&lt;0,IF($N29&lt;$J29,EXP(($N29-$J29)*$G29),EXP(($J29-$N29)*$G29)),EXP(($N29-$J29)*$G29)),"")</f>
        <v/>
      </c>
      <c r="P29" s="107"/>
      <c r="Q29" s="72" t="b">
        <f>IF(AND(NOT(M29),AND(M$4:M28)),TRUE,M29)</f>
        <v>0</v>
      </c>
      <c r="R29" s="172" t="e">
        <f>IF(AND(NOT(ISBLANK(Jumpoverwrite2)),AND(NOT(Q29),AND(Q$4:Q28))),($J29*$G29-LN(1+Jumpoverwrite2*S$2))/$G29,_xll.qlInterpolationInterpolate(Q$3,$F29,TRUE))</f>
        <v>#NUM!</v>
      </c>
      <c r="S29" s="176" t="str">
        <f>IF(AND(NOT(Q29),AND(Q$4:Q28)),IF($R29&lt;0,IF($R29&lt;$J29,EXP(($R29-$J29)*$G29),EXP(($J29-$R29)*$G29)),EXP(($R29-$J29)*$G29)),"")</f>
        <v/>
      </c>
      <c r="T29" s="107"/>
      <c r="U29" s="72" t="b">
        <f>IF(AND(NOT(Q29),AND(Q$4:Q28)),TRUE,Q29)</f>
        <v>0</v>
      </c>
      <c r="V29" s="172" t="e">
        <f>IF(AND(NOT(ISBLANK(Jumpoverwrite3)),AND(NOT(U29),AND(U$4:U28))),($J29*$G29-LN(1+Jumpoverwrite3*W$2))/$G29,_xll.qlInterpolationInterpolate(U$3,$F29,TRUE))</f>
        <v>#NUM!</v>
      </c>
      <c r="W29" s="176" t="str">
        <f>IF(AND(NOT(U29),AND(U$4:U28)),IF($V29&lt;0,IF($V29&lt;$J29,EXP(($V29-$J29)*$G29),EXP(($J29-$V29)*$G29)),EXP(($V29-$J29)*$G29)),"")</f>
        <v/>
      </c>
      <c r="X29" s="107"/>
      <c r="Y29" s="72" t="b">
        <f>IF(AND(NOT(U29),AND(U$4:U28)),TRUE,U29)</f>
        <v>0</v>
      </c>
      <c r="Z29" s="172" t="e">
        <f>IF(AND(NOT(ISBLANK(Jumpoverwrite4)),AND(NOT(Y29),AND(Y$4:Y28))),($J29*$G29-LN(1+Jumpoverwrite4*AA$2))/$G29,_xll.qlInterpolationInterpolate(Y$3,$F29,TRUE))</f>
        <v>#NUM!</v>
      </c>
      <c r="AA29" s="176" t="str">
        <f>IF(AND(NOT(Y29),AND(Y$4:Y28)),IF($Z29&lt;0,IF($Z29&lt;$J29,EXP(($Z29-$J29)*$G29),EXP(($J29-$Z29)*$G29)),EXP(($Z29-$J29)*$G29)),"")</f>
        <v/>
      </c>
      <c r="AB29" s="107"/>
      <c r="AC29" s="72" t="b">
        <f>IF(AND(NOT(Y29),AND(Y$4:Y28)),TRUE,Y29)</f>
        <v>0</v>
      </c>
      <c r="AD29" s="172" t="e">
        <f>IF(AND(NOT(ISBLANK(Jumpoverwrite5)),AND(NOT(AC29),AND(AC$4:AC28))),($J29*$G29-LN(1+Jumpoverwrite5*AE$2))/$G29,_xll.qlInterpolationInterpolate(AC$3,$F29,TRUE))</f>
        <v>#NUM!</v>
      </c>
      <c r="AE29" s="176" t="str">
        <f>IF(AND(NOT(AC29),AND(AC$4:AC28)),IF($AD29&lt;0,IF($AD29&lt;$J29,EXP(($AD29-$J29)*$G29),EXP(($J29-$AD29)*$G29)),EXP(($AD29-$J29)*$G29)),"")</f>
        <v/>
      </c>
      <c r="AF29" s="107"/>
      <c r="AG29" s="72" t="b">
        <f>IF(AND(NOT(AC29),AND(AC$4:AC28)),TRUE,AC29)</f>
        <v>0</v>
      </c>
      <c r="AH29" s="172" t="e">
        <f>IF(AND(NOT(ISBLANK(Jumpoverwrite6)),AND(NOT(AG29),AND(AG$4:AG28))),($J29*$G29-LN(1+Jumpoverwrite6*AI$2))/$G29,_xll.qlInterpolationInterpolate(AG$3,$F29,TRUE))</f>
        <v>#NUM!</v>
      </c>
      <c r="AI29" s="176" t="str">
        <f>IF(AND(NOT(AG29),AND(AG$4:AG28)),IF($AH29&lt;0,IF($AH29&lt;$J29,EXP(($AH29-$J29)*$G29),EXP(($J29-$AH29)*$G29)),EXP(($AH29-$J29)*$G29)),"")</f>
        <v/>
      </c>
      <c r="AJ29" s="107"/>
      <c r="AK29" s="72" t="b">
        <f>IF(AND(NOT(AG29),AND(AG$4:AG28)),TRUE,AG29)</f>
        <v>0</v>
      </c>
      <c r="AL29" s="172" t="e">
        <f>IF(AND(NOT(ISBLANK(Jumpoverwrite7)),AND(NOT(AK29),AND(AK$4:AK28))),($J29*$G29-LN(1+Jumpoverwrite7*AM$2))/$G29,_xll.qlInterpolationInterpolate(AK$3,$F29,TRUE))</f>
        <v>#NUM!</v>
      </c>
      <c r="AM29" s="176" t="str">
        <f>IF(AND(NOT(AK29),AND(AK$4:AK28)),IF($AL29&lt;0,IF($AL29&lt;$J29,EXP(($AL29-$J29)*$G29),EXP(($J29-$AL29)*$G29)),EXP(($AL29-$J29)*$G29)),"")</f>
        <v/>
      </c>
      <c r="AO29" s="72" t="b">
        <f>IF(AND(NOT(AK29),AND(AK$4:AK28)),TRUE,AK29)</f>
        <v>0</v>
      </c>
      <c r="AP29" s="172" t="e">
        <f>IF(AND(NOT(ISBLANK(Jumpoverwrite8)),AND(NOT(AO29),AND(AO$4:AO28))),($J29*$G29-LN(1+Jumpoverwrite8*AQ$2))/$G29,_xll.qlInterpolationInterpolate(AO$3,$F29,TRUE))</f>
        <v>#NUM!</v>
      </c>
      <c r="AQ29" s="176" t="str">
        <f>IF(AND(NOT(AO29),AND(AO$4:AO28)),IF($AP29&lt;0,IF($AP29&lt;$J29,EXP(($AP29-$J29)*$G29),EXP(($J29-$AP29)*$G29)),EXP(($AP29-$J29)*$G29)),"")</f>
        <v/>
      </c>
      <c r="AS29" s="72" t="b">
        <f>IF(AND(NOT(AO29),AND(AO$4:AO28)),TRUE,AO29)</f>
        <v>0</v>
      </c>
      <c r="AT29" s="172" t="e">
        <f>IF(AND(NOT(ISBLANK(Jumpoverwrite9)),AND(NOT(AS29),AND(AS$4:AS28))),($J29*$G29-LN(1+Jumpoverwrite9*AU$2))/$G29,_xll.qlInterpolationInterpolate(AS$3,$F29,TRUE))</f>
        <v>#NUM!</v>
      </c>
      <c r="AU29" s="176" t="str">
        <f>IF(AND(NOT(AS29),AND(AS$4:AS28)),IF($AT29&lt;0,IF($AT29&lt;$J29,EXP(($AT29-$J29)*$G29),EXP(($J29-$AT29)*$G29)),EXP(($AT29-$J29)*$G29)),"")</f>
        <v/>
      </c>
      <c r="AW29" s="72" t="b">
        <f>IF(AND(NOT(AS29),AND(AS$4:AS28)),TRUE,AS29)</f>
        <v>0</v>
      </c>
      <c r="AX29" s="172" t="e">
        <f>IF(AND(NOT(ISBLANK(Jumpoverwrite10)),AND(NOT(AW29),AND(AW$4:AW28))),($J29*$G29-LN(1+Jumpoverwrite10*AY$2))/$G29,_xll.qlInterpolationInterpolate(AW$3,$F29,TRUE))</f>
        <v>#NUM!</v>
      </c>
      <c r="AY29" s="176" t="str">
        <f>IF(AND(NOT(AW29),AND(AW$4:AW28)),IF($AX29&lt;0,IF($AX29&lt;$J29,EXP(($AX29-$J29)*$G29),EXP(($J29-$AX29)*$G29)),EXP(($AX29-$J29)*$G29)),"")</f>
        <v/>
      </c>
      <c r="BA29" s="72" t="b">
        <f>IF(AND(NOT(AW29),AND(AW$4:AW28)),TRUE,AW29)</f>
        <v>0</v>
      </c>
      <c r="BB29" s="172" t="e">
        <f>IF(AND(NOT(ISBLANK(Jumpoverwrite11)),AND(NOT(BA29),AND(BA$4:BA28))),($J29*$G29-LN(1+Jumpoverwrite11*BC$2))/$G29,_xll.qlInterpolationInterpolate(BA$3,$F29,TRUE))</f>
        <v>#NUM!</v>
      </c>
      <c r="BC29" s="176" t="str">
        <f>IF(AND(NOT(BA29),AND(BA$4:BA28)),IF($BB29&lt;0,IF($BB29&lt;$J29,EXP(($BB29-$J29)*$G29),EXP(($J29-$BB29)*$G29)),EXP(($BB29-$J29)*$G29)),"")</f>
        <v/>
      </c>
      <c r="BE29" s="72" t="b">
        <f>IF(AND(NOT(BA29),AND(BA$4:BA28)),TRUE,BA29)</f>
        <v>0</v>
      </c>
      <c r="BF29" s="172" t="e">
        <f>IF(AND(NOT(ISBLANK(Jumpoverwrite12)),AND(NOT(BE29),AND(BE$4:BE28))),($J29*$G29-LN(1+Jumpoverwrite12*BG$2))/$G29,_xll.qlInterpolationInterpolate(BE$3,$F29,TRUE))</f>
        <v>#NUM!</v>
      </c>
      <c r="BG29" s="176" t="str">
        <f>IF(AND(NOT(BE29),AND(BE$4:BE28)),IF($BF29&lt;0,IF($BF29&lt;$J29,EXP(($BF29-$J29)*$G29),EXP(($J29-$BF29)*$G29)),EXP(($BF29-$J29)*$G29)),"")</f>
        <v/>
      </c>
      <c r="BI29" s="72" t="b">
        <f t="shared" si="1"/>
        <v>0</v>
      </c>
      <c r="BJ29" s="172" t="e">
        <f>IF(AND(NOT(ISBLANK(jumpoverwrite13)),AND(NOT(BI29),AND(BI$4:BI28))),($J29*$G29-LN(1+jumpoverwrite13*BK$2))/$G29,_xll.qlInterpolationInterpolate(BI$3,$F29,TRUE))</f>
        <v>#NUM!</v>
      </c>
      <c r="BK29" s="176" t="str">
        <f>IF(AND(NOT(BI29),AND(BI$4:BI28)),IF($BJ29&lt;0,IF($BJ29&lt;$J29,EXP(($BJ29-$J29)*$G29),EXP(($J29-$BJ29)*$G29)),EXP(($BJ29-$J29)*$G29)),"")</f>
        <v/>
      </c>
      <c r="BM29" s="72" t="b">
        <f>IF(AND(NOT(BI29),AND(BI$4:BI28)),TRUE,BI29)</f>
        <v>0</v>
      </c>
      <c r="BN29" s="172" t="e">
        <f>IF(AND(NOT(ISBLANK(Jumpoverwrite14)),AND(NOT(BM29),AND(BM$4:BM28))),($J29*$G29-LN(1+Jumpoverwrite14*BO$2))/$G29,_xll.qlInterpolationInterpolate(BM$3,$F29,TRUE))</f>
        <v>#NUM!</v>
      </c>
      <c r="BO29" s="176" t="str">
        <f>IF(AND(NOT(BM29),AND(BM$4:BM28)),IF($BN29&lt;0,IF($BN29&lt;$J29,EXP(($BN29-$J29)*$G29),EXP(($J29-$BN29)*$G29)),EXP(($BN29-$J29)*$G29)),"")</f>
        <v/>
      </c>
      <c r="BQ29" s="72" t="b">
        <f>IF(AND(NOT(BM29),AND(BM$4:BM28)),TRUE,BM29)</f>
        <v>0</v>
      </c>
      <c r="BR29" s="172" t="e">
        <f>IF(AND(NOT(ISBLANK(Jumpoverwrite15)),AND(NOT(BQ29),AND(BQ$4:BQ28))),($J29*$G29-LN(1+Jumpoverwrite15*BS$2))/$G29,_xll.qlInterpolationInterpolate(BQ$3,$F29,TRUE))</f>
        <v>#NUM!</v>
      </c>
      <c r="BS29" s="176" t="str">
        <f>IF(AND(NOT(BQ29),AND(BQ$4:BQ28)),IF($BN29&lt;0,IF($BN29&lt;$J29,EXP(($BN29-$J29)*$G29),EXP(($J29-$BN29)*$G29)),EXP(($BN29-$J29)*$G29)),"")</f>
        <v/>
      </c>
    </row>
    <row r="30" spans="1:71" x14ac:dyDescent="0.2">
      <c r="A30" s="33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_xll.qlRateHelperPillarDate($A30)</f>
        <v>#VALUE!</v>
      </c>
      <c r="F30" s="84" t="e">
        <f t="shared" si="0"/>
        <v>#N/A</v>
      </c>
      <c r="G30" s="85" t="e">
        <f>_xll.qlDayCounterYearFraction(DayCounter,D29,D30)</f>
        <v>#NUM!</v>
      </c>
      <c r="I30" s="93" t="b">
        <f t="shared" si="2"/>
        <v>0</v>
      </c>
      <c r="J30" s="37" t="e">
        <v>#N/A</v>
      </c>
      <c r="K30" s="94" t="e">
        <f t="shared" si="3"/>
        <v>#VALUE!</v>
      </c>
      <c r="L30" s="75"/>
      <c r="M30" s="72" t="b">
        <f>IF(AND(NOT(I30),AND(I$4:I29)),TRUE,I30)</f>
        <v>0</v>
      </c>
      <c r="N30" s="172" t="e">
        <f>IF(AND(NOT(ISBLANK(Jumpoverwrite1)),AND(NOT(M30),AND(M$4:M29))),($J30*$G30-LN(1+Jumpoverwrite1*O$2))/$G30,_xll.qlInterpolationInterpolate(M$3,$F30,TRUE))</f>
        <v>#NUM!</v>
      </c>
      <c r="O30" s="34" t="str">
        <f>IF(AND(NOT(M30),AND(M$4:M29)),IF($N30&lt;0,IF($N30&lt;$J30,EXP(($N30-$J30)*$G30),EXP(($J30-$N30)*$G30)),EXP(($N30-$J30)*$G30)),"")</f>
        <v/>
      </c>
      <c r="P30" s="107"/>
      <c r="Q30" s="72" t="b">
        <f>IF(AND(NOT(M30),AND(M$4:M29)),TRUE,M30)</f>
        <v>0</v>
      </c>
      <c r="R30" s="172" t="e">
        <f>IF(AND(NOT(ISBLANK(Jumpoverwrite2)),AND(NOT(Q30),AND(Q$4:Q29))),($J30*$G30-LN(1+Jumpoverwrite2*S$2))/$G30,_xll.qlInterpolationInterpolate(Q$3,$F30,TRUE))</f>
        <v>#NUM!</v>
      </c>
      <c r="S30" s="176" t="str">
        <f>IF(AND(NOT(Q30),AND(Q$4:Q29)),IF($R30&lt;0,IF($R30&lt;$J30,EXP(($R30-$J30)*$G30),EXP(($J30-$R30)*$G30)),EXP(($R30-$J30)*$G30)),"")</f>
        <v/>
      </c>
      <c r="T30" s="107"/>
      <c r="U30" s="72" t="b">
        <f>IF(AND(NOT(Q30),AND(Q$4:Q29)),TRUE,Q30)</f>
        <v>0</v>
      </c>
      <c r="V30" s="172" t="e">
        <f>IF(AND(NOT(ISBLANK(Jumpoverwrite3)),AND(NOT(U30),AND(U$4:U29))),($J30*$G30-LN(1+Jumpoverwrite3*W$2))/$G30,_xll.qlInterpolationInterpolate(U$3,$F30,TRUE))</f>
        <v>#NUM!</v>
      </c>
      <c r="W30" s="176" t="str">
        <f>IF(AND(NOT(U30),AND(U$4:U29)),IF($V30&lt;0,IF($V30&lt;$J30,EXP(($V30-$J30)*$G30),EXP(($J30-$V30)*$G30)),EXP(($V30-$J30)*$G30)),"")</f>
        <v/>
      </c>
      <c r="X30" s="107"/>
      <c r="Y30" s="72" t="b">
        <f>IF(AND(NOT(U30),AND(U$4:U29)),TRUE,U30)</f>
        <v>0</v>
      </c>
      <c r="Z30" s="172" t="e">
        <f>IF(AND(NOT(ISBLANK(Jumpoverwrite4)),AND(NOT(Y30),AND(Y$4:Y29))),($J30*$G30-LN(1+Jumpoverwrite4*AA$2))/$G30,_xll.qlInterpolationInterpolate(Y$3,$F30,TRUE))</f>
        <v>#NUM!</v>
      </c>
      <c r="AA30" s="176" t="str">
        <f>IF(AND(NOT(Y30),AND(Y$4:Y29)),IF($Z30&lt;0,IF($Z30&lt;$J30,EXP(($Z30-$J30)*$G30),EXP(($J30-$Z30)*$G30)),EXP(($Z30-$J30)*$G30)),"")</f>
        <v/>
      </c>
      <c r="AB30" s="107"/>
      <c r="AC30" s="72" t="b">
        <f>IF(AND(NOT(Y30),AND(Y$4:Y29)),TRUE,Y30)</f>
        <v>0</v>
      </c>
      <c r="AD30" s="172" t="e">
        <f>IF(AND(NOT(ISBLANK(Jumpoverwrite5)),AND(NOT(AC30),AND(AC$4:AC29))),($J30*$G30-LN(1+Jumpoverwrite5*AE$2))/$G30,_xll.qlInterpolationInterpolate(AC$3,$F30,TRUE))</f>
        <v>#NUM!</v>
      </c>
      <c r="AE30" s="176" t="str">
        <f>IF(AND(NOT(AC30),AND(AC$4:AC29)),IF($AD30&lt;0,IF($AD30&lt;$J30,EXP(($AD30-$J30)*$G30),EXP(($J30-$AD30)*$G30)),EXP(($AD30-$J30)*$G30)),"")</f>
        <v/>
      </c>
      <c r="AF30" s="107"/>
      <c r="AG30" s="72" t="b">
        <f>IF(AND(NOT(AC30),AND(AC$4:AC29)),TRUE,AC30)</f>
        <v>0</v>
      </c>
      <c r="AH30" s="172" t="e">
        <f>IF(AND(NOT(ISBLANK(Jumpoverwrite6)),AND(NOT(AG30),AND(AG$4:AG29))),($J30*$G30-LN(1+Jumpoverwrite6*AI$2))/$G30,_xll.qlInterpolationInterpolate(AG$3,$F30,TRUE))</f>
        <v>#NUM!</v>
      </c>
      <c r="AI30" s="176" t="str">
        <f>IF(AND(NOT(AG30),AND(AG$4:AG29)),IF($AH30&lt;0,IF($AH30&lt;$J30,EXP(($AH30-$J30)*$G30),EXP(($J30-$AH30)*$G30)),EXP(($AH30-$J30)*$G30)),"")</f>
        <v/>
      </c>
      <c r="AJ30" s="107"/>
      <c r="AK30" s="72" t="b">
        <f>IF(AND(NOT(AG30),AND(AG$4:AG29)),TRUE,AG30)</f>
        <v>0</v>
      </c>
      <c r="AL30" s="172" t="e">
        <f>IF(AND(NOT(ISBLANK(Jumpoverwrite7)),AND(NOT(AK30),AND(AK$4:AK29))),($J30*$G30-LN(1+Jumpoverwrite7*AM$2))/$G30,_xll.qlInterpolationInterpolate(AK$3,$F30,TRUE))</f>
        <v>#NUM!</v>
      </c>
      <c r="AM30" s="176" t="str">
        <f>IF(AND(NOT(AK30),AND(AK$4:AK29)),IF($AL30&lt;0,IF($AL30&lt;$J30,EXP(($AL30-$J30)*$G30),EXP(($J30-$AL30)*$G30)),EXP(($AL30-$J30)*$G30)),"")</f>
        <v/>
      </c>
      <c r="AO30" s="72" t="b">
        <f>IF(AND(NOT(AK30),AND(AK$4:AK29)),TRUE,AK30)</f>
        <v>0</v>
      </c>
      <c r="AP30" s="172" t="e">
        <f>IF(AND(NOT(ISBLANK(Jumpoverwrite8)),AND(NOT(AO30),AND(AO$4:AO29))),($J30*$G30-LN(1+Jumpoverwrite8*AQ$2))/$G30,_xll.qlInterpolationInterpolate(AO$3,$F30,TRUE))</f>
        <v>#NUM!</v>
      </c>
      <c r="AQ30" s="176" t="str">
        <f>IF(AND(NOT(AO30),AND(AO$4:AO29)),IF($AP30&lt;0,IF($AP30&lt;$J30,EXP(($AP30-$J30)*$G30),EXP(($J30-$AP30)*$G30)),EXP(($AP30-$J30)*$G30)),"")</f>
        <v/>
      </c>
      <c r="AS30" s="72" t="b">
        <f>IF(AND(NOT(AO30),AND(AO$4:AO29)),TRUE,AO30)</f>
        <v>0</v>
      </c>
      <c r="AT30" s="172" t="e">
        <f>IF(AND(NOT(ISBLANK(Jumpoverwrite9)),AND(NOT(AS30),AND(AS$4:AS29))),($J30*$G30-LN(1+Jumpoverwrite9*AU$2))/$G30,_xll.qlInterpolationInterpolate(AS$3,$F30,TRUE))</f>
        <v>#NUM!</v>
      </c>
      <c r="AU30" s="176" t="str">
        <f>IF(AND(NOT(AS30),AND(AS$4:AS29)),IF($AT30&lt;0,IF($AT30&lt;$J30,EXP(($AT30-$J30)*$G30),EXP(($J30-$AT30)*$G30)),EXP(($AT30-$J30)*$G30)),"")</f>
        <v/>
      </c>
      <c r="AW30" s="72" t="b">
        <f>IF(AND(NOT(AS30),AND(AS$4:AS29)),TRUE,AS30)</f>
        <v>0</v>
      </c>
      <c r="AX30" s="172" t="e">
        <f>IF(AND(NOT(ISBLANK(Jumpoverwrite10)),AND(NOT(AW30),AND(AW$4:AW29))),($J30*$G30-LN(1+Jumpoverwrite10*AY$2))/$G30,_xll.qlInterpolationInterpolate(AW$3,$F30,TRUE))</f>
        <v>#NUM!</v>
      </c>
      <c r="AY30" s="176" t="str">
        <f>IF(AND(NOT(AW30),AND(AW$4:AW29)),IF($AX30&lt;0,IF($AX30&lt;$J30,EXP(($AX30-$J30)*$G30),EXP(($J30-$AX30)*$G30)),EXP(($AX30-$J30)*$G30)),"")</f>
        <v/>
      </c>
      <c r="BA30" s="72" t="b">
        <f>IF(AND(NOT(AW30),AND(AW$4:AW29)),TRUE,AW30)</f>
        <v>0</v>
      </c>
      <c r="BB30" s="172" t="e">
        <f>IF(AND(NOT(ISBLANK(Jumpoverwrite11)),AND(NOT(BA30),AND(BA$4:BA29))),($J30*$G30-LN(1+Jumpoverwrite11*BC$2))/$G30,_xll.qlInterpolationInterpolate(BA$3,$F30,TRUE))</f>
        <v>#NUM!</v>
      </c>
      <c r="BC30" s="176" t="str">
        <f>IF(AND(NOT(BA30),AND(BA$4:BA29)),IF($BB30&lt;0,IF($BB30&lt;$J30,EXP(($BB30-$J30)*$G30),EXP(($J30-$BB30)*$G30)),EXP(($BB30-$J30)*$G30)),"")</f>
        <v/>
      </c>
      <c r="BE30" s="72" t="b">
        <f>IF(AND(NOT(BA30),AND(BA$4:BA29)),TRUE,BA30)</f>
        <v>0</v>
      </c>
      <c r="BF30" s="172" t="e">
        <f>IF(AND(NOT(ISBLANK(Jumpoverwrite12)),AND(NOT(BE30),AND(BE$4:BE29))),($J30*$G30-LN(1+Jumpoverwrite12*BG$2))/$G30,_xll.qlInterpolationInterpolate(BE$3,$F30,TRUE))</f>
        <v>#NUM!</v>
      </c>
      <c r="BG30" s="176" t="str">
        <f>IF(AND(NOT(BE30),AND(BE$4:BE29)),IF($BF30&lt;0,IF($BF30&lt;$J30,EXP(($BF30-$J30)*$G30),EXP(($J30-$BF30)*$G30)),EXP(($BF30-$J30)*$G30)),"")</f>
        <v/>
      </c>
      <c r="BI30" s="72" t="b">
        <f t="shared" si="1"/>
        <v>0</v>
      </c>
      <c r="BJ30" s="172" t="e">
        <f>IF(AND(NOT(ISBLANK(jumpoverwrite13)),AND(NOT(BI30),AND(BI$4:BI29))),($J30*$G30-LN(1+jumpoverwrite13*BK$2))/$G30,_xll.qlInterpolationInterpolate(BI$3,$F30,TRUE))</f>
        <v>#NUM!</v>
      </c>
      <c r="BK30" s="176" t="str">
        <f>IF(AND(NOT(BI30),AND(BI$4:BI29)),IF($BJ30&lt;0,IF($BJ30&lt;$J30,EXP(($BJ30-$J30)*$G30),EXP(($J30-$BJ30)*$G30)),EXP(($BJ30-$J30)*$G30)),"")</f>
        <v/>
      </c>
      <c r="BM30" s="72" t="b">
        <f>IF(AND(NOT(BI30),AND(BI$4:BI29)),TRUE,BI30)</f>
        <v>0</v>
      </c>
      <c r="BN30" s="172" t="e">
        <f>IF(AND(NOT(ISBLANK(Jumpoverwrite14)),AND(NOT(BM30),AND(BM$4:BM29))),($J30*$G30-LN(1+Jumpoverwrite14*BO$2))/$G30,_xll.qlInterpolationInterpolate(BM$3,$F30,TRUE))</f>
        <v>#NUM!</v>
      </c>
      <c r="BO30" s="176" t="str">
        <f>IF(AND(NOT(BM30),AND(BM$4:BM29)),IF($BN30&lt;0,IF($BN30&lt;$J30,EXP(($BN30-$J30)*$G30),EXP(($J30-$BN30)*$G30)),EXP(($BN30-$J30)*$G30)),"")</f>
        <v/>
      </c>
      <c r="BQ30" s="72" t="b">
        <f>IF(AND(NOT(BM30),AND(BM$4:BM29)),TRUE,BM30)</f>
        <v>0</v>
      </c>
      <c r="BR30" s="172" t="e">
        <f>IF(AND(NOT(ISBLANK(Jumpoverwrite15)),AND(NOT(BQ30),AND(BQ$4:BQ29))),($J30*$G30-LN(1+Jumpoverwrite15*BS$2))/$G30,_xll.qlInterpolationInterpolate(BQ$3,$F30,TRUE))</f>
        <v>#NUM!</v>
      </c>
      <c r="BS30" s="176" t="str">
        <f>IF(AND(NOT(BQ30),AND(BQ$4:BQ29)),IF($BN30&lt;0,IF($BN30&lt;$J30,EXP(($BN30-$J30)*$G30),EXP(($J30-$BN30)*$G30)),EXP(($BN30-$J30)*$G30)),"")</f>
        <v/>
      </c>
    </row>
    <row r="31" spans="1:71" x14ac:dyDescent="0.2">
      <c r="A31" s="33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_xll.qlRateHelperPillarDate($A31)</f>
        <v>#VALUE!</v>
      </c>
      <c r="F31" s="84" t="e">
        <f t="shared" ref="F31:F94" si="4">IF(ISERROR(D31),NA(),(D31-D30)/2+D30)</f>
        <v>#N/A</v>
      </c>
      <c r="G31" s="85" t="e">
        <f>_xll.qlDayCounterYearFraction(DayCounter,D30,D31)</f>
        <v>#NUM!</v>
      </c>
      <c r="I31" s="93" t="b">
        <f t="shared" si="2"/>
        <v>0</v>
      </c>
      <c r="J31" s="37" t="e">
        <v>#N/A</v>
      </c>
      <c r="K31" s="94" t="e">
        <f t="shared" si="3"/>
        <v>#VALUE!</v>
      </c>
      <c r="L31" s="105"/>
      <c r="M31" s="72" t="b">
        <f>IF(AND(NOT(I31),AND(I$4:I30)),TRUE,I31)</f>
        <v>0</v>
      </c>
      <c r="N31" s="172" t="e">
        <f>IF(AND(NOT(ISBLANK(Jumpoverwrite1)),AND(NOT(M31),AND(M$4:M30))),($J31*$G31-LN(1+Jumpoverwrite1*O$2))/$G31,_xll.qlInterpolationInterpolate(M$3,$F31,TRUE))</f>
        <v>#NUM!</v>
      </c>
      <c r="O31" s="34" t="str">
        <f>IF(AND(NOT(M31),AND(M$4:M30)),IF($N31&lt;0,IF($N31&lt;$J31,EXP(($N31-$J31)*$G31),EXP(($J31-$N31)*$G31)),EXP(($N31-$J31)*$G31)),"")</f>
        <v/>
      </c>
      <c r="P31" s="107"/>
      <c r="Q31" s="72" t="b">
        <f>IF(AND(NOT(M31),AND(M$4:M30)),TRUE,M31)</f>
        <v>0</v>
      </c>
      <c r="R31" s="172" t="e">
        <f>IF(AND(NOT(ISBLANK(Jumpoverwrite2)),AND(NOT(Q31),AND(Q$4:Q30))),($J31*$G31-LN(1+Jumpoverwrite2*S$2))/$G31,_xll.qlInterpolationInterpolate(Q$3,$F31,TRUE))</f>
        <v>#NUM!</v>
      </c>
      <c r="S31" s="176" t="str">
        <f>IF(AND(NOT(Q31),AND(Q$4:Q30)),IF($R31&lt;0,IF($R31&lt;$J31,EXP(($R31-$J31)*$G31),EXP(($J31-$R31)*$G31)),EXP(($R31-$J31)*$G31)),"")</f>
        <v/>
      </c>
      <c r="T31" s="107"/>
      <c r="U31" s="72" t="b">
        <f>IF(AND(NOT(Q31),AND(Q$4:Q30)),TRUE,Q31)</f>
        <v>0</v>
      </c>
      <c r="V31" s="172" t="e">
        <f>IF(AND(NOT(ISBLANK(Jumpoverwrite3)),AND(NOT(U31),AND(U$4:U30))),($J31*$G31-LN(1+Jumpoverwrite3*W$2))/$G31,_xll.qlInterpolationInterpolate(U$3,$F31,TRUE))</f>
        <v>#NUM!</v>
      </c>
      <c r="W31" s="176" t="str">
        <f>IF(AND(NOT(U31),AND(U$4:U30)),IF($V31&lt;0,IF($V31&lt;$J31,EXP(($V31-$J31)*$G31),EXP(($J31-$V31)*$G31)),EXP(($V31-$J31)*$G31)),"")</f>
        <v/>
      </c>
      <c r="X31" s="107"/>
      <c r="Y31" s="72" t="b">
        <f>IF(AND(NOT(U31),AND(U$4:U30)),TRUE,U31)</f>
        <v>0</v>
      </c>
      <c r="Z31" s="172" t="e">
        <f>IF(AND(NOT(ISBLANK(Jumpoverwrite4)),AND(NOT(Y31),AND(Y$4:Y30))),($J31*$G31-LN(1+Jumpoverwrite4*AA$2))/$G31,_xll.qlInterpolationInterpolate(Y$3,$F31,TRUE))</f>
        <v>#NUM!</v>
      </c>
      <c r="AA31" s="176" t="str">
        <f>IF(AND(NOT(Y31),AND(Y$4:Y30)),IF($Z31&lt;0,IF($Z31&lt;$J31,EXP(($Z31-$J31)*$G31),EXP(($J31-$Z31)*$G31)),EXP(($Z31-$J31)*$G31)),"")</f>
        <v/>
      </c>
      <c r="AB31" s="107"/>
      <c r="AC31" s="72" t="b">
        <f>IF(AND(NOT(Y31),AND(Y$4:Y30)),TRUE,Y31)</f>
        <v>0</v>
      </c>
      <c r="AD31" s="172" t="e">
        <f>IF(AND(NOT(ISBLANK(Jumpoverwrite5)),AND(NOT(AC31),AND(AC$4:AC30))),($J31*$G31-LN(1+Jumpoverwrite5*AE$2))/$G31,_xll.qlInterpolationInterpolate(AC$3,$F31,TRUE))</f>
        <v>#NUM!</v>
      </c>
      <c r="AE31" s="176" t="str">
        <f>IF(AND(NOT(AC31),AND(AC$4:AC30)),IF($AD31&lt;0,IF($AD31&lt;$J31,EXP(($AD31-$J31)*$G31),EXP(($J31-$AD31)*$G31)),EXP(($AD31-$J31)*$G31)),"")</f>
        <v/>
      </c>
      <c r="AF31" s="107"/>
      <c r="AG31" s="72" t="b">
        <f>IF(AND(NOT(AC31),AND(AC$4:AC30)),TRUE,AC31)</f>
        <v>0</v>
      </c>
      <c r="AH31" s="172" t="e">
        <f>IF(AND(NOT(ISBLANK(Jumpoverwrite6)),AND(NOT(AG31),AND(AG$4:AG30))),($J31*$G31-LN(1+Jumpoverwrite6*AI$2))/$G31,_xll.qlInterpolationInterpolate(AG$3,$F31,TRUE))</f>
        <v>#NUM!</v>
      </c>
      <c r="AI31" s="176" t="str">
        <f>IF(AND(NOT(AG31),AND(AG$4:AG30)),IF($AH31&lt;0,IF($AH31&lt;$J31,EXP(($AH31-$J31)*$G31),EXP(($J31-$AH31)*$G31)),EXP(($AH31-$J31)*$G31)),"")</f>
        <v/>
      </c>
      <c r="AJ31" s="107"/>
      <c r="AK31" s="72" t="b">
        <f>IF(AND(NOT(AG31),AND(AG$4:AG30)),TRUE,AG31)</f>
        <v>0</v>
      </c>
      <c r="AL31" s="172" t="e">
        <f>IF(AND(NOT(ISBLANK(Jumpoverwrite7)),AND(NOT(AK31),AND(AK$4:AK30))),($J31*$G31-LN(1+Jumpoverwrite7*AM$2))/$G31,_xll.qlInterpolationInterpolate(AK$3,$F31,TRUE))</f>
        <v>#NUM!</v>
      </c>
      <c r="AM31" s="176" t="str">
        <f>IF(AND(NOT(AK31),AND(AK$4:AK30)),IF($AL31&lt;0,IF($AL31&lt;$J31,EXP(($AL31-$J31)*$G31),EXP(($J31-$AL31)*$G31)),EXP(($AL31-$J31)*$G31)),"")</f>
        <v/>
      </c>
      <c r="AO31" s="72" t="b">
        <f>IF(AND(NOT(AK31),AND(AK$4:AK30)),TRUE,AK31)</f>
        <v>0</v>
      </c>
      <c r="AP31" s="172" t="e">
        <f>IF(AND(NOT(ISBLANK(Jumpoverwrite8)),AND(NOT(AO31),AND(AO$4:AO30))),($J31*$G31-LN(1+Jumpoverwrite8*AQ$2))/$G31,_xll.qlInterpolationInterpolate(AO$3,$F31,TRUE))</f>
        <v>#NUM!</v>
      </c>
      <c r="AQ31" s="176" t="str">
        <f>IF(AND(NOT(AO31),AND(AO$4:AO30)),IF($AP31&lt;0,IF($AP31&lt;$J31,EXP(($AP31-$J31)*$G31),EXP(($J31-$AP31)*$G31)),EXP(($AP31-$J31)*$G31)),"")</f>
        <v/>
      </c>
      <c r="AS31" s="72" t="b">
        <f>IF(AND(NOT(AO31),AND(AO$4:AO30)),TRUE,AO31)</f>
        <v>0</v>
      </c>
      <c r="AT31" s="172" t="e">
        <f>IF(AND(NOT(ISBLANK(Jumpoverwrite9)),AND(NOT(AS31),AND(AS$4:AS30))),($J31*$G31-LN(1+Jumpoverwrite9*AU$2))/$G31,_xll.qlInterpolationInterpolate(AS$3,$F31,TRUE))</f>
        <v>#NUM!</v>
      </c>
      <c r="AU31" s="176" t="str">
        <f>IF(AND(NOT(AS31),AND(AS$4:AS30)),IF($AT31&lt;0,IF($AT31&lt;$J31,EXP(($AT31-$J31)*$G31),EXP(($J31-$AT31)*$G31)),EXP(($AT31-$J31)*$G31)),"")</f>
        <v/>
      </c>
      <c r="AW31" s="72" t="b">
        <f>IF(AND(NOT(AS31),AND(AS$4:AS30)),TRUE,AS31)</f>
        <v>0</v>
      </c>
      <c r="AX31" s="172" t="e">
        <f>IF(AND(NOT(ISBLANK(Jumpoverwrite10)),AND(NOT(AW31),AND(AW$4:AW30))),($J31*$G31-LN(1+Jumpoverwrite10*AY$2))/$G31,_xll.qlInterpolationInterpolate(AW$3,$F31,TRUE))</f>
        <v>#NUM!</v>
      </c>
      <c r="AY31" s="176" t="str">
        <f>IF(AND(NOT(AW31),AND(AW$4:AW30)),IF($AX31&lt;0,IF($AX31&lt;$J31,EXP(($AX31-$J31)*$G31),EXP(($J31-$AX31)*$G31)),EXP(($AX31-$J31)*$G31)),"")</f>
        <v/>
      </c>
      <c r="BA31" s="72" t="b">
        <f>IF(AND(NOT(AW31),AND(AW$4:AW30)),TRUE,AW31)</f>
        <v>0</v>
      </c>
      <c r="BB31" s="172" t="e">
        <f>IF(AND(NOT(ISBLANK(Jumpoverwrite11)),AND(NOT(BA31),AND(BA$4:BA30))),($J31*$G31-LN(1+Jumpoverwrite11*BC$2))/$G31,_xll.qlInterpolationInterpolate(BA$3,$F31,TRUE))</f>
        <v>#NUM!</v>
      </c>
      <c r="BC31" s="176" t="str">
        <f>IF(AND(NOT(BA31),AND(BA$4:BA30)),IF($BB31&lt;0,IF($BB31&lt;$J31,EXP(($BB31-$J31)*$G31),EXP(($J31-$BB31)*$G31)),EXP(($BB31-$J31)*$G31)),"")</f>
        <v/>
      </c>
      <c r="BE31" s="72" t="b">
        <f>IF(AND(NOT(BA31),AND(BA$4:BA30)),TRUE,BA31)</f>
        <v>0</v>
      </c>
      <c r="BF31" s="172" t="e">
        <f>IF(AND(NOT(ISBLANK(Jumpoverwrite12)),AND(NOT(BE31),AND(BE$4:BE30))),($J31*$G31-LN(1+Jumpoverwrite12*BG$2))/$G31,_xll.qlInterpolationInterpolate(BE$3,$F31,TRUE))</f>
        <v>#NUM!</v>
      </c>
      <c r="BG31" s="176" t="str">
        <f>IF(AND(NOT(BE31),AND(BE$4:BE30)),IF($BF31&lt;0,IF($BF31&lt;$J31,EXP(($BF31-$J31)*$G31),EXP(($J31-$BF31)*$G31)),EXP(($BF31-$J31)*$G31)),"")</f>
        <v/>
      </c>
      <c r="BI31" s="72" t="b">
        <f t="shared" si="1"/>
        <v>0</v>
      </c>
      <c r="BJ31" s="172" t="e">
        <f>IF(AND(NOT(ISBLANK(jumpoverwrite13)),AND(NOT(BI31),AND(BI$4:BI30))),($J31*$G31-LN(1+jumpoverwrite13*BK$2))/$G31,_xll.qlInterpolationInterpolate(BI$3,$F31,TRUE))</f>
        <v>#NUM!</v>
      </c>
      <c r="BK31" s="176" t="str">
        <f>IF(AND(NOT(BI31),AND(BI$4:BI30)),IF($BJ31&lt;0,IF($BJ31&lt;$J31,EXP(($BJ31-$J31)*$G31),EXP(($J31-$BJ31)*$G31)),EXP(($BJ31-$J31)*$G31)),"")</f>
        <v/>
      </c>
      <c r="BM31" s="72" t="b">
        <f>IF(AND(NOT(BI31),AND(BI$4:BI30)),TRUE,BI31)</f>
        <v>0</v>
      </c>
      <c r="BN31" s="172" t="e">
        <f>IF(AND(NOT(ISBLANK(Jumpoverwrite14)),AND(NOT(BM31),AND(BM$4:BM30))),($J31*$G31-LN(1+Jumpoverwrite14*BO$2))/$G31,_xll.qlInterpolationInterpolate(BM$3,$F31,TRUE))</f>
        <v>#NUM!</v>
      </c>
      <c r="BO31" s="176" t="str">
        <f>IF(AND(NOT(BM31),AND(BM$4:BM30)),IF($BN31&lt;0,IF($BN31&lt;$J31,EXP(($BN31-$J31)*$G31),EXP(($J31-$BN31)*$G31)),EXP(($BN31-$J31)*$G31)),"")</f>
        <v/>
      </c>
      <c r="BQ31" s="72" t="b">
        <f>IF(AND(NOT(BM31),AND(BM$4:BM30)),TRUE,BM31)</f>
        <v>0</v>
      </c>
      <c r="BR31" s="172" t="e">
        <f>IF(AND(NOT(ISBLANK(Jumpoverwrite15)),AND(NOT(BQ31),AND(BQ$4:BQ30))),($J31*$G31-LN(1+Jumpoverwrite15*BS$2))/$G31,_xll.qlInterpolationInterpolate(BQ$3,$F31,TRUE))</f>
        <v>#NUM!</v>
      </c>
      <c r="BS31" s="176" t="str">
        <f>IF(AND(NOT(BQ31),AND(BQ$4:BQ30)),IF($BN31&lt;0,IF($BN31&lt;$J31,EXP(($BN31-$J31)*$G31),EXP(($J31-$BN31)*$G31)),EXP(($BN31-$J31)*$G31)),"")</f>
        <v/>
      </c>
    </row>
    <row r="32" spans="1:71" x14ac:dyDescent="0.2">
      <c r="A32" s="33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_xll.qlRateHelperPillarDate($A32)</f>
        <v>#VALUE!</v>
      </c>
      <c r="F32" s="84" t="e">
        <f t="shared" si="4"/>
        <v>#N/A</v>
      </c>
      <c r="G32" s="85" t="e">
        <f>_xll.qlDayCounterYearFraction(DayCounter,D31,D32)</f>
        <v>#NUM!</v>
      </c>
      <c r="I32" s="93" t="b">
        <f t="shared" si="2"/>
        <v>0</v>
      </c>
      <c r="J32" s="37" t="e">
        <v>#N/A</v>
      </c>
      <c r="K32" s="94" t="e">
        <f t="shared" si="3"/>
        <v>#VALUE!</v>
      </c>
      <c r="L32" s="105"/>
      <c r="M32" s="72" t="b">
        <f>IF(AND(NOT(I32),AND(I$4:I31)),TRUE,I32)</f>
        <v>0</v>
      </c>
      <c r="N32" s="172" t="e">
        <f>IF(AND(NOT(ISBLANK(Jumpoverwrite1)),AND(NOT(M32),AND(M$4:M31))),($J32*$G32-LN(1+Jumpoverwrite1*O$2))/$G32,_xll.qlInterpolationInterpolate(M$3,$F32,TRUE))</f>
        <v>#NUM!</v>
      </c>
      <c r="O32" s="34" t="str">
        <f>IF(AND(NOT(M32),AND(M$4:M31)),IF($N32&lt;0,IF($N32&lt;$J32,EXP(($N32-$J32)*$G32),EXP(($J32-$N32)*$G32)),EXP(($N32-$J32)*$G32)),"")</f>
        <v/>
      </c>
      <c r="P32" s="107"/>
      <c r="Q32" s="72" t="b">
        <f>IF(AND(NOT(M32),AND(M$4:M31)),TRUE,M32)</f>
        <v>0</v>
      </c>
      <c r="R32" s="172" t="e">
        <f>IF(AND(NOT(ISBLANK(Jumpoverwrite2)),AND(NOT(Q32),AND(Q$4:Q31))),($J32*$G32-LN(1+Jumpoverwrite2*S$2))/$G32,_xll.qlInterpolationInterpolate(Q$3,$F32,TRUE))</f>
        <v>#NUM!</v>
      </c>
      <c r="S32" s="176" t="str">
        <f>IF(AND(NOT(Q32),AND(Q$4:Q31)),IF($R32&lt;0,IF($R32&lt;$J32,EXP(($R32-$J32)*$G32),EXP(($J32-$R32)*$G32)),EXP(($R32-$J32)*$G32)),"")</f>
        <v/>
      </c>
      <c r="T32" s="107"/>
      <c r="U32" s="72" t="b">
        <f>IF(AND(NOT(Q32),AND(Q$4:Q31)),TRUE,Q32)</f>
        <v>0</v>
      </c>
      <c r="V32" s="172" t="e">
        <f>IF(AND(NOT(ISBLANK(Jumpoverwrite3)),AND(NOT(U32),AND(U$4:U31))),($J32*$G32-LN(1+Jumpoverwrite3*W$2))/$G32,_xll.qlInterpolationInterpolate(U$3,$F32,TRUE))</f>
        <v>#NUM!</v>
      </c>
      <c r="W32" s="176" t="str">
        <f>IF(AND(NOT(U32),AND(U$4:U31)),IF($V32&lt;0,IF($V32&lt;$J32,EXP(($V32-$J32)*$G32),EXP(($J32-$V32)*$G32)),EXP(($V32-$J32)*$G32)),"")</f>
        <v/>
      </c>
      <c r="X32" s="107"/>
      <c r="Y32" s="72" t="b">
        <f>IF(AND(NOT(U32),AND(U$4:U31)),TRUE,U32)</f>
        <v>0</v>
      </c>
      <c r="Z32" s="172" t="e">
        <f>IF(AND(NOT(ISBLANK(Jumpoverwrite4)),AND(NOT(Y32),AND(Y$4:Y31))),($J32*$G32-LN(1+Jumpoverwrite4*AA$2))/$G32,_xll.qlInterpolationInterpolate(Y$3,$F32,TRUE))</f>
        <v>#NUM!</v>
      </c>
      <c r="AA32" s="176" t="str">
        <f>IF(AND(NOT(Y32),AND(Y$4:Y31)),IF($Z32&lt;0,IF($Z32&lt;$J32,EXP(($Z32-$J32)*$G32),EXP(($J32-$Z32)*$G32)),EXP(($Z32-$J32)*$G32)),"")</f>
        <v/>
      </c>
      <c r="AB32" s="107"/>
      <c r="AC32" s="72" t="b">
        <f>IF(AND(NOT(Y32),AND(Y$4:Y31)),TRUE,Y32)</f>
        <v>0</v>
      </c>
      <c r="AD32" s="172" t="e">
        <f>IF(AND(NOT(ISBLANK(Jumpoverwrite5)),AND(NOT(AC32),AND(AC$4:AC31))),($J32*$G32-LN(1+Jumpoverwrite5*AE$2))/$G32,_xll.qlInterpolationInterpolate(AC$3,$F32,TRUE))</f>
        <v>#NUM!</v>
      </c>
      <c r="AE32" s="176" t="str">
        <f>IF(AND(NOT(AC32),AND(AC$4:AC31)),IF($AD32&lt;0,IF($AD32&lt;$J32,EXP(($AD32-$J32)*$G32),EXP(($J32-$AD32)*$G32)),EXP(($AD32-$J32)*$G32)),"")</f>
        <v/>
      </c>
      <c r="AF32" s="107"/>
      <c r="AG32" s="72" t="b">
        <f>IF(AND(NOT(AC32),AND(AC$4:AC31)),TRUE,AC32)</f>
        <v>0</v>
      </c>
      <c r="AH32" s="172" t="e">
        <f>IF(AND(NOT(ISBLANK(Jumpoverwrite6)),AND(NOT(AG32),AND(AG$4:AG31))),($J32*$G32-LN(1+Jumpoverwrite6*AI$2))/$G32,_xll.qlInterpolationInterpolate(AG$3,$F32,TRUE))</f>
        <v>#NUM!</v>
      </c>
      <c r="AI32" s="176" t="str">
        <f>IF(AND(NOT(AG32),AND(AG$4:AG31)),IF($AH32&lt;0,IF($AH32&lt;$J32,EXP(($AH32-$J32)*$G32),EXP(($J32-$AH32)*$G32)),EXP(($AH32-$J32)*$G32)),"")</f>
        <v/>
      </c>
      <c r="AJ32" s="107"/>
      <c r="AK32" s="72" t="b">
        <f>IF(AND(NOT(AG32),AND(AG$4:AG31)),TRUE,AG32)</f>
        <v>0</v>
      </c>
      <c r="AL32" s="172" t="e">
        <f>IF(AND(NOT(ISBLANK(Jumpoverwrite7)),AND(NOT(AK32),AND(AK$4:AK31))),($J32*$G32-LN(1+Jumpoverwrite7*AM$2))/$G32,_xll.qlInterpolationInterpolate(AK$3,$F32,TRUE))</f>
        <v>#NUM!</v>
      </c>
      <c r="AM32" s="176" t="str">
        <f>IF(AND(NOT(AK32),AND(AK$4:AK31)),IF($AL32&lt;0,IF($AL32&lt;$J32,EXP(($AL32-$J32)*$G32),EXP(($J32-$AL32)*$G32)),EXP(($AL32-$J32)*$G32)),"")</f>
        <v/>
      </c>
      <c r="AO32" s="72" t="b">
        <f>IF(AND(NOT(AK32),AND(AK$4:AK31)),TRUE,AK32)</f>
        <v>0</v>
      </c>
      <c r="AP32" s="172" t="e">
        <f>IF(AND(NOT(ISBLANK(Jumpoverwrite8)),AND(NOT(AO32),AND(AO$4:AO31))),($J32*$G32-LN(1+Jumpoverwrite8*AQ$2))/$G32,_xll.qlInterpolationInterpolate(AO$3,$F32,TRUE))</f>
        <v>#NUM!</v>
      </c>
      <c r="AQ32" s="176" t="str">
        <f>IF(AND(NOT(AO32),AND(AO$4:AO31)),IF($AP32&lt;0,IF($AP32&lt;$J32,EXP(($AP32-$J32)*$G32),EXP(($J32-$AP32)*$G32)),EXP(($AP32-$J32)*$G32)),"")</f>
        <v/>
      </c>
      <c r="AS32" s="72" t="b">
        <f>IF(AND(NOT(AO32),AND(AO$4:AO31)),TRUE,AO32)</f>
        <v>0</v>
      </c>
      <c r="AT32" s="172" t="e">
        <f>IF(AND(NOT(ISBLANK(Jumpoverwrite9)),AND(NOT(AS32),AND(AS$4:AS31))),($J32*$G32-LN(1+Jumpoverwrite9*AU$2))/$G32,_xll.qlInterpolationInterpolate(AS$3,$F32,TRUE))</f>
        <v>#NUM!</v>
      </c>
      <c r="AU32" s="176" t="str">
        <f>IF(AND(NOT(AS32),AND(AS$4:AS31)),IF($AT32&lt;0,IF($AT32&lt;$J32,EXP(($AT32-$J32)*$G32),EXP(($J32-$AT32)*$G32)),EXP(($AT32-$J32)*$G32)),"")</f>
        <v/>
      </c>
      <c r="AW32" s="72" t="b">
        <f>IF(AND(NOT(AS32),AND(AS$4:AS31)),TRUE,AS32)</f>
        <v>0</v>
      </c>
      <c r="AX32" s="172" t="e">
        <f>IF(AND(NOT(ISBLANK(Jumpoverwrite10)),AND(NOT(AW32),AND(AW$4:AW31))),($J32*$G32-LN(1+Jumpoverwrite10*AY$2))/$G32,_xll.qlInterpolationInterpolate(AW$3,$F32,TRUE))</f>
        <v>#NUM!</v>
      </c>
      <c r="AY32" s="176" t="str">
        <f>IF(AND(NOT(AW32),AND(AW$4:AW31)),IF($AX32&lt;0,IF($AX32&lt;$J32,EXP(($AX32-$J32)*$G32),EXP(($J32-$AX32)*$G32)),EXP(($AX32-$J32)*$G32)),"")</f>
        <v/>
      </c>
      <c r="BA32" s="72" t="b">
        <f>IF(AND(NOT(AW32),AND(AW$4:AW31)),TRUE,AW32)</f>
        <v>0</v>
      </c>
      <c r="BB32" s="172" t="e">
        <f>IF(AND(NOT(ISBLANK(Jumpoverwrite11)),AND(NOT(BA32),AND(BA$4:BA31))),($J32*$G32-LN(1+Jumpoverwrite11*BC$2))/$G32,_xll.qlInterpolationInterpolate(BA$3,$F32,TRUE))</f>
        <v>#NUM!</v>
      </c>
      <c r="BC32" s="176" t="str">
        <f>IF(AND(NOT(BA32),AND(BA$4:BA31)),IF($BB32&lt;0,IF($BB32&lt;$J32,EXP(($BB32-$J32)*$G32),EXP(($J32-$BB32)*$G32)),EXP(($BB32-$J32)*$G32)),"")</f>
        <v/>
      </c>
      <c r="BE32" s="72" t="b">
        <f>IF(AND(NOT(BA32),AND(BA$4:BA31)),TRUE,BA32)</f>
        <v>0</v>
      </c>
      <c r="BF32" s="172" t="e">
        <f>IF(AND(NOT(ISBLANK(Jumpoverwrite12)),AND(NOT(BE32),AND(BE$4:BE31))),($J32*$G32-LN(1+Jumpoverwrite12*BG$2))/$G32,_xll.qlInterpolationInterpolate(BE$3,$F32,TRUE))</f>
        <v>#NUM!</v>
      </c>
      <c r="BG32" s="176" t="str">
        <f>IF(AND(NOT(BE32),AND(BE$4:BE31)),IF($BF32&lt;0,IF($BF32&lt;$J32,EXP(($BF32-$J32)*$G32),EXP(($J32-$BF32)*$G32)),EXP(($BF32-$J32)*$G32)),"")</f>
        <v/>
      </c>
      <c r="BI32" s="72" t="b">
        <f t="shared" si="1"/>
        <v>0</v>
      </c>
      <c r="BJ32" s="172" t="e">
        <f>IF(AND(NOT(ISBLANK(jumpoverwrite13)),AND(NOT(BI32),AND(BI$4:BI31))),($J32*$G32-LN(1+jumpoverwrite13*BK$2))/$G32,_xll.qlInterpolationInterpolate(BI$3,$F32,TRUE))</f>
        <v>#NUM!</v>
      </c>
      <c r="BK32" s="176" t="str">
        <f>IF(AND(NOT(BI32),AND(BI$4:BI31)),IF($BJ32&lt;0,IF($BJ32&lt;$J32,EXP(($BJ32-$J32)*$G32),EXP(($J32-$BJ32)*$G32)),EXP(($BJ32-$J32)*$G32)),"")</f>
        <v/>
      </c>
      <c r="BM32" s="72" t="b">
        <f>IF(AND(NOT(BI32),AND(BI$4:BI31)),TRUE,BI32)</f>
        <v>0</v>
      </c>
      <c r="BN32" s="172" t="e">
        <f>IF(AND(NOT(ISBLANK(Jumpoverwrite14)),AND(NOT(BM32),AND(BM$4:BM31))),($J32*$G32-LN(1+Jumpoverwrite14*BO$2))/$G32,_xll.qlInterpolationInterpolate(BM$3,$F32,TRUE))</f>
        <v>#NUM!</v>
      </c>
      <c r="BO32" s="176" t="str">
        <f>IF(AND(NOT(BM32),AND(BM$4:BM31)),IF($BN32&lt;0,IF($BN32&lt;$J32,EXP(($BN32-$J32)*$G32),EXP(($J32-$BN32)*$G32)),EXP(($BN32-$J32)*$G32)),"")</f>
        <v/>
      </c>
      <c r="BQ32" s="72" t="b">
        <f>IF(AND(NOT(BM32),AND(BM$4:BM31)),TRUE,BM32)</f>
        <v>0</v>
      </c>
      <c r="BR32" s="172" t="e">
        <f>IF(AND(NOT(ISBLANK(Jumpoverwrite15)),AND(NOT(BQ32),AND(BQ$4:BQ31))),($J32*$G32-LN(1+Jumpoverwrite15*BS$2))/$G32,_xll.qlInterpolationInterpolate(BQ$3,$F32,TRUE))</f>
        <v>#NUM!</v>
      </c>
      <c r="BS32" s="176" t="str">
        <f>IF(AND(NOT(BQ32),AND(BQ$4:BQ31)),IF($BN32&lt;0,IF($BN32&lt;$J32,EXP(($BN32-$J32)*$G32),EXP(($J32-$BN32)*$G32)),EXP(($BN32-$J32)*$G32)),"")</f>
        <v/>
      </c>
    </row>
    <row r="33" spans="1:71" x14ac:dyDescent="0.2">
      <c r="A33" s="33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84" t="e">
        <f t="shared" si="4"/>
        <v>#N/A</v>
      </c>
      <c r="G33" s="85" t="e">
        <f>_xll.qlDayCounterYearFraction(DayCounter,D32,D33)</f>
        <v>#NUM!</v>
      </c>
      <c r="I33" s="93" t="b">
        <f t="shared" si="2"/>
        <v>0</v>
      </c>
      <c r="J33" s="37" t="e">
        <v>#N/A</v>
      </c>
      <c r="K33" s="94" t="e">
        <f t="shared" si="3"/>
        <v>#VALUE!</v>
      </c>
      <c r="L33" s="105"/>
      <c r="M33" s="72" t="b">
        <f>IF(AND(NOT(I33),AND(I$4:I32)),TRUE,I33)</f>
        <v>0</v>
      </c>
      <c r="N33" s="172" t="e">
        <f>IF(AND(NOT(ISBLANK(Jumpoverwrite1)),AND(NOT(M33),AND(M$4:M32))),($J33*$G33-LN(1+Jumpoverwrite1*O$2))/$G33,_xll.qlInterpolationInterpolate(M$3,$F33,TRUE))</f>
        <v>#NUM!</v>
      </c>
      <c r="O33" s="34" t="str">
        <f>IF(AND(NOT(M33),AND(M$4:M32)),IF($N33&lt;0,IF($N33&lt;$J33,EXP(($N33-$J33)*$G33),EXP(($J33-$N33)*$G33)),EXP(($N33-$J33)*$G33)),"")</f>
        <v/>
      </c>
      <c r="P33" s="107"/>
      <c r="Q33" s="72" t="b">
        <f>IF(AND(NOT(M33),AND(M$4:M32)),TRUE,M33)</f>
        <v>0</v>
      </c>
      <c r="R33" s="172" t="e">
        <f>IF(AND(NOT(ISBLANK(Jumpoverwrite2)),AND(NOT(Q33),AND(Q$4:Q32))),($J33*$G33-LN(1+Jumpoverwrite2*S$2))/$G33,_xll.qlInterpolationInterpolate(Q$3,$F33,TRUE))</f>
        <v>#NUM!</v>
      </c>
      <c r="S33" s="176" t="str">
        <f>IF(AND(NOT(Q33),AND(Q$4:Q32)),IF($R33&lt;0,IF($R33&lt;$J33,EXP(($R33-$J33)*$G33),EXP(($J33-$R33)*$G33)),EXP(($R33-$J33)*$G33)),"")</f>
        <v/>
      </c>
      <c r="T33" s="107"/>
      <c r="U33" s="72" t="b">
        <f>IF(AND(NOT(Q33),AND(Q$4:Q32)),TRUE,Q33)</f>
        <v>0</v>
      </c>
      <c r="V33" s="172" t="e">
        <f>IF(AND(NOT(ISBLANK(Jumpoverwrite3)),AND(NOT(U33),AND(U$4:U32))),($J33*$G33-LN(1+Jumpoverwrite3*W$2))/$G33,_xll.qlInterpolationInterpolate(U$3,$F33,TRUE))</f>
        <v>#NUM!</v>
      </c>
      <c r="W33" s="176" t="str">
        <f>IF(AND(NOT(U33),AND(U$4:U32)),IF($V33&lt;0,IF($V33&lt;$J33,EXP(($V33-$J33)*$G33),EXP(($J33-$V33)*$G33)),EXP(($V33-$J33)*$G33)),"")</f>
        <v/>
      </c>
      <c r="X33" s="107"/>
      <c r="Y33" s="72" t="b">
        <f>IF(AND(NOT(U33),AND(U$4:U32)),TRUE,U33)</f>
        <v>0</v>
      </c>
      <c r="Z33" s="172" t="e">
        <f>IF(AND(NOT(ISBLANK(Jumpoverwrite4)),AND(NOT(Y33),AND(Y$4:Y32))),($J33*$G33-LN(1+Jumpoverwrite4*AA$2))/$G33,_xll.qlInterpolationInterpolate(Y$3,$F33,TRUE))</f>
        <v>#NUM!</v>
      </c>
      <c r="AA33" s="176" t="str">
        <f>IF(AND(NOT(Y33),AND(Y$4:Y32)),IF($Z33&lt;0,IF($Z33&lt;$J33,EXP(($Z33-$J33)*$G33),EXP(($J33-$Z33)*$G33)),EXP(($Z33-$J33)*$G33)),"")</f>
        <v/>
      </c>
      <c r="AB33" s="107"/>
      <c r="AC33" s="72" t="b">
        <f>IF(AND(NOT(Y33),AND(Y$4:Y32)),TRUE,Y33)</f>
        <v>0</v>
      </c>
      <c r="AD33" s="172" t="e">
        <f>IF(AND(NOT(ISBLANK(Jumpoverwrite5)),AND(NOT(AC33),AND(AC$4:AC32))),($J33*$G33-LN(1+Jumpoverwrite5*AE$2))/$G33,_xll.qlInterpolationInterpolate(AC$3,$F33,TRUE))</f>
        <v>#NUM!</v>
      </c>
      <c r="AE33" s="176" t="str">
        <f>IF(AND(NOT(AC33),AND(AC$4:AC32)),IF($AD33&lt;0,IF($AD33&lt;$J33,EXP(($AD33-$J33)*$G33),EXP(($J33-$AD33)*$G33)),EXP(($AD33-$J33)*$G33)),"")</f>
        <v/>
      </c>
      <c r="AF33" s="107"/>
      <c r="AG33" s="72" t="b">
        <f>IF(AND(NOT(AC33),AND(AC$4:AC32)),TRUE,AC33)</f>
        <v>0</v>
      </c>
      <c r="AH33" s="172" t="e">
        <f>IF(AND(NOT(ISBLANK(Jumpoverwrite6)),AND(NOT(AG33),AND(AG$4:AG32))),($J33*$G33-LN(1+Jumpoverwrite6*AI$2))/$G33,_xll.qlInterpolationInterpolate(AG$3,$F33,TRUE))</f>
        <v>#NUM!</v>
      </c>
      <c r="AI33" s="176" t="str">
        <f>IF(AND(NOT(AG33),AND(AG$4:AG32)),IF($AH33&lt;0,IF($AH33&lt;$J33,EXP(($AH33-$J33)*$G33),EXP(($J33-$AH33)*$G33)),EXP(($AH33-$J33)*$G33)),"")</f>
        <v/>
      </c>
      <c r="AJ33" s="107"/>
      <c r="AK33" s="72" t="b">
        <f>IF(AND(NOT(AG33),AND(AG$4:AG32)),TRUE,AG33)</f>
        <v>0</v>
      </c>
      <c r="AL33" s="172" t="e">
        <f>IF(AND(NOT(ISBLANK(Jumpoverwrite7)),AND(NOT(AK33),AND(AK$4:AK32))),($J33*$G33-LN(1+Jumpoverwrite7*AM$2))/$G33,_xll.qlInterpolationInterpolate(AK$3,$F33,TRUE))</f>
        <v>#NUM!</v>
      </c>
      <c r="AM33" s="176" t="str">
        <f>IF(AND(NOT(AK33),AND(AK$4:AK32)),IF($AL33&lt;0,IF($AL33&lt;$J33,EXP(($AL33-$J33)*$G33),EXP(($J33-$AL33)*$G33)),EXP(($AL33-$J33)*$G33)),"")</f>
        <v/>
      </c>
      <c r="AO33" s="72" t="b">
        <f>IF(AND(NOT(AK33),AND(AK$4:AK32)),TRUE,AK33)</f>
        <v>0</v>
      </c>
      <c r="AP33" s="172" t="e">
        <f>IF(AND(NOT(ISBLANK(Jumpoverwrite8)),AND(NOT(AO33),AND(AO$4:AO32))),($J33*$G33-LN(1+Jumpoverwrite8*AQ$2))/$G33,_xll.qlInterpolationInterpolate(AO$3,$F33,TRUE))</f>
        <v>#NUM!</v>
      </c>
      <c r="AQ33" s="176" t="str">
        <f>IF(AND(NOT(AO33),AND(AO$4:AO32)),IF($AP33&lt;0,IF($AP33&lt;$J33,EXP(($AP33-$J33)*$G33),EXP(($J33-$AP33)*$G33)),EXP(($AP33-$J33)*$G33)),"")</f>
        <v/>
      </c>
      <c r="AS33" s="72" t="b">
        <f>IF(AND(NOT(AO33),AND(AO$4:AO32)),TRUE,AO33)</f>
        <v>0</v>
      </c>
      <c r="AT33" s="172" t="e">
        <f>IF(AND(NOT(ISBLANK(Jumpoverwrite9)),AND(NOT(AS33),AND(AS$4:AS32))),($J33*$G33-LN(1+Jumpoverwrite9*AU$2))/$G33,_xll.qlInterpolationInterpolate(AS$3,$F33,TRUE))</f>
        <v>#NUM!</v>
      </c>
      <c r="AU33" s="176" t="str">
        <f>IF(AND(NOT(AS33),AND(AS$4:AS32)),IF($AT33&lt;0,IF($AT33&lt;$J33,EXP(($AT33-$J33)*$G33),EXP(($J33-$AT33)*$G33)),EXP(($AT33-$J33)*$G33)),"")</f>
        <v/>
      </c>
      <c r="AW33" s="72" t="b">
        <f>IF(AND(NOT(AS33),AND(AS$4:AS32)),TRUE,AS33)</f>
        <v>0</v>
      </c>
      <c r="AX33" s="172" t="e">
        <f>IF(AND(NOT(ISBLANK(Jumpoverwrite10)),AND(NOT(AW33),AND(AW$4:AW32))),($J33*$G33-LN(1+Jumpoverwrite10*AY$2))/$G33,_xll.qlInterpolationInterpolate(AW$3,$F33,TRUE))</f>
        <v>#NUM!</v>
      </c>
      <c r="AY33" s="176" t="str">
        <f>IF(AND(NOT(AW33),AND(AW$4:AW32)),IF($AX33&lt;0,IF($AX33&lt;$J33,EXP(($AX33-$J33)*$G33),EXP(($J33-$AX33)*$G33)),EXP(($AX33-$J33)*$G33)),"")</f>
        <v/>
      </c>
      <c r="BA33" s="72" t="b">
        <f>IF(AND(NOT(AW33),AND(AW$4:AW32)),TRUE,AW33)</f>
        <v>0</v>
      </c>
      <c r="BB33" s="172" t="e">
        <f>IF(AND(NOT(ISBLANK(Jumpoverwrite11)),AND(NOT(BA33),AND(BA$4:BA32))),($J33*$G33-LN(1+Jumpoverwrite11*BC$2))/$G33,_xll.qlInterpolationInterpolate(BA$3,$F33,TRUE))</f>
        <v>#NUM!</v>
      </c>
      <c r="BC33" s="176" t="str">
        <f>IF(AND(NOT(BA33),AND(BA$4:BA32)),IF($BB33&lt;0,IF($BB33&lt;$J33,EXP(($BB33-$J33)*$G33),EXP(($J33-$BB33)*$G33)),EXP(($BB33-$J33)*$G33)),"")</f>
        <v/>
      </c>
      <c r="BE33" s="72" t="b">
        <f>IF(AND(NOT(BA33),AND(BA$4:BA32)),TRUE,BA33)</f>
        <v>0</v>
      </c>
      <c r="BF33" s="172" t="e">
        <f>IF(AND(NOT(ISBLANK(Jumpoverwrite12)),AND(NOT(BE33),AND(BE$4:BE32))),($J33*$G33-LN(1+Jumpoverwrite12*BG$2))/$G33,_xll.qlInterpolationInterpolate(BE$3,$F33,TRUE))</f>
        <v>#NUM!</v>
      </c>
      <c r="BG33" s="176" t="str">
        <f>IF(AND(NOT(BE33),AND(BE$4:BE32)),IF($BF33&lt;0,IF($BF33&lt;$J33,EXP(($BF33-$J33)*$G33),EXP(($J33-$BF33)*$G33)),EXP(($BF33-$J33)*$G33)),"")</f>
        <v/>
      </c>
      <c r="BI33" s="72" t="b">
        <f t="shared" si="1"/>
        <v>0</v>
      </c>
      <c r="BJ33" s="172" t="e">
        <f>IF(AND(NOT(ISBLANK(jumpoverwrite13)),AND(NOT(BI33),AND(BI$4:BI32))),($J33*$G33-LN(1+jumpoverwrite13*BK$2))/$G33,_xll.qlInterpolationInterpolate(BI$3,$F33,TRUE))</f>
        <v>#NUM!</v>
      </c>
      <c r="BK33" s="176" t="str">
        <f>IF(AND(NOT(BI33),AND(BI$4:BI32)),IF($BJ33&lt;0,IF($BJ33&lt;$J33,EXP(($BJ33-$J33)*$G33),EXP(($J33-$BJ33)*$G33)),EXP(($BJ33-$J33)*$G33)),"")</f>
        <v/>
      </c>
      <c r="BM33" s="72" t="b">
        <f>IF(AND(NOT(BI33),AND(BI$4:BI32)),TRUE,BI33)</f>
        <v>0</v>
      </c>
      <c r="BN33" s="172" t="e">
        <f>IF(AND(NOT(ISBLANK(Jumpoverwrite14)),AND(NOT(BM33),AND(BM$4:BM32))),($J33*$G33-LN(1+Jumpoverwrite14*BO$2))/$G33,_xll.qlInterpolationInterpolate(BM$3,$F33,TRUE))</f>
        <v>#NUM!</v>
      </c>
      <c r="BO33" s="176" t="str">
        <f>IF(AND(NOT(BM33),AND(BM$4:BM32)),IF($BN33&lt;0,IF($BN33&lt;$J33,EXP(($BN33-$J33)*$G33),EXP(($J33-$BN33)*$G33)),EXP(($BN33-$J33)*$G33)),"")</f>
        <v/>
      </c>
      <c r="BQ33" s="72" t="b">
        <f>IF(AND(NOT(BM33),AND(BM$4:BM32)),TRUE,BM33)</f>
        <v>0</v>
      </c>
      <c r="BR33" s="172" t="e">
        <f>IF(AND(NOT(ISBLANK(Jumpoverwrite15)),AND(NOT(BQ33),AND(BQ$4:BQ32))),($J33*$G33-LN(1+Jumpoverwrite15*BS$2))/$G33,_xll.qlInterpolationInterpolate(BQ$3,$F33,TRUE))</f>
        <v>#NUM!</v>
      </c>
      <c r="BS33" s="176" t="str">
        <f>IF(AND(NOT(BQ33),AND(BQ$4:BQ32)),IF($BN33&lt;0,IF($BN33&lt;$J33,EXP(($BN33-$J33)*$G33),EXP(($J33-$BN33)*$G33)),EXP(($BN33-$J33)*$G33)),"")</f>
        <v/>
      </c>
    </row>
    <row r="34" spans="1:71" x14ac:dyDescent="0.2">
      <c r="A34" s="33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84" t="e">
        <f t="shared" si="4"/>
        <v>#N/A</v>
      </c>
      <c r="G34" s="85" t="e">
        <f>_xll.qlDayCounterYearFraction(DayCounter,D33,D34)</f>
        <v>#NUM!</v>
      </c>
      <c r="I34" s="93" t="b">
        <f t="shared" si="2"/>
        <v>0</v>
      </c>
      <c r="J34" s="37" t="e">
        <v>#N/A</v>
      </c>
      <c r="K34" s="94" t="e">
        <f t="shared" si="3"/>
        <v>#VALUE!</v>
      </c>
      <c r="L34" s="105"/>
      <c r="M34" s="72" t="b">
        <f>IF(AND(NOT(I34),AND(I$4:I33)),TRUE,I34)</f>
        <v>0</v>
      </c>
      <c r="N34" s="172" t="e">
        <f>IF(AND(NOT(ISBLANK(Jumpoverwrite1)),AND(NOT(M34),AND(M$4:M33))),($J34*$G34-LN(1+Jumpoverwrite1*O$2))/$G34,_xll.qlInterpolationInterpolate(M$3,$F34,TRUE))</f>
        <v>#NUM!</v>
      </c>
      <c r="O34" s="34" t="str">
        <f>IF(AND(NOT(M34),AND(M$4:M33)),IF($N34&lt;0,IF($N34&lt;$J34,EXP(($N34-$J34)*$G34),EXP(($J34-$N34)*$G34)),EXP(($N34-$J34)*$G34)),"")</f>
        <v/>
      </c>
      <c r="P34" s="107"/>
      <c r="Q34" s="72" t="b">
        <f>IF(AND(NOT(M34),AND(M$4:M33)),TRUE,M34)</f>
        <v>0</v>
      </c>
      <c r="R34" s="172" t="e">
        <f>IF(AND(NOT(ISBLANK(Jumpoverwrite2)),AND(NOT(Q34),AND(Q$4:Q33))),($J34*$G34-LN(1+Jumpoverwrite2*S$2))/$G34,_xll.qlInterpolationInterpolate(Q$3,$F34,TRUE))</f>
        <v>#NUM!</v>
      </c>
      <c r="S34" s="176" t="str">
        <f>IF(AND(NOT(Q34),AND(Q$4:Q33)),IF($R34&lt;0,IF($R34&lt;$J34,EXP(($R34-$J34)*$G34),EXP(($J34-$R34)*$G34)),EXP(($R34-$J34)*$G34)),"")</f>
        <v/>
      </c>
      <c r="T34" s="107"/>
      <c r="U34" s="72" t="b">
        <f>IF(AND(NOT(Q34),AND(Q$4:Q33)),TRUE,Q34)</f>
        <v>0</v>
      </c>
      <c r="V34" s="172" t="e">
        <f>IF(AND(NOT(ISBLANK(Jumpoverwrite3)),AND(NOT(U34),AND(U$4:U33))),($J34*$G34-LN(1+Jumpoverwrite3*W$2))/$G34,_xll.qlInterpolationInterpolate(U$3,$F34,TRUE))</f>
        <v>#NUM!</v>
      </c>
      <c r="W34" s="176" t="str">
        <f>IF(AND(NOT(U34),AND(U$4:U33)),IF($V34&lt;0,IF($V34&lt;$J34,EXP(($V34-$J34)*$G34),EXP(($J34-$V34)*$G34)),EXP(($V34-$J34)*$G34)),"")</f>
        <v/>
      </c>
      <c r="X34" s="107"/>
      <c r="Y34" s="72" t="b">
        <f>IF(AND(NOT(U34),AND(U$4:U33)),TRUE,U34)</f>
        <v>0</v>
      </c>
      <c r="Z34" s="172" t="e">
        <f>IF(AND(NOT(ISBLANK(Jumpoverwrite4)),AND(NOT(Y34),AND(Y$4:Y33))),($J34*$G34-LN(1+Jumpoverwrite4*AA$2))/$G34,_xll.qlInterpolationInterpolate(Y$3,$F34,TRUE))</f>
        <v>#NUM!</v>
      </c>
      <c r="AA34" s="176" t="str">
        <f>IF(AND(NOT(Y34),AND(Y$4:Y33)),IF($Z34&lt;0,IF($Z34&lt;$J34,EXP(($Z34-$J34)*$G34),EXP(($J34-$Z34)*$G34)),EXP(($Z34-$J34)*$G34)),"")</f>
        <v/>
      </c>
      <c r="AB34" s="107"/>
      <c r="AC34" s="72" t="b">
        <f>IF(AND(NOT(Y34),AND(Y$4:Y33)),TRUE,Y34)</f>
        <v>0</v>
      </c>
      <c r="AD34" s="172" t="e">
        <f>IF(AND(NOT(ISBLANK(Jumpoverwrite5)),AND(NOT(AC34),AND(AC$4:AC33))),($J34*$G34-LN(1+Jumpoverwrite5*AE$2))/$G34,_xll.qlInterpolationInterpolate(AC$3,$F34,TRUE))</f>
        <v>#NUM!</v>
      </c>
      <c r="AE34" s="176" t="str">
        <f>IF(AND(NOT(AC34),AND(AC$4:AC33)),IF($AD34&lt;0,IF($AD34&lt;$J34,EXP(($AD34-$J34)*$G34),EXP(($J34-$AD34)*$G34)),EXP(($AD34-$J34)*$G34)),"")</f>
        <v/>
      </c>
      <c r="AF34" s="107"/>
      <c r="AG34" s="72" t="b">
        <f>IF(AND(NOT(AC34),AND(AC$4:AC33)),TRUE,AC34)</f>
        <v>0</v>
      </c>
      <c r="AH34" s="172" t="e">
        <f>IF(AND(NOT(ISBLANK(Jumpoverwrite6)),AND(NOT(AG34),AND(AG$4:AG33))),($J34*$G34-LN(1+Jumpoverwrite6*AI$2))/$G34,_xll.qlInterpolationInterpolate(AG$3,$F34,TRUE))</f>
        <v>#NUM!</v>
      </c>
      <c r="AI34" s="176" t="str">
        <f>IF(AND(NOT(AG34),AND(AG$4:AG33)),IF($AH34&lt;0,IF($AH34&lt;$J34,EXP(($AH34-$J34)*$G34),EXP(($J34-$AH34)*$G34)),EXP(($AH34-$J34)*$G34)),"")</f>
        <v/>
      </c>
      <c r="AJ34" s="107"/>
      <c r="AK34" s="72" t="b">
        <f>IF(AND(NOT(AG34),AND(AG$4:AG33)),TRUE,AG34)</f>
        <v>0</v>
      </c>
      <c r="AL34" s="172" t="e">
        <f>IF(AND(NOT(ISBLANK(Jumpoverwrite7)),AND(NOT(AK34),AND(AK$4:AK33))),($J34*$G34-LN(1+Jumpoverwrite7*AM$2))/$G34,_xll.qlInterpolationInterpolate(AK$3,$F34,TRUE))</f>
        <v>#NUM!</v>
      </c>
      <c r="AM34" s="176" t="str">
        <f>IF(AND(NOT(AK34),AND(AK$4:AK33)),IF($AL34&lt;0,IF($AL34&lt;$J34,EXP(($AL34-$J34)*$G34),EXP(($J34-$AL34)*$G34)),EXP(($AL34-$J34)*$G34)),"")</f>
        <v/>
      </c>
      <c r="AO34" s="72" t="b">
        <f>IF(AND(NOT(AK34),AND(AK$4:AK33)),TRUE,AK34)</f>
        <v>0</v>
      </c>
      <c r="AP34" s="172" t="e">
        <f>IF(AND(NOT(ISBLANK(Jumpoverwrite8)),AND(NOT(AO34),AND(AO$4:AO33))),($J34*$G34-LN(1+Jumpoverwrite8*AQ$2))/$G34,_xll.qlInterpolationInterpolate(AO$3,$F34,TRUE))</f>
        <v>#NUM!</v>
      </c>
      <c r="AQ34" s="176" t="str">
        <f>IF(AND(NOT(AO34),AND(AO$4:AO33)),IF($AP34&lt;0,IF($AP34&lt;$J34,EXP(($AP34-$J34)*$G34),EXP(($J34-$AP34)*$G34)),EXP(($AP34-$J34)*$G34)),"")</f>
        <v/>
      </c>
      <c r="AS34" s="72" t="b">
        <f>IF(AND(NOT(AO34),AND(AO$4:AO33)),TRUE,AO34)</f>
        <v>0</v>
      </c>
      <c r="AT34" s="172" t="e">
        <f>IF(AND(NOT(ISBLANK(Jumpoverwrite9)),AND(NOT(AS34),AND(AS$4:AS33))),($J34*$G34-LN(1+Jumpoverwrite9*AU$2))/$G34,_xll.qlInterpolationInterpolate(AS$3,$F34,TRUE))</f>
        <v>#NUM!</v>
      </c>
      <c r="AU34" s="176" t="str">
        <f>IF(AND(NOT(AS34),AND(AS$4:AS33)),IF($AT34&lt;0,IF($AT34&lt;$J34,EXP(($AT34-$J34)*$G34),EXP(($J34-$AT34)*$G34)),EXP(($AT34-$J34)*$G34)),"")</f>
        <v/>
      </c>
      <c r="AW34" s="72" t="b">
        <f>IF(AND(NOT(AS34),AND(AS$4:AS33)),TRUE,AS34)</f>
        <v>0</v>
      </c>
      <c r="AX34" s="172" t="e">
        <f>IF(AND(NOT(ISBLANK(Jumpoverwrite10)),AND(NOT(AW34),AND(AW$4:AW33))),($J34*$G34-LN(1+Jumpoverwrite10*AY$2))/$G34,_xll.qlInterpolationInterpolate(AW$3,$F34,TRUE))</f>
        <v>#NUM!</v>
      </c>
      <c r="AY34" s="176" t="str">
        <f>IF(AND(NOT(AW34),AND(AW$4:AW33)),IF($AX34&lt;0,IF($AX34&lt;$J34,EXP(($AX34-$J34)*$G34),EXP(($J34-$AX34)*$G34)),EXP(($AX34-$J34)*$G34)),"")</f>
        <v/>
      </c>
      <c r="BA34" s="72" t="b">
        <f>IF(AND(NOT(AW34),AND(AW$4:AW33)),TRUE,AW34)</f>
        <v>0</v>
      </c>
      <c r="BB34" s="172" t="e">
        <f>IF(AND(NOT(ISBLANK(Jumpoverwrite11)),AND(NOT(BA34),AND(BA$4:BA33))),($J34*$G34-LN(1+Jumpoverwrite11*BC$2))/$G34,_xll.qlInterpolationInterpolate(BA$3,$F34,TRUE))</f>
        <v>#NUM!</v>
      </c>
      <c r="BC34" s="176" t="str">
        <f>IF(AND(NOT(BA34),AND(BA$4:BA33)),IF($BB34&lt;0,IF($BB34&lt;$J34,EXP(($BB34-$J34)*$G34),EXP(($J34-$BB34)*$G34)),EXP(($BB34-$J34)*$G34)),"")</f>
        <v/>
      </c>
      <c r="BE34" s="72" t="b">
        <f>IF(AND(NOT(BA34),AND(BA$4:BA33)),TRUE,BA34)</f>
        <v>0</v>
      </c>
      <c r="BF34" s="172" t="e">
        <f>IF(AND(NOT(ISBLANK(Jumpoverwrite12)),AND(NOT(BE34),AND(BE$4:BE33))),($J34*$G34-LN(1+Jumpoverwrite12*BG$2))/$G34,_xll.qlInterpolationInterpolate(BE$3,$F34,TRUE))</f>
        <v>#NUM!</v>
      </c>
      <c r="BG34" s="176" t="str">
        <f>IF(AND(NOT(BE34),AND(BE$4:BE33)),IF($BF34&lt;0,IF($BF34&lt;$J34,EXP(($BF34-$J34)*$G34),EXP(($J34-$BF34)*$G34)),EXP(($BF34-$J34)*$G34)),"")</f>
        <v/>
      </c>
      <c r="BI34" s="72" t="b">
        <f t="shared" si="1"/>
        <v>0</v>
      </c>
      <c r="BJ34" s="172" t="e">
        <f>IF(AND(NOT(ISBLANK(jumpoverwrite13)),AND(NOT(BI34),AND(BI$4:BI33))),($J34*$G34-LN(1+jumpoverwrite13*BK$2))/$G34,_xll.qlInterpolationInterpolate(BI$3,$F34,TRUE))</f>
        <v>#NUM!</v>
      </c>
      <c r="BK34" s="176" t="str">
        <f>IF(AND(NOT(BI34),AND(BI$4:BI33)),IF($BJ34&lt;0,IF($BJ34&lt;$J34,EXP(($BJ34-$J34)*$G34),EXP(($J34-$BJ34)*$G34)),EXP(($BJ34-$J34)*$G34)),"")</f>
        <v/>
      </c>
      <c r="BM34" s="72" t="b">
        <f>IF(AND(NOT(BI34),AND(BI$4:BI33)),TRUE,BI34)</f>
        <v>0</v>
      </c>
      <c r="BN34" s="172" t="e">
        <f>IF(AND(NOT(ISBLANK(Jumpoverwrite14)),AND(NOT(BM34),AND(BM$4:BM33))),($J34*$G34-LN(1+Jumpoverwrite14*BO$2))/$G34,_xll.qlInterpolationInterpolate(BM$3,$F34,TRUE))</f>
        <v>#NUM!</v>
      </c>
      <c r="BO34" s="176" t="str">
        <f>IF(AND(NOT(BM34),AND(BM$4:BM33)),IF($BN34&lt;0,IF($BN34&lt;$J34,EXP(($BN34-$J34)*$G34),EXP(($J34-$BN34)*$G34)),EXP(($BN34-$J34)*$G34)),"")</f>
        <v/>
      </c>
      <c r="BQ34" s="72" t="b">
        <f>IF(AND(NOT(BM34),AND(BM$4:BM33)),TRUE,BM34)</f>
        <v>0</v>
      </c>
      <c r="BR34" s="172" t="e">
        <f>IF(AND(NOT(ISBLANK(Jumpoverwrite15)),AND(NOT(BQ34),AND(BQ$4:BQ33))),($J34*$G34-LN(1+Jumpoverwrite15*BS$2))/$G34,_xll.qlInterpolationInterpolate(BQ$3,$F34,TRUE))</f>
        <v>#NUM!</v>
      </c>
      <c r="BS34" s="176" t="str">
        <f>IF(AND(NOT(BQ34),AND(BQ$4:BQ33)),IF($BN34&lt;0,IF($BN34&lt;$J34,EXP(($BN34-$J34)*$G34),EXP(($J34-$BN34)*$G34)),EXP(($BN34-$J34)*$G34)),"")</f>
        <v/>
      </c>
    </row>
    <row r="35" spans="1:71" x14ac:dyDescent="0.2">
      <c r="A35" s="33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84" t="e">
        <f t="shared" si="4"/>
        <v>#N/A</v>
      </c>
      <c r="G35" s="85" t="e">
        <f>_xll.qlDayCounterYearFraction(DayCounter,D34,D35)</f>
        <v>#NUM!</v>
      </c>
      <c r="I35" s="93" t="b">
        <f t="shared" si="2"/>
        <v>0</v>
      </c>
      <c r="J35" s="37" t="e">
        <v>#N/A</v>
      </c>
      <c r="K35" s="94" t="e">
        <f t="shared" si="3"/>
        <v>#VALUE!</v>
      </c>
      <c r="L35" s="105"/>
      <c r="M35" s="72" t="b">
        <f>IF(AND(NOT(I35),AND(I$4:I34)),TRUE,I35)</f>
        <v>0</v>
      </c>
      <c r="N35" s="172" t="e">
        <f>IF(AND(NOT(ISBLANK(Jumpoverwrite1)),AND(NOT(M35),AND(M$4:M34))),($J35*$G35-LN(1+Jumpoverwrite1*O$2))/$G35,_xll.qlInterpolationInterpolate(M$3,$F35,TRUE))</f>
        <v>#NUM!</v>
      </c>
      <c r="O35" s="34" t="str">
        <f>IF(AND(NOT(M35),AND(M$4:M34)),IF($N35&lt;0,IF($N35&lt;$J35,EXP(($N35-$J35)*$G35),EXP(($J35-$N35)*$G35)),EXP(($N35-$J35)*$G35)),"")</f>
        <v/>
      </c>
      <c r="P35" s="107"/>
      <c r="Q35" s="72" t="b">
        <f>IF(AND(NOT(M35),AND(M$4:M34)),TRUE,M35)</f>
        <v>0</v>
      </c>
      <c r="R35" s="172" t="e">
        <f>IF(AND(NOT(ISBLANK(Jumpoverwrite2)),AND(NOT(Q35),AND(Q$4:Q34))),($J35*$G35-LN(1+Jumpoverwrite2*S$2))/$G35,_xll.qlInterpolationInterpolate(Q$3,$F35,TRUE))</f>
        <v>#NUM!</v>
      </c>
      <c r="S35" s="176" t="str">
        <f>IF(AND(NOT(Q35),AND(Q$4:Q34)),IF($R35&lt;0,IF($R35&lt;$J35,EXP(($R35-$J35)*$G35),EXP(($J35-$R35)*$G35)),EXP(($R35-$J35)*$G35)),"")</f>
        <v/>
      </c>
      <c r="T35" s="107"/>
      <c r="U35" s="72" t="b">
        <f>IF(AND(NOT(Q35),AND(Q$4:Q34)),TRUE,Q35)</f>
        <v>0</v>
      </c>
      <c r="V35" s="172" t="e">
        <f>IF(AND(NOT(ISBLANK(Jumpoverwrite3)),AND(NOT(U35),AND(U$4:U34))),($J35*$G35-LN(1+Jumpoverwrite3*W$2))/$G35,_xll.qlInterpolationInterpolate(U$3,$F35,TRUE))</f>
        <v>#NUM!</v>
      </c>
      <c r="W35" s="176" t="str">
        <f>IF(AND(NOT(U35),AND(U$4:U34)),IF($V35&lt;0,IF($V35&lt;$J35,EXP(($V35-$J35)*$G35),EXP(($J35-$V35)*$G35)),EXP(($V35-$J35)*$G35)),"")</f>
        <v/>
      </c>
      <c r="X35" s="107"/>
      <c r="Y35" s="72" t="b">
        <f>IF(AND(NOT(U35),AND(U$4:U34)),TRUE,U35)</f>
        <v>0</v>
      </c>
      <c r="Z35" s="172" t="e">
        <f>IF(AND(NOT(ISBLANK(Jumpoverwrite4)),AND(NOT(Y35),AND(Y$4:Y34))),($J35*$G35-LN(1+Jumpoverwrite4*AA$2))/$G35,_xll.qlInterpolationInterpolate(Y$3,$F35,TRUE))</f>
        <v>#NUM!</v>
      </c>
      <c r="AA35" s="176" t="str">
        <f>IF(AND(NOT(Y35),AND(Y$4:Y34)),IF($Z35&lt;0,IF($Z35&lt;$J35,EXP(($Z35-$J35)*$G35),EXP(($J35-$Z35)*$G35)),EXP(($Z35-$J35)*$G35)),"")</f>
        <v/>
      </c>
      <c r="AB35" s="107"/>
      <c r="AC35" s="72" t="b">
        <f>IF(AND(NOT(Y35),AND(Y$4:Y34)),TRUE,Y35)</f>
        <v>0</v>
      </c>
      <c r="AD35" s="172" t="e">
        <f>IF(AND(NOT(ISBLANK(Jumpoverwrite5)),AND(NOT(AC35),AND(AC$4:AC34))),($J35*$G35-LN(1+Jumpoverwrite5*AE$2))/$G35,_xll.qlInterpolationInterpolate(AC$3,$F35,TRUE))</f>
        <v>#NUM!</v>
      </c>
      <c r="AE35" s="176" t="str">
        <f>IF(AND(NOT(AC35),AND(AC$4:AC34)),IF($AD35&lt;0,IF($AD35&lt;$J35,EXP(($AD35-$J35)*$G35),EXP(($J35-$AD35)*$G35)),EXP(($AD35-$J35)*$G35)),"")</f>
        <v/>
      </c>
      <c r="AF35" s="107"/>
      <c r="AG35" s="72" t="b">
        <f>IF(AND(NOT(AC35),AND(AC$4:AC34)),TRUE,AC35)</f>
        <v>0</v>
      </c>
      <c r="AH35" s="172" t="e">
        <f>IF(AND(NOT(ISBLANK(Jumpoverwrite6)),AND(NOT(AG35),AND(AG$4:AG34))),($J35*$G35-LN(1+Jumpoverwrite6*AI$2))/$G35,_xll.qlInterpolationInterpolate(AG$3,$F35,TRUE))</f>
        <v>#NUM!</v>
      </c>
      <c r="AI35" s="176" t="str">
        <f>IF(AND(NOT(AG35),AND(AG$4:AG34)),IF($AH35&lt;0,IF($AH35&lt;$J35,EXP(($AH35-$J35)*$G35),EXP(($J35-$AH35)*$G35)),EXP(($AH35-$J35)*$G35)),"")</f>
        <v/>
      </c>
      <c r="AJ35" s="107"/>
      <c r="AK35" s="72" t="b">
        <f>IF(AND(NOT(AG35),AND(AG$4:AG34)),TRUE,AG35)</f>
        <v>0</v>
      </c>
      <c r="AL35" s="172" t="e">
        <f>IF(AND(NOT(ISBLANK(Jumpoverwrite7)),AND(NOT(AK35),AND(AK$4:AK34))),($J35*$G35-LN(1+Jumpoverwrite7*AM$2))/$G35,_xll.qlInterpolationInterpolate(AK$3,$F35,TRUE))</f>
        <v>#NUM!</v>
      </c>
      <c r="AM35" s="176" t="str">
        <f>IF(AND(NOT(AK35),AND(AK$4:AK34)),IF($AL35&lt;0,IF($AL35&lt;$J35,EXP(($AL35-$J35)*$G35),EXP(($J35-$AL35)*$G35)),EXP(($AL35-$J35)*$G35)),"")</f>
        <v/>
      </c>
      <c r="AO35" s="72" t="b">
        <f>IF(AND(NOT(AK35),AND(AK$4:AK34)),TRUE,AK35)</f>
        <v>0</v>
      </c>
      <c r="AP35" s="172" t="e">
        <f>IF(AND(NOT(ISBLANK(Jumpoverwrite8)),AND(NOT(AO35),AND(AO$4:AO34))),($J35*$G35-LN(1+Jumpoverwrite8*AQ$2))/$G35,_xll.qlInterpolationInterpolate(AO$3,$F35,TRUE))</f>
        <v>#NUM!</v>
      </c>
      <c r="AQ35" s="176" t="str">
        <f>IF(AND(NOT(AO35),AND(AO$4:AO34)),IF($AP35&lt;0,IF($AP35&lt;$J35,EXP(($AP35-$J35)*$G35),EXP(($J35-$AP35)*$G35)),EXP(($AP35-$J35)*$G35)),"")</f>
        <v/>
      </c>
      <c r="AS35" s="72" t="b">
        <f>IF(AND(NOT(AO35),AND(AO$4:AO34)),TRUE,AO35)</f>
        <v>0</v>
      </c>
      <c r="AT35" s="172" t="e">
        <f>IF(AND(NOT(ISBLANK(Jumpoverwrite9)),AND(NOT(AS35),AND(AS$4:AS34))),($J35*$G35-LN(1+Jumpoverwrite9*AU$2))/$G35,_xll.qlInterpolationInterpolate(AS$3,$F35,TRUE))</f>
        <v>#NUM!</v>
      </c>
      <c r="AU35" s="176" t="str">
        <f>IF(AND(NOT(AS35),AND(AS$4:AS34)),IF($AT35&lt;0,IF($AT35&lt;$J35,EXP(($AT35-$J35)*$G35),EXP(($J35-$AT35)*$G35)),EXP(($AT35-$J35)*$G35)),"")</f>
        <v/>
      </c>
      <c r="AW35" s="72" t="b">
        <f>IF(AND(NOT(AS35),AND(AS$4:AS34)),TRUE,AS35)</f>
        <v>0</v>
      </c>
      <c r="AX35" s="172" t="e">
        <f>IF(AND(NOT(ISBLANK(Jumpoverwrite10)),AND(NOT(AW35),AND(AW$4:AW34))),($J35*$G35-LN(1+Jumpoverwrite10*AY$2))/$G35,_xll.qlInterpolationInterpolate(AW$3,$F35,TRUE))</f>
        <v>#NUM!</v>
      </c>
      <c r="AY35" s="176" t="str">
        <f>IF(AND(NOT(AW35),AND(AW$4:AW34)),IF($AX35&lt;0,IF($AX35&lt;$J35,EXP(($AX35-$J35)*$G35),EXP(($J35-$AX35)*$G35)),EXP(($AX35-$J35)*$G35)),"")</f>
        <v/>
      </c>
      <c r="BA35" s="72" t="b">
        <f>IF(AND(NOT(AW35),AND(AW$4:AW34)),TRUE,AW35)</f>
        <v>0</v>
      </c>
      <c r="BB35" s="172" t="e">
        <f>IF(AND(NOT(ISBLANK(Jumpoverwrite11)),AND(NOT(BA35),AND(BA$4:BA34))),($J35*$G35-LN(1+Jumpoverwrite11*BC$2))/$G35,_xll.qlInterpolationInterpolate(BA$3,$F35,TRUE))</f>
        <v>#NUM!</v>
      </c>
      <c r="BC35" s="176" t="str">
        <f>IF(AND(NOT(BA35),AND(BA$4:BA34)),IF($BB35&lt;0,IF($BB35&lt;$J35,EXP(($BB35-$J35)*$G35),EXP(($J35-$BB35)*$G35)),EXP(($BB35-$J35)*$G35)),"")</f>
        <v/>
      </c>
      <c r="BE35" s="72" t="b">
        <f>IF(AND(NOT(BA35),AND(BA$4:BA34)),TRUE,BA35)</f>
        <v>0</v>
      </c>
      <c r="BF35" s="172" t="e">
        <f>IF(AND(NOT(ISBLANK(Jumpoverwrite12)),AND(NOT(BE35),AND(BE$4:BE34))),($J35*$G35-LN(1+Jumpoverwrite12*BG$2))/$G35,_xll.qlInterpolationInterpolate(BE$3,$F35,TRUE))</f>
        <v>#NUM!</v>
      </c>
      <c r="BG35" s="176" t="str">
        <f>IF(AND(NOT(BE35),AND(BE$4:BE34)),IF($BF35&lt;0,IF($BF35&lt;$J35,EXP(($BF35-$J35)*$G35),EXP(($J35-$BF35)*$G35)),EXP(($BF35-$J35)*$G35)),"")</f>
        <v/>
      </c>
      <c r="BI35" s="72" t="b">
        <f t="shared" si="1"/>
        <v>0</v>
      </c>
      <c r="BJ35" s="172" t="e">
        <f>IF(AND(NOT(ISBLANK(jumpoverwrite13)),AND(NOT(BI35),AND(BI$4:BI34))),($J35*$G35-LN(1+jumpoverwrite13*BK$2))/$G35,_xll.qlInterpolationInterpolate(BI$3,$F35,TRUE))</f>
        <v>#NUM!</v>
      </c>
      <c r="BK35" s="176" t="str">
        <f>IF(AND(NOT(BI35),AND(BI$4:BI34)),IF($BJ35&lt;0,IF($BJ35&lt;$J35,EXP(($BJ35-$J35)*$G35),EXP(($J35-$BJ35)*$G35)),EXP(($BJ35-$J35)*$G35)),"")</f>
        <v/>
      </c>
      <c r="BM35" s="72" t="b">
        <f>IF(AND(NOT(BI35),AND(BI$4:BI34)),TRUE,BI35)</f>
        <v>0</v>
      </c>
      <c r="BN35" s="172" t="e">
        <f>IF(AND(NOT(ISBLANK(Jumpoverwrite14)),AND(NOT(BM35),AND(BM$4:BM34))),($J35*$G35-LN(1+Jumpoverwrite14*BO$2))/$G35,_xll.qlInterpolationInterpolate(BM$3,$F35,TRUE))</f>
        <v>#NUM!</v>
      </c>
      <c r="BO35" s="176" t="str">
        <f>IF(AND(NOT(BM35),AND(BM$4:BM34)),IF($BN35&lt;0,IF($BN35&lt;$J35,EXP(($BN35-$J35)*$G35),EXP(($J35-$BN35)*$G35)),EXP(($BN35-$J35)*$G35)),"")</f>
        <v/>
      </c>
      <c r="BQ35" s="72" t="b">
        <f>IF(AND(NOT(BM35),AND(BM$4:BM34)),TRUE,BM35)</f>
        <v>0</v>
      </c>
      <c r="BR35" s="172" t="e">
        <f>IF(AND(NOT(ISBLANK(Jumpoverwrite15)),AND(NOT(BQ35),AND(BQ$4:BQ34))),($J35*$G35-LN(1+Jumpoverwrite15*BS$2))/$G35,_xll.qlInterpolationInterpolate(BQ$3,$F35,TRUE))</f>
        <v>#NUM!</v>
      </c>
      <c r="BS35" s="176" t="str">
        <f>IF(AND(NOT(BQ35),AND(BQ$4:BQ34)),IF($BN35&lt;0,IF($BN35&lt;$J35,EXP(($BN35-$J35)*$G35),EXP(($J35-$BN35)*$G35)),EXP(($BN35-$J35)*$G35)),"")</f>
        <v/>
      </c>
    </row>
    <row r="36" spans="1:71" x14ac:dyDescent="0.2">
      <c r="A36" s="33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84" t="e">
        <f t="shared" si="4"/>
        <v>#N/A</v>
      </c>
      <c r="G36" s="85" t="e">
        <f>_xll.qlDayCounterYearFraction(DayCounter,D35,D36)</f>
        <v>#NUM!</v>
      </c>
      <c r="I36" s="93" t="b">
        <f t="shared" si="2"/>
        <v>0</v>
      </c>
      <c r="J36" s="37" t="e">
        <v>#N/A</v>
      </c>
      <c r="K36" s="94" t="e">
        <f t="shared" si="3"/>
        <v>#VALUE!</v>
      </c>
      <c r="L36" s="105"/>
      <c r="M36" s="72" t="b">
        <f>IF(AND(NOT(I36),AND(I$4:I35)),TRUE,I36)</f>
        <v>0</v>
      </c>
      <c r="N36" s="172" t="e">
        <f>IF(AND(NOT(ISBLANK(Jumpoverwrite1)),AND(NOT(M36),AND(M$4:M35))),($J36*$G36-LN(1+Jumpoverwrite1*O$2))/$G36,_xll.qlInterpolationInterpolate(M$3,$F36,TRUE))</f>
        <v>#NUM!</v>
      </c>
      <c r="O36" s="34" t="str">
        <f>IF(AND(NOT(M36),AND(M$4:M35)),IF($N36&lt;0,IF($N36&lt;$J36,EXP(($N36-$J36)*$G36),EXP(($J36-$N36)*$G36)),EXP(($N36-$J36)*$G36)),"")</f>
        <v/>
      </c>
      <c r="P36" s="107"/>
      <c r="Q36" s="72" t="b">
        <f>IF(AND(NOT(M36),AND(M$4:M35)),TRUE,M36)</f>
        <v>0</v>
      </c>
      <c r="R36" s="172" t="e">
        <f>IF(AND(NOT(ISBLANK(Jumpoverwrite2)),AND(NOT(Q36),AND(Q$4:Q35))),($J36*$G36-LN(1+Jumpoverwrite2*S$2))/$G36,_xll.qlInterpolationInterpolate(Q$3,$F36,TRUE))</f>
        <v>#NUM!</v>
      </c>
      <c r="S36" s="176" t="str">
        <f>IF(AND(NOT(Q36),AND(Q$4:Q35)),IF($R36&lt;0,IF($R36&lt;$J36,EXP(($R36-$J36)*$G36),EXP(($J36-$R36)*$G36)),EXP(($R36-$J36)*$G36)),"")</f>
        <v/>
      </c>
      <c r="T36" s="107"/>
      <c r="U36" s="72" t="b">
        <f>IF(AND(NOT(Q36),AND(Q$4:Q35)),TRUE,Q36)</f>
        <v>0</v>
      </c>
      <c r="V36" s="172" t="e">
        <f>IF(AND(NOT(ISBLANK(Jumpoverwrite3)),AND(NOT(U36),AND(U$4:U35))),($J36*$G36-LN(1+Jumpoverwrite3*W$2))/$G36,_xll.qlInterpolationInterpolate(U$3,$F36,TRUE))</f>
        <v>#NUM!</v>
      </c>
      <c r="W36" s="176" t="str">
        <f>IF(AND(NOT(U36),AND(U$4:U35)),IF($V36&lt;0,IF($V36&lt;$J36,EXP(($V36-$J36)*$G36),EXP(($J36-$V36)*$G36)),EXP(($V36-$J36)*$G36)),"")</f>
        <v/>
      </c>
      <c r="X36" s="107"/>
      <c r="Y36" s="72" t="b">
        <f>IF(AND(NOT(U36),AND(U$4:U35)),TRUE,U36)</f>
        <v>0</v>
      </c>
      <c r="Z36" s="172" t="e">
        <f>IF(AND(NOT(ISBLANK(Jumpoverwrite4)),AND(NOT(Y36),AND(Y$4:Y35))),($J36*$G36-LN(1+Jumpoverwrite4*AA$2))/$G36,_xll.qlInterpolationInterpolate(Y$3,$F36,TRUE))</f>
        <v>#NUM!</v>
      </c>
      <c r="AA36" s="176" t="str">
        <f>IF(AND(NOT(Y36),AND(Y$4:Y35)),IF($Z36&lt;0,IF($Z36&lt;$J36,EXP(($Z36-$J36)*$G36),EXP(($J36-$Z36)*$G36)),EXP(($Z36-$J36)*$G36)),"")</f>
        <v/>
      </c>
      <c r="AB36" s="107"/>
      <c r="AC36" s="72" t="b">
        <f>IF(AND(NOT(Y36),AND(Y$4:Y35)),TRUE,Y36)</f>
        <v>0</v>
      </c>
      <c r="AD36" s="172" t="e">
        <f>IF(AND(NOT(ISBLANK(Jumpoverwrite5)),AND(NOT(AC36),AND(AC$4:AC35))),($J36*$G36-LN(1+Jumpoverwrite5*AE$2))/$G36,_xll.qlInterpolationInterpolate(AC$3,$F36,TRUE))</f>
        <v>#NUM!</v>
      </c>
      <c r="AE36" s="176" t="str">
        <f>IF(AND(NOT(AC36),AND(AC$4:AC35)),IF($AD36&lt;0,IF($AD36&lt;$J36,EXP(($AD36-$J36)*$G36),EXP(($J36-$AD36)*$G36)),EXP(($AD36-$J36)*$G36)),"")</f>
        <v/>
      </c>
      <c r="AF36" s="107"/>
      <c r="AG36" s="72" t="b">
        <f>IF(AND(NOT(AC36),AND(AC$4:AC35)),TRUE,AC36)</f>
        <v>0</v>
      </c>
      <c r="AH36" s="172" t="e">
        <f>IF(AND(NOT(ISBLANK(Jumpoverwrite6)),AND(NOT(AG36),AND(AG$4:AG35))),($J36*$G36-LN(1+Jumpoverwrite6*AI$2))/$G36,_xll.qlInterpolationInterpolate(AG$3,$F36,TRUE))</f>
        <v>#NUM!</v>
      </c>
      <c r="AI36" s="176" t="str">
        <f>IF(AND(NOT(AG36),AND(AG$4:AG35)),IF($AH36&lt;0,IF($AH36&lt;$J36,EXP(($AH36-$J36)*$G36),EXP(($J36-$AH36)*$G36)),EXP(($AH36-$J36)*$G36)),"")</f>
        <v/>
      </c>
      <c r="AJ36" s="107"/>
      <c r="AK36" s="72" t="b">
        <f>IF(AND(NOT(AG36),AND(AG$4:AG35)),TRUE,AG36)</f>
        <v>0</v>
      </c>
      <c r="AL36" s="172" t="e">
        <f>IF(AND(NOT(ISBLANK(Jumpoverwrite7)),AND(NOT(AK36),AND(AK$4:AK35))),($J36*$G36-LN(1+Jumpoverwrite7*AM$2))/$G36,_xll.qlInterpolationInterpolate(AK$3,$F36,TRUE))</f>
        <v>#NUM!</v>
      </c>
      <c r="AM36" s="176" t="str">
        <f>IF(AND(NOT(AK36),AND(AK$4:AK35)),IF($AL36&lt;0,IF($AL36&lt;$J36,EXP(($AL36-$J36)*$G36),EXP(($J36-$AL36)*$G36)),EXP(($AL36-$J36)*$G36)),"")</f>
        <v/>
      </c>
      <c r="AO36" s="72" t="b">
        <f>IF(AND(NOT(AK36),AND(AK$4:AK35)),TRUE,AK36)</f>
        <v>0</v>
      </c>
      <c r="AP36" s="172" t="e">
        <f>IF(AND(NOT(ISBLANK(Jumpoverwrite8)),AND(NOT(AO36),AND(AO$4:AO35))),($J36*$G36-LN(1+Jumpoverwrite8*AQ$2))/$G36,_xll.qlInterpolationInterpolate(AO$3,$F36,TRUE))</f>
        <v>#NUM!</v>
      </c>
      <c r="AQ36" s="176" t="str">
        <f>IF(AND(NOT(AO36),AND(AO$4:AO35)),IF($AP36&lt;0,IF($AP36&lt;$J36,EXP(($AP36-$J36)*$G36),EXP(($J36-$AP36)*$G36)),EXP(($AP36-$J36)*$G36)),"")</f>
        <v/>
      </c>
      <c r="AS36" s="72" t="b">
        <f>IF(AND(NOT(AO36),AND(AO$4:AO35)),TRUE,AO36)</f>
        <v>0</v>
      </c>
      <c r="AT36" s="172" t="e">
        <f>IF(AND(NOT(ISBLANK(Jumpoverwrite9)),AND(NOT(AS36),AND(AS$4:AS35))),($J36*$G36-LN(1+Jumpoverwrite9*AU$2))/$G36,_xll.qlInterpolationInterpolate(AS$3,$F36,TRUE))</f>
        <v>#NUM!</v>
      </c>
      <c r="AU36" s="176" t="str">
        <f>IF(AND(NOT(AS36),AND(AS$4:AS35)),IF($AT36&lt;0,IF($AT36&lt;$J36,EXP(($AT36-$J36)*$G36),EXP(($J36-$AT36)*$G36)),EXP(($AT36-$J36)*$G36)),"")</f>
        <v/>
      </c>
      <c r="AW36" s="72" t="b">
        <f>IF(AND(NOT(AS36),AND(AS$4:AS35)),TRUE,AS36)</f>
        <v>0</v>
      </c>
      <c r="AX36" s="172" t="e">
        <f>IF(AND(NOT(ISBLANK(Jumpoverwrite10)),AND(NOT(AW36),AND(AW$4:AW35))),($J36*$G36-LN(1+Jumpoverwrite10*AY$2))/$G36,_xll.qlInterpolationInterpolate(AW$3,$F36,TRUE))</f>
        <v>#NUM!</v>
      </c>
      <c r="AY36" s="176" t="str">
        <f>IF(AND(NOT(AW36),AND(AW$4:AW35)),IF($AX36&lt;0,IF($AX36&lt;$J36,EXP(($AX36-$J36)*$G36),EXP(($J36-$AX36)*$G36)),EXP(($AX36-$J36)*$G36)),"")</f>
        <v/>
      </c>
      <c r="BA36" s="72" t="b">
        <f>IF(AND(NOT(AW36),AND(AW$4:AW35)),TRUE,AW36)</f>
        <v>0</v>
      </c>
      <c r="BB36" s="172" t="e">
        <f>IF(AND(NOT(ISBLANK(Jumpoverwrite11)),AND(NOT(BA36),AND(BA$4:BA35))),($J36*$G36-LN(1+Jumpoverwrite11*BC$2))/$G36,_xll.qlInterpolationInterpolate(BA$3,$F36,TRUE))</f>
        <v>#NUM!</v>
      </c>
      <c r="BC36" s="176" t="str">
        <f>IF(AND(NOT(BA36),AND(BA$4:BA35)),IF($BB36&lt;0,IF($BB36&lt;$J36,EXP(($BB36-$J36)*$G36),EXP(($J36-$BB36)*$G36)),EXP(($BB36-$J36)*$G36)),"")</f>
        <v/>
      </c>
      <c r="BE36" s="72" t="b">
        <f>IF(AND(NOT(BA36),AND(BA$4:BA35)),TRUE,BA36)</f>
        <v>0</v>
      </c>
      <c r="BF36" s="172" t="e">
        <f>IF(AND(NOT(ISBLANK(Jumpoverwrite12)),AND(NOT(BE36),AND(BE$4:BE35))),($J36*$G36-LN(1+Jumpoverwrite12*BG$2))/$G36,_xll.qlInterpolationInterpolate(BE$3,$F36,TRUE))</f>
        <v>#NUM!</v>
      </c>
      <c r="BG36" s="176" t="str">
        <f>IF(AND(NOT(BE36),AND(BE$4:BE35)),IF($BF36&lt;0,IF($BF36&lt;$J36,EXP(($BF36-$J36)*$G36),EXP(($J36-$BF36)*$G36)),EXP(($BF36-$J36)*$G36)),"")</f>
        <v/>
      </c>
      <c r="BI36" s="72" t="b">
        <f t="shared" si="1"/>
        <v>0</v>
      </c>
      <c r="BJ36" s="172" t="e">
        <f>IF(AND(NOT(ISBLANK(jumpoverwrite13)),AND(NOT(BI36),AND(BI$4:BI35))),($J36*$G36-LN(1+jumpoverwrite13*BK$2))/$G36,_xll.qlInterpolationInterpolate(BI$3,$F36,TRUE))</f>
        <v>#NUM!</v>
      </c>
      <c r="BK36" s="176" t="str">
        <f>IF(AND(NOT(BI36),AND(BI$4:BI35)),IF($BJ36&lt;0,IF($BJ36&lt;$J36,EXP(($BJ36-$J36)*$G36),EXP(($J36-$BJ36)*$G36)),EXP(($BJ36-$J36)*$G36)),"")</f>
        <v/>
      </c>
      <c r="BM36" s="72" t="b">
        <f>IF(AND(NOT(BI36),AND(BI$4:BI35)),TRUE,BI36)</f>
        <v>0</v>
      </c>
      <c r="BN36" s="172" t="e">
        <f>IF(AND(NOT(ISBLANK(Jumpoverwrite14)),AND(NOT(BM36),AND(BM$4:BM35))),($J36*$G36-LN(1+Jumpoverwrite14*BO$2))/$G36,_xll.qlInterpolationInterpolate(BM$3,$F36,TRUE))</f>
        <v>#NUM!</v>
      </c>
      <c r="BO36" s="176" t="str">
        <f>IF(AND(NOT(BM36),AND(BM$4:BM35)),IF($BN36&lt;0,IF($BN36&lt;$J36,EXP(($BN36-$J36)*$G36),EXP(($J36-$BN36)*$G36)),EXP(($BN36-$J36)*$G36)),"")</f>
        <v/>
      </c>
      <c r="BQ36" s="72" t="b">
        <f>IF(AND(NOT(BM36),AND(BM$4:BM35)),TRUE,BM36)</f>
        <v>0</v>
      </c>
      <c r="BR36" s="172" t="e">
        <f>IF(AND(NOT(ISBLANK(Jumpoverwrite15)),AND(NOT(BQ36),AND(BQ$4:BQ35))),($J36*$G36-LN(1+Jumpoverwrite15*BS$2))/$G36,_xll.qlInterpolationInterpolate(BQ$3,$F36,TRUE))</f>
        <v>#NUM!</v>
      </c>
      <c r="BS36" s="176" t="str">
        <f>IF(AND(NOT(BQ36),AND(BQ$4:BQ35)),IF($BN36&lt;0,IF($BN36&lt;$J36,EXP(($BN36-$J36)*$G36),EXP(($J36-$BN36)*$G36)),EXP(($BN36-$J36)*$G36)),"")</f>
        <v/>
      </c>
    </row>
    <row r="37" spans="1:71" x14ac:dyDescent="0.2">
      <c r="A37" s="33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84" t="e">
        <f t="shared" si="4"/>
        <v>#N/A</v>
      </c>
      <c r="G37" s="85" t="e">
        <f>_xll.qlDayCounterYearFraction(DayCounter,D36,D37)</f>
        <v>#NUM!</v>
      </c>
      <c r="I37" s="93" t="b">
        <f t="shared" si="2"/>
        <v>0</v>
      </c>
      <c r="J37" s="37" t="e">
        <v>#N/A</v>
      </c>
      <c r="K37" s="94" t="e">
        <f t="shared" si="3"/>
        <v>#VALUE!</v>
      </c>
      <c r="L37" s="105"/>
      <c r="M37" s="72" t="b">
        <f>IF(AND(NOT(I37),AND(I$4:I36)),TRUE,I37)</f>
        <v>0</v>
      </c>
      <c r="N37" s="172" t="e">
        <f>IF(AND(NOT(ISBLANK(Jumpoverwrite1)),AND(NOT(M37),AND(M$4:M36))),($J37*$G37-LN(1+Jumpoverwrite1*O$2))/$G37,_xll.qlInterpolationInterpolate(M$3,$F37,TRUE))</f>
        <v>#NUM!</v>
      </c>
      <c r="O37" s="34" t="str">
        <f>IF(AND(NOT(M37),AND(M$4:M36)),IF($N37&lt;0,IF($N37&lt;$J37,EXP(($N37-$J37)*$G37),EXP(($J37-$N37)*$G37)),EXP(($N37-$J37)*$G37)),"")</f>
        <v/>
      </c>
      <c r="P37" s="107"/>
      <c r="Q37" s="72" t="b">
        <f>IF(AND(NOT(M37),AND(M$4:M36)),TRUE,M37)</f>
        <v>0</v>
      </c>
      <c r="R37" s="172" t="e">
        <f>IF(AND(NOT(ISBLANK(Jumpoverwrite2)),AND(NOT(Q37),AND(Q$4:Q36))),($J37*$G37-LN(1+Jumpoverwrite2*S$2))/$G37,_xll.qlInterpolationInterpolate(Q$3,$F37,TRUE))</f>
        <v>#NUM!</v>
      </c>
      <c r="S37" s="176" t="str">
        <f>IF(AND(NOT(Q37),AND(Q$4:Q36)),IF($R37&lt;0,IF($R37&lt;$J37,EXP(($R37-$J37)*$G37),EXP(($J37-$R37)*$G37)),EXP(($R37-$J37)*$G37)),"")</f>
        <v/>
      </c>
      <c r="T37" s="107"/>
      <c r="U37" s="72" t="b">
        <f>IF(AND(NOT(Q37),AND(Q$4:Q36)),TRUE,Q37)</f>
        <v>0</v>
      </c>
      <c r="V37" s="172" t="e">
        <f>IF(AND(NOT(ISBLANK(Jumpoverwrite3)),AND(NOT(U37),AND(U$4:U36))),($J37*$G37-LN(1+Jumpoverwrite3*W$2))/$G37,_xll.qlInterpolationInterpolate(U$3,$F37,TRUE))</f>
        <v>#NUM!</v>
      </c>
      <c r="W37" s="176" t="str">
        <f>IF(AND(NOT(U37),AND(U$4:U36)),IF($V37&lt;0,IF($V37&lt;$J37,EXP(($V37-$J37)*$G37),EXP(($J37-$V37)*$G37)),EXP(($V37-$J37)*$G37)),"")</f>
        <v/>
      </c>
      <c r="X37" s="107"/>
      <c r="Y37" s="72" t="b">
        <f>IF(AND(NOT(U37),AND(U$4:U36)),TRUE,U37)</f>
        <v>0</v>
      </c>
      <c r="Z37" s="172" t="e">
        <f>IF(AND(NOT(ISBLANK(Jumpoverwrite4)),AND(NOT(Y37),AND(Y$4:Y36))),($J37*$G37-LN(1+Jumpoverwrite4*AA$2))/$G37,_xll.qlInterpolationInterpolate(Y$3,$F37,TRUE))</f>
        <v>#NUM!</v>
      </c>
      <c r="AA37" s="176" t="str">
        <f>IF(AND(NOT(Y37),AND(Y$4:Y36)),IF($Z37&lt;0,IF($Z37&lt;$J37,EXP(($Z37-$J37)*$G37),EXP(($J37-$Z37)*$G37)),EXP(($Z37-$J37)*$G37)),"")</f>
        <v/>
      </c>
      <c r="AB37" s="107"/>
      <c r="AC37" s="72" t="b">
        <f>IF(AND(NOT(Y37),AND(Y$4:Y36)),TRUE,Y37)</f>
        <v>0</v>
      </c>
      <c r="AD37" s="172" t="e">
        <f>IF(AND(NOT(ISBLANK(Jumpoverwrite5)),AND(NOT(AC37),AND(AC$4:AC36))),($J37*$G37-LN(1+Jumpoverwrite5*AE$2))/$G37,_xll.qlInterpolationInterpolate(AC$3,$F37,TRUE))</f>
        <v>#NUM!</v>
      </c>
      <c r="AE37" s="176" t="str">
        <f>IF(AND(NOT(AC37),AND(AC$4:AC36)),IF($AD37&lt;0,IF($AD37&lt;$J37,EXP(($AD37-$J37)*$G37),EXP(($J37-$AD37)*$G37)),EXP(($AD37-$J37)*$G37)),"")</f>
        <v/>
      </c>
      <c r="AF37" s="107"/>
      <c r="AG37" s="72" t="b">
        <f>IF(AND(NOT(AC37),AND(AC$4:AC36)),TRUE,AC37)</f>
        <v>0</v>
      </c>
      <c r="AH37" s="172" t="e">
        <f>IF(AND(NOT(ISBLANK(Jumpoverwrite6)),AND(NOT(AG37),AND(AG$4:AG36))),($J37*$G37-LN(1+Jumpoverwrite6*AI$2))/$G37,_xll.qlInterpolationInterpolate(AG$3,$F37,TRUE))</f>
        <v>#NUM!</v>
      </c>
      <c r="AI37" s="176" t="str">
        <f>IF(AND(NOT(AG37),AND(AG$4:AG36)),IF($AH37&lt;0,IF($AH37&lt;$J37,EXP(($AH37-$J37)*$G37),EXP(($J37-$AH37)*$G37)),EXP(($AH37-$J37)*$G37)),"")</f>
        <v/>
      </c>
      <c r="AJ37" s="107"/>
      <c r="AK37" s="72" t="b">
        <f>IF(AND(NOT(AG37),AND(AG$4:AG36)),TRUE,AG37)</f>
        <v>0</v>
      </c>
      <c r="AL37" s="172" t="e">
        <f>IF(AND(NOT(ISBLANK(Jumpoverwrite7)),AND(NOT(AK37),AND(AK$4:AK36))),($J37*$G37-LN(1+Jumpoverwrite7*AM$2))/$G37,_xll.qlInterpolationInterpolate(AK$3,$F37,TRUE))</f>
        <v>#NUM!</v>
      </c>
      <c r="AM37" s="176" t="str">
        <f>IF(AND(NOT(AK37),AND(AK$4:AK36)),IF($AL37&lt;0,IF($AL37&lt;$J37,EXP(($AL37-$J37)*$G37),EXP(($J37-$AL37)*$G37)),EXP(($AL37-$J37)*$G37)),"")</f>
        <v/>
      </c>
      <c r="AO37" s="72" t="b">
        <f>IF(AND(NOT(AK37),AND(AK$4:AK36)),TRUE,AK37)</f>
        <v>0</v>
      </c>
      <c r="AP37" s="172" t="e">
        <f>IF(AND(NOT(ISBLANK(Jumpoverwrite8)),AND(NOT(AO37),AND(AO$4:AO36))),($J37*$G37-LN(1+Jumpoverwrite8*AQ$2))/$G37,_xll.qlInterpolationInterpolate(AO$3,$F37,TRUE))</f>
        <v>#NUM!</v>
      </c>
      <c r="AQ37" s="176" t="str">
        <f>IF(AND(NOT(AO37),AND(AO$4:AO36)),IF($AP37&lt;0,IF($AP37&lt;$J37,EXP(($AP37-$J37)*$G37),EXP(($J37-$AP37)*$G37)),EXP(($AP37-$J37)*$G37)),"")</f>
        <v/>
      </c>
      <c r="AS37" s="72" t="b">
        <f>IF(AND(NOT(AO37),AND(AO$4:AO36)),TRUE,AO37)</f>
        <v>0</v>
      </c>
      <c r="AT37" s="172" t="e">
        <f>IF(AND(NOT(ISBLANK(Jumpoverwrite9)),AND(NOT(AS37),AND(AS$4:AS36))),($J37*$G37-LN(1+Jumpoverwrite9*AU$2))/$G37,_xll.qlInterpolationInterpolate(AS$3,$F37,TRUE))</f>
        <v>#NUM!</v>
      </c>
      <c r="AU37" s="176" t="str">
        <f>IF(AND(NOT(AS37),AND(AS$4:AS36)),IF($AT37&lt;0,IF($AT37&lt;$J37,EXP(($AT37-$J37)*$G37),EXP(($J37-$AT37)*$G37)),EXP(($AT37-$J37)*$G37)),"")</f>
        <v/>
      </c>
      <c r="AW37" s="72" t="b">
        <f>IF(AND(NOT(AS37),AND(AS$4:AS36)),TRUE,AS37)</f>
        <v>0</v>
      </c>
      <c r="AX37" s="172" t="e">
        <f>IF(AND(NOT(ISBLANK(Jumpoverwrite10)),AND(NOT(AW37),AND(AW$4:AW36))),($J37*$G37-LN(1+Jumpoverwrite10*AY$2))/$G37,_xll.qlInterpolationInterpolate(AW$3,$F37,TRUE))</f>
        <v>#NUM!</v>
      </c>
      <c r="AY37" s="176" t="str">
        <f>IF(AND(NOT(AW37),AND(AW$4:AW36)),IF($AX37&lt;0,IF($AX37&lt;$J37,EXP(($AX37-$J37)*$G37),EXP(($J37-$AX37)*$G37)),EXP(($AX37-$J37)*$G37)),"")</f>
        <v/>
      </c>
      <c r="BA37" s="72" t="b">
        <f>IF(AND(NOT(AW37),AND(AW$4:AW36)),TRUE,AW37)</f>
        <v>0</v>
      </c>
      <c r="BB37" s="172" t="e">
        <f>IF(AND(NOT(ISBLANK(Jumpoverwrite11)),AND(NOT(BA37),AND(BA$4:BA36))),($J37*$G37-LN(1+Jumpoverwrite11*BC$2))/$G37,_xll.qlInterpolationInterpolate(BA$3,$F37,TRUE))</f>
        <v>#NUM!</v>
      </c>
      <c r="BC37" s="176" t="str">
        <f>IF(AND(NOT(BA37),AND(BA$4:BA36)),IF($BB37&lt;0,IF($BB37&lt;$J37,EXP(($BB37-$J37)*$G37),EXP(($J37-$BB37)*$G37)),EXP(($BB37-$J37)*$G37)),"")</f>
        <v/>
      </c>
      <c r="BE37" s="72" t="b">
        <f>IF(AND(NOT(BA37),AND(BA$4:BA36)),TRUE,BA37)</f>
        <v>0</v>
      </c>
      <c r="BF37" s="172" t="e">
        <f>IF(AND(NOT(ISBLANK(Jumpoverwrite12)),AND(NOT(BE37),AND(BE$4:BE36))),($J37*$G37-LN(1+Jumpoverwrite12*BG$2))/$G37,_xll.qlInterpolationInterpolate(BE$3,$F37,TRUE))</f>
        <v>#NUM!</v>
      </c>
      <c r="BG37" s="176" t="str">
        <f>IF(AND(NOT(BE37),AND(BE$4:BE36)),IF($BF37&lt;0,IF($BF37&lt;$J37,EXP(($BF37-$J37)*$G37),EXP(($J37-$BF37)*$G37)),EXP(($BF37-$J37)*$G37)),"")</f>
        <v/>
      </c>
      <c r="BI37" s="72" t="b">
        <f t="shared" ref="BI37:BI68" si="5">IF(ISERROR(K37),FALSE,IF(YEAR(K37)-YEAR(SettlementDate)=2,FALSE,TRUE))</f>
        <v>0</v>
      </c>
      <c r="BJ37" s="172" t="e">
        <f>IF(AND(NOT(ISBLANK(jumpoverwrite13)),AND(NOT(BI37),AND(BI$4:BI36))),($J37*$G37-LN(1+jumpoverwrite13*BK$2))/$G37,_xll.qlInterpolationInterpolate(BI$3,$F37,TRUE))</f>
        <v>#NUM!</v>
      </c>
      <c r="BK37" s="176" t="str">
        <f>IF(AND(NOT(BI37),AND(BI$4:BI36)),IF($BJ37&lt;0,IF($BJ37&lt;$J37,EXP(($BJ37-$J37)*$G37),EXP(($J37-$BJ37)*$G37)),EXP(($BJ37-$J37)*$G37)),"")</f>
        <v/>
      </c>
      <c r="BM37" s="72" t="b">
        <f>IF(AND(NOT(BI37),AND(BI$4:BI36)),TRUE,BI37)</f>
        <v>0</v>
      </c>
      <c r="BN37" s="172" t="e">
        <f>IF(AND(NOT(ISBLANK(Jumpoverwrite14)),AND(NOT(BM37),AND(BM$4:BM36))),($J37*$G37-LN(1+Jumpoverwrite14*BO$2))/$G37,_xll.qlInterpolationInterpolate(BM$3,$F37,TRUE))</f>
        <v>#NUM!</v>
      </c>
      <c r="BO37" s="176" t="str">
        <f>IF(AND(NOT(BM37),AND(BM$4:BM36)),IF($BN37&lt;0,IF($BN37&lt;$J37,EXP(($BN37-$J37)*$G37),EXP(($J37-$BN37)*$G37)),EXP(($BN37-$J37)*$G37)),"")</f>
        <v/>
      </c>
      <c r="BQ37" s="72" t="b">
        <f>IF(AND(NOT(BM37),AND(BM$4:BM36)),TRUE,BM37)</f>
        <v>0</v>
      </c>
      <c r="BR37" s="172" t="e">
        <f>IF(AND(NOT(ISBLANK(Jumpoverwrite15)),AND(NOT(BQ37),AND(BQ$4:BQ36))),($J37*$G37-LN(1+Jumpoverwrite15*BS$2))/$G37,_xll.qlInterpolationInterpolate(BQ$3,$F37,TRUE))</f>
        <v>#NUM!</v>
      </c>
      <c r="BS37" s="176" t="str">
        <f>IF(AND(NOT(BQ37),AND(BQ$4:BQ36)),IF($BN37&lt;0,IF($BN37&lt;$J37,EXP(($BN37-$J37)*$G37),EXP(($J37-$BN37)*$G37)),EXP(($BN37-$J37)*$G37)),"")</f>
        <v/>
      </c>
    </row>
    <row r="38" spans="1:71" x14ac:dyDescent="0.2">
      <c r="A38" s="33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84" t="e">
        <f t="shared" si="4"/>
        <v>#N/A</v>
      </c>
      <c r="G38" s="85" t="e">
        <f>_xll.qlDayCounterYearFraction(DayCounter,D37,D38)</f>
        <v>#NUM!</v>
      </c>
      <c r="I38" s="93" t="b">
        <f t="shared" si="2"/>
        <v>0</v>
      </c>
      <c r="J38" s="37" t="e">
        <v>#N/A</v>
      </c>
      <c r="K38" s="94" t="e">
        <f t="shared" si="3"/>
        <v>#VALUE!</v>
      </c>
      <c r="L38" s="105"/>
      <c r="M38" s="72" t="b">
        <f>IF(AND(NOT(I38),AND(I$4:I37)),TRUE,I38)</f>
        <v>0</v>
      </c>
      <c r="N38" s="172" t="e">
        <f>IF(AND(NOT(ISBLANK(Jumpoverwrite1)),AND(NOT(M38),AND(M$4:M37))),($J38*$G38-LN(1+Jumpoverwrite1*O$2))/$G38,_xll.qlInterpolationInterpolate(M$3,$F38,TRUE))</f>
        <v>#NUM!</v>
      </c>
      <c r="O38" s="34" t="str">
        <f>IF(AND(NOT(M38),AND(M$4:M37)),IF($N38&lt;0,IF($N38&lt;$J38,EXP(($N38-$J38)*$G38),EXP(($J38-$N38)*$G38)),EXP(($N38-$J38)*$G38)),"")</f>
        <v/>
      </c>
      <c r="P38" s="107"/>
      <c r="Q38" s="72" t="b">
        <f>IF(AND(NOT(M38),AND(M$4:M37)),TRUE,M38)</f>
        <v>0</v>
      </c>
      <c r="R38" s="172" t="e">
        <f>IF(AND(NOT(ISBLANK(Jumpoverwrite2)),AND(NOT(Q38),AND(Q$4:Q37))),($J38*$G38-LN(1+Jumpoverwrite2*S$2))/$G38,_xll.qlInterpolationInterpolate(Q$3,$F38,TRUE))</f>
        <v>#NUM!</v>
      </c>
      <c r="S38" s="176" t="str">
        <f>IF(AND(NOT(Q38),AND(Q$4:Q37)),IF($R38&lt;0,IF($R38&lt;$J38,EXP(($R38-$J38)*$G38),EXP(($J38-$R38)*$G38)),EXP(($R38-$J38)*$G38)),"")</f>
        <v/>
      </c>
      <c r="T38" s="107"/>
      <c r="U38" s="72" t="b">
        <f>IF(AND(NOT(Q38),AND(Q$4:Q37)),TRUE,Q38)</f>
        <v>0</v>
      </c>
      <c r="V38" s="172" t="e">
        <f>IF(AND(NOT(ISBLANK(Jumpoverwrite3)),AND(NOT(U38),AND(U$4:U37))),($J38*$G38-LN(1+Jumpoverwrite3*W$2))/$G38,_xll.qlInterpolationInterpolate(U$3,$F38,TRUE))</f>
        <v>#NUM!</v>
      </c>
      <c r="W38" s="176" t="str">
        <f>IF(AND(NOT(U38),AND(U$4:U37)),IF($V38&lt;0,IF($V38&lt;$J38,EXP(($V38-$J38)*$G38),EXP(($J38-$V38)*$G38)),EXP(($V38-$J38)*$G38)),"")</f>
        <v/>
      </c>
      <c r="X38" s="107"/>
      <c r="Y38" s="72" t="b">
        <f>IF(AND(NOT(U38),AND(U$4:U37)),TRUE,U38)</f>
        <v>0</v>
      </c>
      <c r="Z38" s="172" t="e">
        <f>IF(AND(NOT(ISBLANK(Jumpoverwrite4)),AND(NOT(Y38),AND(Y$4:Y37))),($J38*$G38-LN(1+Jumpoverwrite4*AA$2))/$G38,_xll.qlInterpolationInterpolate(Y$3,$F38,TRUE))</f>
        <v>#NUM!</v>
      </c>
      <c r="AA38" s="176" t="str">
        <f>IF(AND(NOT(Y38),AND(Y$4:Y37)),IF($Z38&lt;0,IF($Z38&lt;$J38,EXP(($Z38-$J38)*$G38),EXP(($J38-$Z38)*$G38)),EXP(($Z38-$J38)*$G38)),"")</f>
        <v/>
      </c>
      <c r="AB38" s="107"/>
      <c r="AC38" s="72" t="b">
        <f>IF(AND(NOT(Y38),AND(Y$4:Y37)),TRUE,Y38)</f>
        <v>0</v>
      </c>
      <c r="AD38" s="172" t="e">
        <f>IF(AND(NOT(ISBLANK(Jumpoverwrite5)),AND(NOT(AC38),AND(AC$4:AC37))),($J38*$G38-LN(1+Jumpoverwrite5*AE$2))/$G38,_xll.qlInterpolationInterpolate(AC$3,$F38,TRUE))</f>
        <v>#NUM!</v>
      </c>
      <c r="AE38" s="176" t="str">
        <f>IF(AND(NOT(AC38),AND(AC$4:AC37)),IF($AD38&lt;0,IF($AD38&lt;$J38,EXP(($AD38-$J38)*$G38),EXP(($J38-$AD38)*$G38)),EXP(($AD38-$J38)*$G38)),"")</f>
        <v/>
      </c>
      <c r="AF38" s="107"/>
      <c r="AG38" s="72" t="b">
        <f>IF(AND(NOT(AC38),AND(AC$4:AC37)),TRUE,AC38)</f>
        <v>0</v>
      </c>
      <c r="AH38" s="172" t="e">
        <f>IF(AND(NOT(ISBLANK(Jumpoverwrite6)),AND(NOT(AG38),AND(AG$4:AG37))),($J38*$G38-LN(1+Jumpoverwrite6*AI$2))/$G38,_xll.qlInterpolationInterpolate(AG$3,$F38,TRUE))</f>
        <v>#NUM!</v>
      </c>
      <c r="AI38" s="176" t="str">
        <f>IF(AND(NOT(AG38),AND(AG$4:AG37)),IF($AH38&lt;0,IF($AH38&lt;$J38,EXP(($AH38-$J38)*$G38),EXP(($J38-$AH38)*$G38)),EXP(($AH38-$J38)*$G38)),"")</f>
        <v/>
      </c>
      <c r="AJ38" s="107"/>
      <c r="AK38" s="72" t="b">
        <f>IF(AND(NOT(AG38),AND(AG$4:AG37)),TRUE,AG38)</f>
        <v>0</v>
      </c>
      <c r="AL38" s="172" t="e">
        <f>IF(AND(NOT(ISBLANK(Jumpoverwrite7)),AND(NOT(AK38),AND(AK$4:AK37))),($J38*$G38-LN(1+Jumpoverwrite7*AM$2))/$G38,_xll.qlInterpolationInterpolate(AK$3,$F38,TRUE))</f>
        <v>#NUM!</v>
      </c>
      <c r="AM38" s="176" t="str">
        <f>IF(AND(NOT(AK38),AND(AK$4:AK37)),IF($AL38&lt;0,IF($AL38&lt;$J38,EXP(($AL38-$J38)*$G38),EXP(($J38-$AL38)*$G38)),EXP(($AL38-$J38)*$G38)),"")</f>
        <v/>
      </c>
      <c r="AO38" s="72" t="b">
        <f>IF(AND(NOT(AK38),AND(AK$4:AK37)),TRUE,AK38)</f>
        <v>0</v>
      </c>
      <c r="AP38" s="172" t="e">
        <f>IF(AND(NOT(ISBLANK(Jumpoverwrite8)),AND(NOT(AO38),AND(AO$4:AO37))),($J38*$G38-LN(1+Jumpoverwrite8*AQ$2))/$G38,_xll.qlInterpolationInterpolate(AO$3,$F38,TRUE))</f>
        <v>#NUM!</v>
      </c>
      <c r="AQ38" s="176" t="str">
        <f>IF(AND(NOT(AO38),AND(AO$4:AO37)),IF($AP38&lt;0,IF($AP38&lt;$J38,EXP(($AP38-$J38)*$G38),EXP(($J38-$AP38)*$G38)),EXP(($AP38-$J38)*$G38)),"")</f>
        <v/>
      </c>
      <c r="AS38" s="72" t="b">
        <f>IF(AND(NOT(AO38),AND(AO$4:AO37)),TRUE,AO38)</f>
        <v>0</v>
      </c>
      <c r="AT38" s="172" t="e">
        <f>IF(AND(NOT(ISBLANK(Jumpoverwrite9)),AND(NOT(AS38),AND(AS$4:AS37))),($J38*$G38-LN(1+Jumpoverwrite9*AU$2))/$G38,_xll.qlInterpolationInterpolate(AS$3,$F38,TRUE))</f>
        <v>#NUM!</v>
      </c>
      <c r="AU38" s="176" t="str">
        <f>IF(AND(NOT(AS38),AND(AS$4:AS37)),IF($AT38&lt;0,IF($AT38&lt;$J38,EXP(($AT38-$J38)*$G38),EXP(($J38-$AT38)*$G38)),EXP(($AT38-$J38)*$G38)),"")</f>
        <v/>
      </c>
      <c r="AW38" s="72" t="b">
        <f>IF(AND(NOT(AS38),AND(AS$4:AS37)),TRUE,AS38)</f>
        <v>0</v>
      </c>
      <c r="AX38" s="172" t="e">
        <f>IF(AND(NOT(ISBLANK(Jumpoverwrite10)),AND(NOT(AW38),AND(AW$4:AW37))),($J38*$G38-LN(1+Jumpoverwrite10*AY$2))/$G38,_xll.qlInterpolationInterpolate(AW$3,$F38,TRUE))</f>
        <v>#NUM!</v>
      </c>
      <c r="AY38" s="176" t="str">
        <f>IF(AND(NOT(AW38),AND(AW$4:AW37)),IF($AX38&lt;0,IF($AX38&lt;$J38,EXP(($AX38-$J38)*$G38),EXP(($J38-$AX38)*$G38)),EXP(($AX38-$J38)*$G38)),"")</f>
        <v/>
      </c>
      <c r="BA38" s="72" t="b">
        <f>IF(AND(NOT(AW38),AND(AW$4:AW37)),TRUE,AW38)</f>
        <v>0</v>
      </c>
      <c r="BB38" s="172" t="e">
        <f>IF(AND(NOT(ISBLANK(Jumpoverwrite11)),AND(NOT(BA38),AND(BA$4:BA37))),($J38*$G38-LN(1+Jumpoverwrite11*BC$2))/$G38,_xll.qlInterpolationInterpolate(BA$3,$F38,TRUE))</f>
        <v>#NUM!</v>
      </c>
      <c r="BC38" s="176" t="str">
        <f>IF(AND(NOT(BA38),AND(BA$4:BA37)),IF($BB38&lt;0,IF($BB38&lt;$J38,EXP(($BB38-$J38)*$G38),EXP(($J38-$BB38)*$G38)),EXP(($BB38-$J38)*$G38)),"")</f>
        <v/>
      </c>
      <c r="BE38" s="72" t="b">
        <f>IF(AND(NOT(BA38),AND(BA$4:BA37)),TRUE,BA38)</f>
        <v>0</v>
      </c>
      <c r="BF38" s="172" t="e">
        <f>IF(AND(NOT(ISBLANK(Jumpoverwrite12)),AND(NOT(BE38),AND(BE$4:BE37))),($J38*$G38-LN(1+Jumpoverwrite12*BG$2))/$G38,_xll.qlInterpolationInterpolate(BE$3,$F38,TRUE))</f>
        <v>#NUM!</v>
      </c>
      <c r="BG38" s="176" t="str">
        <f>IF(AND(NOT(BE38),AND(BE$4:BE37)),IF($BF38&lt;0,IF($BF38&lt;$J38,EXP(($BF38-$J38)*$G38),EXP(($J38-$BF38)*$G38)),EXP(($BF38-$J38)*$G38)),"")</f>
        <v/>
      </c>
      <c r="BI38" s="72" t="b">
        <f t="shared" si="5"/>
        <v>0</v>
      </c>
      <c r="BJ38" s="172" t="e">
        <f>IF(AND(NOT(ISBLANK(jumpoverwrite13)),AND(NOT(BI38),AND(BI$4:BI37))),($J38*$G38-LN(1+jumpoverwrite13*BK$2))/$G38,_xll.qlInterpolationInterpolate(BI$3,$F38,TRUE))</f>
        <v>#NUM!</v>
      </c>
      <c r="BK38" s="176" t="str">
        <f>IF(AND(NOT(BI38),AND(BI$4:BI37)),IF($BJ38&lt;0,IF($BJ38&lt;$J38,EXP(($BJ38-$J38)*$G38),EXP(($J38-$BJ38)*$G38)),EXP(($BJ38-$J38)*$G38)),"")</f>
        <v/>
      </c>
      <c r="BM38" s="72" t="b">
        <f>IF(AND(NOT(BI38),AND(BI$4:BI37)),TRUE,BI38)</f>
        <v>0</v>
      </c>
      <c r="BN38" s="172" t="e">
        <f>IF(AND(NOT(ISBLANK(Jumpoverwrite14)),AND(NOT(BM38),AND(BM$4:BM37))),($J38*$G38-LN(1+Jumpoverwrite14*BO$2))/$G38,_xll.qlInterpolationInterpolate(BM$3,$F38,TRUE))</f>
        <v>#NUM!</v>
      </c>
      <c r="BO38" s="176" t="str">
        <f>IF(AND(NOT(BM38),AND(BM$4:BM37)),IF($BN38&lt;0,IF($BN38&lt;$J38,EXP(($BN38-$J38)*$G38),EXP(($J38-$BN38)*$G38)),EXP(($BN38-$J38)*$G38)),"")</f>
        <v/>
      </c>
      <c r="BQ38" s="72" t="b">
        <f>IF(AND(NOT(BM38),AND(BM$4:BM37)),TRUE,BM38)</f>
        <v>0</v>
      </c>
      <c r="BR38" s="172" t="e">
        <f>IF(AND(NOT(ISBLANK(Jumpoverwrite15)),AND(NOT(BQ38),AND(BQ$4:BQ37))),($J38*$G38-LN(1+Jumpoverwrite15*BS$2))/$G38,_xll.qlInterpolationInterpolate(BQ$3,$F38,TRUE))</f>
        <v>#NUM!</v>
      </c>
      <c r="BS38" s="176" t="str">
        <f>IF(AND(NOT(BQ38),AND(BQ$4:BQ37)),IF($BN38&lt;0,IF($BN38&lt;$J38,EXP(($BN38-$J38)*$G38),EXP(($J38-$BN38)*$G38)),EXP(($BN38-$J38)*$G38)),"")</f>
        <v/>
      </c>
    </row>
    <row r="39" spans="1:71" x14ac:dyDescent="0.2">
      <c r="A39" s="33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84" t="e">
        <f t="shared" si="4"/>
        <v>#N/A</v>
      </c>
      <c r="G39" s="85" t="e">
        <f>_xll.qlDayCounterYearFraction(DayCounter,D38,D39)</f>
        <v>#NUM!</v>
      </c>
      <c r="I39" s="93" t="b">
        <f t="shared" si="2"/>
        <v>0</v>
      </c>
      <c r="J39" s="37" t="e">
        <v>#N/A</v>
      </c>
      <c r="K39" s="94" t="e">
        <f t="shared" si="3"/>
        <v>#VALUE!</v>
      </c>
      <c r="L39" s="105"/>
      <c r="M39" s="72" t="b">
        <f>IF(AND(NOT(I39),AND(I$4:I38)),TRUE,I39)</f>
        <v>0</v>
      </c>
      <c r="N39" s="172" t="e">
        <f>IF(AND(NOT(ISBLANK(Jumpoverwrite1)),AND(NOT(M39),AND(M$4:M38))),($J39*$G39-LN(1+Jumpoverwrite1*O$2))/$G39,_xll.qlInterpolationInterpolate(M$3,$F39,TRUE))</f>
        <v>#NUM!</v>
      </c>
      <c r="O39" s="34" t="str">
        <f>IF(AND(NOT(M39),AND(M$4:M38)),IF($N39&lt;0,IF($N39&lt;$J39,EXP(($N39-$J39)*$G39),EXP(($J39-$N39)*$G39)),EXP(($N39-$J39)*$G39)),"")</f>
        <v/>
      </c>
      <c r="P39" s="107"/>
      <c r="Q39" s="72" t="b">
        <f>IF(AND(NOT(M39),AND(M$4:M38)),TRUE,M39)</f>
        <v>0</v>
      </c>
      <c r="R39" s="172" t="e">
        <f>IF(AND(NOT(ISBLANK(Jumpoverwrite2)),AND(NOT(Q39),AND(Q$4:Q38))),($J39*$G39-LN(1+Jumpoverwrite2*S$2))/$G39,_xll.qlInterpolationInterpolate(Q$3,$F39,TRUE))</f>
        <v>#NUM!</v>
      </c>
      <c r="S39" s="176" t="str">
        <f>IF(AND(NOT(Q39),AND(Q$4:Q38)),IF($R39&lt;0,IF($R39&lt;$J39,EXP(($R39-$J39)*$G39),EXP(($J39-$R39)*$G39)),EXP(($R39-$J39)*$G39)),"")</f>
        <v/>
      </c>
      <c r="T39" s="107"/>
      <c r="U39" s="72" t="b">
        <f>IF(AND(NOT(Q39),AND(Q$4:Q38)),TRUE,Q39)</f>
        <v>0</v>
      </c>
      <c r="V39" s="172" t="e">
        <f>IF(AND(NOT(ISBLANK(Jumpoverwrite3)),AND(NOT(U39),AND(U$4:U38))),($J39*$G39-LN(1+Jumpoverwrite3*W$2))/$G39,_xll.qlInterpolationInterpolate(U$3,$F39,TRUE))</f>
        <v>#NUM!</v>
      </c>
      <c r="W39" s="176" t="str">
        <f>IF(AND(NOT(U39),AND(U$4:U38)),IF($V39&lt;0,IF($V39&lt;$J39,EXP(($V39-$J39)*$G39),EXP(($J39-$V39)*$G39)),EXP(($V39-$J39)*$G39)),"")</f>
        <v/>
      </c>
      <c r="X39" s="107"/>
      <c r="Y39" s="72" t="b">
        <f>IF(AND(NOT(U39),AND(U$4:U38)),TRUE,U39)</f>
        <v>0</v>
      </c>
      <c r="Z39" s="172" t="e">
        <f>IF(AND(NOT(ISBLANK(Jumpoverwrite4)),AND(NOT(Y39),AND(Y$4:Y38))),($J39*$G39-LN(1+Jumpoverwrite4*AA$2))/$G39,_xll.qlInterpolationInterpolate(Y$3,$F39,TRUE))</f>
        <v>#NUM!</v>
      </c>
      <c r="AA39" s="176" t="str">
        <f>IF(AND(NOT(Y39),AND(Y$4:Y38)),IF($Z39&lt;0,IF($Z39&lt;$J39,EXP(($Z39-$J39)*$G39),EXP(($J39-$Z39)*$G39)),EXP(($Z39-$J39)*$G39)),"")</f>
        <v/>
      </c>
      <c r="AB39" s="107"/>
      <c r="AC39" s="72" t="b">
        <f>IF(AND(NOT(Y39),AND(Y$4:Y38)),TRUE,Y39)</f>
        <v>0</v>
      </c>
      <c r="AD39" s="172" t="e">
        <f>IF(AND(NOT(ISBLANK(Jumpoverwrite5)),AND(NOT(AC39),AND(AC$4:AC38))),($J39*$G39-LN(1+Jumpoverwrite5*AE$2))/$G39,_xll.qlInterpolationInterpolate(AC$3,$F39,TRUE))</f>
        <v>#NUM!</v>
      </c>
      <c r="AE39" s="176" t="str">
        <f>IF(AND(NOT(AC39),AND(AC$4:AC38)),IF($AD39&lt;0,IF($AD39&lt;$J39,EXP(($AD39-$J39)*$G39),EXP(($J39-$AD39)*$G39)),EXP(($AD39-$J39)*$G39)),"")</f>
        <v/>
      </c>
      <c r="AF39" s="107"/>
      <c r="AG39" s="72" t="b">
        <f>IF(AND(NOT(AC39),AND(AC$4:AC38)),TRUE,AC39)</f>
        <v>0</v>
      </c>
      <c r="AH39" s="172" t="e">
        <f>IF(AND(NOT(ISBLANK(Jumpoverwrite6)),AND(NOT(AG39),AND(AG$4:AG38))),($J39*$G39-LN(1+Jumpoverwrite6*AI$2))/$G39,_xll.qlInterpolationInterpolate(AG$3,$F39,TRUE))</f>
        <v>#NUM!</v>
      </c>
      <c r="AI39" s="176" t="str">
        <f>IF(AND(NOT(AG39),AND(AG$4:AG38)),IF($AH39&lt;0,IF($AH39&lt;$J39,EXP(($AH39-$J39)*$G39),EXP(($J39-$AH39)*$G39)),EXP(($AH39-$J39)*$G39)),"")</f>
        <v/>
      </c>
      <c r="AJ39" s="107"/>
      <c r="AK39" s="72" t="b">
        <f>IF(AND(NOT(AG39),AND(AG$4:AG38)),TRUE,AG39)</f>
        <v>0</v>
      </c>
      <c r="AL39" s="172" t="e">
        <f>IF(AND(NOT(ISBLANK(Jumpoverwrite7)),AND(NOT(AK39),AND(AK$4:AK38))),($J39*$G39-LN(1+Jumpoverwrite7*AM$2))/$G39,_xll.qlInterpolationInterpolate(AK$3,$F39,TRUE))</f>
        <v>#NUM!</v>
      </c>
      <c r="AM39" s="176" t="str">
        <f>IF(AND(NOT(AK39),AND(AK$4:AK38)),IF($AL39&lt;0,IF($AL39&lt;$J39,EXP(($AL39-$J39)*$G39),EXP(($J39-$AL39)*$G39)),EXP(($AL39-$J39)*$G39)),"")</f>
        <v/>
      </c>
      <c r="AO39" s="72" t="b">
        <f>IF(AND(NOT(AK39),AND(AK$4:AK38)),TRUE,AK39)</f>
        <v>0</v>
      </c>
      <c r="AP39" s="172" t="e">
        <f>IF(AND(NOT(ISBLANK(Jumpoverwrite8)),AND(NOT(AO39),AND(AO$4:AO38))),($J39*$G39-LN(1+Jumpoverwrite8*AQ$2))/$G39,_xll.qlInterpolationInterpolate(AO$3,$F39,TRUE))</f>
        <v>#NUM!</v>
      </c>
      <c r="AQ39" s="176" t="str">
        <f>IF(AND(NOT(AO39),AND(AO$4:AO38)),IF($AP39&lt;0,IF($AP39&lt;$J39,EXP(($AP39-$J39)*$G39),EXP(($J39-$AP39)*$G39)),EXP(($AP39-$J39)*$G39)),"")</f>
        <v/>
      </c>
      <c r="AS39" s="72" t="b">
        <f>IF(AND(NOT(AO39),AND(AO$4:AO38)),TRUE,AO39)</f>
        <v>0</v>
      </c>
      <c r="AT39" s="172" t="e">
        <f>IF(AND(NOT(ISBLANK(Jumpoverwrite9)),AND(NOT(AS39),AND(AS$4:AS38))),($J39*$G39-LN(1+Jumpoverwrite9*AU$2))/$G39,_xll.qlInterpolationInterpolate(AS$3,$F39,TRUE))</f>
        <v>#NUM!</v>
      </c>
      <c r="AU39" s="176" t="str">
        <f>IF(AND(NOT(AS39),AND(AS$4:AS38)),IF($AT39&lt;0,IF($AT39&lt;$J39,EXP(($AT39-$J39)*$G39),EXP(($J39-$AT39)*$G39)),EXP(($AT39-$J39)*$G39)),"")</f>
        <v/>
      </c>
      <c r="AW39" s="72" t="b">
        <f>IF(AND(NOT(AS39),AND(AS$4:AS38)),TRUE,AS39)</f>
        <v>0</v>
      </c>
      <c r="AX39" s="172" t="e">
        <f>IF(AND(NOT(ISBLANK(Jumpoverwrite10)),AND(NOT(AW39),AND(AW$4:AW38))),($J39*$G39-LN(1+Jumpoverwrite10*AY$2))/$G39,_xll.qlInterpolationInterpolate(AW$3,$F39,TRUE))</f>
        <v>#NUM!</v>
      </c>
      <c r="AY39" s="176" t="str">
        <f>IF(AND(NOT(AW39),AND(AW$4:AW38)),IF($AX39&lt;0,IF($AX39&lt;$J39,EXP(($AX39-$J39)*$G39),EXP(($J39-$AX39)*$G39)),EXP(($AX39-$J39)*$G39)),"")</f>
        <v/>
      </c>
      <c r="BA39" s="72" t="b">
        <f>IF(AND(NOT(AW39),AND(AW$4:AW38)),TRUE,AW39)</f>
        <v>0</v>
      </c>
      <c r="BB39" s="172" t="e">
        <f>IF(AND(NOT(ISBLANK(Jumpoverwrite11)),AND(NOT(BA39),AND(BA$4:BA38))),($J39*$G39-LN(1+Jumpoverwrite11*BC$2))/$G39,_xll.qlInterpolationInterpolate(BA$3,$F39,TRUE))</f>
        <v>#NUM!</v>
      </c>
      <c r="BC39" s="176" t="str">
        <f>IF(AND(NOT(BA39),AND(BA$4:BA38)),IF($BB39&lt;0,IF($BB39&lt;$J39,EXP(($BB39-$J39)*$G39),EXP(($J39-$BB39)*$G39)),EXP(($BB39-$J39)*$G39)),"")</f>
        <v/>
      </c>
      <c r="BE39" s="72" t="b">
        <f>IF(AND(NOT(BA39),AND(BA$4:BA38)),TRUE,BA39)</f>
        <v>0</v>
      </c>
      <c r="BF39" s="172" t="e">
        <f>IF(AND(NOT(ISBLANK(Jumpoverwrite12)),AND(NOT(BE39),AND(BE$4:BE38))),($J39*$G39-LN(1+Jumpoverwrite12*BG$2))/$G39,_xll.qlInterpolationInterpolate(BE$3,$F39,TRUE))</f>
        <v>#NUM!</v>
      </c>
      <c r="BG39" s="176" t="str">
        <f>IF(AND(NOT(BE39),AND(BE$4:BE38)),IF($BF39&lt;0,IF($BF39&lt;$J39,EXP(($BF39-$J39)*$G39),EXP(($J39-$BF39)*$G39)),EXP(($BF39-$J39)*$G39)),"")</f>
        <v/>
      </c>
      <c r="BI39" s="72" t="b">
        <f t="shared" si="5"/>
        <v>0</v>
      </c>
      <c r="BJ39" s="172" t="e">
        <f>IF(AND(NOT(ISBLANK(jumpoverwrite13)),AND(NOT(BI39),AND(BI$4:BI38))),($J39*$G39-LN(1+jumpoverwrite13*BK$2))/$G39,_xll.qlInterpolationInterpolate(BI$3,$F39,TRUE))</f>
        <v>#NUM!</v>
      </c>
      <c r="BK39" s="176" t="str">
        <f>IF(AND(NOT(BI39),AND(BI$4:BI38)),IF($BJ39&lt;0,IF($BJ39&lt;$J39,EXP(($BJ39-$J39)*$G39),EXP(($J39-$BJ39)*$G39)),EXP(($BJ39-$J39)*$G39)),"")</f>
        <v/>
      </c>
      <c r="BM39" s="72" t="b">
        <f>IF(AND(NOT(BI39),AND(BI$4:BI38)),TRUE,BI39)</f>
        <v>0</v>
      </c>
      <c r="BN39" s="172" t="e">
        <f>IF(AND(NOT(ISBLANK(Jumpoverwrite14)),AND(NOT(BM39),AND(BM$4:BM38))),($J39*$G39-LN(1+Jumpoverwrite14*BO$2))/$G39,_xll.qlInterpolationInterpolate(BM$3,$F39,TRUE))</f>
        <v>#NUM!</v>
      </c>
      <c r="BO39" s="176" t="str">
        <f>IF(AND(NOT(BM39),AND(BM$4:BM38)),IF($BN39&lt;0,IF($BN39&lt;$J39,EXP(($BN39-$J39)*$G39),EXP(($J39-$BN39)*$G39)),EXP(($BN39-$J39)*$G39)),"")</f>
        <v/>
      </c>
      <c r="BQ39" s="72" t="b">
        <f>IF(AND(NOT(BM39),AND(BM$4:BM38)),TRUE,BM39)</f>
        <v>0</v>
      </c>
      <c r="BR39" s="172" t="e">
        <f>IF(AND(NOT(ISBLANK(Jumpoverwrite15)),AND(NOT(BQ39),AND(BQ$4:BQ38))),($J39*$G39-LN(1+Jumpoverwrite15*BS$2))/$G39,_xll.qlInterpolationInterpolate(BQ$3,$F39,TRUE))</f>
        <v>#NUM!</v>
      </c>
      <c r="BS39" s="176" t="str">
        <f>IF(AND(NOT(BQ39),AND(BQ$4:BQ38)),IF($BN39&lt;0,IF($BN39&lt;$J39,EXP(($BN39-$J39)*$G39),EXP(($J39-$BN39)*$G39)),EXP(($BN39-$J39)*$G39)),"")</f>
        <v/>
      </c>
    </row>
    <row r="40" spans="1:71" x14ac:dyDescent="0.2">
      <c r="A40" s="33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84" t="e">
        <f t="shared" si="4"/>
        <v>#N/A</v>
      </c>
      <c r="G40" s="85" t="e">
        <f>_xll.qlDayCounterYearFraction(DayCounter,D39,D40)</f>
        <v>#NUM!</v>
      </c>
      <c r="I40" s="93" t="b">
        <f t="shared" si="2"/>
        <v>0</v>
      </c>
      <c r="J40" s="37" t="e">
        <v>#N/A</v>
      </c>
      <c r="K40" s="94" t="e">
        <f t="shared" si="3"/>
        <v>#VALUE!</v>
      </c>
      <c r="L40" s="105"/>
      <c r="M40" s="72" t="b">
        <f>IF(AND(NOT(I40),AND(I$4:I39)),TRUE,I40)</f>
        <v>0</v>
      </c>
      <c r="N40" s="172" t="e">
        <f>IF(AND(NOT(ISBLANK(Jumpoverwrite1)),AND(NOT(M40),AND(M$4:M39))),($J40*$G40-LN(1+Jumpoverwrite1*O$2))/$G40,_xll.qlInterpolationInterpolate(M$3,$F40,TRUE))</f>
        <v>#NUM!</v>
      </c>
      <c r="O40" s="34" t="str">
        <f>IF(AND(NOT(M40),AND(M$4:M39)),IF($N40&lt;0,IF($N40&lt;$J40,EXP(($N40-$J40)*$G40),EXP(($J40-$N40)*$G40)),EXP(($N40-$J40)*$G40)),"")</f>
        <v/>
      </c>
      <c r="P40" s="107"/>
      <c r="Q40" s="72" t="b">
        <f>IF(AND(NOT(M40),AND(M$4:M39)),TRUE,M40)</f>
        <v>0</v>
      </c>
      <c r="R40" s="172" t="e">
        <f>IF(AND(NOT(ISBLANK(Jumpoverwrite2)),AND(NOT(Q40),AND(Q$4:Q39))),($J40*$G40-LN(1+Jumpoverwrite2*S$2))/$G40,_xll.qlInterpolationInterpolate(Q$3,$F40,TRUE))</f>
        <v>#NUM!</v>
      </c>
      <c r="S40" s="176" t="str">
        <f>IF(AND(NOT(Q40),AND(Q$4:Q39)),IF($R40&lt;0,IF($R40&lt;$J40,EXP(($R40-$J40)*$G40),EXP(($J40-$R40)*$G40)),EXP(($R40-$J40)*$G40)),"")</f>
        <v/>
      </c>
      <c r="T40" s="107"/>
      <c r="U40" s="72" t="b">
        <f>IF(AND(NOT(Q40),AND(Q$4:Q39)),TRUE,Q40)</f>
        <v>0</v>
      </c>
      <c r="V40" s="172" t="e">
        <f>IF(AND(NOT(ISBLANK(Jumpoverwrite3)),AND(NOT(U40),AND(U$4:U39))),($J40*$G40-LN(1+Jumpoverwrite3*W$2))/$G40,_xll.qlInterpolationInterpolate(U$3,$F40,TRUE))</f>
        <v>#NUM!</v>
      </c>
      <c r="W40" s="176" t="str">
        <f>IF(AND(NOT(U40),AND(U$4:U39)),IF($V40&lt;0,IF($V40&lt;$J40,EXP(($V40-$J40)*$G40),EXP(($J40-$V40)*$G40)),EXP(($V40-$J40)*$G40)),"")</f>
        <v/>
      </c>
      <c r="X40" s="107"/>
      <c r="Y40" s="72" t="b">
        <f>IF(AND(NOT(U40),AND(U$4:U39)),TRUE,U40)</f>
        <v>0</v>
      </c>
      <c r="Z40" s="172" t="e">
        <f>IF(AND(NOT(ISBLANK(Jumpoverwrite4)),AND(NOT(Y40),AND(Y$4:Y39))),($J40*$G40-LN(1+Jumpoverwrite4*AA$2))/$G40,_xll.qlInterpolationInterpolate(Y$3,$F40,TRUE))</f>
        <v>#NUM!</v>
      </c>
      <c r="AA40" s="176" t="str">
        <f>IF(AND(NOT(Y40),AND(Y$4:Y39)),IF($Z40&lt;0,IF($Z40&lt;$J40,EXP(($Z40-$J40)*$G40),EXP(($J40-$Z40)*$G40)),EXP(($Z40-$J40)*$G40)),"")</f>
        <v/>
      </c>
      <c r="AB40" s="107"/>
      <c r="AC40" s="72" t="b">
        <f>IF(AND(NOT(Y40),AND(Y$4:Y39)),TRUE,Y40)</f>
        <v>0</v>
      </c>
      <c r="AD40" s="172" t="e">
        <f>IF(AND(NOT(ISBLANK(Jumpoverwrite5)),AND(NOT(AC40),AND(AC$4:AC39))),($J40*$G40-LN(1+Jumpoverwrite5*AE$2))/$G40,_xll.qlInterpolationInterpolate(AC$3,$F40,TRUE))</f>
        <v>#NUM!</v>
      </c>
      <c r="AE40" s="176" t="str">
        <f>IF(AND(NOT(AC40),AND(AC$4:AC39)),IF($AD40&lt;0,IF($AD40&lt;$J40,EXP(($AD40-$J40)*$G40),EXP(($J40-$AD40)*$G40)),EXP(($AD40-$J40)*$G40)),"")</f>
        <v/>
      </c>
      <c r="AF40" s="107"/>
      <c r="AG40" s="72" t="b">
        <f>IF(AND(NOT(AC40),AND(AC$4:AC39)),TRUE,AC40)</f>
        <v>0</v>
      </c>
      <c r="AH40" s="172" t="e">
        <f>IF(AND(NOT(ISBLANK(Jumpoverwrite6)),AND(NOT(AG40),AND(AG$4:AG39))),($J40*$G40-LN(1+Jumpoverwrite6*AI$2))/$G40,_xll.qlInterpolationInterpolate(AG$3,$F40,TRUE))</f>
        <v>#NUM!</v>
      </c>
      <c r="AI40" s="176" t="str">
        <f>IF(AND(NOT(AG40),AND(AG$4:AG39)),IF($AH40&lt;0,IF($AH40&lt;$J40,EXP(($AH40-$J40)*$G40),EXP(($J40-$AH40)*$G40)),EXP(($AH40-$J40)*$G40)),"")</f>
        <v/>
      </c>
      <c r="AJ40" s="107"/>
      <c r="AK40" s="72" t="b">
        <f>IF(AND(NOT(AG40),AND(AG$4:AG39)),TRUE,AG40)</f>
        <v>0</v>
      </c>
      <c r="AL40" s="172" t="e">
        <f>IF(AND(NOT(ISBLANK(Jumpoverwrite7)),AND(NOT(AK40),AND(AK$4:AK39))),($J40*$G40-LN(1+Jumpoverwrite7*AM$2))/$G40,_xll.qlInterpolationInterpolate(AK$3,$F40,TRUE))</f>
        <v>#NUM!</v>
      </c>
      <c r="AM40" s="176" t="str">
        <f>IF(AND(NOT(AK40),AND(AK$4:AK39)),IF($AL40&lt;0,IF($AL40&lt;$J40,EXP(($AL40-$J40)*$G40),EXP(($J40-$AL40)*$G40)),EXP(($AL40-$J40)*$G40)),"")</f>
        <v/>
      </c>
      <c r="AO40" s="72" t="b">
        <f>IF(AND(NOT(AK40),AND(AK$4:AK39)),TRUE,AK40)</f>
        <v>0</v>
      </c>
      <c r="AP40" s="172" t="e">
        <f>IF(AND(NOT(ISBLANK(Jumpoverwrite8)),AND(NOT(AO40),AND(AO$4:AO39))),($J40*$G40-LN(1+Jumpoverwrite8*AQ$2))/$G40,_xll.qlInterpolationInterpolate(AO$3,$F40,TRUE))</f>
        <v>#NUM!</v>
      </c>
      <c r="AQ40" s="176" t="str">
        <f>IF(AND(NOT(AO40),AND(AO$4:AO39)),IF($AP40&lt;0,IF($AP40&lt;$J40,EXP(($AP40-$J40)*$G40),EXP(($J40-$AP40)*$G40)),EXP(($AP40-$J40)*$G40)),"")</f>
        <v/>
      </c>
      <c r="AS40" s="72" t="b">
        <f>IF(AND(NOT(AO40),AND(AO$4:AO39)),TRUE,AO40)</f>
        <v>0</v>
      </c>
      <c r="AT40" s="172" t="e">
        <f>IF(AND(NOT(ISBLANK(Jumpoverwrite9)),AND(NOT(AS40),AND(AS$4:AS39))),($J40*$G40-LN(1+Jumpoverwrite9*AU$2))/$G40,_xll.qlInterpolationInterpolate(AS$3,$F40,TRUE))</f>
        <v>#NUM!</v>
      </c>
      <c r="AU40" s="176" t="str">
        <f>IF(AND(NOT(AS40),AND(AS$4:AS39)),IF($AT40&lt;0,IF($AT40&lt;$J40,EXP(($AT40-$J40)*$G40),EXP(($J40-$AT40)*$G40)),EXP(($AT40-$J40)*$G40)),"")</f>
        <v/>
      </c>
      <c r="AW40" s="72" t="b">
        <f>IF(AND(NOT(AS40),AND(AS$4:AS39)),TRUE,AS40)</f>
        <v>0</v>
      </c>
      <c r="AX40" s="172" t="e">
        <f>IF(AND(NOT(ISBLANK(Jumpoverwrite10)),AND(NOT(AW40),AND(AW$4:AW39))),($J40*$G40-LN(1+Jumpoverwrite10*AY$2))/$G40,_xll.qlInterpolationInterpolate(AW$3,$F40,TRUE))</f>
        <v>#NUM!</v>
      </c>
      <c r="AY40" s="176" t="str">
        <f>IF(AND(NOT(AW40),AND(AW$4:AW39)),IF($AX40&lt;0,IF($AX40&lt;$J40,EXP(($AX40-$J40)*$G40),EXP(($J40-$AX40)*$G40)),EXP(($AX40-$J40)*$G40)),"")</f>
        <v/>
      </c>
      <c r="BA40" s="72" t="b">
        <f>IF(AND(NOT(AW40),AND(AW$4:AW39)),TRUE,AW40)</f>
        <v>0</v>
      </c>
      <c r="BB40" s="172" t="e">
        <f>IF(AND(NOT(ISBLANK(Jumpoverwrite11)),AND(NOT(BA40),AND(BA$4:BA39))),($J40*$G40-LN(1+Jumpoverwrite11*BC$2))/$G40,_xll.qlInterpolationInterpolate(BA$3,$F40,TRUE))</f>
        <v>#NUM!</v>
      </c>
      <c r="BC40" s="176" t="str">
        <f>IF(AND(NOT(BA40),AND(BA$4:BA39)),IF($BB40&lt;0,IF($BB40&lt;$J40,EXP(($BB40-$J40)*$G40),EXP(($J40-$BB40)*$G40)),EXP(($BB40-$J40)*$G40)),"")</f>
        <v/>
      </c>
      <c r="BE40" s="72" t="b">
        <f>IF(AND(NOT(BA40),AND(BA$4:BA39)),TRUE,BA40)</f>
        <v>0</v>
      </c>
      <c r="BF40" s="172" t="e">
        <f>IF(AND(NOT(ISBLANK(Jumpoverwrite12)),AND(NOT(BE40),AND(BE$4:BE39))),($J40*$G40-LN(1+Jumpoverwrite12*BG$2))/$G40,_xll.qlInterpolationInterpolate(BE$3,$F40,TRUE))</f>
        <v>#NUM!</v>
      </c>
      <c r="BG40" s="176" t="str">
        <f>IF(AND(NOT(BE40),AND(BE$4:BE39)),IF($BF40&lt;0,IF($BF40&lt;$J40,EXP(($BF40-$J40)*$G40),EXP(($J40-$BF40)*$G40)),EXP(($BF40-$J40)*$G40)),"")</f>
        <v/>
      </c>
      <c r="BI40" s="72" t="b">
        <f t="shared" si="5"/>
        <v>0</v>
      </c>
      <c r="BJ40" s="172" t="e">
        <f>IF(AND(NOT(ISBLANK(jumpoverwrite13)),AND(NOT(BI40),AND(BI$4:BI39))),($J40*$G40-LN(1+jumpoverwrite13*BK$2))/$G40,_xll.qlInterpolationInterpolate(BI$3,$F40,TRUE))</f>
        <v>#NUM!</v>
      </c>
      <c r="BK40" s="176" t="str">
        <f>IF(AND(NOT(BI40),AND(BI$4:BI39)),IF($BJ40&lt;0,IF($BJ40&lt;$J40,EXP(($BJ40-$J40)*$G40),EXP(($J40-$BJ40)*$G40)),EXP(($BJ40-$J40)*$G40)),"")</f>
        <v/>
      </c>
      <c r="BM40" s="72" t="b">
        <f>IF(AND(NOT(BI40),AND(BI$4:BI39)),TRUE,BI40)</f>
        <v>0</v>
      </c>
      <c r="BN40" s="172" t="e">
        <f>IF(AND(NOT(ISBLANK(Jumpoverwrite14)),AND(NOT(BM40),AND(BM$4:BM39))),($J40*$G40-LN(1+Jumpoverwrite14*BO$2))/$G40,_xll.qlInterpolationInterpolate(BM$3,$F40,TRUE))</f>
        <v>#NUM!</v>
      </c>
      <c r="BO40" s="176" t="str">
        <f>IF(AND(NOT(BM40),AND(BM$4:BM39)),IF($BN40&lt;0,IF($BN40&lt;$J40,EXP(($BN40-$J40)*$G40),EXP(($J40-$BN40)*$G40)),EXP(($BN40-$J40)*$G40)),"")</f>
        <v/>
      </c>
      <c r="BQ40" s="72" t="b">
        <f>IF(AND(NOT(BM40),AND(BM$4:BM39)),TRUE,BM40)</f>
        <v>0</v>
      </c>
      <c r="BR40" s="172" t="e">
        <f>IF(AND(NOT(ISBLANK(Jumpoverwrite15)),AND(NOT(BQ40),AND(BQ$4:BQ39))),($J40*$G40-LN(1+Jumpoverwrite15*BS$2))/$G40,_xll.qlInterpolationInterpolate(BQ$3,$F40,TRUE))</f>
        <v>#NUM!</v>
      </c>
      <c r="BS40" s="176" t="str">
        <f>IF(AND(NOT(BQ40),AND(BQ$4:BQ39)),IF($BN40&lt;0,IF($BN40&lt;$J40,EXP(($BN40-$J40)*$G40),EXP(($J40-$BN40)*$G40)),EXP(($BN40-$J40)*$G40)),"")</f>
        <v/>
      </c>
    </row>
    <row r="41" spans="1:71" x14ac:dyDescent="0.2">
      <c r="A41" s="33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84" t="e">
        <f t="shared" si="4"/>
        <v>#N/A</v>
      </c>
      <c r="G41" s="85" t="e">
        <f>_xll.qlDayCounterYearFraction(DayCounter,D40,D41)</f>
        <v>#NUM!</v>
      </c>
      <c r="I41" s="93" t="b">
        <f t="shared" si="2"/>
        <v>0</v>
      </c>
      <c r="J41" s="37" t="e">
        <v>#N/A</v>
      </c>
      <c r="K41" s="94" t="e">
        <f t="shared" si="3"/>
        <v>#VALUE!</v>
      </c>
      <c r="L41" s="105"/>
      <c r="M41" s="72" t="b">
        <f>IF(AND(NOT(I41),AND(I$4:I40)),TRUE,I41)</f>
        <v>0</v>
      </c>
      <c r="N41" s="172" t="e">
        <f>IF(AND(NOT(ISBLANK(Jumpoverwrite1)),AND(NOT(M41),AND(M$4:M40))),($J41*$G41-LN(1+Jumpoverwrite1*O$2))/$G41,_xll.qlInterpolationInterpolate(M$3,$F41,TRUE))</f>
        <v>#NUM!</v>
      </c>
      <c r="O41" s="34" t="str">
        <f>IF(AND(NOT(M41),AND(M$4:M40)),IF($N41&lt;0,IF($N41&lt;$J41,EXP(($N41-$J41)*$G41),EXP(($J41-$N41)*$G41)),EXP(($N41-$J41)*$G41)),"")</f>
        <v/>
      </c>
      <c r="P41" s="107"/>
      <c r="Q41" s="72" t="b">
        <f>IF(AND(NOT(M41),AND(M$4:M40)),TRUE,M41)</f>
        <v>0</v>
      </c>
      <c r="R41" s="172" t="e">
        <f>IF(AND(NOT(ISBLANK(Jumpoverwrite2)),AND(NOT(Q41),AND(Q$4:Q40))),($J41*$G41-LN(1+Jumpoverwrite2*S$2))/$G41,_xll.qlInterpolationInterpolate(Q$3,$F41,TRUE))</f>
        <v>#NUM!</v>
      </c>
      <c r="S41" s="176" t="str">
        <f>IF(AND(NOT(Q41),AND(Q$4:Q40)),IF($R41&lt;0,IF($R41&lt;$J41,EXP(($R41-$J41)*$G41),EXP(($J41-$R41)*$G41)),EXP(($R41-$J41)*$G41)),"")</f>
        <v/>
      </c>
      <c r="T41" s="107"/>
      <c r="U41" s="72" t="b">
        <f>IF(AND(NOT(Q41),AND(Q$4:Q40)),TRUE,Q41)</f>
        <v>0</v>
      </c>
      <c r="V41" s="172" t="e">
        <f>IF(AND(NOT(ISBLANK(Jumpoverwrite3)),AND(NOT(U41),AND(U$4:U40))),($J41*$G41-LN(1+Jumpoverwrite3*W$2))/$G41,_xll.qlInterpolationInterpolate(U$3,$F41,TRUE))</f>
        <v>#NUM!</v>
      </c>
      <c r="W41" s="176" t="str">
        <f>IF(AND(NOT(U41),AND(U$4:U40)),IF($V41&lt;0,IF($V41&lt;$J41,EXP(($V41-$J41)*$G41),EXP(($J41-$V41)*$G41)),EXP(($V41-$J41)*$G41)),"")</f>
        <v/>
      </c>
      <c r="X41" s="107"/>
      <c r="Y41" s="72" t="b">
        <f>IF(AND(NOT(U41),AND(U$4:U40)),TRUE,U41)</f>
        <v>0</v>
      </c>
      <c r="Z41" s="172" t="e">
        <f>IF(AND(NOT(ISBLANK(Jumpoverwrite4)),AND(NOT(Y41),AND(Y$4:Y40))),($J41*$G41-LN(1+Jumpoverwrite4*AA$2))/$G41,_xll.qlInterpolationInterpolate(Y$3,$F41,TRUE))</f>
        <v>#NUM!</v>
      </c>
      <c r="AA41" s="176" t="str">
        <f>IF(AND(NOT(Y41),AND(Y$4:Y40)),IF($Z41&lt;0,IF($Z41&lt;$J41,EXP(($Z41-$J41)*$G41),EXP(($J41-$Z41)*$G41)),EXP(($Z41-$J41)*$G41)),"")</f>
        <v/>
      </c>
      <c r="AB41" s="107"/>
      <c r="AC41" s="72" t="b">
        <f>IF(AND(NOT(Y41),AND(Y$4:Y40)),TRUE,Y41)</f>
        <v>0</v>
      </c>
      <c r="AD41" s="172" t="e">
        <f>IF(AND(NOT(ISBLANK(Jumpoverwrite5)),AND(NOT(AC41),AND(AC$4:AC40))),($J41*$G41-LN(1+Jumpoverwrite5*AE$2))/$G41,_xll.qlInterpolationInterpolate(AC$3,$F41,TRUE))</f>
        <v>#NUM!</v>
      </c>
      <c r="AE41" s="176" t="str">
        <f>IF(AND(NOT(AC41),AND(AC$4:AC40)),IF($AD41&lt;0,IF($AD41&lt;$J41,EXP(($AD41-$J41)*$G41),EXP(($J41-$AD41)*$G41)),EXP(($AD41-$J41)*$G41)),"")</f>
        <v/>
      </c>
      <c r="AF41" s="107"/>
      <c r="AG41" s="72" t="b">
        <f>IF(AND(NOT(AC41),AND(AC$4:AC40)),TRUE,AC41)</f>
        <v>0</v>
      </c>
      <c r="AH41" s="172" t="e">
        <f>IF(AND(NOT(ISBLANK(Jumpoverwrite6)),AND(NOT(AG41),AND(AG$4:AG40))),($J41*$G41-LN(1+Jumpoverwrite6*AI$2))/$G41,_xll.qlInterpolationInterpolate(AG$3,$F41,TRUE))</f>
        <v>#NUM!</v>
      </c>
      <c r="AI41" s="176" t="str">
        <f>IF(AND(NOT(AG41),AND(AG$4:AG40)),IF($AH41&lt;0,IF($AH41&lt;$J41,EXP(($AH41-$J41)*$G41),EXP(($J41-$AH41)*$G41)),EXP(($AH41-$J41)*$G41)),"")</f>
        <v/>
      </c>
      <c r="AJ41" s="107"/>
      <c r="AK41" s="72" t="b">
        <f>IF(AND(NOT(AG41),AND(AG$4:AG40)),TRUE,AG41)</f>
        <v>0</v>
      </c>
      <c r="AL41" s="172" t="e">
        <f>IF(AND(NOT(ISBLANK(Jumpoverwrite7)),AND(NOT(AK41),AND(AK$4:AK40))),($J41*$G41-LN(1+Jumpoverwrite7*AM$2))/$G41,_xll.qlInterpolationInterpolate(AK$3,$F41,TRUE))</f>
        <v>#NUM!</v>
      </c>
      <c r="AM41" s="176" t="str">
        <f>IF(AND(NOT(AK41),AND(AK$4:AK40)),IF($AL41&lt;0,IF($AL41&lt;$J41,EXP(($AL41-$J41)*$G41),EXP(($J41-$AL41)*$G41)),EXP(($AL41-$J41)*$G41)),"")</f>
        <v/>
      </c>
      <c r="AO41" s="72" t="b">
        <f>IF(AND(NOT(AK41),AND(AK$4:AK40)),TRUE,AK41)</f>
        <v>0</v>
      </c>
      <c r="AP41" s="172" t="e">
        <f>IF(AND(NOT(ISBLANK(Jumpoverwrite8)),AND(NOT(AO41),AND(AO$4:AO40))),($J41*$G41-LN(1+Jumpoverwrite8*AQ$2))/$G41,_xll.qlInterpolationInterpolate(AO$3,$F41,TRUE))</f>
        <v>#NUM!</v>
      </c>
      <c r="AQ41" s="176" t="str">
        <f>IF(AND(NOT(AO41),AND(AO$4:AO40)),IF($AP41&lt;0,IF($AP41&lt;$J41,EXP(($AP41-$J41)*$G41),EXP(($J41-$AP41)*$G41)),EXP(($AP41-$J41)*$G41)),"")</f>
        <v/>
      </c>
      <c r="AS41" s="72" t="b">
        <f>IF(AND(NOT(AO41),AND(AO$4:AO40)),TRUE,AO41)</f>
        <v>0</v>
      </c>
      <c r="AT41" s="172" t="e">
        <f>IF(AND(NOT(ISBLANK(Jumpoverwrite9)),AND(NOT(AS41),AND(AS$4:AS40))),($J41*$G41-LN(1+Jumpoverwrite9*AU$2))/$G41,_xll.qlInterpolationInterpolate(AS$3,$F41,TRUE))</f>
        <v>#NUM!</v>
      </c>
      <c r="AU41" s="176" t="str">
        <f>IF(AND(NOT(AS41),AND(AS$4:AS40)),IF($AT41&lt;0,IF($AT41&lt;$J41,EXP(($AT41-$J41)*$G41),EXP(($J41-$AT41)*$G41)),EXP(($AT41-$J41)*$G41)),"")</f>
        <v/>
      </c>
      <c r="AW41" s="72" t="b">
        <f>IF(AND(NOT(AS41),AND(AS$4:AS40)),TRUE,AS41)</f>
        <v>0</v>
      </c>
      <c r="AX41" s="172" t="e">
        <f>IF(AND(NOT(ISBLANK(Jumpoverwrite10)),AND(NOT(AW41),AND(AW$4:AW40))),($J41*$G41-LN(1+Jumpoverwrite10*AY$2))/$G41,_xll.qlInterpolationInterpolate(AW$3,$F41,TRUE))</f>
        <v>#NUM!</v>
      </c>
      <c r="AY41" s="176" t="str">
        <f>IF(AND(NOT(AW41),AND(AW$4:AW40)),IF($AX41&lt;0,IF($AX41&lt;$J41,EXP(($AX41-$J41)*$G41),EXP(($J41-$AX41)*$G41)),EXP(($AX41-$J41)*$G41)),"")</f>
        <v/>
      </c>
      <c r="BA41" s="72" t="b">
        <f>IF(AND(NOT(AW41),AND(AW$4:AW40)),TRUE,AW41)</f>
        <v>0</v>
      </c>
      <c r="BB41" s="172" t="e">
        <f>IF(AND(NOT(ISBLANK(Jumpoverwrite11)),AND(NOT(BA41),AND(BA$4:BA40))),($J41*$G41-LN(1+Jumpoverwrite11*BC$2))/$G41,_xll.qlInterpolationInterpolate(BA$3,$F41,TRUE))</f>
        <v>#NUM!</v>
      </c>
      <c r="BC41" s="176" t="str">
        <f>IF(AND(NOT(BA41),AND(BA$4:BA40)),IF($BB41&lt;0,IF($BB41&lt;$J41,EXP(($BB41-$J41)*$G41),EXP(($J41-$BB41)*$G41)),EXP(($BB41-$J41)*$G41)),"")</f>
        <v/>
      </c>
      <c r="BE41" s="72" t="b">
        <f>IF(AND(NOT(BA41),AND(BA$4:BA40)),TRUE,BA41)</f>
        <v>0</v>
      </c>
      <c r="BF41" s="172" t="e">
        <f>IF(AND(NOT(ISBLANK(Jumpoverwrite12)),AND(NOT(BE41),AND(BE$4:BE40))),($J41*$G41-LN(1+Jumpoverwrite12*BG$2))/$G41,_xll.qlInterpolationInterpolate(BE$3,$F41,TRUE))</f>
        <v>#NUM!</v>
      </c>
      <c r="BG41" s="176" t="str">
        <f>IF(AND(NOT(BE41),AND(BE$4:BE40)),IF($BF41&lt;0,IF($BF41&lt;$J41,EXP(($BF41-$J41)*$G41),EXP(($J41-$BF41)*$G41)),EXP(($BF41-$J41)*$G41)),"")</f>
        <v/>
      </c>
      <c r="BI41" s="72" t="b">
        <f t="shared" si="5"/>
        <v>0</v>
      </c>
      <c r="BJ41" s="172" t="e">
        <f>IF(AND(NOT(ISBLANK(jumpoverwrite13)),AND(NOT(BI41),AND(BI$4:BI40))),($J41*$G41-LN(1+jumpoverwrite13*BK$2))/$G41,_xll.qlInterpolationInterpolate(BI$3,$F41,TRUE))</f>
        <v>#NUM!</v>
      </c>
      <c r="BK41" s="176" t="str">
        <f>IF(AND(NOT(BI41),AND(BI$4:BI40)),IF($BJ41&lt;0,IF($BJ41&lt;$J41,EXP(($BJ41-$J41)*$G41),EXP(($J41-$BJ41)*$G41)),EXP(($BJ41-$J41)*$G41)),"")</f>
        <v/>
      </c>
      <c r="BM41" s="72" t="b">
        <f>IF(AND(NOT(BI41),AND(BI$4:BI40)),TRUE,BI41)</f>
        <v>0</v>
      </c>
      <c r="BN41" s="172" t="e">
        <f>IF(AND(NOT(ISBLANK(Jumpoverwrite14)),AND(NOT(BM41),AND(BM$4:BM40))),($J41*$G41-LN(1+Jumpoverwrite14*BO$2))/$G41,_xll.qlInterpolationInterpolate(BM$3,$F41,TRUE))</f>
        <v>#NUM!</v>
      </c>
      <c r="BO41" s="176" t="str">
        <f>IF(AND(NOT(BM41),AND(BM$4:BM40)),IF($BN41&lt;0,IF($BN41&lt;$J41,EXP(($BN41-$J41)*$G41),EXP(($J41-$BN41)*$G41)),EXP(($BN41-$J41)*$G41)),"")</f>
        <v/>
      </c>
      <c r="BQ41" s="72" t="b">
        <f>IF(AND(NOT(BM41),AND(BM$4:BM40)),TRUE,BM41)</f>
        <v>0</v>
      </c>
      <c r="BR41" s="172" t="e">
        <f>IF(AND(NOT(ISBLANK(Jumpoverwrite15)),AND(NOT(BQ41),AND(BQ$4:BQ40))),($J41*$G41-LN(1+Jumpoverwrite15*BS$2))/$G41,_xll.qlInterpolationInterpolate(BQ$3,$F41,TRUE))</f>
        <v>#NUM!</v>
      </c>
      <c r="BS41" s="176" t="str">
        <f>IF(AND(NOT(BQ41),AND(BQ$4:BQ40)),IF($BN41&lt;0,IF($BN41&lt;$J41,EXP(($BN41-$J41)*$G41),EXP(($J41-$BN41)*$G41)),EXP(($BN41-$J41)*$G41)),"")</f>
        <v/>
      </c>
    </row>
    <row r="42" spans="1:71" x14ac:dyDescent="0.2">
      <c r="A42" s="33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84" t="e">
        <f t="shared" si="4"/>
        <v>#N/A</v>
      </c>
      <c r="G42" s="85" t="e">
        <f>_xll.qlDayCounterYearFraction(DayCounter,D41,D42)</f>
        <v>#NUM!</v>
      </c>
      <c r="I42" s="93" t="b">
        <f t="shared" si="2"/>
        <v>0</v>
      </c>
      <c r="J42" s="37" t="e">
        <v>#N/A</v>
      </c>
      <c r="K42" s="94" t="e">
        <f t="shared" si="3"/>
        <v>#VALUE!</v>
      </c>
      <c r="L42" s="105"/>
      <c r="M42" s="72" t="b">
        <f>IF(AND(NOT(I42),AND(I$4:I41)),TRUE,I42)</f>
        <v>0</v>
      </c>
      <c r="N42" s="172" t="e">
        <f>IF(AND(NOT(ISBLANK(Jumpoverwrite1)),AND(NOT(M42),AND(M$4:M41))),($J42*$G42-LN(1+Jumpoverwrite1*O$2))/$G42,_xll.qlInterpolationInterpolate(M$3,$F42,TRUE))</f>
        <v>#NUM!</v>
      </c>
      <c r="O42" s="34" t="str">
        <f>IF(AND(NOT(M42),AND(M$4:M41)),IF($N42&lt;0,IF($N42&lt;$J42,EXP(($N42-$J42)*$G42),EXP(($J42-$N42)*$G42)),EXP(($N42-$J42)*$G42)),"")</f>
        <v/>
      </c>
      <c r="P42" s="107"/>
      <c r="Q42" s="72" t="b">
        <f>IF(AND(NOT(M42),AND(M$4:M41)),TRUE,M42)</f>
        <v>0</v>
      </c>
      <c r="R42" s="172" t="e">
        <f>IF(AND(NOT(ISBLANK(Jumpoverwrite2)),AND(NOT(Q42),AND(Q$4:Q41))),($J42*$G42-LN(1+Jumpoverwrite2*S$2))/$G42,_xll.qlInterpolationInterpolate(Q$3,$F42,TRUE))</f>
        <v>#NUM!</v>
      </c>
      <c r="S42" s="176" t="str">
        <f>IF(AND(NOT(Q42),AND(Q$4:Q41)),IF($R42&lt;0,IF($R42&lt;$J42,EXP(($R42-$J42)*$G42),EXP(($J42-$R42)*$G42)),EXP(($R42-$J42)*$G42)),"")</f>
        <v/>
      </c>
      <c r="T42" s="107"/>
      <c r="U42" s="72" t="b">
        <f>IF(AND(NOT(Q42),AND(Q$4:Q41)),TRUE,Q42)</f>
        <v>0</v>
      </c>
      <c r="V42" s="172" t="e">
        <f>IF(AND(NOT(ISBLANK(Jumpoverwrite3)),AND(NOT(U42),AND(U$4:U41))),($J42*$G42-LN(1+Jumpoverwrite3*W$2))/$G42,_xll.qlInterpolationInterpolate(U$3,$F42,TRUE))</f>
        <v>#NUM!</v>
      </c>
      <c r="W42" s="176" t="str">
        <f>IF(AND(NOT(U42),AND(U$4:U41)),IF($V42&lt;0,IF($V42&lt;$J42,EXP(($V42-$J42)*$G42),EXP(($J42-$V42)*$G42)),EXP(($V42-$J42)*$G42)),"")</f>
        <v/>
      </c>
      <c r="X42" s="107"/>
      <c r="Y42" s="72" t="b">
        <f>IF(AND(NOT(U42),AND(U$4:U41)),TRUE,U42)</f>
        <v>0</v>
      </c>
      <c r="Z42" s="172" t="e">
        <f>IF(AND(NOT(ISBLANK(Jumpoverwrite4)),AND(NOT(Y42),AND(Y$4:Y41))),($J42*$G42-LN(1+Jumpoverwrite4*AA$2))/$G42,_xll.qlInterpolationInterpolate(Y$3,$F42,TRUE))</f>
        <v>#NUM!</v>
      </c>
      <c r="AA42" s="176" t="str">
        <f>IF(AND(NOT(Y42),AND(Y$4:Y41)),IF($Z42&lt;0,IF($Z42&lt;$J42,EXP(($Z42-$J42)*$G42),EXP(($J42-$Z42)*$G42)),EXP(($Z42-$J42)*$G42)),"")</f>
        <v/>
      </c>
      <c r="AB42" s="107"/>
      <c r="AC42" s="72" t="b">
        <f>IF(AND(NOT(Y42),AND(Y$4:Y41)),TRUE,Y42)</f>
        <v>0</v>
      </c>
      <c r="AD42" s="172" t="e">
        <f>IF(AND(NOT(ISBLANK(Jumpoverwrite5)),AND(NOT(AC42),AND(AC$4:AC41))),($J42*$G42-LN(1+Jumpoverwrite5*AE$2))/$G42,_xll.qlInterpolationInterpolate(AC$3,$F42,TRUE))</f>
        <v>#NUM!</v>
      </c>
      <c r="AE42" s="176" t="str">
        <f>IF(AND(NOT(AC42),AND(AC$4:AC41)),IF($AD42&lt;0,IF($AD42&lt;$J42,EXP(($AD42-$J42)*$G42),EXP(($J42-$AD42)*$G42)),EXP(($AD42-$J42)*$G42)),"")</f>
        <v/>
      </c>
      <c r="AF42" s="107"/>
      <c r="AG42" s="72" t="b">
        <f>IF(AND(NOT(AC42),AND(AC$4:AC41)),TRUE,AC42)</f>
        <v>0</v>
      </c>
      <c r="AH42" s="172" t="e">
        <f>IF(AND(NOT(ISBLANK(Jumpoverwrite6)),AND(NOT(AG42),AND(AG$4:AG41))),($J42*$G42-LN(1+Jumpoverwrite6*AI$2))/$G42,_xll.qlInterpolationInterpolate(AG$3,$F42,TRUE))</f>
        <v>#NUM!</v>
      </c>
      <c r="AI42" s="176" t="str">
        <f>IF(AND(NOT(AG42),AND(AG$4:AG41)),IF($AH42&lt;0,IF($AH42&lt;$J42,EXP(($AH42-$J42)*$G42),EXP(($J42-$AH42)*$G42)),EXP(($AH42-$J42)*$G42)),"")</f>
        <v/>
      </c>
      <c r="AJ42" s="107"/>
      <c r="AK42" s="72" t="b">
        <f>IF(AND(NOT(AG42),AND(AG$4:AG41)),TRUE,AG42)</f>
        <v>0</v>
      </c>
      <c r="AL42" s="172" t="e">
        <f>IF(AND(NOT(ISBLANK(Jumpoverwrite7)),AND(NOT(AK42),AND(AK$4:AK41))),($J42*$G42-LN(1+Jumpoverwrite7*AM$2))/$G42,_xll.qlInterpolationInterpolate(AK$3,$F42,TRUE))</f>
        <v>#NUM!</v>
      </c>
      <c r="AM42" s="176" t="str">
        <f>IF(AND(NOT(AK42),AND(AK$4:AK41)),IF($AL42&lt;0,IF($AL42&lt;$J42,EXP(($AL42-$J42)*$G42),EXP(($J42-$AL42)*$G42)),EXP(($AL42-$J42)*$G42)),"")</f>
        <v/>
      </c>
      <c r="AO42" s="72" t="b">
        <f>IF(AND(NOT(AK42),AND(AK$4:AK41)),TRUE,AK42)</f>
        <v>0</v>
      </c>
      <c r="AP42" s="172" t="e">
        <f>IF(AND(NOT(ISBLANK(Jumpoverwrite8)),AND(NOT(AO42),AND(AO$4:AO41))),($J42*$G42-LN(1+Jumpoverwrite8*AQ$2))/$G42,_xll.qlInterpolationInterpolate(AO$3,$F42,TRUE))</f>
        <v>#NUM!</v>
      </c>
      <c r="AQ42" s="176" t="str">
        <f>IF(AND(NOT(AO42),AND(AO$4:AO41)),IF($AP42&lt;0,IF($AP42&lt;$J42,EXP(($AP42-$J42)*$G42),EXP(($J42-$AP42)*$G42)),EXP(($AP42-$J42)*$G42)),"")</f>
        <v/>
      </c>
      <c r="AS42" s="72" t="b">
        <f>IF(AND(NOT(AO42),AND(AO$4:AO41)),TRUE,AO42)</f>
        <v>0</v>
      </c>
      <c r="AT42" s="172" t="e">
        <f>IF(AND(NOT(ISBLANK(Jumpoverwrite9)),AND(NOT(AS42),AND(AS$4:AS41))),($J42*$G42-LN(1+Jumpoverwrite9*AU$2))/$G42,_xll.qlInterpolationInterpolate(AS$3,$F42,TRUE))</f>
        <v>#NUM!</v>
      </c>
      <c r="AU42" s="176" t="str">
        <f>IF(AND(NOT(AS42),AND(AS$4:AS41)),IF($AT42&lt;0,IF($AT42&lt;$J42,EXP(($AT42-$J42)*$G42),EXP(($J42-$AT42)*$G42)),EXP(($AT42-$J42)*$G42)),"")</f>
        <v/>
      </c>
      <c r="AW42" s="72" t="b">
        <f>IF(AND(NOT(AS42),AND(AS$4:AS41)),TRUE,AS42)</f>
        <v>0</v>
      </c>
      <c r="AX42" s="172" t="e">
        <f>IF(AND(NOT(ISBLANK(Jumpoverwrite10)),AND(NOT(AW42),AND(AW$4:AW41))),($J42*$G42-LN(1+Jumpoverwrite10*AY$2))/$G42,_xll.qlInterpolationInterpolate(AW$3,$F42,TRUE))</f>
        <v>#NUM!</v>
      </c>
      <c r="AY42" s="176" t="str">
        <f>IF(AND(NOT(AW42),AND(AW$4:AW41)),IF($AX42&lt;0,IF($AX42&lt;$J42,EXP(($AX42-$J42)*$G42),EXP(($J42-$AX42)*$G42)),EXP(($AX42-$J42)*$G42)),"")</f>
        <v/>
      </c>
      <c r="BA42" s="72" t="b">
        <f>IF(AND(NOT(AW42),AND(AW$4:AW41)),TRUE,AW42)</f>
        <v>0</v>
      </c>
      <c r="BB42" s="172" t="e">
        <f>IF(AND(NOT(ISBLANK(Jumpoverwrite11)),AND(NOT(BA42),AND(BA$4:BA41))),($J42*$G42-LN(1+Jumpoverwrite11*BC$2))/$G42,_xll.qlInterpolationInterpolate(BA$3,$F42,TRUE))</f>
        <v>#NUM!</v>
      </c>
      <c r="BC42" s="176" t="str">
        <f>IF(AND(NOT(BA42),AND(BA$4:BA41)),IF($BB42&lt;0,IF($BB42&lt;$J42,EXP(($BB42-$J42)*$G42),EXP(($J42-$BB42)*$G42)),EXP(($BB42-$J42)*$G42)),"")</f>
        <v/>
      </c>
      <c r="BE42" s="72" t="b">
        <f>IF(AND(NOT(BA42),AND(BA$4:BA41)),TRUE,BA42)</f>
        <v>0</v>
      </c>
      <c r="BF42" s="172" t="e">
        <f>IF(AND(NOT(ISBLANK(Jumpoverwrite12)),AND(NOT(BE42),AND(BE$4:BE41))),($J42*$G42-LN(1+Jumpoverwrite12*BG$2))/$G42,_xll.qlInterpolationInterpolate(BE$3,$F42,TRUE))</f>
        <v>#NUM!</v>
      </c>
      <c r="BG42" s="176" t="str">
        <f>IF(AND(NOT(BE42),AND(BE$4:BE41)),IF($BF42&lt;0,IF($BF42&lt;$J42,EXP(($BF42-$J42)*$G42),EXP(($J42-$BF42)*$G42)),EXP(($BF42-$J42)*$G42)),"")</f>
        <v/>
      </c>
      <c r="BI42" s="72" t="b">
        <f t="shared" si="5"/>
        <v>0</v>
      </c>
      <c r="BJ42" s="172" t="e">
        <f>IF(AND(NOT(ISBLANK(jumpoverwrite13)),AND(NOT(BI42),AND(BI$4:BI41))),($J42*$G42-LN(1+jumpoverwrite13*BK$2))/$G42,_xll.qlInterpolationInterpolate(BI$3,$F42,TRUE))</f>
        <v>#NUM!</v>
      </c>
      <c r="BK42" s="176" t="str">
        <f>IF(AND(NOT(BI42),AND(BI$4:BI41)),IF($BJ42&lt;0,IF($BJ42&lt;$J42,EXP(($BJ42-$J42)*$G42),EXP(($J42-$BJ42)*$G42)),EXP(($BJ42-$J42)*$G42)),"")</f>
        <v/>
      </c>
      <c r="BM42" s="72" t="b">
        <f>IF(AND(NOT(BI42),AND(BI$4:BI41)),TRUE,BI42)</f>
        <v>0</v>
      </c>
      <c r="BN42" s="172" t="e">
        <f>IF(AND(NOT(ISBLANK(Jumpoverwrite14)),AND(NOT(BM42),AND(BM$4:BM41))),($J42*$G42-LN(1+Jumpoverwrite14*BO$2))/$G42,_xll.qlInterpolationInterpolate(BM$3,$F42,TRUE))</f>
        <v>#NUM!</v>
      </c>
      <c r="BO42" s="176" t="str">
        <f>IF(AND(NOT(BM42),AND(BM$4:BM41)),IF($BN42&lt;0,IF($BN42&lt;$J42,EXP(($BN42-$J42)*$G42),EXP(($J42-$BN42)*$G42)),EXP(($BN42-$J42)*$G42)),"")</f>
        <v/>
      </c>
      <c r="BQ42" s="72" t="b">
        <f>IF(AND(NOT(BM42),AND(BM$4:BM41)),TRUE,BM42)</f>
        <v>0</v>
      </c>
      <c r="BR42" s="172" t="e">
        <f>IF(AND(NOT(ISBLANK(Jumpoverwrite15)),AND(NOT(BQ42),AND(BQ$4:BQ41))),($J42*$G42-LN(1+Jumpoverwrite15*BS$2))/$G42,_xll.qlInterpolationInterpolate(BQ$3,$F42,TRUE))</f>
        <v>#NUM!</v>
      </c>
      <c r="BS42" s="176" t="str">
        <f>IF(AND(NOT(BQ42),AND(BQ$4:BQ41)),IF($BN42&lt;0,IF($BN42&lt;$J42,EXP(($BN42-$J42)*$G42),EXP(($J42-$BN42)*$G42)),EXP(($BN42-$J42)*$G42)),"")</f>
        <v/>
      </c>
    </row>
    <row r="43" spans="1:71" x14ac:dyDescent="0.2">
      <c r="A43" s="33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84" t="e">
        <f t="shared" si="4"/>
        <v>#N/A</v>
      </c>
      <c r="G43" s="85" t="e">
        <f>_xll.qlDayCounterYearFraction(DayCounter,D42,D43)</f>
        <v>#NUM!</v>
      </c>
      <c r="I43" s="93" t="b">
        <f t="shared" si="2"/>
        <v>0</v>
      </c>
      <c r="J43" s="37" t="e">
        <v>#N/A</v>
      </c>
      <c r="K43" s="94" t="e">
        <f t="shared" si="3"/>
        <v>#VALUE!</v>
      </c>
      <c r="L43" s="105"/>
      <c r="M43" s="72" t="b">
        <f>IF(AND(NOT(I43),AND(I$4:I42)),TRUE,I43)</f>
        <v>0</v>
      </c>
      <c r="N43" s="172" t="e">
        <f>IF(AND(NOT(ISBLANK(Jumpoverwrite1)),AND(NOT(M43),AND(M$4:M42))),($J43*$G43-LN(1+Jumpoverwrite1*O$2))/$G43,_xll.qlInterpolationInterpolate(M$3,$F43,TRUE))</f>
        <v>#NUM!</v>
      </c>
      <c r="O43" s="34" t="str">
        <f>IF(AND(NOT(M43),AND(M$4:M42)),IF($N43&lt;0,IF($N43&lt;$J43,EXP(($N43-$J43)*$G43),EXP(($J43-$N43)*$G43)),EXP(($N43-$J43)*$G43)),"")</f>
        <v/>
      </c>
      <c r="P43" s="107"/>
      <c r="Q43" s="72" t="b">
        <f>IF(AND(NOT(M43),AND(M$4:M42)),TRUE,M43)</f>
        <v>0</v>
      </c>
      <c r="R43" s="172" t="e">
        <f>IF(AND(NOT(ISBLANK(Jumpoverwrite2)),AND(NOT(Q43),AND(Q$4:Q42))),($J43*$G43-LN(1+Jumpoverwrite2*S$2))/$G43,_xll.qlInterpolationInterpolate(Q$3,$F43,TRUE))</f>
        <v>#NUM!</v>
      </c>
      <c r="S43" s="176" t="str">
        <f>IF(AND(NOT(Q43),AND(Q$4:Q42)),IF($R43&lt;0,IF($R43&lt;$J43,EXP(($R43-$J43)*$G43),EXP(($J43-$R43)*$G43)),EXP(($R43-$J43)*$G43)),"")</f>
        <v/>
      </c>
      <c r="T43" s="107"/>
      <c r="U43" s="72" t="b">
        <f>IF(AND(NOT(Q43),AND(Q$4:Q42)),TRUE,Q43)</f>
        <v>0</v>
      </c>
      <c r="V43" s="172" t="e">
        <f>IF(AND(NOT(ISBLANK(Jumpoverwrite3)),AND(NOT(U43),AND(U$4:U42))),($J43*$G43-LN(1+Jumpoverwrite3*W$2))/$G43,_xll.qlInterpolationInterpolate(U$3,$F43,TRUE))</f>
        <v>#NUM!</v>
      </c>
      <c r="W43" s="176" t="str">
        <f>IF(AND(NOT(U43),AND(U$4:U42)),IF($V43&lt;0,IF($V43&lt;$J43,EXP(($V43-$J43)*$G43),EXP(($J43-$V43)*$G43)),EXP(($V43-$J43)*$G43)),"")</f>
        <v/>
      </c>
      <c r="X43" s="107"/>
      <c r="Y43" s="72" t="b">
        <f>IF(AND(NOT(U43),AND(U$4:U42)),TRUE,U43)</f>
        <v>0</v>
      </c>
      <c r="Z43" s="172" t="e">
        <f>IF(AND(NOT(ISBLANK(Jumpoverwrite4)),AND(NOT(Y43),AND(Y$4:Y42))),($J43*$G43-LN(1+Jumpoverwrite4*AA$2))/$G43,_xll.qlInterpolationInterpolate(Y$3,$F43,TRUE))</f>
        <v>#NUM!</v>
      </c>
      <c r="AA43" s="176" t="str">
        <f>IF(AND(NOT(Y43),AND(Y$4:Y42)),IF($Z43&lt;0,IF($Z43&lt;$J43,EXP(($Z43-$J43)*$G43),EXP(($J43-$Z43)*$G43)),EXP(($Z43-$J43)*$G43)),"")</f>
        <v/>
      </c>
      <c r="AB43" s="107"/>
      <c r="AC43" s="72" t="b">
        <f>IF(AND(NOT(Y43),AND(Y$4:Y42)),TRUE,Y43)</f>
        <v>0</v>
      </c>
      <c r="AD43" s="172" t="e">
        <f>IF(AND(NOT(ISBLANK(Jumpoverwrite5)),AND(NOT(AC43),AND(AC$4:AC42))),($J43*$G43-LN(1+Jumpoverwrite5*AE$2))/$G43,_xll.qlInterpolationInterpolate(AC$3,$F43,TRUE))</f>
        <v>#NUM!</v>
      </c>
      <c r="AE43" s="176" t="str">
        <f>IF(AND(NOT(AC43),AND(AC$4:AC42)),IF($AD43&lt;0,IF($AD43&lt;$J43,EXP(($AD43-$J43)*$G43),EXP(($J43-$AD43)*$G43)),EXP(($AD43-$J43)*$G43)),"")</f>
        <v/>
      </c>
      <c r="AF43" s="107"/>
      <c r="AG43" s="72" t="b">
        <f>IF(AND(NOT(AC43),AND(AC$4:AC42)),TRUE,AC43)</f>
        <v>0</v>
      </c>
      <c r="AH43" s="172" t="e">
        <f>IF(AND(NOT(ISBLANK(Jumpoverwrite6)),AND(NOT(AG43),AND(AG$4:AG42))),($J43*$G43-LN(1+Jumpoverwrite6*AI$2))/$G43,_xll.qlInterpolationInterpolate(AG$3,$F43,TRUE))</f>
        <v>#NUM!</v>
      </c>
      <c r="AI43" s="176" t="str">
        <f>IF(AND(NOT(AG43),AND(AG$4:AG42)),IF($AH43&lt;0,IF($AH43&lt;$J43,EXP(($AH43-$J43)*$G43),EXP(($J43-$AH43)*$G43)),EXP(($AH43-$J43)*$G43)),"")</f>
        <v/>
      </c>
      <c r="AJ43" s="107"/>
      <c r="AK43" s="72" t="b">
        <f>IF(AND(NOT(AG43),AND(AG$4:AG42)),TRUE,AG43)</f>
        <v>0</v>
      </c>
      <c r="AL43" s="172" t="e">
        <f>IF(AND(NOT(ISBLANK(Jumpoverwrite7)),AND(NOT(AK43),AND(AK$4:AK42))),($J43*$G43-LN(1+Jumpoverwrite7*AM$2))/$G43,_xll.qlInterpolationInterpolate(AK$3,$F43,TRUE))</f>
        <v>#NUM!</v>
      </c>
      <c r="AM43" s="176" t="str">
        <f>IF(AND(NOT(AK43),AND(AK$4:AK42)),IF($AL43&lt;0,IF($AL43&lt;$J43,EXP(($AL43-$J43)*$G43),EXP(($J43-$AL43)*$G43)),EXP(($AL43-$J43)*$G43)),"")</f>
        <v/>
      </c>
      <c r="AO43" s="72" t="b">
        <f>IF(AND(NOT(AK43),AND(AK$4:AK42)),TRUE,AK43)</f>
        <v>0</v>
      </c>
      <c r="AP43" s="172" t="e">
        <f>IF(AND(NOT(ISBLANK(Jumpoverwrite8)),AND(NOT(AO43),AND(AO$4:AO42))),($J43*$G43-LN(1+Jumpoverwrite8*AQ$2))/$G43,_xll.qlInterpolationInterpolate(AO$3,$F43,TRUE))</f>
        <v>#NUM!</v>
      </c>
      <c r="AQ43" s="176" t="str">
        <f>IF(AND(NOT(AO43),AND(AO$4:AO42)),IF($AP43&lt;0,IF($AP43&lt;$J43,EXP(($AP43-$J43)*$G43),EXP(($J43-$AP43)*$G43)),EXP(($AP43-$J43)*$G43)),"")</f>
        <v/>
      </c>
      <c r="AS43" s="72" t="b">
        <f>IF(AND(NOT(AO43),AND(AO$4:AO42)),TRUE,AO43)</f>
        <v>0</v>
      </c>
      <c r="AT43" s="172" t="e">
        <f>IF(AND(NOT(ISBLANK(Jumpoverwrite9)),AND(NOT(AS43),AND(AS$4:AS42))),($J43*$G43-LN(1+Jumpoverwrite9*AU$2))/$G43,_xll.qlInterpolationInterpolate(AS$3,$F43,TRUE))</f>
        <v>#NUM!</v>
      </c>
      <c r="AU43" s="176" t="str">
        <f>IF(AND(NOT(AS43),AND(AS$4:AS42)),IF($AT43&lt;0,IF($AT43&lt;$J43,EXP(($AT43-$J43)*$G43),EXP(($J43-$AT43)*$G43)),EXP(($AT43-$J43)*$G43)),"")</f>
        <v/>
      </c>
      <c r="AW43" s="72" t="b">
        <f>IF(AND(NOT(AS43),AND(AS$4:AS42)),TRUE,AS43)</f>
        <v>0</v>
      </c>
      <c r="AX43" s="172" t="e">
        <f>IF(AND(NOT(ISBLANK(Jumpoverwrite10)),AND(NOT(AW43),AND(AW$4:AW42))),($J43*$G43-LN(1+Jumpoverwrite10*AY$2))/$G43,_xll.qlInterpolationInterpolate(AW$3,$F43,TRUE))</f>
        <v>#NUM!</v>
      </c>
      <c r="AY43" s="176" t="str">
        <f>IF(AND(NOT(AW43),AND(AW$4:AW42)),IF($AX43&lt;0,IF($AX43&lt;$J43,EXP(($AX43-$J43)*$G43),EXP(($J43-$AX43)*$G43)),EXP(($AX43-$J43)*$G43)),"")</f>
        <v/>
      </c>
      <c r="BA43" s="72" t="b">
        <f>IF(AND(NOT(AW43),AND(AW$4:AW42)),TRUE,AW43)</f>
        <v>0</v>
      </c>
      <c r="BB43" s="172" t="e">
        <f>IF(AND(NOT(ISBLANK(Jumpoverwrite11)),AND(NOT(BA43),AND(BA$4:BA42))),($J43*$G43-LN(1+Jumpoverwrite11*BC$2))/$G43,_xll.qlInterpolationInterpolate(BA$3,$F43,TRUE))</f>
        <v>#NUM!</v>
      </c>
      <c r="BC43" s="176" t="str">
        <f>IF(AND(NOT(BA43),AND(BA$4:BA42)),IF($BB43&lt;0,IF($BB43&lt;$J43,EXP(($BB43-$J43)*$G43),EXP(($J43-$BB43)*$G43)),EXP(($BB43-$J43)*$G43)),"")</f>
        <v/>
      </c>
      <c r="BE43" s="72" t="b">
        <f>IF(AND(NOT(BA43),AND(BA$4:BA42)),TRUE,BA43)</f>
        <v>0</v>
      </c>
      <c r="BF43" s="172" t="e">
        <f>IF(AND(NOT(ISBLANK(Jumpoverwrite12)),AND(NOT(BE43),AND(BE$4:BE42))),($J43*$G43-LN(1+Jumpoverwrite12*BG$2))/$G43,_xll.qlInterpolationInterpolate(BE$3,$F43,TRUE))</f>
        <v>#NUM!</v>
      </c>
      <c r="BG43" s="176" t="str">
        <f>IF(AND(NOT(BE43),AND(BE$4:BE42)),IF($BF43&lt;0,IF($BF43&lt;$J43,EXP(($BF43-$J43)*$G43),EXP(($J43-$BF43)*$G43)),EXP(($BF43-$J43)*$G43)),"")</f>
        <v/>
      </c>
      <c r="BI43" s="72" t="b">
        <f t="shared" si="5"/>
        <v>0</v>
      </c>
      <c r="BJ43" s="172" t="e">
        <f>IF(AND(NOT(ISBLANK(jumpoverwrite13)),AND(NOT(BI43),AND(BI$4:BI42))),($J43*$G43-LN(1+jumpoverwrite13*BK$2))/$G43,_xll.qlInterpolationInterpolate(BI$3,$F43,TRUE))</f>
        <v>#NUM!</v>
      </c>
      <c r="BK43" s="176" t="str">
        <f>IF(AND(NOT(BI43),AND(BI$4:BI42)),IF($BJ43&lt;0,IF($BJ43&lt;$J43,EXP(($BJ43-$J43)*$G43),EXP(($J43-$BJ43)*$G43)),EXP(($BJ43-$J43)*$G43)),"")</f>
        <v/>
      </c>
      <c r="BM43" s="72" t="b">
        <f>IF(AND(NOT(BI43),AND(BI$4:BI42)),TRUE,BI43)</f>
        <v>0</v>
      </c>
      <c r="BN43" s="172" t="e">
        <f>IF(AND(NOT(ISBLANK(Jumpoverwrite14)),AND(NOT(BM43),AND(BM$4:BM42))),($J43*$G43-LN(1+Jumpoverwrite14*BO$2))/$G43,_xll.qlInterpolationInterpolate(BM$3,$F43,TRUE))</f>
        <v>#NUM!</v>
      </c>
      <c r="BO43" s="176" t="str">
        <f>IF(AND(NOT(BM43),AND(BM$4:BM42)),IF($BN43&lt;0,IF($BN43&lt;$J43,EXP(($BN43-$J43)*$G43),EXP(($J43-$BN43)*$G43)),EXP(($BN43-$J43)*$G43)),"")</f>
        <v/>
      </c>
      <c r="BQ43" s="72" t="b">
        <f>IF(AND(NOT(BM43),AND(BM$4:BM42)),TRUE,BM43)</f>
        <v>0</v>
      </c>
      <c r="BR43" s="172" t="e">
        <f>IF(AND(NOT(ISBLANK(Jumpoverwrite15)),AND(NOT(BQ43),AND(BQ$4:BQ42))),($J43*$G43-LN(1+Jumpoverwrite15*BS$2))/$G43,_xll.qlInterpolationInterpolate(BQ$3,$F43,TRUE))</f>
        <v>#NUM!</v>
      </c>
      <c r="BS43" s="176" t="str">
        <f>IF(AND(NOT(BQ43),AND(BQ$4:BQ42)),IF($BN43&lt;0,IF($BN43&lt;$J43,EXP(($BN43-$J43)*$G43),EXP(($J43-$BN43)*$G43)),EXP(($BN43-$J43)*$G43)),"")</f>
        <v/>
      </c>
    </row>
    <row r="44" spans="1:71" x14ac:dyDescent="0.2">
      <c r="A44" s="33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84" t="e">
        <f t="shared" si="4"/>
        <v>#N/A</v>
      </c>
      <c r="G44" s="85" t="e">
        <f>_xll.qlDayCounterYearFraction(DayCounter,D43,D44)</f>
        <v>#NUM!</v>
      </c>
      <c r="I44" s="93" t="b">
        <f t="shared" si="2"/>
        <v>0</v>
      </c>
      <c r="J44" s="37" t="e">
        <v>#N/A</v>
      </c>
      <c r="K44" s="94" t="e">
        <f t="shared" si="3"/>
        <v>#VALUE!</v>
      </c>
      <c r="L44" s="105"/>
      <c r="M44" s="72" t="b">
        <f>IF(AND(NOT(I44),AND(I$4:I43)),TRUE,I44)</f>
        <v>0</v>
      </c>
      <c r="N44" s="172" t="e">
        <f>IF(AND(NOT(ISBLANK(Jumpoverwrite1)),AND(NOT(M44),AND(M$4:M43))),($J44*$G44-LN(1+Jumpoverwrite1*O$2))/$G44,_xll.qlInterpolationInterpolate(M$3,$F44,TRUE))</f>
        <v>#NUM!</v>
      </c>
      <c r="O44" s="34" t="str">
        <f>IF(AND(NOT(M44),AND(M$4:M43)),IF($N44&lt;0,IF($N44&lt;$J44,EXP(($N44-$J44)*$G44),EXP(($J44-$N44)*$G44)),EXP(($N44-$J44)*$G44)),"")</f>
        <v/>
      </c>
      <c r="P44" s="107"/>
      <c r="Q44" s="72" t="b">
        <f>IF(AND(NOT(M44),AND(M$4:M43)),TRUE,M44)</f>
        <v>0</v>
      </c>
      <c r="R44" s="172" t="e">
        <f>IF(AND(NOT(ISBLANK(Jumpoverwrite2)),AND(NOT(Q44),AND(Q$4:Q43))),($J44*$G44-LN(1+Jumpoverwrite2*S$2))/$G44,_xll.qlInterpolationInterpolate(Q$3,$F44,TRUE))</f>
        <v>#NUM!</v>
      </c>
      <c r="S44" s="176" t="str">
        <f>IF(AND(NOT(Q44),AND(Q$4:Q43)),IF($R44&lt;0,IF($R44&lt;$J44,EXP(($R44-$J44)*$G44),EXP(($J44-$R44)*$G44)),EXP(($R44-$J44)*$G44)),"")</f>
        <v/>
      </c>
      <c r="T44" s="107"/>
      <c r="U44" s="72" t="b">
        <f>IF(AND(NOT(Q44),AND(Q$4:Q43)),TRUE,Q44)</f>
        <v>0</v>
      </c>
      <c r="V44" s="172" t="e">
        <f>IF(AND(NOT(ISBLANK(Jumpoverwrite3)),AND(NOT(U44),AND(U$4:U43))),($J44*$G44-LN(1+Jumpoverwrite3*W$2))/$G44,_xll.qlInterpolationInterpolate(U$3,$F44,TRUE))</f>
        <v>#NUM!</v>
      </c>
      <c r="W44" s="176" t="str">
        <f>IF(AND(NOT(U44),AND(U$4:U43)),IF($V44&lt;0,IF($V44&lt;$J44,EXP(($V44-$J44)*$G44),EXP(($J44-$V44)*$G44)),EXP(($V44-$J44)*$G44)),"")</f>
        <v/>
      </c>
      <c r="X44" s="107"/>
      <c r="Y44" s="72" t="b">
        <f>IF(AND(NOT(U44),AND(U$4:U43)),TRUE,U44)</f>
        <v>0</v>
      </c>
      <c r="Z44" s="172" t="e">
        <f>IF(AND(NOT(ISBLANK(Jumpoverwrite4)),AND(NOT(Y44),AND(Y$4:Y43))),($J44*$G44-LN(1+Jumpoverwrite4*AA$2))/$G44,_xll.qlInterpolationInterpolate(Y$3,$F44,TRUE))</f>
        <v>#NUM!</v>
      </c>
      <c r="AA44" s="176" t="str">
        <f>IF(AND(NOT(Y44),AND(Y$4:Y43)),IF($Z44&lt;0,IF($Z44&lt;$J44,EXP(($Z44-$J44)*$G44),EXP(($J44-$Z44)*$G44)),EXP(($Z44-$J44)*$G44)),"")</f>
        <v/>
      </c>
      <c r="AB44" s="107"/>
      <c r="AC44" s="72" t="b">
        <f>IF(AND(NOT(Y44),AND(Y$4:Y43)),TRUE,Y44)</f>
        <v>0</v>
      </c>
      <c r="AD44" s="172" t="e">
        <f>IF(AND(NOT(ISBLANK(Jumpoverwrite5)),AND(NOT(AC44),AND(AC$4:AC43))),($J44*$G44-LN(1+Jumpoverwrite5*AE$2))/$G44,_xll.qlInterpolationInterpolate(AC$3,$F44,TRUE))</f>
        <v>#NUM!</v>
      </c>
      <c r="AE44" s="176" t="str">
        <f>IF(AND(NOT(AC44),AND(AC$4:AC43)),IF($AD44&lt;0,IF($AD44&lt;$J44,EXP(($AD44-$J44)*$G44),EXP(($J44-$AD44)*$G44)),EXP(($AD44-$J44)*$G44)),"")</f>
        <v/>
      </c>
      <c r="AF44" s="107"/>
      <c r="AG44" s="72" t="b">
        <f>IF(AND(NOT(AC44),AND(AC$4:AC43)),TRUE,AC44)</f>
        <v>0</v>
      </c>
      <c r="AH44" s="172" t="e">
        <f>IF(AND(NOT(ISBLANK(Jumpoverwrite6)),AND(NOT(AG44),AND(AG$4:AG43))),($J44*$G44-LN(1+Jumpoverwrite6*AI$2))/$G44,_xll.qlInterpolationInterpolate(AG$3,$F44,TRUE))</f>
        <v>#NUM!</v>
      </c>
      <c r="AI44" s="176" t="str">
        <f>IF(AND(NOT(AG44),AND(AG$4:AG43)),IF($AH44&lt;0,IF($AH44&lt;$J44,EXP(($AH44-$J44)*$G44),EXP(($J44-$AH44)*$G44)),EXP(($AH44-$J44)*$G44)),"")</f>
        <v/>
      </c>
      <c r="AJ44" s="107"/>
      <c r="AK44" s="72" t="b">
        <f>IF(AND(NOT(AG44),AND(AG$4:AG43)),TRUE,AG44)</f>
        <v>0</v>
      </c>
      <c r="AL44" s="172" t="e">
        <f>IF(AND(NOT(ISBLANK(Jumpoverwrite7)),AND(NOT(AK44),AND(AK$4:AK43))),($J44*$G44-LN(1+Jumpoverwrite7*AM$2))/$G44,_xll.qlInterpolationInterpolate(AK$3,$F44,TRUE))</f>
        <v>#NUM!</v>
      </c>
      <c r="AM44" s="176" t="str">
        <f>IF(AND(NOT(AK44),AND(AK$4:AK43)),IF($AL44&lt;0,IF($AL44&lt;$J44,EXP(($AL44-$J44)*$G44),EXP(($J44-$AL44)*$G44)),EXP(($AL44-$J44)*$G44)),"")</f>
        <v/>
      </c>
      <c r="AO44" s="72" t="b">
        <f>IF(AND(NOT(AK44),AND(AK$4:AK43)),TRUE,AK44)</f>
        <v>0</v>
      </c>
      <c r="AP44" s="172" t="e">
        <f>IF(AND(NOT(ISBLANK(Jumpoverwrite8)),AND(NOT(AO44),AND(AO$4:AO43))),($J44*$G44-LN(1+Jumpoverwrite8*AQ$2))/$G44,_xll.qlInterpolationInterpolate(AO$3,$F44,TRUE))</f>
        <v>#NUM!</v>
      </c>
      <c r="AQ44" s="176" t="str">
        <f>IF(AND(NOT(AO44),AND(AO$4:AO43)),IF($AP44&lt;0,IF($AP44&lt;$J44,EXP(($AP44-$J44)*$G44),EXP(($J44-$AP44)*$G44)),EXP(($AP44-$J44)*$G44)),"")</f>
        <v/>
      </c>
      <c r="AS44" s="72" t="b">
        <f>IF(AND(NOT(AO44),AND(AO$4:AO43)),TRUE,AO44)</f>
        <v>0</v>
      </c>
      <c r="AT44" s="172" t="e">
        <f>IF(AND(NOT(ISBLANK(Jumpoverwrite9)),AND(NOT(AS44),AND(AS$4:AS43))),($J44*$G44-LN(1+Jumpoverwrite9*AU$2))/$G44,_xll.qlInterpolationInterpolate(AS$3,$F44,TRUE))</f>
        <v>#NUM!</v>
      </c>
      <c r="AU44" s="176" t="str">
        <f>IF(AND(NOT(AS44),AND(AS$4:AS43)),IF($AT44&lt;0,IF($AT44&lt;$J44,EXP(($AT44-$J44)*$G44),EXP(($J44-$AT44)*$G44)),EXP(($AT44-$J44)*$G44)),"")</f>
        <v/>
      </c>
      <c r="AW44" s="72" t="b">
        <f>IF(AND(NOT(AS44),AND(AS$4:AS43)),TRUE,AS44)</f>
        <v>0</v>
      </c>
      <c r="AX44" s="172" t="e">
        <f>IF(AND(NOT(ISBLANK(Jumpoverwrite10)),AND(NOT(AW44),AND(AW$4:AW43))),($J44*$G44-LN(1+Jumpoverwrite10*AY$2))/$G44,_xll.qlInterpolationInterpolate(AW$3,$F44,TRUE))</f>
        <v>#NUM!</v>
      </c>
      <c r="AY44" s="176" t="str">
        <f>IF(AND(NOT(AW44),AND(AW$4:AW43)),IF($AX44&lt;0,IF($AX44&lt;$J44,EXP(($AX44-$J44)*$G44),EXP(($J44-$AX44)*$G44)),EXP(($AX44-$J44)*$G44)),"")</f>
        <v/>
      </c>
      <c r="BA44" s="72" t="b">
        <f>IF(AND(NOT(AW44),AND(AW$4:AW43)),TRUE,AW44)</f>
        <v>0</v>
      </c>
      <c r="BB44" s="172" t="e">
        <f>IF(AND(NOT(ISBLANK(Jumpoverwrite11)),AND(NOT(BA44),AND(BA$4:BA43))),($J44*$G44-LN(1+Jumpoverwrite11*BC$2))/$G44,_xll.qlInterpolationInterpolate(BA$3,$F44,TRUE))</f>
        <v>#NUM!</v>
      </c>
      <c r="BC44" s="176" t="str">
        <f>IF(AND(NOT(BA44),AND(BA$4:BA43)),IF($BB44&lt;0,IF($BB44&lt;$J44,EXP(($BB44-$J44)*$G44),EXP(($J44-$BB44)*$G44)),EXP(($BB44-$J44)*$G44)),"")</f>
        <v/>
      </c>
      <c r="BE44" s="72" t="b">
        <f>IF(AND(NOT(BA44),AND(BA$4:BA43)),TRUE,BA44)</f>
        <v>0</v>
      </c>
      <c r="BF44" s="172" t="e">
        <f>IF(AND(NOT(ISBLANK(Jumpoverwrite12)),AND(NOT(BE44),AND(BE$4:BE43))),($J44*$G44-LN(1+Jumpoverwrite12*BG$2))/$G44,_xll.qlInterpolationInterpolate(BE$3,$F44,TRUE))</f>
        <v>#NUM!</v>
      </c>
      <c r="BG44" s="176" t="str">
        <f>IF(AND(NOT(BE44),AND(BE$4:BE43)),IF($BF44&lt;0,IF($BF44&lt;$J44,EXP(($BF44-$J44)*$G44),EXP(($J44-$BF44)*$G44)),EXP(($BF44-$J44)*$G44)),"")</f>
        <v/>
      </c>
      <c r="BI44" s="72" t="b">
        <f t="shared" si="5"/>
        <v>0</v>
      </c>
      <c r="BJ44" s="172" t="e">
        <f>IF(AND(NOT(ISBLANK(jumpoverwrite13)),AND(NOT(BI44),AND(BI$4:BI43))),($J44*$G44-LN(1+jumpoverwrite13*BK$2))/$G44,_xll.qlInterpolationInterpolate(BI$3,$F44,TRUE))</f>
        <v>#NUM!</v>
      </c>
      <c r="BK44" s="176" t="str">
        <f>IF(AND(NOT(BI44),AND(BI$4:BI43)),IF($BJ44&lt;0,IF($BJ44&lt;$J44,EXP(($BJ44-$J44)*$G44),EXP(($J44-$BJ44)*$G44)),EXP(($BJ44-$J44)*$G44)),"")</f>
        <v/>
      </c>
      <c r="BM44" s="72" t="b">
        <f>IF(AND(NOT(BI44),AND(BI$4:BI43)),TRUE,BI44)</f>
        <v>0</v>
      </c>
      <c r="BN44" s="172" t="e">
        <f>IF(AND(NOT(ISBLANK(Jumpoverwrite14)),AND(NOT(BM44),AND(BM$4:BM43))),($J44*$G44-LN(1+Jumpoverwrite14*BO$2))/$G44,_xll.qlInterpolationInterpolate(BM$3,$F44,TRUE))</f>
        <v>#NUM!</v>
      </c>
      <c r="BO44" s="176" t="str">
        <f>IF(AND(NOT(BM44),AND(BM$4:BM43)),IF($BN44&lt;0,IF($BN44&lt;$J44,EXP(($BN44-$J44)*$G44),EXP(($J44-$BN44)*$G44)),EXP(($BN44-$J44)*$G44)),"")</f>
        <v/>
      </c>
      <c r="BQ44" s="72" t="b">
        <f>IF(AND(NOT(BM44),AND(BM$4:BM43)),TRUE,BM44)</f>
        <v>0</v>
      </c>
      <c r="BR44" s="172" t="e">
        <f>IF(AND(NOT(ISBLANK(Jumpoverwrite15)),AND(NOT(BQ44),AND(BQ$4:BQ43))),($J44*$G44-LN(1+Jumpoverwrite15*BS$2))/$G44,_xll.qlInterpolationInterpolate(BQ$3,$F44,TRUE))</f>
        <v>#NUM!</v>
      </c>
      <c r="BS44" s="176" t="str">
        <f>IF(AND(NOT(BQ44),AND(BQ$4:BQ43)),IF($BN44&lt;0,IF($BN44&lt;$J44,EXP(($BN44-$J44)*$G44),EXP(($J44-$BN44)*$G44)),EXP(($BN44-$J44)*$G44)),"")</f>
        <v/>
      </c>
    </row>
    <row r="45" spans="1:71" x14ac:dyDescent="0.2">
      <c r="A45" s="33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84" t="e">
        <f t="shared" si="4"/>
        <v>#N/A</v>
      </c>
      <c r="G45" s="85" t="e">
        <f>_xll.qlDayCounterYearFraction(DayCounter,D44,D45)</f>
        <v>#NUM!</v>
      </c>
      <c r="I45" s="93" t="b">
        <f t="shared" si="2"/>
        <v>0</v>
      </c>
      <c r="J45" s="37" t="e">
        <v>#N/A</v>
      </c>
      <c r="K45" s="94" t="e">
        <f t="shared" si="3"/>
        <v>#VALUE!</v>
      </c>
      <c r="L45" s="105"/>
      <c r="M45" s="72" t="b">
        <f>IF(AND(NOT(I45),AND(I$4:I44)),TRUE,I45)</f>
        <v>0</v>
      </c>
      <c r="N45" s="172" t="e">
        <f>IF(AND(NOT(ISBLANK(Jumpoverwrite1)),AND(NOT(M45),AND(M$4:M44))),($J45*$G45-LN(1+Jumpoverwrite1*O$2))/$G45,_xll.qlInterpolationInterpolate(M$3,$F45,TRUE))</f>
        <v>#NUM!</v>
      </c>
      <c r="O45" s="34" t="str">
        <f>IF(AND(NOT(M45),AND(M$4:M44)),IF($N45&lt;0,IF($N45&lt;$J45,EXP(($N45-$J45)*$G45),EXP(($J45-$N45)*$G45)),EXP(($N45-$J45)*$G45)),"")</f>
        <v/>
      </c>
      <c r="P45" s="107"/>
      <c r="Q45" s="72" t="b">
        <f>IF(AND(NOT(M45),AND(M$4:M44)),TRUE,M45)</f>
        <v>0</v>
      </c>
      <c r="R45" s="172" t="e">
        <f>IF(AND(NOT(ISBLANK(Jumpoverwrite2)),AND(NOT(Q45),AND(Q$4:Q44))),($J45*$G45-LN(1+Jumpoverwrite2*S$2))/$G45,_xll.qlInterpolationInterpolate(Q$3,$F45,TRUE))</f>
        <v>#NUM!</v>
      </c>
      <c r="S45" s="176" t="str">
        <f>IF(AND(NOT(Q45),AND(Q$4:Q44)),IF($R45&lt;0,IF($R45&lt;$J45,EXP(($R45-$J45)*$G45),EXP(($J45-$R45)*$G45)),EXP(($R45-$J45)*$G45)),"")</f>
        <v/>
      </c>
      <c r="T45" s="107"/>
      <c r="U45" s="72" t="b">
        <f>IF(AND(NOT(Q45),AND(Q$4:Q44)),TRUE,Q45)</f>
        <v>0</v>
      </c>
      <c r="V45" s="172" t="e">
        <f>IF(AND(NOT(ISBLANK(Jumpoverwrite3)),AND(NOT(U45),AND(U$4:U44))),($J45*$G45-LN(1+Jumpoverwrite3*W$2))/$G45,_xll.qlInterpolationInterpolate(U$3,$F45,TRUE))</f>
        <v>#NUM!</v>
      </c>
      <c r="W45" s="176" t="str">
        <f>IF(AND(NOT(U45),AND(U$4:U44)),IF($V45&lt;0,IF($V45&lt;$J45,EXP(($V45-$J45)*$G45),EXP(($J45-$V45)*$G45)),EXP(($V45-$J45)*$G45)),"")</f>
        <v/>
      </c>
      <c r="X45" s="107"/>
      <c r="Y45" s="72" t="b">
        <f>IF(AND(NOT(U45),AND(U$4:U44)),TRUE,U45)</f>
        <v>0</v>
      </c>
      <c r="Z45" s="172" t="e">
        <f>IF(AND(NOT(ISBLANK(Jumpoverwrite4)),AND(NOT(Y45),AND(Y$4:Y44))),($J45*$G45-LN(1+Jumpoverwrite4*AA$2))/$G45,_xll.qlInterpolationInterpolate(Y$3,$F45,TRUE))</f>
        <v>#NUM!</v>
      </c>
      <c r="AA45" s="176" t="str">
        <f>IF(AND(NOT(Y45),AND(Y$4:Y44)),IF($Z45&lt;0,IF($Z45&lt;$J45,EXP(($Z45-$J45)*$G45),EXP(($J45-$Z45)*$G45)),EXP(($Z45-$J45)*$G45)),"")</f>
        <v/>
      </c>
      <c r="AB45" s="107"/>
      <c r="AC45" s="72" t="b">
        <f>IF(AND(NOT(Y45),AND(Y$4:Y44)),TRUE,Y45)</f>
        <v>0</v>
      </c>
      <c r="AD45" s="172" t="e">
        <f>IF(AND(NOT(ISBLANK(Jumpoverwrite5)),AND(NOT(AC45),AND(AC$4:AC44))),($J45*$G45-LN(1+Jumpoverwrite5*AE$2))/$G45,_xll.qlInterpolationInterpolate(AC$3,$F45,TRUE))</f>
        <v>#NUM!</v>
      </c>
      <c r="AE45" s="176" t="str">
        <f>IF(AND(NOT(AC45),AND(AC$4:AC44)),IF($AD45&lt;0,IF($AD45&lt;$J45,EXP(($AD45-$J45)*$G45),EXP(($J45-$AD45)*$G45)),EXP(($AD45-$J45)*$G45)),"")</f>
        <v/>
      </c>
      <c r="AF45" s="107"/>
      <c r="AG45" s="72" t="b">
        <f>IF(AND(NOT(AC45),AND(AC$4:AC44)),TRUE,AC45)</f>
        <v>0</v>
      </c>
      <c r="AH45" s="172" t="e">
        <f>IF(AND(NOT(ISBLANK(Jumpoverwrite6)),AND(NOT(AG45),AND(AG$4:AG44))),($J45*$G45-LN(1+Jumpoverwrite6*AI$2))/$G45,_xll.qlInterpolationInterpolate(AG$3,$F45,TRUE))</f>
        <v>#NUM!</v>
      </c>
      <c r="AI45" s="176" t="str">
        <f>IF(AND(NOT(AG45),AND(AG$4:AG44)),IF($AH45&lt;0,IF($AH45&lt;$J45,EXP(($AH45-$J45)*$G45),EXP(($J45-$AH45)*$G45)),EXP(($AH45-$J45)*$G45)),"")</f>
        <v/>
      </c>
      <c r="AJ45" s="107"/>
      <c r="AK45" s="72" t="b">
        <f>IF(AND(NOT(AG45),AND(AG$4:AG44)),TRUE,AG45)</f>
        <v>0</v>
      </c>
      <c r="AL45" s="172" t="e">
        <f>IF(AND(NOT(ISBLANK(Jumpoverwrite7)),AND(NOT(AK45),AND(AK$4:AK44))),($J45*$G45-LN(1+Jumpoverwrite7*AM$2))/$G45,_xll.qlInterpolationInterpolate(AK$3,$F45,TRUE))</f>
        <v>#NUM!</v>
      </c>
      <c r="AM45" s="176" t="str">
        <f>IF(AND(NOT(AK45),AND(AK$4:AK44)),IF($AL45&lt;0,IF($AL45&lt;$J45,EXP(($AL45-$J45)*$G45),EXP(($J45-$AL45)*$G45)),EXP(($AL45-$J45)*$G45)),"")</f>
        <v/>
      </c>
      <c r="AO45" s="72" t="b">
        <f>IF(AND(NOT(AK45),AND(AK$4:AK44)),TRUE,AK45)</f>
        <v>0</v>
      </c>
      <c r="AP45" s="172" t="e">
        <f>IF(AND(NOT(ISBLANK(Jumpoverwrite8)),AND(NOT(AO45),AND(AO$4:AO44))),($J45*$G45-LN(1+Jumpoverwrite8*AQ$2))/$G45,_xll.qlInterpolationInterpolate(AO$3,$F45,TRUE))</f>
        <v>#NUM!</v>
      </c>
      <c r="AQ45" s="176" t="str">
        <f>IF(AND(NOT(AO45),AND(AO$4:AO44)),IF($AP45&lt;0,IF($AP45&lt;$J45,EXP(($AP45-$J45)*$G45),EXP(($J45-$AP45)*$G45)),EXP(($AP45-$J45)*$G45)),"")</f>
        <v/>
      </c>
      <c r="AS45" s="72" t="b">
        <f>IF(AND(NOT(AO45),AND(AO$4:AO44)),TRUE,AO45)</f>
        <v>0</v>
      </c>
      <c r="AT45" s="172" t="e">
        <f>IF(AND(NOT(ISBLANK(Jumpoverwrite9)),AND(NOT(AS45),AND(AS$4:AS44))),($J45*$G45-LN(1+Jumpoverwrite9*AU$2))/$G45,_xll.qlInterpolationInterpolate(AS$3,$F45,TRUE))</f>
        <v>#NUM!</v>
      </c>
      <c r="AU45" s="176" t="str">
        <f>IF(AND(NOT(AS45),AND(AS$4:AS44)),IF($AT45&lt;0,IF($AT45&lt;$J45,EXP(($AT45-$J45)*$G45),EXP(($J45-$AT45)*$G45)),EXP(($AT45-$J45)*$G45)),"")</f>
        <v/>
      </c>
      <c r="AW45" s="72" t="b">
        <f>IF(AND(NOT(AS45),AND(AS$4:AS44)),TRUE,AS45)</f>
        <v>0</v>
      </c>
      <c r="AX45" s="172" t="e">
        <f>IF(AND(NOT(ISBLANK(Jumpoverwrite10)),AND(NOT(AW45),AND(AW$4:AW44))),($J45*$G45-LN(1+Jumpoverwrite10*AY$2))/$G45,_xll.qlInterpolationInterpolate(AW$3,$F45,TRUE))</f>
        <v>#NUM!</v>
      </c>
      <c r="AY45" s="176" t="str">
        <f>IF(AND(NOT(AW45),AND(AW$4:AW44)),IF($AX45&lt;0,IF($AX45&lt;$J45,EXP(($AX45-$J45)*$G45),EXP(($J45-$AX45)*$G45)),EXP(($AX45-$J45)*$G45)),"")</f>
        <v/>
      </c>
      <c r="BA45" s="72" t="b">
        <f>IF(AND(NOT(AW45),AND(AW$4:AW44)),TRUE,AW45)</f>
        <v>0</v>
      </c>
      <c r="BB45" s="172" t="e">
        <f>IF(AND(NOT(ISBLANK(Jumpoverwrite11)),AND(NOT(BA45),AND(BA$4:BA44))),($J45*$G45-LN(1+Jumpoverwrite11*BC$2))/$G45,_xll.qlInterpolationInterpolate(BA$3,$F45,TRUE))</f>
        <v>#NUM!</v>
      </c>
      <c r="BC45" s="176" t="str">
        <f>IF(AND(NOT(BA45),AND(BA$4:BA44)),IF($BB45&lt;0,IF($BB45&lt;$J45,EXP(($BB45-$J45)*$G45),EXP(($J45-$BB45)*$G45)),EXP(($BB45-$J45)*$G45)),"")</f>
        <v/>
      </c>
      <c r="BE45" s="72" t="b">
        <f>IF(AND(NOT(BA45),AND(BA$4:BA44)),TRUE,BA45)</f>
        <v>0</v>
      </c>
      <c r="BF45" s="172" t="e">
        <f>IF(AND(NOT(ISBLANK(Jumpoverwrite12)),AND(NOT(BE45),AND(BE$4:BE44))),($J45*$G45-LN(1+Jumpoverwrite12*BG$2))/$G45,_xll.qlInterpolationInterpolate(BE$3,$F45,TRUE))</f>
        <v>#NUM!</v>
      </c>
      <c r="BG45" s="176" t="str">
        <f>IF(AND(NOT(BE45),AND(BE$4:BE44)),IF($BF45&lt;0,IF($BF45&lt;$J45,EXP(($BF45-$J45)*$G45),EXP(($J45-$BF45)*$G45)),EXP(($BF45-$J45)*$G45)),"")</f>
        <v/>
      </c>
      <c r="BI45" s="72" t="b">
        <f t="shared" si="5"/>
        <v>0</v>
      </c>
      <c r="BJ45" s="172" t="e">
        <f>IF(AND(NOT(ISBLANK(jumpoverwrite13)),AND(NOT(BI45),AND(BI$4:BI44))),($J45*$G45-LN(1+jumpoverwrite13*BK$2))/$G45,_xll.qlInterpolationInterpolate(BI$3,$F45,TRUE))</f>
        <v>#NUM!</v>
      </c>
      <c r="BK45" s="176" t="str">
        <f>IF(AND(NOT(BI45),AND(BI$4:BI44)),IF($BJ45&lt;0,IF($BJ45&lt;$J45,EXP(($BJ45-$J45)*$G45),EXP(($J45-$BJ45)*$G45)),EXP(($BJ45-$J45)*$G45)),"")</f>
        <v/>
      </c>
      <c r="BM45" s="72" t="b">
        <f>IF(AND(NOT(BI45),AND(BI$4:BI44)),TRUE,BI45)</f>
        <v>0</v>
      </c>
      <c r="BN45" s="172" t="e">
        <f>IF(AND(NOT(ISBLANK(Jumpoverwrite14)),AND(NOT(BM45),AND(BM$4:BM44))),($J45*$G45-LN(1+Jumpoverwrite14*BO$2))/$G45,_xll.qlInterpolationInterpolate(BM$3,$F45,TRUE))</f>
        <v>#NUM!</v>
      </c>
      <c r="BO45" s="176" t="str">
        <f>IF(AND(NOT(BM45),AND(BM$4:BM44)),IF($BN45&lt;0,IF($BN45&lt;$J45,EXP(($BN45-$J45)*$G45),EXP(($J45-$BN45)*$G45)),EXP(($BN45-$J45)*$G45)),"")</f>
        <v/>
      </c>
      <c r="BQ45" s="72" t="b">
        <f>IF(AND(NOT(BM45),AND(BM$4:BM44)),TRUE,BM45)</f>
        <v>0</v>
      </c>
      <c r="BR45" s="172" t="e">
        <f>IF(AND(NOT(ISBLANK(Jumpoverwrite15)),AND(NOT(BQ45),AND(BQ$4:BQ44))),($J45*$G45-LN(1+Jumpoverwrite15*BS$2))/$G45,_xll.qlInterpolationInterpolate(BQ$3,$F45,TRUE))</f>
        <v>#NUM!</v>
      </c>
      <c r="BS45" s="176" t="str">
        <f>IF(AND(NOT(BQ45),AND(BQ$4:BQ44)),IF($BN45&lt;0,IF($BN45&lt;$J45,EXP(($BN45-$J45)*$G45),EXP(($J45-$BN45)*$G45)),EXP(($BN45-$J45)*$G45)),"")</f>
        <v/>
      </c>
    </row>
    <row r="46" spans="1:71" x14ac:dyDescent="0.2">
      <c r="A46" s="33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84" t="e">
        <f t="shared" si="4"/>
        <v>#N/A</v>
      </c>
      <c r="G46" s="85" t="e">
        <f>_xll.qlDayCounterYearFraction(DayCounter,D45,D46)</f>
        <v>#NUM!</v>
      </c>
      <c r="I46" s="93" t="b">
        <f t="shared" si="2"/>
        <v>0</v>
      </c>
      <c r="J46" s="37" t="e">
        <v>#N/A</v>
      </c>
      <c r="K46" s="94" t="e">
        <f t="shared" si="3"/>
        <v>#VALUE!</v>
      </c>
      <c r="L46" s="105"/>
      <c r="M46" s="72" t="b">
        <f>IF(AND(NOT(I46),AND(I$4:I45)),TRUE,I46)</f>
        <v>0</v>
      </c>
      <c r="N46" s="172" t="e">
        <f>IF(AND(NOT(ISBLANK(Jumpoverwrite1)),AND(NOT(M46),AND(M$4:M45))),($J46*$G46-LN(1+Jumpoverwrite1*O$2))/$G46,_xll.qlInterpolationInterpolate(M$3,$F46,TRUE))</f>
        <v>#NUM!</v>
      </c>
      <c r="O46" s="34" t="str">
        <f>IF(AND(NOT(M46),AND(M$4:M45)),IF($N46&lt;0,IF($N46&lt;$J46,EXP(($N46-$J46)*$G46),EXP(($J46-$N46)*$G46)),EXP(($N46-$J46)*$G46)),"")</f>
        <v/>
      </c>
      <c r="P46" s="107"/>
      <c r="Q46" s="72" t="b">
        <f>IF(AND(NOT(M46),AND(M$4:M45)),TRUE,M46)</f>
        <v>0</v>
      </c>
      <c r="R46" s="172" t="e">
        <f>IF(AND(NOT(ISBLANK(Jumpoverwrite2)),AND(NOT(Q46),AND(Q$4:Q45))),($J46*$G46-LN(1+Jumpoverwrite2*S$2))/$G46,_xll.qlInterpolationInterpolate(Q$3,$F46,TRUE))</f>
        <v>#NUM!</v>
      </c>
      <c r="S46" s="176" t="str">
        <f>IF(AND(NOT(Q46),AND(Q$4:Q45)),IF($R46&lt;0,IF($R46&lt;$J46,EXP(($R46-$J46)*$G46),EXP(($J46-$R46)*$G46)),EXP(($R46-$J46)*$G46)),"")</f>
        <v/>
      </c>
      <c r="T46" s="107"/>
      <c r="U46" s="72" t="b">
        <f>IF(AND(NOT(Q46),AND(Q$4:Q45)),TRUE,Q46)</f>
        <v>0</v>
      </c>
      <c r="V46" s="172" t="e">
        <f>IF(AND(NOT(ISBLANK(Jumpoverwrite3)),AND(NOT(U46),AND(U$4:U45))),($J46*$G46-LN(1+Jumpoverwrite3*W$2))/$G46,_xll.qlInterpolationInterpolate(U$3,$F46,TRUE))</f>
        <v>#NUM!</v>
      </c>
      <c r="W46" s="176" t="str">
        <f>IF(AND(NOT(U46),AND(U$4:U45)),IF($V46&lt;0,IF($V46&lt;$J46,EXP(($V46-$J46)*$G46),EXP(($J46-$V46)*$G46)),EXP(($V46-$J46)*$G46)),"")</f>
        <v/>
      </c>
      <c r="X46" s="107"/>
      <c r="Y46" s="72" t="b">
        <f>IF(AND(NOT(U46),AND(U$4:U45)),TRUE,U46)</f>
        <v>0</v>
      </c>
      <c r="Z46" s="172" t="e">
        <f>IF(AND(NOT(ISBLANK(Jumpoverwrite4)),AND(NOT(Y46),AND(Y$4:Y45))),($J46*$G46-LN(1+Jumpoverwrite4*AA$2))/$G46,_xll.qlInterpolationInterpolate(Y$3,$F46,TRUE))</f>
        <v>#NUM!</v>
      </c>
      <c r="AA46" s="176" t="str">
        <f>IF(AND(NOT(Y46),AND(Y$4:Y45)),IF($Z46&lt;0,IF($Z46&lt;$J46,EXP(($Z46-$J46)*$G46),EXP(($J46-$Z46)*$G46)),EXP(($Z46-$J46)*$G46)),"")</f>
        <v/>
      </c>
      <c r="AB46" s="107"/>
      <c r="AC46" s="72" t="b">
        <f>IF(AND(NOT(Y46),AND(Y$4:Y45)),TRUE,Y46)</f>
        <v>0</v>
      </c>
      <c r="AD46" s="172" t="e">
        <f>IF(AND(NOT(ISBLANK(Jumpoverwrite5)),AND(NOT(AC46),AND(AC$4:AC45))),($J46*$G46-LN(1+Jumpoverwrite5*AE$2))/$G46,_xll.qlInterpolationInterpolate(AC$3,$F46,TRUE))</f>
        <v>#NUM!</v>
      </c>
      <c r="AE46" s="176" t="str">
        <f>IF(AND(NOT(AC46),AND(AC$4:AC45)),IF($AD46&lt;0,IF($AD46&lt;$J46,EXP(($AD46-$J46)*$G46),EXP(($J46-$AD46)*$G46)),EXP(($AD46-$J46)*$G46)),"")</f>
        <v/>
      </c>
      <c r="AF46" s="107"/>
      <c r="AG46" s="72" t="b">
        <f>IF(AND(NOT(AC46),AND(AC$4:AC45)),TRUE,AC46)</f>
        <v>0</v>
      </c>
      <c r="AH46" s="172" t="e">
        <f>IF(AND(NOT(ISBLANK(Jumpoverwrite6)),AND(NOT(AG46),AND(AG$4:AG45))),($J46*$G46-LN(1+Jumpoverwrite6*AI$2))/$G46,_xll.qlInterpolationInterpolate(AG$3,$F46,TRUE))</f>
        <v>#NUM!</v>
      </c>
      <c r="AI46" s="176" t="str">
        <f>IF(AND(NOT(AG46),AND(AG$4:AG45)),IF($AH46&lt;0,IF($AH46&lt;$J46,EXP(($AH46-$J46)*$G46),EXP(($J46-$AH46)*$G46)),EXP(($AH46-$J46)*$G46)),"")</f>
        <v/>
      </c>
      <c r="AJ46" s="107"/>
      <c r="AK46" s="72" t="b">
        <f>IF(AND(NOT(AG46),AND(AG$4:AG45)),TRUE,AG46)</f>
        <v>0</v>
      </c>
      <c r="AL46" s="172" t="e">
        <f>IF(AND(NOT(ISBLANK(Jumpoverwrite7)),AND(NOT(AK46),AND(AK$4:AK45))),($J46*$G46-LN(1+Jumpoverwrite7*AM$2))/$G46,_xll.qlInterpolationInterpolate(AK$3,$F46,TRUE))</f>
        <v>#NUM!</v>
      </c>
      <c r="AM46" s="176" t="str">
        <f>IF(AND(NOT(AK46),AND(AK$4:AK45)),IF($AL46&lt;0,IF($AL46&lt;$J46,EXP(($AL46-$J46)*$G46),EXP(($J46-$AL46)*$G46)),EXP(($AL46-$J46)*$G46)),"")</f>
        <v/>
      </c>
      <c r="AO46" s="72" t="b">
        <f>IF(AND(NOT(AK46),AND(AK$4:AK45)),TRUE,AK46)</f>
        <v>0</v>
      </c>
      <c r="AP46" s="172" t="e">
        <f>IF(AND(NOT(ISBLANK(Jumpoverwrite8)),AND(NOT(AO46),AND(AO$4:AO45))),($J46*$G46-LN(1+Jumpoverwrite8*AQ$2))/$G46,_xll.qlInterpolationInterpolate(AO$3,$F46,TRUE))</f>
        <v>#NUM!</v>
      </c>
      <c r="AQ46" s="176" t="str">
        <f>IF(AND(NOT(AO46),AND(AO$4:AO45)),IF($AP46&lt;0,IF($AP46&lt;$J46,EXP(($AP46-$J46)*$G46),EXP(($J46-$AP46)*$G46)),EXP(($AP46-$J46)*$G46)),"")</f>
        <v/>
      </c>
      <c r="AS46" s="72" t="b">
        <f>IF(AND(NOT(AO46),AND(AO$4:AO45)),TRUE,AO46)</f>
        <v>0</v>
      </c>
      <c r="AT46" s="172" t="e">
        <f>IF(AND(NOT(ISBLANK(Jumpoverwrite9)),AND(NOT(AS46),AND(AS$4:AS45))),($J46*$G46-LN(1+Jumpoverwrite9*AU$2))/$G46,_xll.qlInterpolationInterpolate(AS$3,$F46,TRUE))</f>
        <v>#NUM!</v>
      </c>
      <c r="AU46" s="176" t="str">
        <f>IF(AND(NOT(AS46),AND(AS$4:AS45)),IF($AT46&lt;0,IF($AT46&lt;$J46,EXP(($AT46-$J46)*$G46),EXP(($J46-$AT46)*$G46)),EXP(($AT46-$J46)*$G46)),"")</f>
        <v/>
      </c>
      <c r="AW46" s="72" t="b">
        <f>IF(AND(NOT(AS46),AND(AS$4:AS45)),TRUE,AS46)</f>
        <v>0</v>
      </c>
      <c r="AX46" s="172" t="e">
        <f>IF(AND(NOT(ISBLANK(Jumpoverwrite10)),AND(NOT(AW46),AND(AW$4:AW45))),($J46*$G46-LN(1+Jumpoverwrite10*AY$2))/$G46,_xll.qlInterpolationInterpolate(AW$3,$F46,TRUE))</f>
        <v>#NUM!</v>
      </c>
      <c r="AY46" s="176" t="str">
        <f>IF(AND(NOT(AW46),AND(AW$4:AW45)),IF($AX46&lt;0,IF($AX46&lt;$J46,EXP(($AX46-$J46)*$G46),EXP(($J46-$AX46)*$G46)),EXP(($AX46-$J46)*$G46)),"")</f>
        <v/>
      </c>
      <c r="BA46" s="72" t="b">
        <f>IF(AND(NOT(AW46),AND(AW$4:AW45)),TRUE,AW46)</f>
        <v>0</v>
      </c>
      <c r="BB46" s="172" t="e">
        <f>IF(AND(NOT(ISBLANK(Jumpoverwrite11)),AND(NOT(BA46),AND(BA$4:BA45))),($J46*$G46-LN(1+Jumpoverwrite11*BC$2))/$G46,_xll.qlInterpolationInterpolate(BA$3,$F46,TRUE))</f>
        <v>#NUM!</v>
      </c>
      <c r="BC46" s="176" t="str">
        <f>IF(AND(NOT(BA46),AND(BA$4:BA45)),IF($BB46&lt;0,IF($BB46&lt;$J46,EXP(($BB46-$J46)*$G46),EXP(($J46-$BB46)*$G46)),EXP(($BB46-$J46)*$G46)),"")</f>
        <v/>
      </c>
      <c r="BE46" s="72" t="b">
        <f>IF(AND(NOT(BA46),AND(BA$4:BA45)),TRUE,BA46)</f>
        <v>0</v>
      </c>
      <c r="BF46" s="172" t="e">
        <f>IF(AND(NOT(ISBLANK(Jumpoverwrite12)),AND(NOT(BE46),AND(BE$4:BE45))),($J46*$G46-LN(1+Jumpoverwrite12*BG$2))/$G46,_xll.qlInterpolationInterpolate(BE$3,$F46,TRUE))</f>
        <v>#NUM!</v>
      </c>
      <c r="BG46" s="176" t="str">
        <f>IF(AND(NOT(BE46),AND(BE$4:BE45)),IF($BF46&lt;0,IF($BF46&lt;$J46,EXP(($BF46-$J46)*$G46),EXP(($J46-$BF46)*$G46)),EXP(($BF46-$J46)*$G46)),"")</f>
        <v/>
      </c>
      <c r="BI46" s="72" t="b">
        <f t="shared" si="5"/>
        <v>0</v>
      </c>
      <c r="BJ46" s="172" t="e">
        <f>IF(AND(NOT(ISBLANK(jumpoverwrite13)),AND(NOT(BI46),AND(BI$4:BI45))),($J46*$G46-LN(1+jumpoverwrite13*BK$2))/$G46,_xll.qlInterpolationInterpolate(BI$3,$F46,TRUE))</f>
        <v>#NUM!</v>
      </c>
      <c r="BK46" s="176" t="str">
        <f>IF(AND(NOT(BI46),AND(BI$4:BI45)),IF($BJ46&lt;0,IF($BJ46&lt;$J46,EXP(($BJ46-$J46)*$G46),EXP(($J46-$BJ46)*$G46)),EXP(($BJ46-$J46)*$G46)),"")</f>
        <v/>
      </c>
      <c r="BM46" s="72" t="b">
        <f>IF(AND(NOT(BI46),AND(BI$4:BI45)),TRUE,BI46)</f>
        <v>0</v>
      </c>
      <c r="BN46" s="172" t="e">
        <f>IF(AND(NOT(ISBLANK(Jumpoverwrite14)),AND(NOT(BM46),AND(BM$4:BM45))),($J46*$G46-LN(1+Jumpoverwrite14*BO$2))/$G46,_xll.qlInterpolationInterpolate(BM$3,$F46,TRUE))</f>
        <v>#NUM!</v>
      </c>
      <c r="BO46" s="176" t="str">
        <f>IF(AND(NOT(BM46),AND(BM$4:BM45)),IF($BN46&lt;0,IF($BN46&lt;$J46,EXP(($BN46-$J46)*$G46),EXP(($J46-$BN46)*$G46)),EXP(($BN46-$J46)*$G46)),"")</f>
        <v/>
      </c>
      <c r="BQ46" s="72" t="b">
        <f>IF(AND(NOT(BM46),AND(BM$4:BM45)),TRUE,BM46)</f>
        <v>0</v>
      </c>
      <c r="BR46" s="172" t="e">
        <f>IF(AND(NOT(ISBLANK(Jumpoverwrite15)),AND(NOT(BQ46),AND(BQ$4:BQ45))),($J46*$G46-LN(1+Jumpoverwrite15*BS$2))/$G46,_xll.qlInterpolationInterpolate(BQ$3,$F46,TRUE))</f>
        <v>#NUM!</v>
      </c>
      <c r="BS46" s="176" t="str">
        <f>IF(AND(NOT(BQ46),AND(BQ$4:BQ45)),IF($BN46&lt;0,IF($BN46&lt;$J46,EXP(($BN46-$J46)*$G46),EXP(($J46-$BN46)*$G46)),EXP(($BN46-$J46)*$G46)),"")</f>
        <v/>
      </c>
    </row>
    <row r="47" spans="1:71" x14ac:dyDescent="0.2">
      <c r="A47" s="33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84" t="e">
        <f t="shared" si="4"/>
        <v>#N/A</v>
      </c>
      <c r="G47" s="85" t="e">
        <f>_xll.qlDayCounterYearFraction(DayCounter,D46,D47)</f>
        <v>#NUM!</v>
      </c>
      <c r="I47" s="93" t="b">
        <f t="shared" si="2"/>
        <v>0</v>
      </c>
      <c r="J47" s="37" t="e">
        <v>#N/A</v>
      </c>
      <c r="K47" s="94" t="e">
        <f t="shared" si="3"/>
        <v>#VALUE!</v>
      </c>
      <c r="L47" s="105"/>
      <c r="M47" s="72" t="b">
        <f>IF(AND(NOT(I47),AND(I$4:I46)),TRUE,I47)</f>
        <v>0</v>
      </c>
      <c r="N47" s="172" t="e">
        <f>IF(AND(NOT(ISBLANK(Jumpoverwrite1)),AND(NOT(M47),AND(M$4:M46))),($J47*$G47-LN(1+Jumpoverwrite1*O$2))/$G47,_xll.qlInterpolationInterpolate(M$3,$F47,TRUE))</f>
        <v>#NUM!</v>
      </c>
      <c r="O47" s="34" t="str">
        <f>IF(AND(NOT(M47),AND(M$4:M46)),IF($N47&lt;0,IF($N47&lt;$J47,EXP(($N47-$J47)*$G47),EXP(($J47-$N47)*$G47)),EXP(($N47-$J47)*$G47)),"")</f>
        <v/>
      </c>
      <c r="P47" s="107"/>
      <c r="Q47" s="72" t="b">
        <f>IF(AND(NOT(M47),AND(M$4:M46)),TRUE,M47)</f>
        <v>0</v>
      </c>
      <c r="R47" s="172" t="e">
        <f>IF(AND(NOT(ISBLANK(Jumpoverwrite2)),AND(NOT(Q47),AND(Q$4:Q46))),($J47*$G47-LN(1+Jumpoverwrite2*S$2))/$G47,_xll.qlInterpolationInterpolate(Q$3,$F47,TRUE))</f>
        <v>#NUM!</v>
      </c>
      <c r="S47" s="176" t="str">
        <f>IF(AND(NOT(Q47),AND(Q$4:Q46)),IF($R47&lt;0,IF($R47&lt;$J47,EXP(($R47-$J47)*$G47),EXP(($J47-$R47)*$G47)),EXP(($R47-$J47)*$G47)),"")</f>
        <v/>
      </c>
      <c r="T47" s="107"/>
      <c r="U47" s="72" t="b">
        <f>IF(AND(NOT(Q47),AND(Q$4:Q46)),TRUE,Q47)</f>
        <v>0</v>
      </c>
      <c r="V47" s="172" t="e">
        <f>IF(AND(NOT(ISBLANK(Jumpoverwrite3)),AND(NOT(U47),AND(U$4:U46))),($J47*$G47-LN(1+Jumpoverwrite3*W$2))/$G47,_xll.qlInterpolationInterpolate(U$3,$F47,TRUE))</f>
        <v>#NUM!</v>
      </c>
      <c r="W47" s="176" t="str">
        <f>IF(AND(NOT(U47),AND(U$4:U46)),IF($V47&lt;0,IF($V47&lt;$J47,EXP(($V47-$J47)*$G47),EXP(($J47-$V47)*$G47)),EXP(($V47-$J47)*$G47)),"")</f>
        <v/>
      </c>
      <c r="X47" s="107"/>
      <c r="Y47" s="72" t="b">
        <f>IF(AND(NOT(U47),AND(U$4:U46)),TRUE,U47)</f>
        <v>0</v>
      </c>
      <c r="Z47" s="172" t="e">
        <f>IF(AND(NOT(ISBLANK(Jumpoverwrite4)),AND(NOT(Y47),AND(Y$4:Y46))),($J47*$G47-LN(1+Jumpoverwrite4*AA$2))/$G47,_xll.qlInterpolationInterpolate(Y$3,$F47,TRUE))</f>
        <v>#NUM!</v>
      </c>
      <c r="AA47" s="176" t="str">
        <f>IF(AND(NOT(Y47),AND(Y$4:Y46)),IF($Z47&lt;0,IF($Z47&lt;$J47,EXP(($Z47-$J47)*$G47),EXP(($J47-$Z47)*$G47)),EXP(($Z47-$J47)*$G47)),"")</f>
        <v/>
      </c>
      <c r="AB47" s="107"/>
      <c r="AC47" s="72" t="b">
        <f>IF(AND(NOT(Y47),AND(Y$4:Y46)),TRUE,Y47)</f>
        <v>0</v>
      </c>
      <c r="AD47" s="172" t="e">
        <f>IF(AND(NOT(ISBLANK(Jumpoverwrite5)),AND(NOT(AC47),AND(AC$4:AC46))),($J47*$G47-LN(1+Jumpoverwrite5*AE$2))/$G47,_xll.qlInterpolationInterpolate(AC$3,$F47,TRUE))</f>
        <v>#NUM!</v>
      </c>
      <c r="AE47" s="176" t="str">
        <f>IF(AND(NOT(AC47),AND(AC$4:AC46)),IF($AD47&lt;0,IF($AD47&lt;$J47,EXP(($AD47-$J47)*$G47),EXP(($J47-$AD47)*$G47)),EXP(($AD47-$J47)*$G47)),"")</f>
        <v/>
      </c>
      <c r="AF47" s="107"/>
      <c r="AG47" s="72" t="b">
        <f>IF(AND(NOT(AC47),AND(AC$4:AC46)),TRUE,AC47)</f>
        <v>0</v>
      </c>
      <c r="AH47" s="172" t="e">
        <f>IF(AND(NOT(ISBLANK(Jumpoverwrite6)),AND(NOT(AG47),AND(AG$4:AG46))),($J47*$G47-LN(1+Jumpoverwrite6*AI$2))/$G47,_xll.qlInterpolationInterpolate(AG$3,$F47,TRUE))</f>
        <v>#NUM!</v>
      </c>
      <c r="AI47" s="176" t="str">
        <f>IF(AND(NOT(AG47),AND(AG$4:AG46)),IF($AH47&lt;0,IF($AH47&lt;$J47,EXP(($AH47-$J47)*$G47),EXP(($J47-$AH47)*$G47)),EXP(($AH47-$J47)*$G47)),"")</f>
        <v/>
      </c>
      <c r="AJ47" s="107"/>
      <c r="AK47" s="72" t="b">
        <f>IF(AND(NOT(AG47),AND(AG$4:AG46)),TRUE,AG47)</f>
        <v>0</v>
      </c>
      <c r="AL47" s="172" t="e">
        <f>IF(AND(NOT(ISBLANK(Jumpoverwrite7)),AND(NOT(AK47),AND(AK$4:AK46))),($J47*$G47-LN(1+Jumpoverwrite7*AM$2))/$G47,_xll.qlInterpolationInterpolate(AK$3,$F47,TRUE))</f>
        <v>#NUM!</v>
      </c>
      <c r="AM47" s="176" t="str">
        <f>IF(AND(NOT(AK47),AND(AK$4:AK46)),IF($AL47&lt;0,IF($AL47&lt;$J47,EXP(($AL47-$J47)*$G47),EXP(($J47-$AL47)*$G47)),EXP(($AL47-$J47)*$G47)),"")</f>
        <v/>
      </c>
      <c r="AO47" s="72" t="b">
        <f>IF(AND(NOT(AK47),AND(AK$4:AK46)),TRUE,AK47)</f>
        <v>0</v>
      </c>
      <c r="AP47" s="172" t="e">
        <f>IF(AND(NOT(ISBLANK(Jumpoverwrite8)),AND(NOT(AO47),AND(AO$4:AO46))),($J47*$G47-LN(1+Jumpoverwrite8*AQ$2))/$G47,_xll.qlInterpolationInterpolate(AO$3,$F47,TRUE))</f>
        <v>#NUM!</v>
      </c>
      <c r="AQ47" s="176" t="str">
        <f>IF(AND(NOT(AO47),AND(AO$4:AO46)),IF($AP47&lt;0,IF($AP47&lt;$J47,EXP(($AP47-$J47)*$G47),EXP(($J47-$AP47)*$G47)),EXP(($AP47-$J47)*$G47)),"")</f>
        <v/>
      </c>
      <c r="AS47" s="72" t="b">
        <f>IF(AND(NOT(AO47),AND(AO$4:AO46)),TRUE,AO47)</f>
        <v>0</v>
      </c>
      <c r="AT47" s="172" t="e">
        <f>IF(AND(NOT(ISBLANK(Jumpoverwrite9)),AND(NOT(AS47),AND(AS$4:AS46))),($J47*$G47-LN(1+Jumpoverwrite9*AU$2))/$G47,_xll.qlInterpolationInterpolate(AS$3,$F47,TRUE))</f>
        <v>#NUM!</v>
      </c>
      <c r="AU47" s="176" t="str">
        <f>IF(AND(NOT(AS47),AND(AS$4:AS46)),IF($AT47&lt;0,IF($AT47&lt;$J47,EXP(($AT47-$J47)*$G47),EXP(($J47-$AT47)*$G47)),EXP(($AT47-$J47)*$G47)),"")</f>
        <v/>
      </c>
      <c r="AW47" s="72" t="b">
        <f>IF(AND(NOT(AS47),AND(AS$4:AS46)),TRUE,AS47)</f>
        <v>0</v>
      </c>
      <c r="AX47" s="172" t="e">
        <f>IF(AND(NOT(ISBLANK(Jumpoverwrite10)),AND(NOT(AW47),AND(AW$4:AW46))),($J47*$G47-LN(1+Jumpoverwrite10*AY$2))/$G47,_xll.qlInterpolationInterpolate(AW$3,$F47,TRUE))</f>
        <v>#NUM!</v>
      </c>
      <c r="AY47" s="176" t="str">
        <f>IF(AND(NOT(AW47),AND(AW$4:AW46)),IF($AX47&lt;0,IF($AX47&lt;$J47,EXP(($AX47-$J47)*$G47),EXP(($J47-$AX47)*$G47)),EXP(($AX47-$J47)*$G47)),"")</f>
        <v/>
      </c>
      <c r="BA47" s="72" t="b">
        <f>IF(AND(NOT(AW47),AND(AW$4:AW46)),TRUE,AW47)</f>
        <v>0</v>
      </c>
      <c r="BB47" s="172" t="e">
        <f>IF(AND(NOT(ISBLANK(Jumpoverwrite11)),AND(NOT(BA47),AND(BA$4:BA46))),($J47*$G47-LN(1+Jumpoverwrite11*BC$2))/$G47,_xll.qlInterpolationInterpolate(BA$3,$F47,TRUE))</f>
        <v>#NUM!</v>
      </c>
      <c r="BC47" s="176" t="str">
        <f>IF(AND(NOT(BA47),AND(BA$4:BA46)),IF($BB47&lt;0,IF($BB47&lt;$J47,EXP(($BB47-$J47)*$G47),EXP(($J47-$BB47)*$G47)),EXP(($BB47-$J47)*$G47)),"")</f>
        <v/>
      </c>
      <c r="BE47" s="72" t="b">
        <f>IF(AND(NOT(BA47),AND(BA$4:BA46)),TRUE,BA47)</f>
        <v>0</v>
      </c>
      <c r="BF47" s="172" t="e">
        <f>IF(AND(NOT(ISBLANK(Jumpoverwrite12)),AND(NOT(BE47),AND(BE$4:BE46))),($J47*$G47-LN(1+Jumpoverwrite12*BG$2))/$G47,_xll.qlInterpolationInterpolate(BE$3,$F47,TRUE))</f>
        <v>#NUM!</v>
      </c>
      <c r="BG47" s="176" t="str">
        <f>IF(AND(NOT(BE47),AND(BE$4:BE46)),IF($BF47&lt;0,IF($BF47&lt;$J47,EXP(($BF47-$J47)*$G47),EXP(($J47-$BF47)*$G47)),EXP(($BF47-$J47)*$G47)),"")</f>
        <v/>
      </c>
      <c r="BI47" s="72" t="b">
        <f t="shared" si="5"/>
        <v>0</v>
      </c>
      <c r="BJ47" s="172" t="e">
        <f>IF(AND(NOT(ISBLANK(jumpoverwrite13)),AND(NOT(BI47),AND(BI$4:BI46))),($J47*$G47-LN(1+jumpoverwrite13*BK$2))/$G47,_xll.qlInterpolationInterpolate(BI$3,$F47,TRUE))</f>
        <v>#NUM!</v>
      </c>
      <c r="BK47" s="176" t="str">
        <f>IF(AND(NOT(BI47),AND(BI$4:BI46)),IF($BJ47&lt;0,IF($BJ47&lt;$J47,EXP(($BJ47-$J47)*$G47),EXP(($J47-$BJ47)*$G47)),EXP(($BJ47-$J47)*$G47)),"")</f>
        <v/>
      </c>
      <c r="BM47" s="72" t="b">
        <f>IF(AND(NOT(BI47),AND(BI$4:BI46)),TRUE,BI47)</f>
        <v>0</v>
      </c>
      <c r="BN47" s="172" t="e">
        <f>IF(AND(NOT(ISBLANK(Jumpoverwrite14)),AND(NOT(BM47),AND(BM$4:BM46))),($J47*$G47-LN(1+Jumpoverwrite14*BO$2))/$G47,_xll.qlInterpolationInterpolate(BM$3,$F47,TRUE))</f>
        <v>#NUM!</v>
      </c>
      <c r="BO47" s="176" t="str">
        <f>IF(AND(NOT(BM47),AND(BM$4:BM46)),IF($BN47&lt;0,IF($BN47&lt;$J47,EXP(($BN47-$J47)*$G47),EXP(($J47-$BN47)*$G47)),EXP(($BN47-$J47)*$G47)),"")</f>
        <v/>
      </c>
      <c r="BQ47" s="72" t="b">
        <f>IF(AND(NOT(BM47),AND(BM$4:BM46)),TRUE,BM47)</f>
        <v>0</v>
      </c>
      <c r="BR47" s="172" t="e">
        <f>IF(AND(NOT(ISBLANK(Jumpoverwrite15)),AND(NOT(BQ47),AND(BQ$4:BQ46))),($J47*$G47-LN(1+Jumpoverwrite15*BS$2))/$G47,_xll.qlInterpolationInterpolate(BQ$3,$F47,TRUE))</f>
        <v>#NUM!</v>
      </c>
      <c r="BS47" s="176" t="str">
        <f>IF(AND(NOT(BQ47),AND(BQ$4:BQ46)),IF($BN47&lt;0,IF($BN47&lt;$J47,EXP(($BN47-$J47)*$G47),EXP(($J47-$BN47)*$G47)),EXP(($BN47-$J47)*$G47)),"")</f>
        <v/>
      </c>
    </row>
    <row r="48" spans="1:71" x14ac:dyDescent="0.2">
      <c r="A48" s="33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84" t="e">
        <f t="shared" si="4"/>
        <v>#N/A</v>
      </c>
      <c r="G48" s="85" t="e">
        <f>_xll.qlDayCounterYearFraction(DayCounter,D47,D48)</f>
        <v>#NUM!</v>
      </c>
      <c r="I48" s="93" t="b">
        <f t="shared" si="2"/>
        <v>0</v>
      </c>
      <c r="J48" s="37" t="e">
        <v>#N/A</v>
      </c>
      <c r="K48" s="94" t="e">
        <f t="shared" si="3"/>
        <v>#VALUE!</v>
      </c>
      <c r="L48" s="105"/>
      <c r="M48" s="72" t="b">
        <f>IF(AND(NOT(I48),AND(I$4:I47)),TRUE,I48)</f>
        <v>0</v>
      </c>
      <c r="N48" s="172" t="e">
        <f>IF(AND(NOT(ISBLANK(Jumpoverwrite1)),AND(NOT(M48),AND(M$4:M47))),($J48*$G48-LN(1+Jumpoverwrite1*O$2))/$G48,_xll.qlInterpolationInterpolate(M$3,$F48,TRUE))</f>
        <v>#NUM!</v>
      </c>
      <c r="O48" s="34" t="str">
        <f>IF(AND(NOT(M48),AND(M$4:M47)),IF($N48&lt;0,IF($N48&lt;$J48,EXP(($N48-$J48)*$G48),EXP(($J48-$N48)*$G48)),EXP(($N48-$J48)*$G48)),"")</f>
        <v/>
      </c>
      <c r="P48" s="107"/>
      <c r="Q48" s="72" t="b">
        <f>IF(AND(NOT(M48),AND(M$4:M47)),TRUE,M48)</f>
        <v>0</v>
      </c>
      <c r="R48" s="172" t="e">
        <f>IF(AND(NOT(ISBLANK(Jumpoverwrite2)),AND(NOT(Q48),AND(Q$4:Q47))),($J48*$G48-LN(1+Jumpoverwrite2*S$2))/$G48,_xll.qlInterpolationInterpolate(Q$3,$F48,TRUE))</f>
        <v>#NUM!</v>
      </c>
      <c r="S48" s="176" t="str">
        <f>IF(AND(NOT(Q48),AND(Q$4:Q47)),IF($R48&lt;0,IF($R48&lt;$J48,EXP(($R48-$J48)*$G48),EXP(($J48-$R48)*$G48)),EXP(($R48-$J48)*$G48)),"")</f>
        <v/>
      </c>
      <c r="T48" s="107"/>
      <c r="U48" s="72" t="b">
        <f>IF(AND(NOT(Q48),AND(Q$4:Q47)),TRUE,Q48)</f>
        <v>0</v>
      </c>
      <c r="V48" s="172" t="e">
        <f>IF(AND(NOT(ISBLANK(Jumpoverwrite3)),AND(NOT(U48),AND(U$4:U47))),($J48*$G48-LN(1+Jumpoverwrite3*W$2))/$G48,_xll.qlInterpolationInterpolate(U$3,$F48,TRUE))</f>
        <v>#NUM!</v>
      </c>
      <c r="W48" s="176" t="str">
        <f>IF(AND(NOT(U48),AND(U$4:U47)),IF($V48&lt;0,IF($V48&lt;$J48,EXP(($V48-$J48)*$G48),EXP(($J48-$V48)*$G48)),EXP(($V48-$J48)*$G48)),"")</f>
        <v/>
      </c>
      <c r="X48" s="107"/>
      <c r="Y48" s="72" t="b">
        <f>IF(AND(NOT(U48),AND(U$4:U47)),TRUE,U48)</f>
        <v>0</v>
      </c>
      <c r="Z48" s="172" t="e">
        <f>IF(AND(NOT(ISBLANK(Jumpoverwrite4)),AND(NOT(Y48),AND(Y$4:Y47))),($J48*$G48-LN(1+Jumpoverwrite4*AA$2))/$G48,_xll.qlInterpolationInterpolate(Y$3,$F48,TRUE))</f>
        <v>#NUM!</v>
      </c>
      <c r="AA48" s="176" t="str">
        <f>IF(AND(NOT(Y48),AND(Y$4:Y47)),IF($Z48&lt;0,IF($Z48&lt;$J48,EXP(($Z48-$J48)*$G48),EXP(($J48-$Z48)*$G48)),EXP(($Z48-$J48)*$G48)),"")</f>
        <v/>
      </c>
      <c r="AB48" s="107"/>
      <c r="AC48" s="72" t="b">
        <f>IF(AND(NOT(Y48),AND(Y$4:Y47)),TRUE,Y48)</f>
        <v>0</v>
      </c>
      <c r="AD48" s="172" t="e">
        <f>IF(AND(NOT(ISBLANK(Jumpoverwrite5)),AND(NOT(AC48),AND(AC$4:AC47))),($J48*$G48-LN(1+Jumpoverwrite5*AE$2))/$G48,_xll.qlInterpolationInterpolate(AC$3,$F48,TRUE))</f>
        <v>#NUM!</v>
      </c>
      <c r="AE48" s="176" t="str">
        <f>IF(AND(NOT(AC48),AND(AC$4:AC47)),IF($AD48&lt;0,IF($AD48&lt;$J48,EXP(($AD48-$J48)*$G48),EXP(($J48-$AD48)*$G48)),EXP(($AD48-$J48)*$G48)),"")</f>
        <v/>
      </c>
      <c r="AF48" s="107"/>
      <c r="AG48" s="72" t="b">
        <f>IF(AND(NOT(AC48),AND(AC$4:AC47)),TRUE,AC48)</f>
        <v>0</v>
      </c>
      <c r="AH48" s="172" t="e">
        <f>IF(AND(NOT(ISBLANK(Jumpoverwrite6)),AND(NOT(AG48),AND(AG$4:AG47))),($J48*$G48-LN(1+Jumpoverwrite6*AI$2))/$G48,_xll.qlInterpolationInterpolate(AG$3,$F48,TRUE))</f>
        <v>#NUM!</v>
      </c>
      <c r="AI48" s="176" t="str">
        <f>IF(AND(NOT(AG48),AND(AG$4:AG47)),IF($AH48&lt;0,IF($AH48&lt;$J48,EXP(($AH48-$J48)*$G48),EXP(($J48-$AH48)*$G48)),EXP(($AH48-$J48)*$G48)),"")</f>
        <v/>
      </c>
      <c r="AJ48" s="107"/>
      <c r="AK48" s="72" t="b">
        <f>IF(AND(NOT(AG48),AND(AG$4:AG47)),TRUE,AG48)</f>
        <v>0</v>
      </c>
      <c r="AL48" s="172" t="e">
        <f>IF(AND(NOT(ISBLANK(Jumpoverwrite7)),AND(NOT(AK48),AND(AK$4:AK47))),($J48*$G48-LN(1+Jumpoverwrite7*AM$2))/$G48,_xll.qlInterpolationInterpolate(AK$3,$F48,TRUE))</f>
        <v>#NUM!</v>
      </c>
      <c r="AM48" s="176" t="str">
        <f>IF(AND(NOT(AK48),AND(AK$4:AK47)),IF($AL48&lt;0,IF($AL48&lt;$J48,EXP(($AL48-$J48)*$G48),EXP(($J48-$AL48)*$G48)),EXP(($AL48-$J48)*$G48)),"")</f>
        <v/>
      </c>
      <c r="AO48" s="72" t="b">
        <f>IF(AND(NOT(AK48),AND(AK$4:AK47)),TRUE,AK48)</f>
        <v>0</v>
      </c>
      <c r="AP48" s="172" t="e">
        <f>IF(AND(NOT(ISBLANK(Jumpoverwrite8)),AND(NOT(AO48),AND(AO$4:AO47))),($J48*$G48-LN(1+Jumpoverwrite8*AQ$2))/$G48,_xll.qlInterpolationInterpolate(AO$3,$F48,TRUE))</f>
        <v>#NUM!</v>
      </c>
      <c r="AQ48" s="176" t="str">
        <f>IF(AND(NOT(AO48),AND(AO$4:AO47)),IF($AP48&lt;0,IF($AP48&lt;$J48,EXP(($AP48-$J48)*$G48),EXP(($J48-$AP48)*$G48)),EXP(($AP48-$J48)*$G48)),"")</f>
        <v/>
      </c>
      <c r="AS48" s="72" t="b">
        <f>IF(AND(NOT(AO48),AND(AO$4:AO47)),TRUE,AO48)</f>
        <v>0</v>
      </c>
      <c r="AT48" s="172" t="e">
        <f>IF(AND(NOT(ISBLANK(Jumpoverwrite9)),AND(NOT(AS48),AND(AS$4:AS47))),($J48*$G48-LN(1+Jumpoverwrite9*AU$2))/$G48,_xll.qlInterpolationInterpolate(AS$3,$F48,TRUE))</f>
        <v>#NUM!</v>
      </c>
      <c r="AU48" s="176" t="str">
        <f>IF(AND(NOT(AS48),AND(AS$4:AS47)),IF($AT48&lt;0,IF($AT48&lt;$J48,EXP(($AT48-$J48)*$G48),EXP(($J48-$AT48)*$G48)),EXP(($AT48-$J48)*$G48)),"")</f>
        <v/>
      </c>
      <c r="AW48" s="72" t="b">
        <f>IF(AND(NOT(AS48),AND(AS$4:AS47)),TRUE,AS48)</f>
        <v>0</v>
      </c>
      <c r="AX48" s="172" t="e">
        <f>IF(AND(NOT(ISBLANK(Jumpoverwrite10)),AND(NOT(AW48),AND(AW$4:AW47))),($J48*$G48-LN(1+Jumpoverwrite10*AY$2))/$G48,_xll.qlInterpolationInterpolate(AW$3,$F48,TRUE))</f>
        <v>#NUM!</v>
      </c>
      <c r="AY48" s="176" t="str">
        <f>IF(AND(NOT(AW48),AND(AW$4:AW47)),IF($AX48&lt;0,IF($AX48&lt;$J48,EXP(($AX48-$J48)*$G48),EXP(($J48-$AX48)*$G48)),EXP(($AX48-$J48)*$G48)),"")</f>
        <v/>
      </c>
      <c r="BA48" s="72" t="b">
        <f>IF(AND(NOT(AW48),AND(AW$4:AW47)),TRUE,AW48)</f>
        <v>0</v>
      </c>
      <c r="BB48" s="172" t="e">
        <f>IF(AND(NOT(ISBLANK(Jumpoverwrite11)),AND(NOT(BA48),AND(BA$4:BA47))),($J48*$G48-LN(1+Jumpoverwrite11*BC$2))/$G48,_xll.qlInterpolationInterpolate(BA$3,$F48,TRUE))</f>
        <v>#NUM!</v>
      </c>
      <c r="BC48" s="176" t="str">
        <f>IF(AND(NOT(BA48),AND(BA$4:BA47)),IF($BB48&lt;0,IF($BB48&lt;$J48,EXP(($BB48-$J48)*$G48),EXP(($J48-$BB48)*$G48)),EXP(($BB48-$J48)*$G48)),"")</f>
        <v/>
      </c>
      <c r="BE48" s="72" t="b">
        <f>IF(AND(NOT(BA48),AND(BA$4:BA47)),TRUE,BA48)</f>
        <v>0</v>
      </c>
      <c r="BF48" s="172" t="e">
        <f>IF(AND(NOT(ISBLANK(Jumpoverwrite12)),AND(NOT(BE48),AND(BE$4:BE47))),($J48*$G48-LN(1+Jumpoverwrite12*BG$2))/$G48,_xll.qlInterpolationInterpolate(BE$3,$F48,TRUE))</f>
        <v>#NUM!</v>
      </c>
      <c r="BG48" s="176" t="str">
        <f>IF(AND(NOT(BE48),AND(BE$4:BE47)),IF($BF48&lt;0,IF($BF48&lt;$J48,EXP(($BF48-$J48)*$G48),EXP(($J48-$BF48)*$G48)),EXP(($BF48-$J48)*$G48)),"")</f>
        <v/>
      </c>
      <c r="BI48" s="72" t="b">
        <f t="shared" si="5"/>
        <v>0</v>
      </c>
      <c r="BJ48" s="172" t="e">
        <f>IF(AND(NOT(ISBLANK(jumpoverwrite13)),AND(NOT(BI48),AND(BI$4:BI47))),($J48*$G48-LN(1+jumpoverwrite13*BK$2))/$G48,_xll.qlInterpolationInterpolate(BI$3,$F48,TRUE))</f>
        <v>#NUM!</v>
      </c>
      <c r="BK48" s="176" t="str">
        <f>IF(AND(NOT(BI48),AND(BI$4:BI47)),IF($BJ48&lt;0,IF($BJ48&lt;$J48,EXP(($BJ48-$J48)*$G48),EXP(($J48-$BJ48)*$G48)),EXP(($BJ48-$J48)*$G48)),"")</f>
        <v/>
      </c>
      <c r="BM48" s="72" t="b">
        <f>IF(AND(NOT(BI48),AND(BI$4:BI47)),TRUE,BI48)</f>
        <v>0</v>
      </c>
      <c r="BN48" s="172" t="e">
        <f>IF(AND(NOT(ISBLANK(Jumpoverwrite14)),AND(NOT(BM48),AND(BM$4:BM47))),($J48*$G48-LN(1+Jumpoverwrite14*BO$2))/$G48,_xll.qlInterpolationInterpolate(BM$3,$F48,TRUE))</f>
        <v>#NUM!</v>
      </c>
      <c r="BO48" s="176" t="str">
        <f>IF(AND(NOT(BM48),AND(BM$4:BM47)),IF($BN48&lt;0,IF($BN48&lt;$J48,EXP(($BN48-$J48)*$G48),EXP(($J48-$BN48)*$G48)),EXP(($BN48-$J48)*$G48)),"")</f>
        <v/>
      </c>
      <c r="BQ48" s="72" t="b">
        <f>IF(AND(NOT(BM48),AND(BM$4:BM47)),TRUE,BM48)</f>
        <v>0</v>
      </c>
      <c r="BR48" s="172" t="e">
        <f>IF(AND(NOT(ISBLANK(Jumpoverwrite15)),AND(NOT(BQ48),AND(BQ$4:BQ47))),($J48*$G48-LN(1+Jumpoverwrite15*BS$2))/$G48,_xll.qlInterpolationInterpolate(BQ$3,$F48,TRUE))</f>
        <v>#NUM!</v>
      </c>
      <c r="BS48" s="176" t="str">
        <f>IF(AND(NOT(BQ48),AND(BQ$4:BQ47)),IF($BN48&lt;0,IF($BN48&lt;$J48,EXP(($BN48-$J48)*$G48),EXP(($J48-$BN48)*$G48)),EXP(($BN48-$J48)*$G48)),"")</f>
        <v/>
      </c>
    </row>
    <row r="49" spans="1:71" x14ac:dyDescent="0.2">
      <c r="A49" s="33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84" t="e">
        <f t="shared" si="4"/>
        <v>#N/A</v>
      </c>
      <c r="G49" s="85" t="e">
        <f>_xll.qlDayCounterYearFraction(DayCounter,D48,D49)</f>
        <v>#NUM!</v>
      </c>
      <c r="I49" s="93" t="b">
        <f t="shared" si="2"/>
        <v>0</v>
      </c>
      <c r="J49" s="37" t="e">
        <v>#N/A</v>
      </c>
      <c r="K49" s="94" t="e">
        <f t="shared" si="3"/>
        <v>#VALUE!</v>
      </c>
      <c r="L49" s="105"/>
      <c r="M49" s="72" t="b">
        <f>IF(AND(NOT(I49),AND(I$4:I48)),TRUE,I49)</f>
        <v>0</v>
      </c>
      <c r="N49" s="172" t="e">
        <f>IF(AND(NOT(ISBLANK(Jumpoverwrite1)),AND(NOT(M49),AND(M$4:M48))),($J49*$G49-LN(1+Jumpoverwrite1*O$2))/$G49,_xll.qlInterpolationInterpolate(M$3,$F49,TRUE))</f>
        <v>#NUM!</v>
      </c>
      <c r="O49" s="34" t="str">
        <f>IF(AND(NOT(M49),AND(M$4:M48)),IF($N49&lt;0,IF($N49&lt;$J49,EXP(($N49-$J49)*$G49),EXP(($J49-$N49)*$G49)),EXP(($N49-$J49)*$G49)),"")</f>
        <v/>
      </c>
      <c r="P49" s="107"/>
      <c r="Q49" s="72" t="b">
        <f>IF(AND(NOT(M49),AND(M$4:M48)),TRUE,M49)</f>
        <v>0</v>
      </c>
      <c r="R49" s="172" t="e">
        <f>IF(AND(NOT(ISBLANK(Jumpoverwrite2)),AND(NOT(Q49),AND(Q$4:Q48))),($J49*$G49-LN(1+Jumpoverwrite2*S$2))/$G49,_xll.qlInterpolationInterpolate(Q$3,$F49,TRUE))</f>
        <v>#NUM!</v>
      </c>
      <c r="S49" s="176" t="str">
        <f>IF(AND(NOT(Q49),AND(Q$4:Q48)),IF($R49&lt;0,IF($R49&lt;$J49,EXP(($R49-$J49)*$G49),EXP(($J49-$R49)*$G49)),EXP(($R49-$J49)*$G49)),"")</f>
        <v/>
      </c>
      <c r="T49" s="107"/>
      <c r="U49" s="72" t="b">
        <f>IF(AND(NOT(Q49),AND(Q$4:Q48)),TRUE,Q49)</f>
        <v>0</v>
      </c>
      <c r="V49" s="172" t="e">
        <f>IF(AND(NOT(ISBLANK(Jumpoverwrite3)),AND(NOT(U49),AND(U$4:U48))),($J49*$G49-LN(1+Jumpoverwrite3*W$2))/$G49,_xll.qlInterpolationInterpolate(U$3,$F49,TRUE))</f>
        <v>#NUM!</v>
      </c>
      <c r="W49" s="176" t="str">
        <f>IF(AND(NOT(U49),AND(U$4:U48)),IF($V49&lt;0,IF($V49&lt;$J49,EXP(($V49-$J49)*$G49),EXP(($J49-$V49)*$G49)),EXP(($V49-$J49)*$G49)),"")</f>
        <v/>
      </c>
      <c r="X49" s="107"/>
      <c r="Y49" s="72" t="b">
        <f>IF(AND(NOT(U49),AND(U$4:U48)),TRUE,U49)</f>
        <v>0</v>
      </c>
      <c r="Z49" s="172" t="e">
        <f>IF(AND(NOT(ISBLANK(Jumpoverwrite4)),AND(NOT(Y49),AND(Y$4:Y48))),($J49*$G49-LN(1+Jumpoverwrite4*AA$2))/$G49,_xll.qlInterpolationInterpolate(Y$3,$F49,TRUE))</f>
        <v>#NUM!</v>
      </c>
      <c r="AA49" s="176" t="str">
        <f>IF(AND(NOT(Y49),AND(Y$4:Y48)),IF($Z49&lt;0,IF($Z49&lt;$J49,EXP(($Z49-$J49)*$G49),EXP(($J49-$Z49)*$G49)),EXP(($Z49-$J49)*$G49)),"")</f>
        <v/>
      </c>
      <c r="AB49" s="107"/>
      <c r="AC49" s="72" t="b">
        <f>IF(AND(NOT(Y49),AND(Y$4:Y48)),TRUE,Y49)</f>
        <v>0</v>
      </c>
      <c r="AD49" s="172" t="e">
        <f>IF(AND(NOT(ISBLANK(Jumpoverwrite5)),AND(NOT(AC49),AND(AC$4:AC48))),($J49*$G49-LN(1+Jumpoverwrite5*AE$2))/$G49,_xll.qlInterpolationInterpolate(AC$3,$F49,TRUE))</f>
        <v>#NUM!</v>
      </c>
      <c r="AE49" s="176" t="str">
        <f>IF(AND(NOT(AC49),AND(AC$4:AC48)),IF($AD49&lt;0,IF($AD49&lt;$J49,EXP(($AD49-$J49)*$G49),EXP(($J49-$AD49)*$G49)),EXP(($AD49-$J49)*$G49)),"")</f>
        <v/>
      </c>
      <c r="AF49" s="107"/>
      <c r="AG49" s="72" t="b">
        <f>IF(AND(NOT(AC49),AND(AC$4:AC48)),TRUE,AC49)</f>
        <v>0</v>
      </c>
      <c r="AH49" s="172" t="e">
        <f>IF(AND(NOT(ISBLANK(Jumpoverwrite6)),AND(NOT(AG49),AND(AG$4:AG48))),($J49*$G49-LN(1+Jumpoverwrite6*AI$2))/$G49,_xll.qlInterpolationInterpolate(AG$3,$F49,TRUE))</f>
        <v>#NUM!</v>
      </c>
      <c r="AI49" s="176" t="str">
        <f>IF(AND(NOT(AG49),AND(AG$4:AG48)),IF($AH49&lt;0,IF($AH49&lt;$J49,EXP(($AH49-$J49)*$G49),EXP(($J49-$AH49)*$G49)),EXP(($AH49-$J49)*$G49)),"")</f>
        <v/>
      </c>
      <c r="AJ49" s="107"/>
      <c r="AK49" s="72" t="b">
        <f>IF(AND(NOT(AG49),AND(AG$4:AG48)),TRUE,AG49)</f>
        <v>0</v>
      </c>
      <c r="AL49" s="172" t="e">
        <f>IF(AND(NOT(ISBLANK(Jumpoverwrite7)),AND(NOT(AK49),AND(AK$4:AK48))),($J49*$G49-LN(1+Jumpoverwrite7*AM$2))/$G49,_xll.qlInterpolationInterpolate(AK$3,$F49,TRUE))</f>
        <v>#NUM!</v>
      </c>
      <c r="AM49" s="176" t="str">
        <f>IF(AND(NOT(AK49),AND(AK$4:AK48)),IF($AL49&lt;0,IF($AL49&lt;$J49,EXP(($AL49-$J49)*$G49),EXP(($J49-$AL49)*$G49)),EXP(($AL49-$J49)*$G49)),"")</f>
        <v/>
      </c>
      <c r="AO49" s="72" t="b">
        <f>IF(AND(NOT(AK49),AND(AK$4:AK48)),TRUE,AK49)</f>
        <v>0</v>
      </c>
      <c r="AP49" s="172" t="e">
        <f>IF(AND(NOT(ISBLANK(Jumpoverwrite8)),AND(NOT(AO49),AND(AO$4:AO48))),($J49*$G49-LN(1+Jumpoverwrite8*AQ$2))/$G49,_xll.qlInterpolationInterpolate(AO$3,$F49,TRUE))</f>
        <v>#NUM!</v>
      </c>
      <c r="AQ49" s="176" t="str">
        <f>IF(AND(NOT(AO49),AND(AO$4:AO48)),IF($AP49&lt;0,IF($AP49&lt;$J49,EXP(($AP49-$J49)*$G49),EXP(($J49-$AP49)*$G49)),EXP(($AP49-$J49)*$G49)),"")</f>
        <v/>
      </c>
      <c r="AS49" s="72" t="b">
        <f>IF(AND(NOT(AO49),AND(AO$4:AO48)),TRUE,AO49)</f>
        <v>0</v>
      </c>
      <c r="AT49" s="172" t="e">
        <f>IF(AND(NOT(ISBLANK(Jumpoverwrite9)),AND(NOT(AS49),AND(AS$4:AS48))),($J49*$G49-LN(1+Jumpoverwrite9*AU$2))/$G49,_xll.qlInterpolationInterpolate(AS$3,$F49,TRUE))</f>
        <v>#NUM!</v>
      </c>
      <c r="AU49" s="176" t="str">
        <f>IF(AND(NOT(AS49),AND(AS$4:AS48)),IF($AT49&lt;0,IF($AT49&lt;$J49,EXP(($AT49-$J49)*$G49),EXP(($J49-$AT49)*$G49)),EXP(($AT49-$J49)*$G49)),"")</f>
        <v/>
      </c>
      <c r="AW49" s="72" t="b">
        <f>IF(AND(NOT(AS49),AND(AS$4:AS48)),TRUE,AS49)</f>
        <v>0</v>
      </c>
      <c r="AX49" s="172" t="e">
        <f>IF(AND(NOT(ISBLANK(Jumpoverwrite10)),AND(NOT(AW49),AND(AW$4:AW48))),($J49*$G49-LN(1+Jumpoverwrite10*AY$2))/$G49,_xll.qlInterpolationInterpolate(AW$3,$F49,TRUE))</f>
        <v>#NUM!</v>
      </c>
      <c r="AY49" s="176" t="str">
        <f>IF(AND(NOT(AW49),AND(AW$4:AW48)),IF($AX49&lt;0,IF($AX49&lt;$J49,EXP(($AX49-$J49)*$G49),EXP(($J49-$AX49)*$G49)),EXP(($AX49-$J49)*$G49)),"")</f>
        <v/>
      </c>
      <c r="BA49" s="72" t="b">
        <f>IF(AND(NOT(AW49),AND(AW$4:AW48)),TRUE,AW49)</f>
        <v>0</v>
      </c>
      <c r="BB49" s="172" t="e">
        <f>IF(AND(NOT(ISBLANK(Jumpoverwrite11)),AND(NOT(BA49),AND(BA$4:BA48))),($J49*$G49-LN(1+Jumpoverwrite11*BC$2))/$G49,_xll.qlInterpolationInterpolate(BA$3,$F49,TRUE))</f>
        <v>#NUM!</v>
      </c>
      <c r="BC49" s="176" t="str">
        <f>IF(AND(NOT(BA49),AND(BA$4:BA48)),IF($BB49&lt;0,IF($BB49&lt;$J49,EXP(($BB49-$J49)*$G49),EXP(($J49-$BB49)*$G49)),EXP(($BB49-$J49)*$G49)),"")</f>
        <v/>
      </c>
      <c r="BE49" s="72" t="b">
        <f>IF(AND(NOT(BA49),AND(BA$4:BA48)),TRUE,BA49)</f>
        <v>0</v>
      </c>
      <c r="BF49" s="172" t="e">
        <f>IF(AND(NOT(ISBLANK(Jumpoverwrite12)),AND(NOT(BE49),AND(BE$4:BE48))),($J49*$G49-LN(1+Jumpoverwrite12*BG$2))/$G49,_xll.qlInterpolationInterpolate(BE$3,$F49,TRUE))</f>
        <v>#NUM!</v>
      </c>
      <c r="BG49" s="176" t="str">
        <f>IF(AND(NOT(BE49),AND(BE$4:BE48)),IF($BF49&lt;0,IF($BF49&lt;$J49,EXP(($BF49-$J49)*$G49),EXP(($J49-$BF49)*$G49)),EXP(($BF49-$J49)*$G49)),"")</f>
        <v/>
      </c>
      <c r="BI49" s="72" t="b">
        <f t="shared" si="5"/>
        <v>0</v>
      </c>
      <c r="BJ49" s="172" t="e">
        <f>IF(AND(NOT(ISBLANK(jumpoverwrite13)),AND(NOT(BI49),AND(BI$4:BI48))),($J49*$G49-LN(1+jumpoverwrite13*BK$2))/$G49,_xll.qlInterpolationInterpolate(BI$3,$F49,TRUE))</f>
        <v>#NUM!</v>
      </c>
      <c r="BK49" s="176" t="str">
        <f>IF(AND(NOT(BI49),AND(BI$4:BI48)),IF($BJ49&lt;0,IF($BJ49&lt;$J49,EXP(($BJ49-$J49)*$G49),EXP(($J49-$BJ49)*$G49)),EXP(($BJ49-$J49)*$G49)),"")</f>
        <v/>
      </c>
      <c r="BM49" s="72" t="b">
        <f>IF(AND(NOT(BI49),AND(BI$4:BI48)),TRUE,BI49)</f>
        <v>0</v>
      </c>
      <c r="BN49" s="172" t="e">
        <f>IF(AND(NOT(ISBLANK(Jumpoverwrite14)),AND(NOT(BM49),AND(BM$4:BM48))),($J49*$G49-LN(1+Jumpoverwrite14*BO$2))/$G49,_xll.qlInterpolationInterpolate(BM$3,$F49,TRUE))</f>
        <v>#NUM!</v>
      </c>
      <c r="BO49" s="176" t="str">
        <f>IF(AND(NOT(BM49),AND(BM$4:BM48)),IF($BN49&lt;0,IF($BN49&lt;$J49,EXP(($BN49-$J49)*$G49),EXP(($J49-$BN49)*$G49)),EXP(($BN49-$J49)*$G49)),"")</f>
        <v/>
      </c>
      <c r="BQ49" s="72" t="b">
        <f>IF(AND(NOT(BM49),AND(BM$4:BM48)),TRUE,BM49)</f>
        <v>0</v>
      </c>
      <c r="BR49" s="172" t="e">
        <f>IF(AND(NOT(ISBLANK(Jumpoverwrite15)),AND(NOT(BQ49),AND(BQ$4:BQ48))),($J49*$G49-LN(1+Jumpoverwrite15*BS$2))/$G49,_xll.qlInterpolationInterpolate(BQ$3,$F49,TRUE))</f>
        <v>#NUM!</v>
      </c>
      <c r="BS49" s="176" t="str">
        <f>IF(AND(NOT(BQ49),AND(BQ$4:BQ48)),IF($BN49&lt;0,IF($BN49&lt;$J49,EXP(($BN49-$J49)*$G49),EXP(($J49-$BN49)*$G49)),EXP(($BN49-$J49)*$G49)),"")</f>
        <v/>
      </c>
    </row>
    <row r="50" spans="1:71" x14ac:dyDescent="0.2">
      <c r="A50" s="33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84" t="e">
        <f t="shared" si="4"/>
        <v>#N/A</v>
      </c>
      <c r="G50" s="85" t="e">
        <f>_xll.qlDayCounterYearFraction(DayCounter,D49,D50)</f>
        <v>#NUM!</v>
      </c>
      <c r="I50" s="93" t="b">
        <f t="shared" si="2"/>
        <v>0</v>
      </c>
      <c r="J50" s="37" t="e">
        <v>#N/A</v>
      </c>
      <c r="K50" s="94" t="e">
        <f t="shared" si="3"/>
        <v>#VALUE!</v>
      </c>
      <c r="L50" s="105"/>
      <c r="M50" s="72" t="b">
        <f>IF(AND(NOT(I50),AND(I$4:I49)),TRUE,I50)</f>
        <v>0</v>
      </c>
      <c r="N50" s="172" t="e">
        <f>IF(AND(NOT(ISBLANK(Jumpoverwrite1)),AND(NOT(M50),AND(M$4:M49))),($J50*$G50-LN(1+Jumpoverwrite1*O$2))/$G50,_xll.qlInterpolationInterpolate(M$3,$F50,TRUE))</f>
        <v>#NUM!</v>
      </c>
      <c r="O50" s="34" t="str">
        <f>IF(AND(NOT(M50),AND(M$4:M49)),IF($N50&lt;0,IF($N50&lt;$J50,EXP(($N50-$J50)*$G50),EXP(($J50-$N50)*$G50)),EXP(($N50-$J50)*$G50)),"")</f>
        <v/>
      </c>
      <c r="P50" s="107"/>
      <c r="Q50" s="72" t="b">
        <f>IF(AND(NOT(M50),AND(M$4:M49)),TRUE,M50)</f>
        <v>0</v>
      </c>
      <c r="R50" s="172" t="e">
        <f>IF(AND(NOT(ISBLANK(Jumpoverwrite2)),AND(NOT(Q50),AND(Q$4:Q49))),($J50*$G50-LN(1+Jumpoverwrite2*S$2))/$G50,_xll.qlInterpolationInterpolate(Q$3,$F50,TRUE))</f>
        <v>#NUM!</v>
      </c>
      <c r="S50" s="176" t="str">
        <f>IF(AND(NOT(Q50),AND(Q$4:Q49)),IF($R50&lt;0,IF($R50&lt;$J50,EXP(($R50-$J50)*$G50),EXP(($J50-$R50)*$G50)),EXP(($R50-$J50)*$G50)),"")</f>
        <v/>
      </c>
      <c r="T50" s="107"/>
      <c r="U50" s="72" t="b">
        <f>IF(AND(NOT(Q50),AND(Q$4:Q49)),TRUE,Q50)</f>
        <v>0</v>
      </c>
      <c r="V50" s="172" t="e">
        <f>IF(AND(NOT(ISBLANK(Jumpoverwrite3)),AND(NOT(U50),AND(U$4:U49))),($J50*$G50-LN(1+Jumpoverwrite3*W$2))/$G50,_xll.qlInterpolationInterpolate(U$3,$F50,TRUE))</f>
        <v>#NUM!</v>
      </c>
      <c r="W50" s="176" t="str">
        <f>IF(AND(NOT(U50),AND(U$4:U49)),IF($V50&lt;0,IF($V50&lt;$J50,EXP(($V50-$J50)*$G50),EXP(($J50-$V50)*$G50)),EXP(($V50-$J50)*$G50)),"")</f>
        <v/>
      </c>
      <c r="X50" s="107"/>
      <c r="Y50" s="72" t="b">
        <f>IF(AND(NOT(U50),AND(U$4:U49)),TRUE,U50)</f>
        <v>0</v>
      </c>
      <c r="Z50" s="172" t="e">
        <f>IF(AND(NOT(ISBLANK(Jumpoverwrite4)),AND(NOT(Y50),AND(Y$4:Y49))),($J50*$G50-LN(1+Jumpoverwrite4*AA$2))/$G50,_xll.qlInterpolationInterpolate(Y$3,$F50,TRUE))</f>
        <v>#NUM!</v>
      </c>
      <c r="AA50" s="176" t="str">
        <f>IF(AND(NOT(Y50),AND(Y$4:Y49)),IF($Z50&lt;0,IF($Z50&lt;$J50,EXP(($Z50-$J50)*$G50),EXP(($J50-$Z50)*$G50)),EXP(($Z50-$J50)*$G50)),"")</f>
        <v/>
      </c>
      <c r="AB50" s="107"/>
      <c r="AC50" s="72" t="b">
        <f>IF(AND(NOT(Y50),AND(Y$4:Y49)),TRUE,Y50)</f>
        <v>0</v>
      </c>
      <c r="AD50" s="172" t="e">
        <f>IF(AND(NOT(ISBLANK(Jumpoverwrite5)),AND(NOT(AC50),AND(AC$4:AC49))),($J50*$G50-LN(1+Jumpoverwrite5*AE$2))/$G50,_xll.qlInterpolationInterpolate(AC$3,$F50,TRUE))</f>
        <v>#NUM!</v>
      </c>
      <c r="AE50" s="176" t="str">
        <f>IF(AND(NOT(AC50),AND(AC$4:AC49)),IF($AD50&lt;0,IF($AD50&lt;$J50,EXP(($AD50-$J50)*$G50),EXP(($J50-$AD50)*$G50)),EXP(($AD50-$J50)*$G50)),"")</f>
        <v/>
      </c>
      <c r="AF50" s="107"/>
      <c r="AG50" s="72" t="b">
        <f>IF(AND(NOT(AC50),AND(AC$4:AC49)),TRUE,AC50)</f>
        <v>0</v>
      </c>
      <c r="AH50" s="172" t="e">
        <f>IF(AND(NOT(ISBLANK(Jumpoverwrite6)),AND(NOT(AG50),AND(AG$4:AG49))),($J50*$G50-LN(1+Jumpoverwrite6*AI$2))/$G50,_xll.qlInterpolationInterpolate(AG$3,$F50,TRUE))</f>
        <v>#NUM!</v>
      </c>
      <c r="AI50" s="176" t="str">
        <f>IF(AND(NOT(AG50),AND(AG$4:AG49)),IF($AH50&lt;0,IF($AH50&lt;$J50,EXP(($AH50-$J50)*$G50),EXP(($J50-$AH50)*$G50)),EXP(($AH50-$J50)*$G50)),"")</f>
        <v/>
      </c>
      <c r="AJ50" s="107"/>
      <c r="AK50" s="72" t="b">
        <f>IF(AND(NOT(AG50),AND(AG$4:AG49)),TRUE,AG50)</f>
        <v>0</v>
      </c>
      <c r="AL50" s="172" t="e">
        <f>IF(AND(NOT(ISBLANK(Jumpoverwrite7)),AND(NOT(AK50),AND(AK$4:AK49))),($J50*$G50-LN(1+Jumpoverwrite7*AM$2))/$G50,_xll.qlInterpolationInterpolate(AK$3,$F50,TRUE))</f>
        <v>#NUM!</v>
      </c>
      <c r="AM50" s="176" t="str">
        <f>IF(AND(NOT(AK50),AND(AK$4:AK49)),IF($AL50&lt;0,IF($AL50&lt;$J50,EXP(($AL50-$J50)*$G50),EXP(($J50-$AL50)*$G50)),EXP(($AL50-$J50)*$G50)),"")</f>
        <v/>
      </c>
      <c r="AO50" s="72" t="b">
        <f>IF(AND(NOT(AK50),AND(AK$4:AK49)),TRUE,AK50)</f>
        <v>0</v>
      </c>
      <c r="AP50" s="172" t="e">
        <f>IF(AND(NOT(ISBLANK(Jumpoverwrite8)),AND(NOT(AO50),AND(AO$4:AO49))),($J50*$G50-LN(1+Jumpoverwrite8*AQ$2))/$G50,_xll.qlInterpolationInterpolate(AO$3,$F50,TRUE))</f>
        <v>#NUM!</v>
      </c>
      <c r="AQ50" s="176" t="str">
        <f>IF(AND(NOT(AO50),AND(AO$4:AO49)),IF($AP50&lt;0,IF($AP50&lt;$J50,EXP(($AP50-$J50)*$G50),EXP(($J50-$AP50)*$G50)),EXP(($AP50-$J50)*$G50)),"")</f>
        <v/>
      </c>
      <c r="AS50" s="72" t="b">
        <f>IF(AND(NOT(AO50),AND(AO$4:AO49)),TRUE,AO50)</f>
        <v>0</v>
      </c>
      <c r="AT50" s="172" t="e">
        <f>IF(AND(NOT(ISBLANK(Jumpoverwrite9)),AND(NOT(AS50),AND(AS$4:AS49))),($J50*$G50-LN(1+Jumpoverwrite9*AU$2))/$G50,_xll.qlInterpolationInterpolate(AS$3,$F50,TRUE))</f>
        <v>#NUM!</v>
      </c>
      <c r="AU50" s="176" t="str">
        <f>IF(AND(NOT(AS50),AND(AS$4:AS49)),IF($AT50&lt;0,IF($AT50&lt;$J50,EXP(($AT50-$J50)*$G50),EXP(($J50-$AT50)*$G50)),EXP(($AT50-$J50)*$G50)),"")</f>
        <v/>
      </c>
      <c r="AW50" s="72" t="b">
        <f>IF(AND(NOT(AS50),AND(AS$4:AS49)),TRUE,AS50)</f>
        <v>0</v>
      </c>
      <c r="AX50" s="172" t="e">
        <f>IF(AND(NOT(ISBLANK(Jumpoverwrite10)),AND(NOT(AW50),AND(AW$4:AW49))),($J50*$G50-LN(1+Jumpoverwrite10*AY$2))/$G50,_xll.qlInterpolationInterpolate(AW$3,$F50,TRUE))</f>
        <v>#NUM!</v>
      </c>
      <c r="AY50" s="176" t="str">
        <f>IF(AND(NOT(AW50),AND(AW$4:AW49)),IF($AX50&lt;0,IF($AX50&lt;$J50,EXP(($AX50-$J50)*$G50),EXP(($J50-$AX50)*$G50)),EXP(($AX50-$J50)*$G50)),"")</f>
        <v/>
      </c>
      <c r="BA50" s="72" t="b">
        <f>IF(AND(NOT(AW50),AND(AW$4:AW49)),TRUE,AW50)</f>
        <v>0</v>
      </c>
      <c r="BB50" s="172" t="e">
        <f>IF(AND(NOT(ISBLANK(Jumpoverwrite11)),AND(NOT(BA50),AND(BA$4:BA49))),($J50*$G50-LN(1+Jumpoverwrite11*BC$2))/$G50,_xll.qlInterpolationInterpolate(BA$3,$F50,TRUE))</f>
        <v>#NUM!</v>
      </c>
      <c r="BC50" s="176" t="str">
        <f>IF(AND(NOT(BA50),AND(BA$4:BA49)),IF($BB50&lt;0,IF($BB50&lt;$J50,EXP(($BB50-$J50)*$G50),EXP(($J50-$BB50)*$G50)),EXP(($BB50-$J50)*$G50)),"")</f>
        <v/>
      </c>
      <c r="BE50" s="72" t="b">
        <f>IF(AND(NOT(BA50),AND(BA$4:BA49)),TRUE,BA50)</f>
        <v>0</v>
      </c>
      <c r="BF50" s="172" t="e">
        <f>IF(AND(NOT(ISBLANK(Jumpoverwrite12)),AND(NOT(BE50),AND(BE$4:BE49))),($J50*$G50-LN(1+Jumpoverwrite12*BG$2))/$G50,_xll.qlInterpolationInterpolate(BE$3,$F50,TRUE))</f>
        <v>#NUM!</v>
      </c>
      <c r="BG50" s="176" t="str">
        <f>IF(AND(NOT(BE50),AND(BE$4:BE49)),IF($BF50&lt;0,IF($BF50&lt;$J50,EXP(($BF50-$J50)*$G50),EXP(($J50-$BF50)*$G50)),EXP(($BF50-$J50)*$G50)),"")</f>
        <v/>
      </c>
      <c r="BI50" s="72" t="b">
        <f t="shared" si="5"/>
        <v>0</v>
      </c>
      <c r="BJ50" s="172" t="e">
        <f>IF(AND(NOT(ISBLANK(jumpoverwrite13)),AND(NOT(BI50),AND(BI$4:BI49))),($J50*$G50-LN(1+jumpoverwrite13*BK$2))/$G50,_xll.qlInterpolationInterpolate(BI$3,$F50,TRUE))</f>
        <v>#NUM!</v>
      </c>
      <c r="BK50" s="176" t="str">
        <f>IF(AND(NOT(BI50),AND(BI$4:BI49)),IF($BJ50&lt;0,IF($BJ50&lt;$J50,EXP(($BJ50-$J50)*$G50),EXP(($J50-$BJ50)*$G50)),EXP(($BJ50-$J50)*$G50)),"")</f>
        <v/>
      </c>
      <c r="BM50" s="72" t="b">
        <f>IF(AND(NOT(BI50),AND(BI$4:BI49)),TRUE,BI50)</f>
        <v>0</v>
      </c>
      <c r="BN50" s="172" t="e">
        <f>IF(AND(NOT(ISBLANK(Jumpoverwrite14)),AND(NOT(BM50),AND(BM$4:BM49))),($J50*$G50-LN(1+Jumpoverwrite14*BO$2))/$G50,_xll.qlInterpolationInterpolate(BM$3,$F50,TRUE))</f>
        <v>#NUM!</v>
      </c>
      <c r="BO50" s="176" t="str">
        <f>IF(AND(NOT(BM50),AND(BM$4:BM49)),IF($BN50&lt;0,IF($BN50&lt;$J50,EXP(($BN50-$J50)*$G50),EXP(($J50-$BN50)*$G50)),EXP(($BN50-$J50)*$G50)),"")</f>
        <v/>
      </c>
      <c r="BQ50" s="72" t="b">
        <f>IF(AND(NOT(BM50),AND(BM$4:BM49)),TRUE,BM50)</f>
        <v>0</v>
      </c>
      <c r="BR50" s="172" t="e">
        <f>IF(AND(NOT(ISBLANK(Jumpoverwrite15)),AND(NOT(BQ50),AND(BQ$4:BQ49))),($J50*$G50-LN(1+Jumpoverwrite15*BS$2))/$G50,_xll.qlInterpolationInterpolate(BQ$3,$F50,TRUE))</f>
        <v>#NUM!</v>
      </c>
      <c r="BS50" s="176" t="str">
        <f>IF(AND(NOT(BQ50),AND(BQ$4:BQ49)),IF($BN50&lt;0,IF($BN50&lt;$J50,EXP(($BN50-$J50)*$G50),EXP(($J50-$BN50)*$G50)),EXP(($BN50-$J50)*$G50)),"")</f>
        <v/>
      </c>
    </row>
    <row r="51" spans="1:71" x14ac:dyDescent="0.2">
      <c r="A51" s="33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84" t="e">
        <f t="shared" si="4"/>
        <v>#N/A</v>
      </c>
      <c r="G51" s="85" t="e">
        <f>_xll.qlDayCounterYearFraction(DayCounter,D50,D51)</f>
        <v>#NUM!</v>
      </c>
      <c r="I51" s="93" t="b">
        <f t="shared" si="2"/>
        <v>0</v>
      </c>
      <c r="J51" s="37" t="e">
        <v>#N/A</v>
      </c>
      <c r="K51" s="94" t="e">
        <f t="shared" si="3"/>
        <v>#VALUE!</v>
      </c>
      <c r="L51" s="105"/>
      <c r="M51" s="72" t="b">
        <f>IF(AND(NOT(I51),AND(I$4:I50)),TRUE,I51)</f>
        <v>0</v>
      </c>
      <c r="N51" s="172" t="e">
        <f>IF(AND(NOT(ISBLANK(Jumpoverwrite1)),AND(NOT(M51),AND(M$4:M50))),($J51*$G51-LN(1+Jumpoverwrite1*O$2))/$G51,_xll.qlInterpolationInterpolate(M$3,$F51,TRUE))</f>
        <v>#NUM!</v>
      </c>
      <c r="O51" s="34" t="str">
        <f>IF(AND(NOT(M51),AND(M$4:M50)),IF($N51&lt;0,IF($N51&lt;$J51,EXP(($N51-$J51)*$G51),EXP(($J51-$N51)*$G51)),EXP(($N51-$J51)*$G51)),"")</f>
        <v/>
      </c>
      <c r="P51" s="107"/>
      <c r="Q51" s="72" t="b">
        <f>IF(AND(NOT(M51),AND(M$4:M50)),TRUE,M51)</f>
        <v>0</v>
      </c>
      <c r="R51" s="172" t="e">
        <f>IF(AND(NOT(ISBLANK(Jumpoverwrite2)),AND(NOT(Q51),AND(Q$4:Q50))),($J51*$G51-LN(1+Jumpoverwrite2*S$2))/$G51,_xll.qlInterpolationInterpolate(Q$3,$F51,TRUE))</f>
        <v>#NUM!</v>
      </c>
      <c r="S51" s="176" t="str">
        <f>IF(AND(NOT(Q51),AND(Q$4:Q50)),IF($R51&lt;0,IF($R51&lt;$J51,EXP(($R51-$J51)*$G51),EXP(($J51-$R51)*$G51)),EXP(($R51-$J51)*$G51)),"")</f>
        <v/>
      </c>
      <c r="T51" s="107"/>
      <c r="U51" s="72" t="b">
        <f>IF(AND(NOT(Q51),AND(Q$4:Q50)),TRUE,Q51)</f>
        <v>0</v>
      </c>
      <c r="V51" s="172" t="e">
        <f>IF(AND(NOT(ISBLANK(Jumpoverwrite3)),AND(NOT(U51),AND(U$4:U50))),($J51*$G51-LN(1+Jumpoverwrite3*W$2))/$G51,_xll.qlInterpolationInterpolate(U$3,$F51,TRUE))</f>
        <v>#NUM!</v>
      </c>
      <c r="W51" s="176" t="str">
        <f>IF(AND(NOT(U51),AND(U$4:U50)),IF($V51&lt;0,IF($V51&lt;$J51,EXP(($V51-$J51)*$G51),EXP(($J51-$V51)*$G51)),EXP(($V51-$J51)*$G51)),"")</f>
        <v/>
      </c>
      <c r="X51" s="107"/>
      <c r="Y51" s="72" t="b">
        <f>IF(AND(NOT(U51),AND(U$4:U50)),TRUE,U51)</f>
        <v>0</v>
      </c>
      <c r="Z51" s="172" t="e">
        <f>IF(AND(NOT(ISBLANK(Jumpoverwrite4)),AND(NOT(Y51),AND(Y$4:Y50))),($J51*$G51-LN(1+Jumpoverwrite4*AA$2))/$G51,_xll.qlInterpolationInterpolate(Y$3,$F51,TRUE))</f>
        <v>#NUM!</v>
      </c>
      <c r="AA51" s="176" t="str">
        <f>IF(AND(NOT(Y51),AND(Y$4:Y50)),IF($Z51&lt;0,IF($Z51&lt;$J51,EXP(($Z51-$J51)*$G51),EXP(($J51-$Z51)*$G51)),EXP(($Z51-$J51)*$G51)),"")</f>
        <v/>
      </c>
      <c r="AB51" s="107"/>
      <c r="AC51" s="72" t="b">
        <f>IF(AND(NOT(Y51),AND(Y$4:Y50)),TRUE,Y51)</f>
        <v>0</v>
      </c>
      <c r="AD51" s="172" t="e">
        <f>IF(AND(NOT(ISBLANK(Jumpoverwrite5)),AND(NOT(AC51),AND(AC$4:AC50))),($J51*$G51-LN(1+Jumpoverwrite5*AE$2))/$G51,_xll.qlInterpolationInterpolate(AC$3,$F51,TRUE))</f>
        <v>#NUM!</v>
      </c>
      <c r="AE51" s="176" t="str">
        <f>IF(AND(NOT(AC51),AND(AC$4:AC50)),IF($AD51&lt;0,IF($AD51&lt;$J51,EXP(($AD51-$J51)*$G51),EXP(($J51-$AD51)*$G51)),EXP(($AD51-$J51)*$G51)),"")</f>
        <v/>
      </c>
      <c r="AF51" s="107"/>
      <c r="AG51" s="72" t="b">
        <f>IF(AND(NOT(AC51),AND(AC$4:AC50)),TRUE,AC51)</f>
        <v>0</v>
      </c>
      <c r="AH51" s="172" t="e">
        <f>IF(AND(NOT(ISBLANK(Jumpoverwrite6)),AND(NOT(AG51),AND(AG$4:AG50))),($J51*$G51-LN(1+Jumpoverwrite6*AI$2))/$G51,_xll.qlInterpolationInterpolate(AG$3,$F51,TRUE))</f>
        <v>#NUM!</v>
      </c>
      <c r="AI51" s="176" t="str">
        <f>IF(AND(NOT(AG51),AND(AG$4:AG50)),IF($AH51&lt;0,IF($AH51&lt;$J51,EXP(($AH51-$J51)*$G51),EXP(($J51-$AH51)*$G51)),EXP(($AH51-$J51)*$G51)),"")</f>
        <v/>
      </c>
      <c r="AJ51" s="107"/>
      <c r="AK51" s="72" t="b">
        <f>IF(AND(NOT(AG51),AND(AG$4:AG50)),TRUE,AG51)</f>
        <v>0</v>
      </c>
      <c r="AL51" s="172" t="e">
        <f>IF(AND(NOT(ISBLANK(Jumpoverwrite7)),AND(NOT(AK51),AND(AK$4:AK50))),($J51*$G51-LN(1+Jumpoverwrite7*AM$2))/$G51,_xll.qlInterpolationInterpolate(AK$3,$F51,TRUE))</f>
        <v>#NUM!</v>
      </c>
      <c r="AM51" s="176" t="str">
        <f>IF(AND(NOT(AK51),AND(AK$4:AK50)),IF($AL51&lt;0,IF($AL51&lt;$J51,EXP(($AL51-$J51)*$G51),EXP(($J51-$AL51)*$G51)),EXP(($AL51-$J51)*$G51)),"")</f>
        <v/>
      </c>
      <c r="AO51" s="72" t="b">
        <f>IF(AND(NOT(AK51),AND(AK$4:AK50)),TRUE,AK51)</f>
        <v>0</v>
      </c>
      <c r="AP51" s="172" t="e">
        <f>IF(AND(NOT(ISBLANK(Jumpoverwrite8)),AND(NOT(AO51),AND(AO$4:AO50))),($J51*$G51-LN(1+Jumpoverwrite8*AQ$2))/$G51,_xll.qlInterpolationInterpolate(AO$3,$F51,TRUE))</f>
        <v>#NUM!</v>
      </c>
      <c r="AQ51" s="176" t="str">
        <f>IF(AND(NOT(AO51),AND(AO$4:AO50)),IF($AP51&lt;0,IF($AP51&lt;$J51,EXP(($AP51-$J51)*$G51),EXP(($J51-$AP51)*$G51)),EXP(($AP51-$J51)*$G51)),"")</f>
        <v/>
      </c>
      <c r="AS51" s="72" t="b">
        <f>IF(AND(NOT(AO51),AND(AO$4:AO50)),TRUE,AO51)</f>
        <v>0</v>
      </c>
      <c r="AT51" s="172" t="e">
        <f>IF(AND(NOT(ISBLANK(Jumpoverwrite9)),AND(NOT(AS51),AND(AS$4:AS50))),($J51*$G51-LN(1+Jumpoverwrite9*AU$2))/$G51,_xll.qlInterpolationInterpolate(AS$3,$F51,TRUE))</f>
        <v>#NUM!</v>
      </c>
      <c r="AU51" s="176" t="str">
        <f>IF(AND(NOT(AS51),AND(AS$4:AS50)),IF($AT51&lt;0,IF($AT51&lt;$J51,EXP(($AT51-$J51)*$G51),EXP(($J51-$AT51)*$G51)),EXP(($AT51-$J51)*$G51)),"")</f>
        <v/>
      </c>
      <c r="AW51" s="72" t="b">
        <f>IF(AND(NOT(AS51),AND(AS$4:AS50)),TRUE,AS51)</f>
        <v>0</v>
      </c>
      <c r="AX51" s="172" t="e">
        <f>IF(AND(NOT(ISBLANK(Jumpoverwrite10)),AND(NOT(AW51),AND(AW$4:AW50))),($J51*$G51-LN(1+Jumpoverwrite10*AY$2))/$G51,_xll.qlInterpolationInterpolate(AW$3,$F51,TRUE))</f>
        <v>#NUM!</v>
      </c>
      <c r="AY51" s="176" t="str">
        <f>IF(AND(NOT(AW51),AND(AW$4:AW50)),IF($AX51&lt;0,IF($AX51&lt;$J51,EXP(($AX51-$J51)*$G51),EXP(($J51-$AX51)*$G51)),EXP(($AX51-$J51)*$G51)),"")</f>
        <v/>
      </c>
      <c r="BA51" s="72" t="b">
        <f>IF(AND(NOT(AW51),AND(AW$4:AW50)),TRUE,AW51)</f>
        <v>0</v>
      </c>
      <c r="BB51" s="172" t="e">
        <f>IF(AND(NOT(ISBLANK(Jumpoverwrite11)),AND(NOT(BA51),AND(BA$4:BA50))),($J51*$G51-LN(1+Jumpoverwrite11*BC$2))/$G51,_xll.qlInterpolationInterpolate(BA$3,$F51,TRUE))</f>
        <v>#NUM!</v>
      </c>
      <c r="BC51" s="176" t="str">
        <f>IF(AND(NOT(BA51),AND(BA$4:BA50)),IF($BB51&lt;0,IF($BB51&lt;$J51,EXP(($BB51-$J51)*$G51),EXP(($J51-$BB51)*$G51)),EXP(($BB51-$J51)*$G51)),"")</f>
        <v/>
      </c>
      <c r="BE51" s="72" t="b">
        <f>IF(AND(NOT(BA51),AND(BA$4:BA50)),TRUE,BA51)</f>
        <v>0</v>
      </c>
      <c r="BF51" s="172" t="e">
        <f>IF(AND(NOT(ISBLANK(Jumpoverwrite12)),AND(NOT(BE51),AND(BE$4:BE50))),($J51*$G51-LN(1+Jumpoverwrite12*BG$2))/$G51,_xll.qlInterpolationInterpolate(BE$3,$F51,TRUE))</f>
        <v>#NUM!</v>
      </c>
      <c r="BG51" s="176" t="str">
        <f>IF(AND(NOT(BE51),AND(BE$4:BE50)),IF($BF51&lt;0,IF($BF51&lt;$J51,EXP(($BF51-$J51)*$G51),EXP(($J51-$BF51)*$G51)),EXP(($BF51-$J51)*$G51)),"")</f>
        <v/>
      </c>
      <c r="BI51" s="72" t="b">
        <f t="shared" si="5"/>
        <v>0</v>
      </c>
      <c r="BJ51" s="172" t="e">
        <f>IF(AND(NOT(ISBLANK(jumpoverwrite13)),AND(NOT(BI51),AND(BI$4:BI50))),($J51*$G51-LN(1+jumpoverwrite13*BK$2))/$G51,_xll.qlInterpolationInterpolate(BI$3,$F51,TRUE))</f>
        <v>#NUM!</v>
      </c>
      <c r="BK51" s="176" t="str">
        <f>IF(AND(NOT(BI51),AND(BI$4:BI50)),IF($BJ51&lt;0,IF($BJ51&lt;$J51,EXP(($BJ51-$J51)*$G51),EXP(($J51-$BJ51)*$G51)),EXP(($BJ51-$J51)*$G51)),"")</f>
        <v/>
      </c>
      <c r="BM51" s="72" t="b">
        <f>IF(AND(NOT(BI51),AND(BI$4:BI50)),TRUE,BI51)</f>
        <v>0</v>
      </c>
      <c r="BN51" s="172" t="e">
        <f>IF(AND(NOT(ISBLANK(Jumpoverwrite14)),AND(NOT(BM51),AND(BM$4:BM50))),($J51*$G51-LN(1+Jumpoverwrite14*BO$2))/$G51,_xll.qlInterpolationInterpolate(BM$3,$F51,TRUE))</f>
        <v>#NUM!</v>
      </c>
      <c r="BO51" s="176" t="str">
        <f>IF(AND(NOT(BM51),AND(BM$4:BM50)),IF($BN51&lt;0,IF($BN51&lt;$J51,EXP(($BN51-$J51)*$G51),EXP(($J51-$BN51)*$G51)),EXP(($BN51-$J51)*$G51)),"")</f>
        <v/>
      </c>
      <c r="BQ51" s="72" t="b">
        <f>IF(AND(NOT(BM51),AND(BM$4:BM50)),TRUE,BM51)</f>
        <v>0</v>
      </c>
      <c r="BR51" s="172" t="e">
        <f>IF(AND(NOT(ISBLANK(Jumpoverwrite15)),AND(NOT(BQ51),AND(BQ$4:BQ50))),($J51*$G51-LN(1+Jumpoverwrite15*BS$2))/$G51,_xll.qlInterpolationInterpolate(BQ$3,$F51,TRUE))</f>
        <v>#NUM!</v>
      </c>
      <c r="BS51" s="176" t="str">
        <f>IF(AND(NOT(BQ51),AND(BQ$4:BQ50)),IF($BN51&lt;0,IF($BN51&lt;$J51,EXP(($BN51-$J51)*$G51),EXP(($J51-$BN51)*$G51)),EXP(($BN51-$J51)*$G51)),"")</f>
        <v/>
      </c>
    </row>
    <row r="52" spans="1:71" x14ac:dyDescent="0.2">
      <c r="A52" s="33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84" t="e">
        <f t="shared" si="4"/>
        <v>#N/A</v>
      </c>
      <c r="G52" s="85" t="e">
        <f>_xll.qlDayCounterYearFraction(DayCounter,D51,D52)</f>
        <v>#NUM!</v>
      </c>
      <c r="I52" s="93" t="b">
        <f t="shared" si="2"/>
        <v>0</v>
      </c>
      <c r="J52" s="37" t="e">
        <v>#N/A</v>
      </c>
      <c r="K52" s="94" t="e">
        <f t="shared" si="3"/>
        <v>#VALUE!</v>
      </c>
      <c r="L52" s="105"/>
      <c r="M52" s="72" t="b">
        <f>IF(AND(NOT(I52),AND(I$4:I51)),TRUE,I52)</f>
        <v>0</v>
      </c>
      <c r="N52" s="172" t="e">
        <f>IF(AND(NOT(ISBLANK(Jumpoverwrite1)),AND(NOT(M52),AND(M$4:M51))),($J52*$G52-LN(1+Jumpoverwrite1*O$2))/$G52,_xll.qlInterpolationInterpolate(M$3,$F52,TRUE))</f>
        <v>#NUM!</v>
      </c>
      <c r="O52" s="34" t="str">
        <f>IF(AND(NOT(M52),AND(M$4:M51)),IF($N52&lt;0,IF($N52&lt;$J52,EXP(($N52-$J52)*$G52),EXP(($J52-$N52)*$G52)),EXP(($N52-$J52)*$G52)),"")</f>
        <v/>
      </c>
      <c r="P52" s="107"/>
      <c r="Q52" s="72" t="b">
        <f>IF(AND(NOT(M52),AND(M$4:M51)),TRUE,M52)</f>
        <v>0</v>
      </c>
      <c r="R52" s="172" t="e">
        <f>IF(AND(NOT(ISBLANK(Jumpoverwrite2)),AND(NOT(Q52),AND(Q$4:Q51))),($J52*$G52-LN(1+Jumpoverwrite2*S$2))/$G52,_xll.qlInterpolationInterpolate(Q$3,$F52,TRUE))</f>
        <v>#NUM!</v>
      </c>
      <c r="S52" s="176" t="str">
        <f>IF(AND(NOT(Q52),AND(Q$4:Q51)),IF($R52&lt;0,IF($R52&lt;$J52,EXP(($R52-$J52)*$G52),EXP(($J52-$R52)*$G52)),EXP(($R52-$J52)*$G52)),"")</f>
        <v/>
      </c>
      <c r="T52" s="107"/>
      <c r="U52" s="72" t="b">
        <f>IF(AND(NOT(Q52),AND(Q$4:Q51)),TRUE,Q52)</f>
        <v>0</v>
      </c>
      <c r="V52" s="172" t="e">
        <f>IF(AND(NOT(ISBLANK(Jumpoverwrite3)),AND(NOT(U52),AND(U$4:U51))),($J52*$G52-LN(1+Jumpoverwrite3*W$2))/$G52,_xll.qlInterpolationInterpolate(U$3,$F52,TRUE))</f>
        <v>#NUM!</v>
      </c>
      <c r="W52" s="176" t="str">
        <f>IF(AND(NOT(U52),AND(U$4:U51)),IF($V52&lt;0,IF($V52&lt;$J52,EXP(($V52-$J52)*$G52),EXP(($J52-$V52)*$G52)),EXP(($V52-$J52)*$G52)),"")</f>
        <v/>
      </c>
      <c r="X52" s="107"/>
      <c r="Y52" s="72" t="b">
        <f>IF(AND(NOT(U52),AND(U$4:U51)),TRUE,U52)</f>
        <v>0</v>
      </c>
      <c r="Z52" s="172" t="e">
        <f>IF(AND(NOT(ISBLANK(Jumpoverwrite4)),AND(NOT(Y52),AND(Y$4:Y51))),($J52*$G52-LN(1+Jumpoverwrite4*AA$2))/$G52,_xll.qlInterpolationInterpolate(Y$3,$F52,TRUE))</f>
        <v>#NUM!</v>
      </c>
      <c r="AA52" s="176" t="str">
        <f>IF(AND(NOT(Y52),AND(Y$4:Y51)),IF($Z52&lt;0,IF($Z52&lt;$J52,EXP(($Z52-$J52)*$G52),EXP(($J52-$Z52)*$G52)),EXP(($Z52-$J52)*$G52)),"")</f>
        <v/>
      </c>
      <c r="AB52" s="107"/>
      <c r="AC52" s="72" t="b">
        <f>IF(AND(NOT(Y52),AND(Y$4:Y51)),TRUE,Y52)</f>
        <v>0</v>
      </c>
      <c r="AD52" s="172" t="e">
        <f>IF(AND(NOT(ISBLANK(Jumpoverwrite5)),AND(NOT(AC52),AND(AC$4:AC51))),($J52*$G52-LN(1+Jumpoverwrite5*AE$2))/$G52,_xll.qlInterpolationInterpolate(AC$3,$F52,TRUE))</f>
        <v>#NUM!</v>
      </c>
      <c r="AE52" s="176" t="str">
        <f>IF(AND(NOT(AC52),AND(AC$4:AC51)),IF($AD52&lt;0,IF($AD52&lt;$J52,EXP(($AD52-$J52)*$G52),EXP(($J52-$AD52)*$G52)),EXP(($AD52-$J52)*$G52)),"")</f>
        <v/>
      </c>
      <c r="AF52" s="107"/>
      <c r="AG52" s="72" t="b">
        <f>IF(AND(NOT(AC52),AND(AC$4:AC51)),TRUE,AC52)</f>
        <v>0</v>
      </c>
      <c r="AH52" s="172" t="e">
        <f>IF(AND(NOT(ISBLANK(Jumpoverwrite6)),AND(NOT(AG52),AND(AG$4:AG51))),($J52*$G52-LN(1+Jumpoverwrite6*AI$2))/$G52,_xll.qlInterpolationInterpolate(AG$3,$F52,TRUE))</f>
        <v>#NUM!</v>
      </c>
      <c r="AI52" s="176" t="str">
        <f>IF(AND(NOT(AG52),AND(AG$4:AG51)),IF($AH52&lt;0,IF($AH52&lt;$J52,EXP(($AH52-$J52)*$G52),EXP(($J52-$AH52)*$G52)),EXP(($AH52-$J52)*$G52)),"")</f>
        <v/>
      </c>
      <c r="AJ52" s="107"/>
      <c r="AK52" s="72" t="b">
        <f>IF(AND(NOT(AG52),AND(AG$4:AG51)),TRUE,AG52)</f>
        <v>0</v>
      </c>
      <c r="AL52" s="172" t="e">
        <f>IF(AND(NOT(ISBLANK(Jumpoverwrite7)),AND(NOT(AK52),AND(AK$4:AK51))),($J52*$G52-LN(1+Jumpoverwrite7*AM$2))/$G52,_xll.qlInterpolationInterpolate(AK$3,$F52,TRUE))</f>
        <v>#NUM!</v>
      </c>
      <c r="AM52" s="176" t="str">
        <f>IF(AND(NOT(AK52),AND(AK$4:AK51)),IF($AL52&lt;0,IF($AL52&lt;$J52,EXP(($AL52-$J52)*$G52),EXP(($J52-$AL52)*$G52)),EXP(($AL52-$J52)*$G52)),"")</f>
        <v/>
      </c>
      <c r="AO52" s="72" t="b">
        <f>IF(AND(NOT(AK52),AND(AK$4:AK51)),TRUE,AK52)</f>
        <v>0</v>
      </c>
      <c r="AP52" s="172" t="e">
        <f>IF(AND(NOT(ISBLANK(Jumpoverwrite8)),AND(NOT(AO52),AND(AO$4:AO51))),($J52*$G52-LN(1+Jumpoverwrite8*AQ$2))/$G52,_xll.qlInterpolationInterpolate(AO$3,$F52,TRUE))</f>
        <v>#NUM!</v>
      </c>
      <c r="AQ52" s="176" t="str">
        <f>IF(AND(NOT(AO52),AND(AO$4:AO51)),IF($AP52&lt;0,IF($AP52&lt;$J52,EXP(($AP52-$J52)*$G52),EXP(($J52-$AP52)*$G52)),EXP(($AP52-$J52)*$G52)),"")</f>
        <v/>
      </c>
      <c r="AS52" s="72" t="b">
        <f>IF(AND(NOT(AO52),AND(AO$4:AO51)),TRUE,AO52)</f>
        <v>0</v>
      </c>
      <c r="AT52" s="172" t="e">
        <f>IF(AND(NOT(ISBLANK(Jumpoverwrite9)),AND(NOT(AS52),AND(AS$4:AS51))),($J52*$G52-LN(1+Jumpoverwrite9*AU$2))/$G52,_xll.qlInterpolationInterpolate(AS$3,$F52,TRUE))</f>
        <v>#NUM!</v>
      </c>
      <c r="AU52" s="176" t="str">
        <f>IF(AND(NOT(AS52),AND(AS$4:AS51)),IF($AT52&lt;0,IF($AT52&lt;$J52,EXP(($AT52-$J52)*$G52),EXP(($J52-$AT52)*$G52)),EXP(($AT52-$J52)*$G52)),"")</f>
        <v/>
      </c>
      <c r="AW52" s="72" t="b">
        <f>IF(AND(NOT(AS52),AND(AS$4:AS51)),TRUE,AS52)</f>
        <v>0</v>
      </c>
      <c r="AX52" s="172" t="e">
        <f>IF(AND(NOT(ISBLANK(Jumpoverwrite10)),AND(NOT(AW52),AND(AW$4:AW51))),($J52*$G52-LN(1+Jumpoverwrite10*AY$2))/$G52,_xll.qlInterpolationInterpolate(AW$3,$F52,TRUE))</f>
        <v>#NUM!</v>
      </c>
      <c r="AY52" s="176" t="str">
        <f>IF(AND(NOT(AW52),AND(AW$4:AW51)),IF($AX52&lt;0,IF($AX52&lt;$J52,EXP(($AX52-$J52)*$G52),EXP(($J52-$AX52)*$G52)),EXP(($AX52-$J52)*$G52)),"")</f>
        <v/>
      </c>
      <c r="BA52" s="72" t="b">
        <f>IF(AND(NOT(AW52),AND(AW$4:AW51)),TRUE,AW52)</f>
        <v>0</v>
      </c>
      <c r="BB52" s="172" t="e">
        <f>IF(AND(NOT(ISBLANK(Jumpoverwrite11)),AND(NOT(BA52),AND(BA$4:BA51))),($J52*$G52-LN(1+Jumpoverwrite11*BC$2))/$G52,_xll.qlInterpolationInterpolate(BA$3,$F52,TRUE))</f>
        <v>#NUM!</v>
      </c>
      <c r="BC52" s="176" t="str">
        <f>IF(AND(NOT(BA52),AND(BA$4:BA51)),IF($BB52&lt;0,IF($BB52&lt;$J52,EXP(($BB52-$J52)*$G52),EXP(($J52-$BB52)*$G52)),EXP(($BB52-$J52)*$G52)),"")</f>
        <v/>
      </c>
      <c r="BE52" s="72" t="b">
        <f>IF(AND(NOT(BA52),AND(BA$4:BA51)),TRUE,BA52)</f>
        <v>0</v>
      </c>
      <c r="BF52" s="172" t="e">
        <f>IF(AND(NOT(ISBLANK(Jumpoverwrite12)),AND(NOT(BE52),AND(BE$4:BE51))),($J52*$G52-LN(1+Jumpoverwrite12*BG$2))/$G52,_xll.qlInterpolationInterpolate(BE$3,$F52,TRUE))</f>
        <v>#NUM!</v>
      </c>
      <c r="BG52" s="176" t="str">
        <f>IF(AND(NOT(BE52),AND(BE$4:BE51)),IF($BF52&lt;0,IF($BF52&lt;$J52,EXP(($BF52-$J52)*$G52),EXP(($J52-$BF52)*$G52)),EXP(($BF52-$J52)*$G52)),"")</f>
        <v/>
      </c>
      <c r="BI52" s="72" t="b">
        <f t="shared" si="5"/>
        <v>0</v>
      </c>
      <c r="BJ52" s="172" t="e">
        <f>IF(AND(NOT(ISBLANK(jumpoverwrite13)),AND(NOT(BI52),AND(BI$4:BI51))),($J52*$G52-LN(1+jumpoverwrite13*BK$2))/$G52,_xll.qlInterpolationInterpolate(BI$3,$F52,TRUE))</f>
        <v>#NUM!</v>
      </c>
      <c r="BK52" s="176" t="str">
        <f>IF(AND(NOT(BI52),AND(BI$4:BI51)),IF($BJ52&lt;0,IF($BJ52&lt;$J52,EXP(($BJ52-$J52)*$G52),EXP(($J52-$BJ52)*$G52)),EXP(($BJ52-$J52)*$G52)),"")</f>
        <v/>
      </c>
      <c r="BM52" s="72" t="b">
        <f>IF(AND(NOT(BI52),AND(BI$4:BI51)),TRUE,BI52)</f>
        <v>0</v>
      </c>
      <c r="BN52" s="172" t="e">
        <f>IF(AND(NOT(ISBLANK(Jumpoverwrite14)),AND(NOT(BM52),AND(BM$4:BM51))),($J52*$G52-LN(1+Jumpoverwrite14*BO$2))/$G52,_xll.qlInterpolationInterpolate(BM$3,$F52,TRUE))</f>
        <v>#NUM!</v>
      </c>
      <c r="BO52" s="176" t="str">
        <f>IF(AND(NOT(BM52),AND(BM$4:BM51)),IF($BN52&lt;0,IF($BN52&lt;$J52,EXP(($BN52-$J52)*$G52),EXP(($J52-$BN52)*$G52)),EXP(($BN52-$J52)*$G52)),"")</f>
        <v/>
      </c>
      <c r="BQ52" s="72" t="b">
        <f>IF(AND(NOT(BM52),AND(BM$4:BM51)),TRUE,BM52)</f>
        <v>0</v>
      </c>
      <c r="BR52" s="172" t="e">
        <f>IF(AND(NOT(ISBLANK(Jumpoverwrite15)),AND(NOT(BQ52),AND(BQ$4:BQ51))),($J52*$G52-LN(1+Jumpoverwrite15*BS$2))/$G52,_xll.qlInterpolationInterpolate(BQ$3,$F52,TRUE))</f>
        <v>#NUM!</v>
      </c>
      <c r="BS52" s="176" t="str">
        <f>IF(AND(NOT(BQ52),AND(BQ$4:BQ51)),IF($BN52&lt;0,IF($BN52&lt;$J52,EXP(($BN52-$J52)*$G52),EXP(($J52-$BN52)*$G52)),EXP(($BN52-$J52)*$G52)),"")</f>
        <v/>
      </c>
    </row>
    <row r="53" spans="1:71" x14ac:dyDescent="0.2">
      <c r="A53" s="33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84" t="e">
        <f t="shared" si="4"/>
        <v>#N/A</v>
      </c>
      <c r="G53" s="85" t="e">
        <f>_xll.qlDayCounterYearFraction(DayCounter,D52,D53)</f>
        <v>#NUM!</v>
      </c>
      <c r="I53" s="93" t="b">
        <f t="shared" si="2"/>
        <v>0</v>
      </c>
      <c r="J53" s="37" t="e">
        <v>#N/A</v>
      </c>
      <c r="K53" s="94" t="e">
        <f t="shared" si="3"/>
        <v>#VALUE!</v>
      </c>
      <c r="L53" s="105"/>
      <c r="M53" s="72" t="b">
        <f>IF(AND(NOT(I53),AND(I$4:I52)),TRUE,I53)</f>
        <v>0</v>
      </c>
      <c r="N53" s="172" t="e">
        <f>IF(AND(NOT(ISBLANK(Jumpoverwrite1)),AND(NOT(M53),AND(M$4:M52))),($J53*$G53-LN(1+Jumpoverwrite1*O$2))/$G53,_xll.qlInterpolationInterpolate(M$3,$F53,TRUE))</f>
        <v>#NUM!</v>
      </c>
      <c r="O53" s="34" t="str">
        <f>IF(AND(NOT(M53),AND(M$4:M52)),IF($N53&lt;0,IF($N53&lt;$J53,EXP(($N53-$J53)*$G53),EXP(($J53-$N53)*$G53)),EXP(($N53-$J53)*$G53)),"")</f>
        <v/>
      </c>
      <c r="P53" s="107"/>
      <c r="Q53" s="72" t="b">
        <f>IF(AND(NOT(M53),AND(M$4:M52)),TRUE,M53)</f>
        <v>0</v>
      </c>
      <c r="R53" s="172" t="e">
        <f>IF(AND(NOT(ISBLANK(Jumpoverwrite2)),AND(NOT(Q53),AND(Q$4:Q52))),($J53*$G53-LN(1+Jumpoverwrite2*S$2))/$G53,_xll.qlInterpolationInterpolate(Q$3,$F53,TRUE))</f>
        <v>#NUM!</v>
      </c>
      <c r="S53" s="176" t="str">
        <f>IF(AND(NOT(Q53),AND(Q$4:Q52)),IF($R53&lt;0,IF($R53&lt;$J53,EXP(($R53-$J53)*$G53),EXP(($J53-$R53)*$G53)),EXP(($R53-$J53)*$G53)),"")</f>
        <v/>
      </c>
      <c r="T53" s="107"/>
      <c r="U53" s="72" t="b">
        <f>IF(AND(NOT(Q53),AND(Q$4:Q52)),TRUE,Q53)</f>
        <v>0</v>
      </c>
      <c r="V53" s="172" t="e">
        <f>IF(AND(NOT(ISBLANK(Jumpoverwrite3)),AND(NOT(U53),AND(U$4:U52))),($J53*$G53-LN(1+Jumpoverwrite3*W$2))/$G53,_xll.qlInterpolationInterpolate(U$3,$F53,TRUE))</f>
        <v>#NUM!</v>
      </c>
      <c r="W53" s="176" t="str">
        <f>IF(AND(NOT(U53),AND(U$4:U52)),IF($V53&lt;0,IF($V53&lt;$J53,EXP(($V53-$J53)*$G53),EXP(($J53-$V53)*$G53)),EXP(($V53-$J53)*$G53)),"")</f>
        <v/>
      </c>
      <c r="X53" s="107"/>
      <c r="Y53" s="72" t="b">
        <f>IF(AND(NOT(U53),AND(U$4:U52)),TRUE,U53)</f>
        <v>0</v>
      </c>
      <c r="Z53" s="172" t="e">
        <f>IF(AND(NOT(ISBLANK(Jumpoverwrite4)),AND(NOT(Y53),AND(Y$4:Y52))),($J53*$G53-LN(1+Jumpoverwrite4*AA$2))/$G53,_xll.qlInterpolationInterpolate(Y$3,$F53,TRUE))</f>
        <v>#NUM!</v>
      </c>
      <c r="AA53" s="176" t="str">
        <f>IF(AND(NOT(Y53),AND(Y$4:Y52)),IF($Z53&lt;0,IF($Z53&lt;$J53,EXP(($Z53-$J53)*$G53),EXP(($J53-$Z53)*$G53)),EXP(($Z53-$J53)*$G53)),"")</f>
        <v/>
      </c>
      <c r="AB53" s="107"/>
      <c r="AC53" s="72" t="b">
        <f>IF(AND(NOT(Y53),AND(Y$4:Y52)),TRUE,Y53)</f>
        <v>0</v>
      </c>
      <c r="AD53" s="172" t="e">
        <f>IF(AND(NOT(ISBLANK(Jumpoverwrite5)),AND(NOT(AC53),AND(AC$4:AC52))),($J53*$G53-LN(1+Jumpoverwrite5*AE$2))/$G53,_xll.qlInterpolationInterpolate(AC$3,$F53,TRUE))</f>
        <v>#NUM!</v>
      </c>
      <c r="AE53" s="176" t="str">
        <f>IF(AND(NOT(AC53),AND(AC$4:AC52)),IF($AD53&lt;0,IF($AD53&lt;$J53,EXP(($AD53-$J53)*$G53),EXP(($J53-$AD53)*$G53)),EXP(($AD53-$J53)*$G53)),"")</f>
        <v/>
      </c>
      <c r="AF53" s="107"/>
      <c r="AG53" s="72" t="b">
        <f>IF(AND(NOT(AC53),AND(AC$4:AC52)),TRUE,AC53)</f>
        <v>0</v>
      </c>
      <c r="AH53" s="172" t="e">
        <f>IF(AND(NOT(ISBLANK(Jumpoverwrite6)),AND(NOT(AG53),AND(AG$4:AG52))),($J53*$G53-LN(1+Jumpoverwrite6*AI$2))/$G53,_xll.qlInterpolationInterpolate(AG$3,$F53,TRUE))</f>
        <v>#NUM!</v>
      </c>
      <c r="AI53" s="176" t="str">
        <f>IF(AND(NOT(AG53),AND(AG$4:AG52)),IF($AH53&lt;0,IF($AH53&lt;$J53,EXP(($AH53-$J53)*$G53),EXP(($J53-$AH53)*$G53)),EXP(($AH53-$J53)*$G53)),"")</f>
        <v/>
      </c>
      <c r="AJ53" s="107"/>
      <c r="AK53" s="72" t="b">
        <f>IF(AND(NOT(AG53),AND(AG$4:AG52)),TRUE,AG53)</f>
        <v>0</v>
      </c>
      <c r="AL53" s="172" t="e">
        <f>IF(AND(NOT(ISBLANK(Jumpoverwrite7)),AND(NOT(AK53),AND(AK$4:AK52))),($J53*$G53-LN(1+Jumpoverwrite7*AM$2))/$G53,_xll.qlInterpolationInterpolate(AK$3,$F53,TRUE))</f>
        <v>#NUM!</v>
      </c>
      <c r="AM53" s="176" t="str">
        <f>IF(AND(NOT(AK53),AND(AK$4:AK52)),IF($AL53&lt;0,IF($AL53&lt;$J53,EXP(($AL53-$J53)*$G53),EXP(($J53-$AL53)*$G53)),EXP(($AL53-$J53)*$G53)),"")</f>
        <v/>
      </c>
      <c r="AO53" s="72" t="b">
        <f>IF(AND(NOT(AK53),AND(AK$4:AK52)),TRUE,AK53)</f>
        <v>0</v>
      </c>
      <c r="AP53" s="172" t="e">
        <f>IF(AND(NOT(ISBLANK(Jumpoverwrite8)),AND(NOT(AO53),AND(AO$4:AO52))),($J53*$G53-LN(1+Jumpoverwrite8*AQ$2))/$G53,_xll.qlInterpolationInterpolate(AO$3,$F53,TRUE))</f>
        <v>#NUM!</v>
      </c>
      <c r="AQ53" s="176" t="str">
        <f>IF(AND(NOT(AO53),AND(AO$4:AO52)),IF($AP53&lt;0,IF($AP53&lt;$J53,EXP(($AP53-$J53)*$G53),EXP(($J53-$AP53)*$G53)),EXP(($AP53-$J53)*$G53)),"")</f>
        <v/>
      </c>
      <c r="AS53" s="72" t="b">
        <f>IF(AND(NOT(AO53),AND(AO$4:AO52)),TRUE,AO53)</f>
        <v>0</v>
      </c>
      <c r="AT53" s="172" t="e">
        <f>IF(AND(NOT(ISBLANK(Jumpoverwrite9)),AND(NOT(AS53),AND(AS$4:AS52))),($J53*$G53-LN(1+Jumpoverwrite9*AU$2))/$G53,_xll.qlInterpolationInterpolate(AS$3,$F53,TRUE))</f>
        <v>#NUM!</v>
      </c>
      <c r="AU53" s="176" t="str">
        <f>IF(AND(NOT(AS53),AND(AS$4:AS52)),IF($AT53&lt;0,IF($AT53&lt;$J53,EXP(($AT53-$J53)*$G53),EXP(($J53-$AT53)*$G53)),EXP(($AT53-$J53)*$G53)),"")</f>
        <v/>
      </c>
      <c r="AW53" s="72" t="b">
        <f>IF(AND(NOT(AS53),AND(AS$4:AS52)),TRUE,AS53)</f>
        <v>0</v>
      </c>
      <c r="AX53" s="172" t="e">
        <f>IF(AND(NOT(ISBLANK(Jumpoverwrite10)),AND(NOT(AW53),AND(AW$4:AW52))),($J53*$G53-LN(1+Jumpoverwrite10*AY$2))/$G53,_xll.qlInterpolationInterpolate(AW$3,$F53,TRUE))</f>
        <v>#NUM!</v>
      </c>
      <c r="AY53" s="176" t="str">
        <f>IF(AND(NOT(AW53),AND(AW$4:AW52)),IF($AX53&lt;0,IF($AX53&lt;$J53,EXP(($AX53-$J53)*$G53),EXP(($J53-$AX53)*$G53)),EXP(($AX53-$J53)*$G53)),"")</f>
        <v/>
      </c>
      <c r="BA53" s="72" t="b">
        <f>IF(AND(NOT(AW53),AND(AW$4:AW52)),TRUE,AW53)</f>
        <v>0</v>
      </c>
      <c r="BB53" s="172" t="e">
        <f>IF(AND(NOT(ISBLANK(Jumpoverwrite11)),AND(NOT(BA53),AND(BA$4:BA52))),($J53*$G53-LN(1+Jumpoverwrite11*BC$2))/$G53,_xll.qlInterpolationInterpolate(BA$3,$F53,TRUE))</f>
        <v>#NUM!</v>
      </c>
      <c r="BC53" s="176" t="str">
        <f>IF(AND(NOT(BA53),AND(BA$4:BA52)),IF($BB53&lt;0,IF($BB53&lt;$J53,EXP(($BB53-$J53)*$G53),EXP(($J53-$BB53)*$G53)),EXP(($BB53-$J53)*$G53)),"")</f>
        <v/>
      </c>
      <c r="BE53" s="72" t="b">
        <f>IF(AND(NOT(BA53),AND(BA$4:BA52)),TRUE,BA53)</f>
        <v>0</v>
      </c>
      <c r="BF53" s="172" t="e">
        <f>IF(AND(NOT(ISBLANK(Jumpoverwrite12)),AND(NOT(BE53),AND(BE$4:BE52))),($J53*$G53-LN(1+Jumpoverwrite12*BG$2))/$G53,_xll.qlInterpolationInterpolate(BE$3,$F53,TRUE))</f>
        <v>#NUM!</v>
      </c>
      <c r="BG53" s="176" t="str">
        <f>IF(AND(NOT(BE53),AND(BE$4:BE52)),IF($BF53&lt;0,IF($BF53&lt;$J53,EXP(($BF53-$J53)*$G53),EXP(($J53-$BF53)*$G53)),EXP(($BF53-$J53)*$G53)),"")</f>
        <v/>
      </c>
      <c r="BI53" s="72" t="b">
        <f t="shared" si="5"/>
        <v>0</v>
      </c>
      <c r="BJ53" s="172" t="e">
        <f>IF(AND(NOT(ISBLANK(jumpoverwrite13)),AND(NOT(BI53),AND(BI$4:BI52))),($J53*$G53-LN(1+jumpoverwrite13*BK$2))/$G53,_xll.qlInterpolationInterpolate(BI$3,$F53,TRUE))</f>
        <v>#NUM!</v>
      </c>
      <c r="BK53" s="176" t="str">
        <f>IF(AND(NOT(BI53),AND(BI$4:BI52)),IF($BJ53&lt;0,IF($BJ53&lt;$J53,EXP(($BJ53-$J53)*$G53),EXP(($J53-$BJ53)*$G53)),EXP(($BJ53-$J53)*$G53)),"")</f>
        <v/>
      </c>
      <c r="BM53" s="72" t="b">
        <f>IF(AND(NOT(BI53),AND(BI$4:BI52)),TRUE,BI53)</f>
        <v>0</v>
      </c>
      <c r="BN53" s="172" t="e">
        <f>IF(AND(NOT(ISBLANK(Jumpoverwrite14)),AND(NOT(BM53),AND(BM$4:BM52))),($J53*$G53-LN(1+Jumpoverwrite14*BO$2))/$G53,_xll.qlInterpolationInterpolate(BM$3,$F53,TRUE))</f>
        <v>#NUM!</v>
      </c>
      <c r="BO53" s="176" t="str">
        <f>IF(AND(NOT(BM53),AND(BM$4:BM52)),IF($BN53&lt;0,IF($BN53&lt;$J53,EXP(($BN53-$J53)*$G53),EXP(($J53-$BN53)*$G53)),EXP(($BN53-$J53)*$G53)),"")</f>
        <v/>
      </c>
      <c r="BQ53" s="72" t="b">
        <f>IF(AND(NOT(BM53),AND(BM$4:BM52)),TRUE,BM53)</f>
        <v>0</v>
      </c>
      <c r="BR53" s="172" t="e">
        <f>IF(AND(NOT(ISBLANK(Jumpoverwrite15)),AND(NOT(BQ53),AND(BQ$4:BQ52))),($J53*$G53-LN(1+Jumpoverwrite15*BS$2))/$G53,_xll.qlInterpolationInterpolate(BQ$3,$F53,TRUE))</f>
        <v>#NUM!</v>
      </c>
      <c r="BS53" s="176" t="str">
        <f>IF(AND(NOT(BQ53),AND(BQ$4:BQ52)),IF($BN53&lt;0,IF($BN53&lt;$J53,EXP(($BN53-$J53)*$G53),EXP(($J53-$BN53)*$G53)),EXP(($BN53-$J53)*$G53)),"")</f>
        <v/>
      </c>
    </row>
    <row r="54" spans="1:71" x14ac:dyDescent="0.2">
      <c r="A54" s="33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84" t="e">
        <f t="shared" si="4"/>
        <v>#N/A</v>
      </c>
      <c r="G54" s="85" t="e">
        <f>_xll.qlDayCounterYearFraction(DayCounter,D53,D54)</f>
        <v>#NUM!</v>
      </c>
      <c r="I54" s="93" t="b">
        <f t="shared" si="2"/>
        <v>0</v>
      </c>
      <c r="J54" s="37" t="e">
        <v>#N/A</v>
      </c>
      <c r="K54" s="94" t="e">
        <f t="shared" si="3"/>
        <v>#VALUE!</v>
      </c>
      <c r="L54" s="105"/>
      <c r="M54" s="72" t="b">
        <f>IF(AND(NOT(I54),AND(I$4:I53)),TRUE,I54)</f>
        <v>0</v>
      </c>
      <c r="N54" s="172" t="e">
        <f>IF(AND(NOT(ISBLANK(Jumpoverwrite1)),AND(NOT(M54),AND(M$4:M53))),($J54*$G54-LN(1+Jumpoverwrite1*O$2))/$G54,_xll.qlInterpolationInterpolate(M$3,$F54,TRUE))</f>
        <v>#NUM!</v>
      </c>
      <c r="O54" s="34" t="str">
        <f>IF(AND(NOT(M54),AND(M$4:M53)),IF($N54&lt;0,IF($N54&lt;$J54,EXP(($N54-$J54)*$G54),EXP(($J54-$N54)*$G54)),EXP(($N54-$J54)*$G54)),"")</f>
        <v/>
      </c>
      <c r="P54" s="107"/>
      <c r="Q54" s="72" t="b">
        <f>IF(AND(NOT(M54),AND(M$4:M53)),TRUE,M54)</f>
        <v>0</v>
      </c>
      <c r="R54" s="172" t="e">
        <f>IF(AND(NOT(ISBLANK(Jumpoverwrite2)),AND(NOT(Q54),AND(Q$4:Q53))),($J54*$G54-LN(1+Jumpoverwrite2*S$2))/$G54,_xll.qlInterpolationInterpolate(Q$3,$F54,TRUE))</f>
        <v>#NUM!</v>
      </c>
      <c r="S54" s="176" t="str">
        <f>IF(AND(NOT(Q54),AND(Q$4:Q53)),IF($R54&lt;0,IF($R54&lt;$J54,EXP(($R54-$J54)*$G54),EXP(($J54-$R54)*$G54)),EXP(($R54-$J54)*$G54)),"")</f>
        <v/>
      </c>
      <c r="T54" s="107"/>
      <c r="U54" s="72" t="b">
        <f>IF(AND(NOT(Q54),AND(Q$4:Q53)),TRUE,Q54)</f>
        <v>0</v>
      </c>
      <c r="V54" s="172" t="e">
        <f>IF(AND(NOT(ISBLANK(Jumpoverwrite3)),AND(NOT(U54),AND(U$4:U53))),($J54*$G54-LN(1+Jumpoverwrite3*W$2))/$G54,_xll.qlInterpolationInterpolate(U$3,$F54,TRUE))</f>
        <v>#NUM!</v>
      </c>
      <c r="W54" s="176" t="str">
        <f>IF(AND(NOT(U54),AND(U$4:U53)),IF($V54&lt;0,IF($V54&lt;$J54,EXP(($V54-$J54)*$G54),EXP(($J54-$V54)*$G54)),EXP(($V54-$J54)*$G54)),"")</f>
        <v/>
      </c>
      <c r="X54" s="107"/>
      <c r="Y54" s="72" t="b">
        <f>IF(AND(NOT(U54),AND(U$4:U53)),TRUE,U54)</f>
        <v>0</v>
      </c>
      <c r="Z54" s="172" t="e">
        <f>IF(AND(NOT(ISBLANK(Jumpoverwrite4)),AND(NOT(Y54),AND(Y$4:Y53))),($J54*$G54-LN(1+Jumpoverwrite4*AA$2))/$G54,_xll.qlInterpolationInterpolate(Y$3,$F54,TRUE))</f>
        <v>#NUM!</v>
      </c>
      <c r="AA54" s="176" t="str">
        <f>IF(AND(NOT(Y54),AND(Y$4:Y53)),IF($Z54&lt;0,IF($Z54&lt;$J54,EXP(($Z54-$J54)*$G54),EXP(($J54-$Z54)*$G54)),EXP(($Z54-$J54)*$G54)),"")</f>
        <v/>
      </c>
      <c r="AB54" s="107"/>
      <c r="AC54" s="72" t="b">
        <f>IF(AND(NOT(Y54),AND(Y$4:Y53)),TRUE,Y54)</f>
        <v>0</v>
      </c>
      <c r="AD54" s="172" t="e">
        <f>IF(AND(NOT(ISBLANK(Jumpoverwrite5)),AND(NOT(AC54),AND(AC$4:AC53))),($J54*$G54-LN(1+Jumpoverwrite5*AE$2))/$G54,_xll.qlInterpolationInterpolate(AC$3,$F54,TRUE))</f>
        <v>#NUM!</v>
      </c>
      <c r="AE54" s="176" t="str">
        <f>IF(AND(NOT(AC54),AND(AC$4:AC53)),IF($AD54&lt;0,IF($AD54&lt;$J54,EXP(($AD54-$J54)*$G54),EXP(($J54-$AD54)*$G54)),EXP(($AD54-$J54)*$G54)),"")</f>
        <v/>
      </c>
      <c r="AF54" s="107"/>
      <c r="AG54" s="72" t="b">
        <f>IF(AND(NOT(AC54),AND(AC$4:AC53)),TRUE,AC54)</f>
        <v>0</v>
      </c>
      <c r="AH54" s="172" t="e">
        <f>IF(AND(NOT(ISBLANK(Jumpoverwrite6)),AND(NOT(AG54),AND(AG$4:AG53))),($J54*$G54-LN(1+Jumpoverwrite6*AI$2))/$G54,_xll.qlInterpolationInterpolate(AG$3,$F54,TRUE))</f>
        <v>#NUM!</v>
      </c>
      <c r="AI54" s="176" t="str">
        <f>IF(AND(NOT(AG54),AND(AG$4:AG53)),IF($AH54&lt;0,IF($AH54&lt;$J54,EXP(($AH54-$J54)*$G54),EXP(($J54-$AH54)*$G54)),EXP(($AH54-$J54)*$G54)),"")</f>
        <v/>
      </c>
      <c r="AJ54" s="107"/>
      <c r="AK54" s="72" t="b">
        <f>IF(AND(NOT(AG54),AND(AG$4:AG53)),TRUE,AG54)</f>
        <v>0</v>
      </c>
      <c r="AL54" s="172" t="e">
        <f>IF(AND(NOT(ISBLANK(Jumpoverwrite7)),AND(NOT(AK54),AND(AK$4:AK53))),($J54*$G54-LN(1+Jumpoverwrite7*AM$2))/$G54,_xll.qlInterpolationInterpolate(AK$3,$F54,TRUE))</f>
        <v>#NUM!</v>
      </c>
      <c r="AM54" s="176" t="str">
        <f>IF(AND(NOT(AK54),AND(AK$4:AK53)),IF($AL54&lt;0,IF($AL54&lt;$J54,EXP(($AL54-$J54)*$G54),EXP(($J54-$AL54)*$G54)),EXP(($AL54-$J54)*$G54)),"")</f>
        <v/>
      </c>
      <c r="AO54" s="72" t="b">
        <f>IF(AND(NOT(AK54),AND(AK$4:AK53)),TRUE,AK54)</f>
        <v>0</v>
      </c>
      <c r="AP54" s="172" t="e">
        <f>IF(AND(NOT(ISBLANK(Jumpoverwrite8)),AND(NOT(AO54),AND(AO$4:AO53))),($J54*$G54-LN(1+Jumpoverwrite8*AQ$2))/$G54,_xll.qlInterpolationInterpolate(AO$3,$F54,TRUE))</f>
        <v>#NUM!</v>
      </c>
      <c r="AQ54" s="176" t="str">
        <f>IF(AND(NOT(AO54),AND(AO$4:AO53)),IF($AP54&lt;0,IF($AP54&lt;$J54,EXP(($AP54-$J54)*$G54),EXP(($J54-$AP54)*$G54)),EXP(($AP54-$J54)*$G54)),"")</f>
        <v/>
      </c>
      <c r="AS54" s="72" t="b">
        <f>IF(AND(NOT(AO54),AND(AO$4:AO53)),TRUE,AO54)</f>
        <v>0</v>
      </c>
      <c r="AT54" s="172" t="e">
        <f>IF(AND(NOT(ISBLANK(Jumpoverwrite9)),AND(NOT(AS54),AND(AS$4:AS53))),($J54*$G54-LN(1+Jumpoverwrite9*AU$2))/$G54,_xll.qlInterpolationInterpolate(AS$3,$F54,TRUE))</f>
        <v>#NUM!</v>
      </c>
      <c r="AU54" s="176" t="str">
        <f>IF(AND(NOT(AS54),AND(AS$4:AS53)),IF($AT54&lt;0,IF($AT54&lt;$J54,EXP(($AT54-$J54)*$G54),EXP(($J54-$AT54)*$G54)),EXP(($AT54-$J54)*$G54)),"")</f>
        <v/>
      </c>
      <c r="AW54" s="72" t="b">
        <f>IF(AND(NOT(AS54),AND(AS$4:AS53)),TRUE,AS54)</f>
        <v>0</v>
      </c>
      <c r="AX54" s="172" t="e">
        <f>IF(AND(NOT(ISBLANK(Jumpoverwrite10)),AND(NOT(AW54),AND(AW$4:AW53))),($J54*$G54-LN(1+Jumpoverwrite10*AY$2))/$G54,_xll.qlInterpolationInterpolate(AW$3,$F54,TRUE))</f>
        <v>#NUM!</v>
      </c>
      <c r="AY54" s="176" t="str">
        <f>IF(AND(NOT(AW54),AND(AW$4:AW53)),IF($AX54&lt;0,IF($AX54&lt;$J54,EXP(($AX54-$J54)*$G54),EXP(($J54-$AX54)*$G54)),EXP(($AX54-$J54)*$G54)),"")</f>
        <v/>
      </c>
      <c r="BA54" s="72" t="b">
        <f>IF(AND(NOT(AW54),AND(AW$4:AW53)),TRUE,AW54)</f>
        <v>0</v>
      </c>
      <c r="BB54" s="172" t="e">
        <f>IF(AND(NOT(ISBLANK(Jumpoverwrite11)),AND(NOT(BA54),AND(BA$4:BA53))),($J54*$G54-LN(1+Jumpoverwrite11*BC$2))/$G54,_xll.qlInterpolationInterpolate(BA$3,$F54,TRUE))</f>
        <v>#NUM!</v>
      </c>
      <c r="BC54" s="176" t="str">
        <f>IF(AND(NOT(BA54),AND(BA$4:BA53)),IF($BB54&lt;0,IF($BB54&lt;$J54,EXP(($BB54-$J54)*$G54),EXP(($J54-$BB54)*$G54)),EXP(($BB54-$J54)*$G54)),"")</f>
        <v/>
      </c>
      <c r="BE54" s="72" t="b">
        <f>IF(AND(NOT(BA54),AND(BA$4:BA53)),TRUE,BA54)</f>
        <v>0</v>
      </c>
      <c r="BF54" s="172" t="e">
        <f>IF(AND(NOT(ISBLANK(Jumpoverwrite12)),AND(NOT(BE54),AND(BE$4:BE53))),($J54*$G54-LN(1+Jumpoverwrite12*BG$2))/$G54,_xll.qlInterpolationInterpolate(BE$3,$F54,TRUE))</f>
        <v>#NUM!</v>
      </c>
      <c r="BG54" s="176" t="str">
        <f>IF(AND(NOT(BE54),AND(BE$4:BE53)),IF($BF54&lt;0,IF($BF54&lt;$J54,EXP(($BF54-$J54)*$G54),EXP(($J54-$BF54)*$G54)),EXP(($BF54-$J54)*$G54)),"")</f>
        <v/>
      </c>
      <c r="BI54" s="72" t="b">
        <f t="shared" si="5"/>
        <v>0</v>
      </c>
      <c r="BJ54" s="172" t="e">
        <f>IF(AND(NOT(ISBLANK(jumpoverwrite13)),AND(NOT(BI54),AND(BI$4:BI53))),($J54*$G54-LN(1+jumpoverwrite13*BK$2))/$G54,_xll.qlInterpolationInterpolate(BI$3,$F54,TRUE))</f>
        <v>#NUM!</v>
      </c>
      <c r="BK54" s="176" t="str">
        <f>IF(AND(NOT(BI54),AND(BI$4:BI53)),IF($BJ54&lt;0,IF($BJ54&lt;$J54,EXP(($BJ54-$J54)*$G54),EXP(($J54-$BJ54)*$G54)),EXP(($BJ54-$J54)*$G54)),"")</f>
        <v/>
      </c>
      <c r="BM54" s="72" t="b">
        <f>IF(AND(NOT(BI54),AND(BI$4:BI53)),TRUE,BI54)</f>
        <v>0</v>
      </c>
      <c r="BN54" s="172" t="e">
        <f>IF(AND(NOT(ISBLANK(Jumpoverwrite14)),AND(NOT(BM54),AND(BM$4:BM53))),($J54*$G54-LN(1+Jumpoverwrite14*BO$2))/$G54,_xll.qlInterpolationInterpolate(BM$3,$F54,TRUE))</f>
        <v>#NUM!</v>
      </c>
      <c r="BO54" s="176" t="str">
        <f>IF(AND(NOT(BM54),AND(BM$4:BM53)),IF($BN54&lt;0,IF($BN54&lt;$J54,EXP(($BN54-$J54)*$G54),EXP(($J54-$BN54)*$G54)),EXP(($BN54-$J54)*$G54)),"")</f>
        <v/>
      </c>
      <c r="BQ54" s="72" t="b">
        <f>IF(AND(NOT(BM54),AND(BM$4:BM53)),TRUE,BM54)</f>
        <v>0</v>
      </c>
      <c r="BR54" s="172" t="e">
        <f>IF(AND(NOT(ISBLANK(Jumpoverwrite15)),AND(NOT(BQ54),AND(BQ$4:BQ53))),($J54*$G54-LN(1+Jumpoverwrite15*BS$2))/$G54,_xll.qlInterpolationInterpolate(BQ$3,$F54,TRUE))</f>
        <v>#NUM!</v>
      </c>
      <c r="BS54" s="176" t="str">
        <f>IF(AND(NOT(BQ54),AND(BQ$4:BQ53)),IF($BN54&lt;0,IF($BN54&lt;$J54,EXP(($BN54-$J54)*$G54),EXP(($J54-$BN54)*$G54)),EXP(($BN54-$J54)*$G54)),"")</f>
        <v/>
      </c>
    </row>
    <row r="55" spans="1:71" x14ac:dyDescent="0.2">
      <c r="A55" s="33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84" t="e">
        <f t="shared" si="4"/>
        <v>#N/A</v>
      </c>
      <c r="G55" s="85" t="e">
        <f>_xll.qlDayCounterYearFraction(DayCounter,D54,D55)</f>
        <v>#NUM!</v>
      </c>
      <c r="I55" s="93" t="b">
        <f t="shared" si="2"/>
        <v>0</v>
      </c>
      <c r="J55" s="37" t="e">
        <v>#N/A</v>
      </c>
      <c r="K55" s="94" t="e">
        <f t="shared" si="3"/>
        <v>#VALUE!</v>
      </c>
      <c r="L55" s="105"/>
      <c r="M55" s="72" t="b">
        <f>IF(AND(NOT(I55),AND(I$4:I54)),TRUE,I55)</f>
        <v>0</v>
      </c>
      <c r="N55" s="172" t="e">
        <f>IF(AND(NOT(ISBLANK(Jumpoverwrite1)),AND(NOT(M55),AND(M$4:M54))),($J55*$G55-LN(1+Jumpoverwrite1*O$2))/$G55,_xll.qlInterpolationInterpolate(M$3,$F55,TRUE))</f>
        <v>#NUM!</v>
      </c>
      <c r="O55" s="34" t="str">
        <f>IF(AND(NOT(M55),AND(M$4:M54)),IF($N55&lt;0,IF($N55&lt;$J55,EXP(($N55-$J55)*$G55),EXP(($J55-$N55)*$G55)),EXP(($N55-$J55)*$G55)),"")</f>
        <v/>
      </c>
      <c r="P55" s="107"/>
      <c r="Q55" s="72" t="b">
        <f>IF(AND(NOT(M55),AND(M$4:M54)),TRUE,M55)</f>
        <v>0</v>
      </c>
      <c r="R55" s="172" t="e">
        <f>IF(AND(NOT(ISBLANK(Jumpoverwrite2)),AND(NOT(Q55),AND(Q$4:Q54))),($J55*$G55-LN(1+Jumpoverwrite2*S$2))/$G55,_xll.qlInterpolationInterpolate(Q$3,$F55,TRUE))</f>
        <v>#NUM!</v>
      </c>
      <c r="S55" s="176" t="str">
        <f>IF(AND(NOT(Q55),AND(Q$4:Q54)),IF($R55&lt;0,IF($R55&lt;$J55,EXP(($R55-$J55)*$G55),EXP(($J55-$R55)*$G55)),EXP(($R55-$J55)*$G55)),"")</f>
        <v/>
      </c>
      <c r="T55" s="107"/>
      <c r="U55" s="72" t="b">
        <f>IF(AND(NOT(Q55),AND(Q$4:Q54)),TRUE,Q55)</f>
        <v>0</v>
      </c>
      <c r="V55" s="172" t="e">
        <f>IF(AND(NOT(ISBLANK(Jumpoverwrite3)),AND(NOT(U55),AND(U$4:U54))),($J55*$G55-LN(1+Jumpoverwrite3*W$2))/$G55,_xll.qlInterpolationInterpolate(U$3,$F55,TRUE))</f>
        <v>#NUM!</v>
      </c>
      <c r="W55" s="176" t="str">
        <f>IF(AND(NOT(U55),AND(U$4:U54)),IF($V55&lt;0,IF($V55&lt;$J55,EXP(($V55-$J55)*$G55),EXP(($J55-$V55)*$G55)),EXP(($V55-$J55)*$G55)),"")</f>
        <v/>
      </c>
      <c r="X55" s="107"/>
      <c r="Y55" s="72" t="b">
        <f>IF(AND(NOT(U55),AND(U$4:U54)),TRUE,U55)</f>
        <v>0</v>
      </c>
      <c r="Z55" s="172" t="e">
        <f>IF(AND(NOT(ISBLANK(Jumpoverwrite4)),AND(NOT(Y55),AND(Y$4:Y54))),($J55*$G55-LN(1+Jumpoverwrite4*AA$2))/$G55,_xll.qlInterpolationInterpolate(Y$3,$F55,TRUE))</f>
        <v>#NUM!</v>
      </c>
      <c r="AA55" s="176" t="str">
        <f>IF(AND(NOT(Y55),AND(Y$4:Y54)),IF($Z55&lt;0,IF($Z55&lt;$J55,EXP(($Z55-$J55)*$G55),EXP(($J55-$Z55)*$G55)),EXP(($Z55-$J55)*$G55)),"")</f>
        <v/>
      </c>
      <c r="AB55" s="107"/>
      <c r="AC55" s="72" t="b">
        <f>IF(AND(NOT(Y55),AND(Y$4:Y54)),TRUE,Y55)</f>
        <v>0</v>
      </c>
      <c r="AD55" s="172" t="e">
        <f>IF(AND(NOT(ISBLANK(Jumpoverwrite5)),AND(NOT(AC55),AND(AC$4:AC54))),($J55*$G55-LN(1+Jumpoverwrite5*AE$2))/$G55,_xll.qlInterpolationInterpolate(AC$3,$F55,TRUE))</f>
        <v>#NUM!</v>
      </c>
      <c r="AE55" s="176" t="str">
        <f>IF(AND(NOT(AC55),AND(AC$4:AC54)),IF($AD55&lt;0,IF($AD55&lt;$J55,EXP(($AD55-$J55)*$G55),EXP(($J55-$AD55)*$G55)),EXP(($AD55-$J55)*$G55)),"")</f>
        <v/>
      </c>
      <c r="AF55" s="107"/>
      <c r="AG55" s="72" t="b">
        <f>IF(AND(NOT(AC55),AND(AC$4:AC54)),TRUE,AC55)</f>
        <v>0</v>
      </c>
      <c r="AH55" s="172" t="e">
        <f>IF(AND(NOT(ISBLANK(Jumpoverwrite6)),AND(NOT(AG55),AND(AG$4:AG54))),($J55*$G55-LN(1+Jumpoverwrite6*AI$2))/$G55,_xll.qlInterpolationInterpolate(AG$3,$F55,TRUE))</f>
        <v>#NUM!</v>
      </c>
      <c r="AI55" s="176" t="str">
        <f>IF(AND(NOT(AG55),AND(AG$4:AG54)),IF($AH55&lt;0,IF($AH55&lt;$J55,EXP(($AH55-$J55)*$G55),EXP(($J55-$AH55)*$G55)),EXP(($AH55-$J55)*$G55)),"")</f>
        <v/>
      </c>
      <c r="AJ55" s="107"/>
      <c r="AK55" s="72" t="b">
        <f>IF(AND(NOT(AG55),AND(AG$4:AG54)),TRUE,AG55)</f>
        <v>0</v>
      </c>
      <c r="AL55" s="172" t="e">
        <f>IF(AND(NOT(ISBLANK(Jumpoverwrite7)),AND(NOT(AK55),AND(AK$4:AK54))),($J55*$G55-LN(1+Jumpoverwrite7*AM$2))/$G55,_xll.qlInterpolationInterpolate(AK$3,$F55,TRUE))</f>
        <v>#NUM!</v>
      </c>
      <c r="AM55" s="176" t="str">
        <f>IF(AND(NOT(AK55),AND(AK$4:AK54)),IF($AL55&lt;0,IF($AL55&lt;$J55,EXP(($AL55-$J55)*$G55),EXP(($J55-$AL55)*$G55)),EXP(($AL55-$J55)*$G55)),"")</f>
        <v/>
      </c>
      <c r="AO55" s="72" t="b">
        <f>IF(AND(NOT(AK55),AND(AK$4:AK54)),TRUE,AK55)</f>
        <v>0</v>
      </c>
      <c r="AP55" s="172" t="e">
        <f>IF(AND(NOT(ISBLANK(Jumpoverwrite8)),AND(NOT(AO55),AND(AO$4:AO54))),($J55*$G55-LN(1+Jumpoverwrite8*AQ$2))/$G55,_xll.qlInterpolationInterpolate(AO$3,$F55,TRUE))</f>
        <v>#NUM!</v>
      </c>
      <c r="AQ55" s="176" t="str">
        <f>IF(AND(NOT(AO55),AND(AO$4:AO54)),IF($AP55&lt;0,IF($AP55&lt;$J55,EXP(($AP55-$J55)*$G55),EXP(($J55-$AP55)*$G55)),EXP(($AP55-$J55)*$G55)),"")</f>
        <v/>
      </c>
      <c r="AS55" s="72" t="b">
        <f>IF(AND(NOT(AO55),AND(AO$4:AO54)),TRUE,AO55)</f>
        <v>0</v>
      </c>
      <c r="AT55" s="172" t="e">
        <f>IF(AND(NOT(ISBLANK(Jumpoverwrite9)),AND(NOT(AS55),AND(AS$4:AS54))),($J55*$G55-LN(1+Jumpoverwrite9*AU$2))/$G55,_xll.qlInterpolationInterpolate(AS$3,$F55,TRUE))</f>
        <v>#NUM!</v>
      </c>
      <c r="AU55" s="176" t="str">
        <f>IF(AND(NOT(AS55),AND(AS$4:AS54)),IF($AT55&lt;0,IF($AT55&lt;$J55,EXP(($AT55-$J55)*$G55),EXP(($J55-$AT55)*$G55)),EXP(($AT55-$J55)*$G55)),"")</f>
        <v/>
      </c>
      <c r="AW55" s="72" t="b">
        <f>IF(AND(NOT(AS55),AND(AS$4:AS54)),TRUE,AS55)</f>
        <v>0</v>
      </c>
      <c r="AX55" s="172" t="e">
        <f>IF(AND(NOT(ISBLANK(Jumpoverwrite10)),AND(NOT(AW55),AND(AW$4:AW54))),($J55*$G55-LN(1+Jumpoverwrite10*AY$2))/$G55,_xll.qlInterpolationInterpolate(AW$3,$F55,TRUE))</f>
        <v>#NUM!</v>
      </c>
      <c r="AY55" s="176" t="str">
        <f>IF(AND(NOT(AW55),AND(AW$4:AW54)),IF($AX55&lt;0,IF($AX55&lt;$J55,EXP(($AX55-$J55)*$G55),EXP(($J55-$AX55)*$G55)),EXP(($AX55-$J55)*$G55)),"")</f>
        <v/>
      </c>
      <c r="BA55" s="72" t="b">
        <f>IF(AND(NOT(AW55),AND(AW$4:AW54)),TRUE,AW55)</f>
        <v>0</v>
      </c>
      <c r="BB55" s="172" t="e">
        <f>IF(AND(NOT(ISBLANK(Jumpoverwrite11)),AND(NOT(BA55),AND(BA$4:BA54))),($J55*$G55-LN(1+Jumpoverwrite11*BC$2))/$G55,_xll.qlInterpolationInterpolate(BA$3,$F55,TRUE))</f>
        <v>#NUM!</v>
      </c>
      <c r="BC55" s="176" t="str">
        <f>IF(AND(NOT(BA55),AND(BA$4:BA54)),IF($BB55&lt;0,IF($BB55&lt;$J55,EXP(($BB55-$J55)*$G55),EXP(($J55-$BB55)*$G55)),EXP(($BB55-$J55)*$G55)),"")</f>
        <v/>
      </c>
      <c r="BE55" s="72" t="b">
        <f>IF(AND(NOT(BA55),AND(BA$4:BA54)),TRUE,BA55)</f>
        <v>0</v>
      </c>
      <c r="BF55" s="172" t="e">
        <f>IF(AND(NOT(ISBLANK(Jumpoverwrite12)),AND(NOT(BE55),AND(BE$4:BE54))),($J55*$G55-LN(1+Jumpoverwrite12*BG$2))/$G55,_xll.qlInterpolationInterpolate(BE$3,$F55,TRUE))</f>
        <v>#NUM!</v>
      </c>
      <c r="BG55" s="176" t="str">
        <f>IF(AND(NOT(BE55),AND(BE$4:BE54)),IF($BF55&lt;0,IF($BF55&lt;$J55,EXP(($BF55-$J55)*$G55),EXP(($J55-$BF55)*$G55)),EXP(($BF55-$J55)*$G55)),"")</f>
        <v/>
      </c>
      <c r="BI55" s="72" t="b">
        <f t="shared" si="5"/>
        <v>0</v>
      </c>
      <c r="BJ55" s="172" t="e">
        <f>IF(AND(NOT(ISBLANK(jumpoverwrite13)),AND(NOT(BI55),AND(BI$4:BI54))),($J55*$G55-LN(1+jumpoverwrite13*BK$2))/$G55,_xll.qlInterpolationInterpolate(BI$3,$F55,TRUE))</f>
        <v>#NUM!</v>
      </c>
      <c r="BK55" s="176" t="str">
        <f>IF(AND(NOT(BI55),AND(BI$4:BI54)),IF($BJ55&lt;0,IF($BJ55&lt;$J55,EXP(($BJ55-$J55)*$G55),EXP(($J55-$BJ55)*$G55)),EXP(($BJ55-$J55)*$G55)),"")</f>
        <v/>
      </c>
      <c r="BM55" s="72" t="b">
        <f>IF(AND(NOT(BI55),AND(BI$4:BI54)),TRUE,BI55)</f>
        <v>0</v>
      </c>
      <c r="BN55" s="172" t="e">
        <f>IF(AND(NOT(ISBLANK(Jumpoverwrite14)),AND(NOT(BM55),AND(BM$4:BM54))),($J55*$G55-LN(1+Jumpoverwrite14*BO$2))/$G55,_xll.qlInterpolationInterpolate(BM$3,$F55,TRUE))</f>
        <v>#NUM!</v>
      </c>
      <c r="BO55" s="176" t="str">
        <f>IF(AND(NOT(BM55),AND(BM$4:BM54)),IF($BN55&lt;0,IF($BN55&lt;$J55,EXP(($BN55-$J55)*$G55),EXP(($J55-$BN55)*$G55)),EXP(($BN55-$J55)*$G55)),"")</f>
        <v/>
      </c>
      <c r="BQ55" s="72" t="b">
        <f>IF(AND(NOT(BM55),AND(BM$4:BM54)),TRUE,BM55)</f>
        <v>0</v>
      </c>
      <c r="BR55" s="172" t="e">
        <f>IF(AND(NOT(ISBLANK(Jumpoverwrite15)),AND(NOT(BQ55),AND(BQ$4:BQ54))),($J55*$G55-LN(1+Jumpoverwrite15*BS$2))/$G55,_xll.qlInterpolationInterpolate(BQ$3,$F55,TRUE))</f>
        <v>#NUM!</v>
      </c>
      <c r="BS55" s="176" t="str">
        <f>IF(AND(NOT(BQ55),AND(BQ$4:BQ54)),IF($BN55&lt;0,IF($BN55&lt;$J55,EXP(($BN55-$J55)*$G55),EXP(($J55-$BN55)*$G55)),EXP(($BN55-$J55)*$G55)),"")</f>
        <v/>
      </c>
    </row>
    <row r="56" spans="1:71" x14ac:dyDescent="0.2">
      <c r="A56" s="33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84" t="e">
        <f t="shared" si="4"/>
        <v>#N/A</v>
      </c>
      <c r="G56" s="85" t="e">
        <f>_xll.qlDayCounterYearFraction(DayCounter,D55,D56)</f>
        <v>#NUM!</v>
      </c>
      <c r="I56" s="93" t="b">
        <f t="shared" si="2"/>
        <v>0</v>
      </c>
      <c r="J56" s="37" t="e">
        <v>#N/A</v>
      </c>
      <c r="K56" s="94" t="e">
        <f t="shared" si="3"/>
        <v>#VALUE!</v>
      </c>
      <c r="L56" s="105"/>
      <c r="M56" s="72" t="b">
        <f>IF(AND(NOT(I56),AND(I$4:I55)),TRUE,I56)</f>
        <v>0</v>
      </c>
      <c r="N56" s="172" t="e">
        <f>IF(AND(NOT(ISBLANK(Jumpoverwrite1)),AND(NOT(M56),AND(M$4:M55))),($J56*$G56-LN(1+Jumpoverwrite1*O$2))/$G56,_xll.qlInterpolationInterpolate(M$3,$F56,TRUE))</f>
        <v>#NUM!</v>
      </c>
      <c r="O56" s="34" t="str">
        <f>IF(AND(NOT(M56),AND(M$4:M55)),IF($N56&lt;0,IF($N56&lt;$J56,EXP(($N56-$J56)*$G56),EXP(($J56-$N56)*$G56)),EXP(($N56-$J56)*$G56)),"")</f>
        <v/>
      </c>
      <c r="P56" s="107"/>
      <c r="Q56" s="72" t="b">
        <f>IF(AND(NOT(M56),AND(M$4:M55)),TRUE,M56)</f>
        <v>0</v>
      </c>
      <c r="R56" s="172" t="e">
        <f>IF(AND(NOT(ISBLANK(Jumpoverwrite2)),AND(NOT(Q56),AND(Q$4:Q55))),($J56*$G56-LN(1+Jumpoverwrite2*S$2))/$G56,_xll.qlInterpolationInterpolate(Q$3,$F56,TRUE))</f>
        <v>#NUM!</v>
      </c>
      <c r="S56" s="176" t="str">
        <f>IF(AND(NOT(Q56),AND(Q$4:Q55)),IF($R56&lt;0,IF($R56&lt;$J56,EXP(($R56-$J56)*$G56),EXP(($J56-$R56)*$G56)),EXP(($R56-$J56)*$G56)),"")</f>
        <v/>
      </c>
      <c r="T56" s="107"/>
      <c r="U56" s="72" t="b">
        <f>IF(AND(NOT(Q56),AND(Q$4:Q55)),TRUE,Q56)</f>
        <v>0</v>
      </c>
      <c r="V56" s="172" t="e">
        <f>IF(AND(NOT(ISBLANK(Jumpoverwrite3)),AND(NOT(U56),AND(U$4:U55))),($J56*$G56-LN(1+Jumpoverwrite3*W$2))/$G56,_xll.qlInterpolationInterpolate(U$3,$F56,TRUE))</f>
        <v>#NUM!</v>
      </c>
      <c r="W56" s="176" t="str">
        <f>IF(AND(NOT(U56),AND(U$4:U55)),IF($V56&lt;0,IF($V56&lt;$J56,EXP(($V56-$J56)*$G56),EXP(($J56-$V56)*$G56)),EXP(($V56-$J56)*$G56)),"")</f>
        <v/>
      </c>
      <c r="X56" s="107"/>
      <c r="Y56" s="72" t="b">
        <f>IF(AND(NOT(U56),AND(U$4:U55)),TRUE,U56)</f>
        <v>0</v>
      </c>
      <c r="Z56" s="172" t="e">
        <f>IF(AND(NOT(ISBLANK(Jumpoverwrite4)),AND(NOT(Y56),AND(Y$4:Y55))),($J56*$G56-LN(1+Jumpoverwrite4*AA$2))/$G56,_xll.qlInterpolationInterpolate(Y$3,$F56,TRUE))</f>
        <v>#NUM!</v>
      </c>
      <c r="AA56" s="176" t="str">
        <f>IF(AND(NOT(Y56),AND(Y$4:Y55)),IF($Z56&lt;0,IF($Z56&lt;$J56,EXP(($Z56-$J56)*$G56),EXP(($J56-$Z56)*$G56)),EXP(($Z56-$J56)*$G56)),"")</f>
        <v/>
      </c>
      <c r="AB56" s="107"/>
      <c r="AC56" s="72" t="b">
        <f>IF(AND(NOT(Y56),AND(Y$4:Y55)),TRUE,Y56)</f>
        <v>0</v>
      </c>
      <c r="AD56" s="172" t="e">
        <f>IF(AND(NOT(ISBLANK(Jumpoverwrite5)),AND(NOT(AC56),AND(AC$4:AC55))),($J56*$G56-LN(1+Jumpoverwrite5*AE$2))/$G56,_xll.qlInterpolationInterpolate(AC$3,$F56,TRUE))</f>
        <v>#NUM!</v>
      </c>
      <c r="AE56" s="176" t="str">
        <f>IF(AND(NOT(AC56),AND(AC$4:AC55)),IF($AD56&lt;0,IF($AD56&lt;$J56,EXP(($AD56-$J56)*$G56),EXP(($J56-$AD56)*$G56)),EXP(($AD56-$J56)*$G56)),"")</f>
        <v/>
      </c>
      <c r="AF56" s="107"/>
      <c r="AG56" s="72" t="b">
        <f>IF(AND(NOT(AC56),AND(AC$4:AC55)),TRUE,AC56)</f>
        <v>0</v>
      </c>
      <c r="AH56" s="172" t="e">
        <f>IF(AND(NOT(ISBLANK(Jumpoverwrite6)),AND(NOT(AG56),AND(AG$4:AG55))),($J56*$G56-LN(1+Jumpoverwrite6*AI$2))/$G56,_xll.qlInterpolationInterpolate(AG$3,$F56,TRUE))</f>
        <v>#NUM!</v>
      </c>
      <c r="AI56" s="176" t="str">
        <f>IF(AND(NOT(AG56),AND(AG$4:AG55)),IF($AH56&lt;0,IF($AH56&lt;$J56,EXP(($AH56-$J56)*$G56),EXP(($J56-$AH56)*$G56)),EXP(($AH56-$J56)*$G56)),"")</f>
        <v/>
      </c>
      <c r="AJ56" s="107"/>
      <c r="AK56" s="72" t="b">
        <f>IF(AND(NOT(AG56),AND(AG$4:AG55)),TRUE,AG56)</f>
        <v>0</v>
      </c>
      <c r="AL56" s="172" t="e">
        <f>IF(AND(NOT(ISBLANK(Jumpoverwrite7)),AND(NOT(AK56),AND(AK$4:AK55))),($J56*$G56-LN(1+Jumpoverwrite7*AM$2))/$G56,_xll.qlInterpolationInterpolate(AK$3,$F56,TRUE))</f>
        <v>#NUM!</v>
      </c>
      <c r="AM56" s="176" t="str">
        <f>IF(AND(NOT(AK56),AND(AK$4:AK55)),IF($AL56&lt;0,IF($AL56&lt;$J56,EXP(($AL56-$J56)*$G56),EXP(($J56-$AL56)*$G56)),EXP(($AL56-$J56)*$G56)),"")</f>
        <v/>
      </c>
      <c r="AO56" s="72" t="b">
        <f>IF(AND(NOT(AK56),AND(AK$4:AK55)),TRUE,AK56)</f>
        <v>0</v>
      </c>
      <c r="AP56" s="172" t="e">
        <f>IF(AND(NOT(ISBLANK(Jumpoverwrite8)),AND(NOT(AO56),AND(AO$4:AO55))),($J56*$G56-LN(1+Jumpoverwrite8*AQ$2))/$G56,_xll.qlInterpolationInterpolate(AO$3,$F56,TRUE))</f>
        <v>#NUM!</v>
      </c>
      <c r="AQ56" s="176" t="str">
        <f>IF(AND(NOT(AO56),AND(AO$4:AO55)),IF($AP56&lt;0,IF($AP56&lt;$J56,EXP(($AP56-$J56)*$G56),EXP(($J56-$AP56)*$G56)),EXP(($AP56-$J56)*$G56)),"")</f>
        <v/>
      </c>
      <c r="AS56" s="72" t="b">
        <f>IF(AND(NOT(AO56),AND(AO$4:AO55)),TRUE,AO56)</f>
        <v>0</v>
      </c>
      <c r="AT56" s="172" t="e">
        <f>IF(AND(NOT(ISBLANK(Jumpoverwrite9)),AND(NOT(AS56),AND(AS$4:AS55))),($J56*$G56-LN(1+Jumpoverwrite9*AU$2))/$G56,_xll.qlInterpolationInterpolate(AS$3,$F56,TRUE))</f>
        <v>#NUM!</v>
      </c>
      <c r="AU56" s="176" t="str">
        <f>IF(AND(NOT(AS56),AND(AS$4:AS55)),IF($AT56&lt;0,IF($AT56&lt;$J56,EXP(($AT56-$J56)*$G56),EXP(($J56-$AT56)*$G56)),EXP(($AT56-$J56)*$G56)),"")</f>
        <v/>
      </c>
      <c r="AW56" s="72" t="b">
        <f>IF(AND(NOT(AS56),AND(AS$4:AS55)),TRUE,AS56)</f>
        <v>0</v>
      </c>
      <c r="AX56" s="172" t="e">
        <f>IF(AND(NOT(ISBLANK(Jumpoverwrite10)),AND(NOT(AW56),AND(AW$4:AW55))),($J56*$G56-LN(1+Jumpoverwrite10*AY$2))/$G56,_xll.qlInterpolationInterpolate(AW$3,$F56,TRUE))</f>
        <v>#NUM!</v>
      </c>
      <c r="AY56" s="176" t="str">
        <f>IF(AND(NOT(AW56),AND(AW$4:AW55)),IF($AX56&lt;0,IF($AX56&lt;$J56,EXP(($AX56-$J56)*$G56),EXP(($J56-$AX56)*$G56)),EXP(($AX56-$J56)*$G56)),"")</f>
        <v/>
      </c>
      <c r="BA56" s="72" t="b">
        <f>IF(AND(NOT(AW56),AND(AW$4:AW55)),TRUE,AW56)</f>
        <v>0</v>
      </c>
      <c r="BB56" s="172" t="e">
        <f>IF(AND(NOT(ISBLANK(Jumpoverwrite11)),AND(NOT(BA56),AND(BA$4:BA55))),($J56*$G56-LN(1+Jumpoverwrite11*BC$2))/$G56,_xll.qlInterpolationInterpolate(BA$3,$F56,TRUE))</f>
        <v>#NUM!</v>
      </c>
      <c r="BC56" s="176" t="str">
        <f>IF(AND(NOT(BA56),AND(BA$4:BA55)),IF($BB56&lt;0,IF($BB56&lt;$J56,EXP(($BB56-$J56)*$G56),EXP(($J56-$BB56)*$G56)),EXP(($BB56-$J56)*$G56)),"")</f>
        <v/>
      </c>
      <c r="BE56" s="72" t="b">
        <f>IF(AND(NOT(BA56),AND(BA$4:BA55)),TRUE,BA56)</f>
        <v>0</v>
      </c>
      <c r="BF56" s="172" t="e">
        <f>IF(AND(NOT(ISBLANK(Jumpoverwrite12)),AND(NOT(BE56),AND(BE$4:BE55))),($J56*$G56-LN(1+Jumpoverwrite12*BG$2))/$G56,_xll.qlInterpolationInterpolate(BE$3,$F56,TRUE))</f>
        <v>#NUM!</v>
      </c>
      <c r="BG56" s="176" t="str">
        <f>IF(AND(NOT(BE56),AND(BE$4:BE55)),IF($BF56&lt;0,IF($BF56&lt;$J56,EXP(($BF56-$J56)*$G56),EXP(($J56-$BF56)*$G56)),EXP(($BF56-$J56)*$G56)),"")</f>
        <v/>
      </c>
      <c r="BI56" s="72" t="b">
        <f t="shared" si="5"/>
        <v>0</v>
      </c>
      <c r="BJ56" s="172" t="e">
        <f>IF(AND(NOT(ISBLANK(jumpoverwrite13)),AND(NOT(BI56),AND(BI$4:BI55))),($J56*$G56-LN(1+jumpoverwrite13*BK$2))/$G56,_xll.qlInterpolationInterpolate(BI$3,$F56,TRUE))</f>
        <v>#NUM!</v>
      </c>
      <c r="BK56" s="176" t="str">
        <f>IF(AND(NOT(BI56),AND(BI$4:BI55)),IF($BJ56&lt;0,IF($BJ56&lt;$J56,EXP(($BJ56-$J56)*$G56),EXP(($J56-$BJ56)*$G56)),EXP(($BJ56-$J56)*$G56)),"")</f>
        <v/>
      </c>
      <c r="BM56" s="72" t="b">
        <f>IF(AND(NOT(BI56),AND(BI$4:BI55)),TRUE,BI56)</f>
        <v>0</v>
      </c>
      <c r="BN56" s="172" t="e">
        <f>IF(AND(NOT(ISBLANK(Jumpoverwrite14)),AND(NOT(BM56),AND(BM$4:BM55))),($J56*$G56-LN(1+Jumpoverwrite14*BO$2))/$G56,_xll.qlInterpolationInterpolate(BM$3,$F56,TRUE))</f>
        <v>#NUM!</v>
      </c>
      <c r="BO56" s="176" t="str">
        <f>IF(AND(NOT(BM56),AND(BM$4:BM55)),IF($BN56&lt;0,IF($BN56&lt;$J56,EXP(($BN56-$J56)*$G56),EXP(($J56-$BN56)*$G56)),EXP(($BN56-$J56)*$G56)),"")</f>
        <v/>
      </c>
      <c r="BQ56" s="72" t="b">
        <f>IF(AND(NOT(BM56),AND(BM$4:BM55)),TRUE,BM56)</f>
        <v>0</v>
      </c>
      <c r="BR56" s="172" t="e">
        <f>IF(AND(NOT(ISBLANK(Jumpoverwrite15)),AND(NOT(BQ56),AND(BQ$4:BQ55))),($J56*$G56-LN(1+Jumpoverwrite15*BS$2))/$G56,_xll.qlInterpolationInterpolate(BQ$3,$F56,TRUE))</f>
        <v>#NUM!</v>
      </c>
      <c r="BS56" s="176" t="str">
        <f>IF(AND(NOT(BQ56),AND(BQ$4:BQ55)),IF($BN56&lt;0,IF($BN56&lt;$J56,EXP(($BN56-$J56)*$G56),EXP(($J56-$BN56)*$G56)),EXP(($BN56-$J56)*$G56)),"")</f>
        <v/>
      </c>
    </row>
    <row r="57" spans="1:71" x14ac:dyDescent="0.2">
      <c r="A57" s="33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84" t="e">
        <f t="shared" si="4"/>
        <v>#N/A</v>
      </c>
      <c r="G57" s="85" t="e">
        <f>_xll.qlDayCounterYearFraction(DayCounter,D56,D57)</f>
        <v>#NUM!</v>
      </c>
      <c r="I57" s="93" t="b">
        <f t="shared" si="2"/>
        <v>0</v>
      </c>
      <c r="J57" s="37" t="e">
        <v>#N/A</v>
      </c>
      <c r="K57" s="94" t="e">
        <f t="shared" si="3"/>
        <v>#VALUE!</v>
      </c>
      <c r="L57" s="105"/>
      <c r="M57" s="72" t="b">
        <f>IF(AND(NOT(I57),AND(I$4:I56)),TRUE,I57)</f>
        <v>0</v>
      </c>
      <c r="N57" s="172" t="e">
        <f>IF(AND(NOT(ISBLANK(Jumpoverwrite1)),AND(NOT(M57),AND(M$4:M56))),($J57*$G57-LN(1+Jumpoverwrite1*O$2))/$G57,_xll.qlInterpolationInterpolate(M$3,$F57,TRUE))</f>
        <v>#NUM!</v>
      </c>
      <c r="O57" s="34" t="str">
        <f>IF(AND(NOT(M57),AND(M$4:M56)),IF($N57&lt;0,IF($N57&lt;$J57,EXP(($N57-$J57)*$G57),EXP(($J57-$N57)*$G57)),EXP(($N57-$J57)*$G57)),"")</f>
        <v/>
      </c>
      <c r="P57" s="107"/>
      <c r="Q57" s="72" t="b">
        <f>IF(AND(NOT(M57),AND(M$4:M56)),TRUE,M57)</f>
        <v>0</v>
      </c>
      <c r="R57" s="172" t="e">
        <f>IF(AND(NOT(ISBLANK(Jumpoverwrite2)),AND(NOT(Q57),AND(Q$4:Q56))),($J57*$G57-LN(1+Jumpoverwrite2*S$2))/$G57,_xll.qlInterpolationInterpolate(Q$3,$F57,TRUE))</f>
        <v>#NUM!</v>
      </c>
      <c r="S57" s="176" t="str">
        <f>IF(AND(NOT(Q57),AND(Q$4:Q56)),IF($R57&lt;0,IF($R57&lt;$J57,EXP(($R57-$J57)*$G57),EXP(($J57-$R57)*$G57)),EXP(($R57-$J57)*$G57)),"")</f>
        <v/>
      </c>
      <c r="T57" s="107"/>
      <c r="U57" s="72" t="b">
        <f>IF(AND(NOT(Q57),AND(Q$4:Q56)),TRUE,Q57)</f>
        <v>0</v>
      </c>
      <c r="V57" s="172" t="e">
        <f>IF(AND(NOT(ISBLANK(Jumpoverwrite3)),AND(NOT(U57),AND(U$4:U56))),($J57*$G57-LN(1+Jumpoverwrite3*W$2))/$G57,_xll.qlInterpolationInterpolate(U$3,$F57,TRUE))</f>
        <v>#NUM!</v>
      </c>
      <c r="W57" s="176" t="str">
        <f>IF(AND(NOT(U57),AND(U$4:U56)),IF($V57&lt;0,IF($V57&lt;$J57,EXP(($V57-$J57)*$G57),EXP(($J57-$V57)*$G57)),EXP(($V57-$J57)*$G57)),"")</f>
        <v/>
      </c>
      <c r="X57" s="107"/>
      <c r="Y57" s="72" t="b">
        <f>IF(AND(NOT(U57),AND(U$4:U56)),TRUE,U57)</f>
        <v>0</v>
      </c>
      <c r="Z57" s="172" t="e">
        <f>IF(AND(NOT(ISBLANK(Jumpoverwrite4)),AND(NOT(Y57),AND(Y$4:Y56))),($J57*$G57-LN(1+Jumpoverwrite4*AA$2))/$G57,_xll.qlInterpolationInterpolate(Y$3,$F57,TRUE))</f>
        <v>#NUM!</v>
      </c>
      <c r="AA57" s="176" t="str">
        <f>IF(AND(NOT(Y57),AND(Y$4:Y56)),IF($Z57&lt;0,IF($Z57&lt;$J57,EXP(($Z57-$J57)*$G57),EXP(($J57-$Z57)*$G57)),EXP(($Z57-$J57)*$G57)),"")</f>
        <v/>
      </c>
      <c r="AB57" s="107"/>
      <c r="AC57" s="72" t="b">
        <f>IF(AND(NOT(Y57),AND(Y$4:Y56)),TRUE,Y57)</f>
        <v>0</v>
      </c>
      <c r="AD57" s="172" t="e">
        <f>IF(AND(NOT(ISBLANK(Jumpoverwrite5)),AND(NOT(AC57),AND(AC$4:AC56))),($J57*$G57-LN(1+Jumpoverwrite5*AE$2))/$G57,_xll.qlInterpolationInterpolate(AC$3,$F57,TRUE))</f>
        <v>#NUM!</v>
      </c>
      <c r="AE57" s="176" t="str">
        <f>IF(AND(NOT(AC57),AND(AC$4:AC56)),IF($AD57&lt;0,IF($AD57&lt;$J57,EXP(($AD57-$J57)*$G57),EXP(($J57-$AD57)*$G57)),EXP(($AD57-$J57)*$G57)),"")</f>
        <v/>
      </c>
      <c r="AF57" s="107"/>
      <c r="AG57" s="72" t="b">
        <f>IF(AND(NOT(AC57),AND(AC$4:AC56)),TRUE,AC57)</f>
        <v>0</v>
      </c>
      <c r="AH57" s="172" t="e">
        <f>IF(AND(NOT(ISBLANK(Jumpoverwrite6)),AND(NOT(AG57),AND(AG$4:AG56))),($J57*$G57-LN(1+Jumpoverwrite6*AI$2))/$G57,_xll.qlInterpolationInterpolate(AG$3,$F57,TRUE))</f>
        <v>#NUM!</v>
      </c>
      <c r="AI57" s="176" t="str">
        <f>IF(AND(NOT(AG57),AND(AG$4:AG56)),IF($AH57&lt;0,IF($AH57&lt;$J57,EXP(($AH57-$J57)*$G57),EXP(($J57-$AH57)*$G57)),EXP(($AH57-$J57)*$G57)),"")</f>
        <v/>
      </c>
      <c r="AJ57" s="107"/>
      <c r="AK57" s="72" t="b">
        <f>IF(AND(NOT(AG57),AND(AG$4:AG56)),TRUE,AG57)</f>
        <v>0</v>
      </c>
      <c r="AL57" s="172" t="e">
        <f>IF(AND(NOT(ISBLANK(Jumpoverwrite7)),AND(NOT(AK57),AND(AK$4:AK56))),($J57*$G57-LN(1+Jumpoverwrite7*AM$2))/$G57,_xll.qlInterpolationInterpolate(AK$3,$F57,TRUE))</f>
        <v>#NUM!</v>
      </c>
      <c r="AM57" s="176" t="str">
        <f>IF(AND(NOT(AK57),AND(AK$4:AK56)),IF($AL57&lt;0,IF($AL57&lt;$J57,EXP(($AL57-$J57)*$G57),EXP(($J57-$AL57)*$G57)),EXP(($AL57-$J57)*$G57)),"")</f>
        <v/>
      </c>
      <c r="AO57" s="72" t="b">
        <f>IF(AND(NOT(AK57),AND(AK$4:AK56)),TRUE,AK57)</f>
        <v>0</v>
      </c>
      <c r="AP57" s="172" t="e">
        <f>IF(AND(NOT(ISBLANK(Jumpoverwrite8)),AND(NOT(AO57),AND(AO$4:AO56))),($J57*$G57-LN(1+Jumpoverwrite8*AQ$2))/$G57,_xll.qlInterpolationInterpolate(AO$3,$F57,TRUE))</f>
        <v>#NUM!</v>
      </c>
      <c r="AQ57" s="176" t="str">
        <f>IF(AND(NOT(AO57),AND(AO$4:AO56)),IF($AP57&lt;0,IF($AP57&lt;$J57,EXP(($AP57-$J57)*$G57),EXP(($J57-$AP57)*$G57)),EXP(($AP57-$J57)*$G57)),"")</f>
        <v/>
      </c>
      <c r="AS57" s="72" t="b">
        <f>IF(AND(NOT(AO57),AND(AO$4:AO56)),TRUE,AO57)</f>
        <v>0</v>
      </c>
      <c r="AT57" s="172" t="e">
        <f>IF(AND(NOT(ISBLANK(Jumpoverwrite9)),AND(NOT(AS57),AND(AS$4:AS56))),($J57*$G57-LN(1+Jumpoverwrite9*AU$2))/$G57,_xll.qlInterpolationInterpolate(AS$3,$F57,TRUE))</f>
        <v>#NUM!</v>
      </c>
      <c r="AU57" s="176" t="str">
        <f>IF(AND(NOT(AS57),AND(AS$4:AS56)),IF($AT57&lt;0,IF($AT57&lt;$J57,EXP(($AT57-$J57)*$G57),EXP(($J57-$AT57)*$G57)),EXP(($AT57-$J57)*$G57)),"")</f>
        <v/>
      </c>
      <c r="AW57" s="72" t="b">
        <f>IF(AND(NOT(AS57),AND(AS$4:AS56)),TRUE,AS57)</f>
        <v>0</v>
      </c>
      <c r="AX57" s="172" t="e">
        <f>IF(AND(NOT(ISBLANK(Jumpoverwrite10)),AND(NOT(AW57),AND(AW$4:AW56))),($J57*$G57-LN(1+Jumpoverwrite10*AY$2))/$G57,_xll.qlInterpolationInterpolate(AW$3,$F57,TRUE))</f>
        <v>#NUM!</v>
      </c>
      <c r="AY57" s="176" t="str">
        <f>IF(AND(NOT(AW57),AND(AW$4:AW56)),IF($AX57&lt;0,IF($AX57&lt;$J57,EXP(($AX57-$J57)*$G57),EXP(($J57-$AX57)*$G57)),EXP(($AX57-$J57)*$G57)),"")</f>
        <v/>
      </c>
      <c r="BA57" s="72" t="b">
        <f>IF(AND(NOT(AW57),AND(AW$4:AW56)),TRUE,AW57)</f>
        <v>0</v>
      </c>
      <c r="BB57" s="172" t="e">
        <f>IF(AND(NOT(ISBLANK(Jumpoverwrite11)),AND(NOT(BA57),AND(BA$4:BA56))),($J57*$G57-LN(1+Jumpoverwrite11*BC$2))/$G57,_xll.qlInterpolationInterpolate(BA$3,$F57,TRUE))</f>
        <v>#NUM!</v>
      </c>
      <c r="BC57" s="176" t="str">
        <f>IF(AND(NOT(BA57),AND(BA$4:BA56)),IF($BB57&lt;0,IF($BB57&lt;$J57,EXP(($BB57-$J57)*$G57),EXP(($J57-$BB57)*$G57)),EXP(($BB57-$J57)*$G57)),"")</f>
        <v/>
      </c>
      <c r="BE57" s="72" t="b">
        <f>IF(AND(NOT(BA57),AND(BA$4:BA56)),TRUE,BA57)</f>
        <v>0</v>
      </c>
      <c r="BF57" s="172" t="e">
        <f>IF(AND(NOT(ISBLANK(Jumpoverwrite12)),AND(NOT(BE57),AND(BE$4:BE56))),($J57*$G57-LN(1+Jumpoverwrite12*BG$2))/$G57,_xll.qlInterpolationInterpolate(BE$3,$F57,TRUE))</f>
        <v>#NUM!</v>
      </c>
      <c r="BG57" s="176" t="str">
        <f>IF(AND(NOT(BE57),AND(BE$4:BE56)),IF($BF57&lt;0,IF($BF57&lt;$J57,EXP(($BF57-$J57)*$G57),EXP(($J57-$BF57)*$G57)),EXP(($BF57-$J57)*$G57)),"")</f>
        <v/>
      </c>
      <c r="BI57" s="72" t="b">
        <f t="shared" si="5"/>
        <v>0</v>
      </c>
      <c r="BJ57" s="172" t="e">
        <f>IF(AND(NOT(ISBLANK(jumpoverwrite13)),AND(NOT(BI57),AND(BI$4:BI56))),($J57*$G57-LN(1+jumpoverwrite13*BK$2))/$G57,_xll.qlInterpolationInterpolate(BI$3,$F57,TRUE))</f>
        <v>#NUM!</v>
      </c>
      <c r="BK57" s="176" t="str">
        <f>IF(AND(NOT(BI57),AND(BI$4:BI56)),IF($BJ57&lt;0,IF($BJ57&lt;$J57,EXP(($BJ57-$J57)*$G57),EXP(($J57-$BJ57)*$G57)),EXP(($BJ57-$J57)*$G57)),"")</f>
        <v/>
      </c>
      <c r="BM57" s="72" t="b">
        <f>IF(AND(NOT(BI57),AND(BI$4:BI56)),TRUE,BI57)</f>
        <v>0</v>
      </c>
      <c r="BN57" s="172" t="e">
        <f>IF(AND(NOT(ISBLANK(Jumpoverwrite14)),AND(NOT(BM57),AND(BM$4:BM56))),($J57*$G57-LN(1+Jumpoverwrite14*BO$2))/$G57,_xll.qlInterpolationInterpolate(BM$3,$F57,TRUE))</f>
        <v>#NUM!</v>
      </c>
      <c r="BO57" s="176" t="str">
        <f>IF(AND(NOT(BM57),AND(BM$4:BM56)),IF($BN57&lt;0,IF($BN57&lt;$J57,EXP(($BN57-$J57)*$G57),EXP(($J57-$BN57)*$G57)),EXP(($BN57-$J57)*$G57)),"")</f>
        <v/>
      </c>
      <c r="BQ57" s="72" t="b">
        <f>IF(AND(NOT(BM57),AND(BM$4:BM56)),TRUE,BM57)</f>
        <v>0</v>
      </c>
      <c r="BR57" s="172" t="e">
        <f>IF(AND(NOT(ISBLANK(Jumpoverwrite15)),AND(NOT(BQ57),AND(BQ$4:BQ56))),($J57*$G57-LN(1+Jumpoverwrite15*BS$2))/$G57,_xll.qlInterpolationInterpolate(BQ$3,$F57,TRUE))</f>
        <v>#NUM!</v>
      </c>
      <c r="BS57" s="176" t="str">
        <f>IF(AND(NOT(BQ57),AND(BQ$4:BQ56)),IF($BN57&lt;0,IF($BN57&lt;$J57,EXP(($BN57-$J57)*$G57),EXP(($J57-$BN57)*$G57)),EXP(($BN57-$J57)*$G57)),"")</f>
        <v/>
      </c>
    </row>
    <row r="58" spans="1:71" x14ac:dyDescent="0.2">
      <c r="A58" s="33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84" t="e">
        <f t="shared" si="4"/>
        <v>#N/A</v>
      </c>
      <c r="G58" s="85" t="e">
        <f>_xll.qlDayCounterYearFraction(DayCounter,D57,D58)</f>
        <v>#NUM!</v>
      </c>
      <c r="I58" s="93" t="b">
        <f t="shared" si="2"/>
        <v>0</v>
      </c>
      <c r="J58" s="37" t="e">
        <v>#N/A</v>
      </c>
      <c r="K58" s="94" t="e">
        <f t="shared" si="3"/>
        <v>#VALUE!</v>
      </c>
      <c r="L58" s="105"/>
      <c r="M58" s="72" t="b">
        <f>IF(AND(NOT(I58),AND(I$4:I57)),TRUE,I58)</f>
        <v>0</v>
      </c>
      <c r="N58" s="172" t="e">
        <f>IF(AND(NOT(ISBLANK(Jumpoverwrite1)),AND(NOT(M58),AND(M$4:M57))),($J58*$G58-LN(1+Jumpoverwrite1*O$2))/$G58,_xll.qlInterpolationInterpolate(M$3,$F58,TRUE))</f>
        <v>#NUM!</v>
      </c>
      <c r="O58" s="34" t="str">
        <f>IF(AND(NOT(M58),AND(M$4:M57)),IF($N58&lt;0,IF($N58&lt;$J58,EXP(($N58-$J58)*$G58),EXP(($J58-$N58)*$G58)),EXP(($N58-$J58)*$G58)),"")</f>
        <v/>
      </c>
      <c r="P58" s="107"/>
      <c r="Q58" s="72" t="b">
        <f>IF(AND(NOT(M58),AND(M$4:M57)),TRUE,M58)</f>
        <v>0</v>
      </c>
      <c r="R58" s="172" t="e">
        <f>IF(AND(NOT(ISBLANK(Jumpoverwrite2)),AND(NOT(Q58),AND(Q$4:Q57))),($J58*$G58-LN(1+Jumpoverwrite2*S$2))/$G58,_xll.qlInterpolationInterpolate(Q$3,$F58,TRUE))</f>
        <v>#NUM!</v>
      </c>
      <c r="S58" s="176" t="str">
        <f>IF(AND(NOT(Q58),AND(Q$4:Q57)),IF($R58&lt;0,IF($R58&lt;$J58,EXP(($R58-$J58)*$G58),EXP(($J58-$R58)*$G58)),EXP(($R58-$J58)*$G58)),"")</f>
        <v/>
      </c>
      <c r="T58" s="107"/>
      <c r="U58" s="72" t="b">
        <f>IF(AND(NOT(Q58),AND(Q$4:Q57)),TRUE,Q58)</f>
        <v>0</v>
      </c>
      <c r="V58" s="172" t="e">
        <f>IF(AND(NOT(ISBLANK(Jumpoverwrite3)),AND(NOT(U58),AND(U$4:U57))),($J58*$G58-LN(1+Jumpoverwrite3*W$2))/$G58,_xll.qlInterpolationInterpolate(U$3,$F58,TRUE))</f>
        <v>#NUM!</v>
      </c>
      <c r="W58" s="176" t="str">
        <f>IF(AND(NOT(U58),AND(U$4:U57)),IF($V58&lt;0,IF($V58&lt;$J58,EXP(($V58-$J58)*$G58),EXP(($J58-$V58)*$G58)),EXP(($V58-$J58)*$G58)),"")</f>
        <v/>
      </c>
      <c r="X58" s="107"/>
      <c r="Y58" s="72" t="b">
        <f>IF(AND(NOT(U58),AND(U$4:U57)),TRUE,U58)</f>
        <v>0</v>
      </c>
      <c r="Z58" s="172" t="e">
        <f>IF(AND(NOT(ISBLANK(Jumpoverwrite4)),AND(NOT(Y58),AND(Y$4:Y57))),($J58*$G58-LN(1+Jumpoverwrite4*AA$2))/$G58,_xll.qlInterpolationInterpolate(Y$3,$F58,TRUE))</f>
        <v>#NUM!</v>
      </c>
      <c r="AA58" s="176" t="str">
        <f>IF(AND(NOT(Y58),AND(Y$4:Y57)),IF($Z58&lt;0,IF($Z58&lt;$J58,EXP(($Z58-$J58)*$G58),EXP(($J58-$Z58)*$G58)),EXP(($Z58-$J58)*$G58)),"")</f>
        <v/>
      </c>
      <c r="AB58" s="107"/>
      <c r="AC58" s="72" t="b">
        <f>IF(AND(NOT(Y58),AND(Y$4:Y57)),TRUE,Y58)</f>
        <v>0</v>
      </c>
      <c r="AD58" s="172" t="e">
        <f>IF(AND(NOT(ISBLANK(Jumpoverwrite5)),AND(NOT(AC58),AND(AC$4:AC57))),($J58*$G58-LN(1+Jumpoverwrite5*AE$2))/$G58,_xll.qlInterpolationInterpolate(AC$3,$F58,TRUE))</f>
        <v>#NUM!</v>
      </c>
      <c r="AE58" s="176" t="str">
        <f>IF(AND(NOT(AC58),AND(AC$4:AC57)),IF($AD58&lt;0,IF($AD58&lt;$J58,EXP(($AD58-$J58)*$G58),EXP(($J58-$AD58)*$G58)),EXP(($AD58-$J58)*$G58)),"")</f>
        <v/>
      </c>
      <c r="AF58" s="107"/>
      <c r="AG58" s="72" t="b">
        <f>IF(AND(NOT(AC58),AND(AC$4:AC57)),TRUE,AC58)</f>
        <v>0</v>
      </c>
      <c r="AH58" s="172" t="e">
        <f>IF(AND(NOT(ISBLANK(Jumpoverwrite6)),AND(NOT(AG58),AND(AG$4:AG57))),($J58*$G58-LN(1+Jumpoverwrite6*AI$2))/$G58,_xll.qlInterpolationInterpolate(AG$3,$F58,TRUE))</f>
        <v>#NUM!</v>
      </c>
      <c r="AI58" s="176" t="str">
        <f>IF(AND(NOT(AG58),AND(AG$4:AG57)),IF($AH58&lt;0,IF($AH58&lt;$J58,EXP(($AH58-$J58)*$G58),EXP(($J58-$AH58)*$G58)),EXP(($AH58-$J58)*$G58)),"")</f>
        <v/>
      </c>
      <c r="AJ58" s="107"/>
      <c r="AK58" s="72" t="b">
        <f>IF(AND(NOT(AG58),AND(AG$4:AG57)),TRUE,AG58)</f>
        <v>0</v>
      </c>
      <c r="AL58" s="172" t="e">
        <f>IF(AND(NOT(ISBLANK(Jumpoverwrite7)),AND(NOT(AK58),AND(AK$4:AK57))),($J58*$G58-LN(1+Jumpoverwrite7*AM$2))/$G58,_xll.qlInterpolationInterpolate(AK$3,$F58,TRUE))</f>
        <v>#NUM!</v>
      </c>
      <c r="AM58" s="176" t="str">
        <f>IF(AND(NOT(AK58),AND(AK$4:AK57)),IF($AL58&lt;0,IF($AL58&lt;$J58,EXP(($AL58-$J58)*$G58),EXP(($J58-$AL58)*$G58)),EXP(($AL58-$J58)*$G58)),"")</f>
        <v/>
      </c>
      <c r="AO58" s="72" t="b">
        <f>IF(AND(NOT(AK58),AND(AK$4:AK57)),TRUE,AK58)</f>
        <v>0</v>
      </c>
      <c r="AP58" s="172" t="e">
        <f>IF(AND(NOT(ISBLANK(Jumpoverwrite8)),AND(NOT(AO58),AND(AO$4:AO57))),($J58*$G58-LN(1+Jumpoverwrite8*AQ$2))/$G58,_xll.qlInterpolationInterpolate(AO$3,$F58,TRUE))</f>
        <v>#NUM!</v>
      </c>
      <c r="AQ58" s="176" t="str">
        <f>IF(AND(NOT(AO58),AND(AO$4:AO57)),IF($AP58&lt;0,IF($AP58&lt;$J58,EXP(($AP58-$J58)*$G58),EXP(($J58-$AP58)*$G58)),EXP(($AP58-$J58)*$G58)),"")</f>
        <v/>
      </c>
      <c r="AS58" s="72" t="b">
        <f>IF(AND(NOT(AO58),AND(AO$4:AO57)),TRUE,AO58)</f>
        <v>0</v>
      </c>
      <c r="AT58" s="172" t="e">
        <f>IF(AND(NOT(ISBLANK(Jumpoverwrite9)),AND(NOT(AS58),AND(AS$4:AS57))),($J58*$G58-LN(1+Jumpoverwrite9*AU$2))/$G58,_xll.qlInterpolationInterpolate(AS$3,$F58,TRUE))</f>
        <v>#NUM!</v>
      </c>
      <c r="AU58" s="176" t="str">
        <f>IF(AND(NOT(AS58),AND(AS$4:AS57)),IF($AT58&lt;0,IF($AT58&lt;$J58,EXP(($AT58-$J58)*$G58),EXP(($J58-$AT58)*$G58)),EXP(($AT58-$J58)*$G58)),"")</f>
        <v/>
      </c>
      <c r="AW58" s="72" t="b">
        <f>IF(AND(NOT(AS58),AND(AS$4:AS57)),TRUE,AS58)</f>
        <v>0</v>
      </c>
      <c r="AX58" s="172" t="e">
        <f>IF(AND(NOT(ISBLANK(Jumpoverwrite10)),AND(NOT(AW58),AND(AW$4:AW57))),($J58*$G58-LN(1+Jumpoverwrite10*AY$2))/$G58,_xll.qlInterpolationInterpolate(AW$3,$F58,TRUE))</f>
        <v>#NUM!</v>
      </c>
      <c r="AY58" s="176" t="str">
        <f>IF(AND(NOT(AW58),AND(AW$4:AW57)),IF($AX58&lt;0,IF($AX58&lt;$J58,EXP(($AX58-$J58)*$G58),EXP(($J58-$AX58)*$G58)),EXP(($AX58-$J58)*$G58)),"")</f>
        <v/>
      </c>
      <c r="BA58" s="72" t="b">
        <f>IF(AND(NOT(AW58),AND(AW$4:AW57)),TRUE,AW58)</f>
        <v>0</v>
      </c>
      <c r="BB58" s="172" t="e">
        <f>IF(AND(NOT(ISBLANK(Jumpoverwrite11)),AND(NOT(BA58),AND(BA$4:BA57))),($J58*$G58-LN(1+Jumpoverwrite11*BC$2))/$G58,_xll.qlInterpolationInterpolate(BA$3,$F58,TRUE))</f>
        <v>#NUM!</v>
      </c>
      <c r="BC58" s="176" t="str">
        <f>IF(AND(NOT(BA58),AND(BA$4:BA57)),IF($BB58&lt;0,IF($BB58&lt;$J58,EXP(($BB58-$J58)*$G58),EXP(($J58-$BB58)*$G58)),EXP(($BB58-$J58)*$G58)),"")</f>
        <v/>
      </c>
      <c r="BE58" s="72" t="b">
        <f>IF(AND(NOT(BA58),AND(BA$4:BA57)),TRUE,BA58)</f>
        <v>0</v>
      </c>
      <c r="BF58" s="172" t="e">
        <f>IF(AND(NOT(ISBLANK(Jumpoverwrite12)),AND(NOT(BE58),AND(BE$4:BE57))),($J58*$G58-LN(1+Jumpoverwrite12*BG$2))/$G58,_xll.qlInterpolationInterpolate(BE$3,$F58,TRUE))</f>
        <v>#NUM!</v>
      </c>
      <c r="BG58" s="176" t="str">
        <f>IF(AND(NOT(BE58),AND(BE$4:BE57)),IF($BF58&lt;0,IF($BF58&lt;$J58,EXP(($BF58-$J58)*$G58),EXP(($J58-$BF58)*$G58)),EXP(($BF58-$J58)*$G58)),"")</f>
        <v/>
      </c>
      <c r="BI58" s="72" t="b">
        <f t="shared" si="5"/>
        <v>0</v>
      </c>
      <c r="BJ58" s="172" t="e">
        <f>IF(AND(NOT(ISBLANK(jumpoverwrite13)),AND(NOT(BI58),AND(BI$4:BI57))),($J58*$G58-LN(1+jumpoverwrite13*BK$2))/$G58,_xll.qlInterpolationInterpolate(BI$3,$F58,TRUE))</f>
        <v>#NUM!</v>
      </c>
      <c r="BK58" s="176" t="str">
        <f>IF(AND(NOT(BI58),AND(BI$4:BI57)),IF($BJ58&lt;0,IF($BJ58&lt;$J58,EXP(($BJ58-$J58)*$G58),EXP(($J58-$BJ58)*$G58)),EXP(($BJ58-$J58)*$G58)),"")</f>
        <v/>
      </c>
      <c r="BM58" s="72" t="b">
        <f>IF(AND(NOT(BI58),AND(BI$4:BI57)),TRUE,BI58)</f>
        <v>0</v>
      </c>
      <c r="BN58" s="172" t="e">
        <f>IF(AND(NOT(ISBLANK(Jumpoverwrite14)),AND(NOT(BM58),AND(BM$4:BM57))),($J58*$G58-LN(1+Jumpoverwrite14*BO$2))/$G58,_xll.qlInterpolationInterpolate(BM$3,$F58,TRUE))</f>
        <v>#NUM!</v>
      </c>
      <c r="BO58" s="176" t="str">
        <f>IF(AND(NOT(BM58),AND(BM$4:BM57)),IF($BN58&lt;0,IF($BN58&lt;$J58,EXP(($BN58-$J58)*$G58),EXP(($J58-$BN58)*$G58)),EXP(($BN58-$J58)*$G58)),"")</f>
        <v/>
      </c>
      <c r="BQ58" s="72" t="b">
        <f>IF(AND(NOT(BM58),AND(BM$4:BM57)),TRUE,BM58)</f>
        <v>0</v>
      </c>
      <c r="BR58" s="172" t="e">
        <f>IF(AND(NOT(ISBLANK(Jumpoverwrite15)),AND(NOT(BQ58),AND(BQ$4:BQ57))),($J58*$G58-LN(1+Jumpoverwrite15*BS$2))/$G58,_xll.qlInterpolationInterpolate(BQ$3,$F58,TRUE))</f>
        <v>#NUM!</v>
      </c>
      <c r="BS58" s="176" t="str">
        <f>IF(AND(NOT(BQ58),AND(BQ$4:BQ57)),IF($BN58&lt;0,IF($BN58&lt;$J58,EXP(($BN58-$J58)*$G58),EXP(($J58-$BN58)*$G58)),EXP(($BN58-$J58)*$G58)),"")</f>
        <v/>
      </c>
    </row>
    <row r="59" spans="1:71" x14ac:dyDescent="0.2">
      <c r="A59" s="33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84" t="e">
        <f t="shared" si="4"/>
        <v>#N/A</v>
      </c>
      <c r="G59" s="85" t="e">
        <f>_xll.qlDayCounterYearFraction(DayCounter,D58,D59)</f>
        <v>#NUM!</v>
      </c>
      <c r="I59" s="93" t="b">
        <f t="shared" si="2"/>
        <v>0</v>
      </c>
      <c r="J59" s="37" t="e">
        <v>#N/A</v>
      </c>
      <c r="K59" s="94" t="e">
        <f t="shared" si="3"/>
        <v>#VALUE!</v>
      </c>
      <c r="L59" s="105"/>
      <c r="M59" s="72" t="b">
        <f>IF(AND(NOT(I59),AND(I$4:I58)),TRUE,I59)</f>
        <v>0</v>
      </c>
      <c r="N59" s="172" t="e">
        <f>IF(AND(NOT(ISBLANK(Jumpoverwrite1)),AND(NOT(M59),AND(M$4:M58))),($J59*$G59-LN(1+Jumpoverwrite1*O$2))/$G59,_xll.qlInterpolationInterpolate(M$3,$F59,TRUE))</f>
        <v>#NUM!</v>
      </c>
      <c r="O59" s="34" t="str">
        <f>IF(AND(NOT(M59),AND(M$4:M58)),IF($N59&lt;0,IF($N59&lt;$J59,EXP(($N59-$J59)*$G59),EXP(($J59-$N59)*$G59)),EXP(($N59-$J59)*$G59)),"")</f>
        <v/>
      </c>
      <c r="P59" s="107"/>
      <c r="Q59" s="72" t="b">
        <f>IF(AND(NOT(M59),AND(M$4:M58)),TRUE,M59)</f>
        <v>0</v>
      </c>
      <c r="R59" s="172" t="e">
        <f>IF(AND(NOT(ISBLANK(Jumpoverwrite2)),AND(NOT(Q59),AND(Q$4:Q58))),($J59*$G59-LN(1+Jumpoverwrite2*S$2))/$G59,_xll.qlInterpolationInterpolate(Q$3,$F59,TRUE))</f>
        <v>#NUM!</v>
      </c>
      <c r="S59" s="176" t="str">
        <f>IF(AND(NOT(Q59),AND(Q$4:Q58)),IF($R59&lt;0,IF($R59&lt;$J59,EXP(($R59-$J59)*$G59),EXP(($J59-$R59)*$G59)),EXP(($R59-$J59)*$G59)),"")</f>
        <v/>
      </c>
      <c r="T59" s="107"/>
      <c r="U59" s="72" t="b">
        <f>IF(AND(NOT(Q59),AND(Q$4:Q58)),TRUE,Q59)</f>
        <v>0</v>
      </c>
      <c r="V59" s="172" t="e">
        <f>IF(AND(NOT(ISBLANK(Jumpoverwrite3)),AND(NOT(U59),AND(U$4:U58))),($J59*$G59-LN(1+Jumpoverwrite3*W$2))/$G59,_xll.qlInterpolationInterpolate(U$3,$F59,TRUE))</f>
        <v>#NUM!</v>
      </c>
      <c r="W59" s="176" t="str">
        <f>IF(AND(NOT(U59),AND(U$4:U58)),IF($V59&lt;0,IF($V59&lt;$J59,EXP(($V59-$J59)*$G59),EXP(($J59-$V59)*$G59)),EXP(($V59-$J59)*$G59)),"")</f>
        <v/>
      </c>
      <c r="X59" s="107"/>
      <c r="Y59" s="72" t="b">
        <f>IF(AND(NOT(U59),AND(U$4:U58)),TRUE,U59)</f>
        <v>0</v>
      </c>
      <c r="Z59" s="172" t="e">
        <f>IF(AND(NOT(ISBLANK(Jumpoverwrite4)),AND(NOT(Y59),AND(Y$4:Y58))),($J59*$G59-LN(1+Jumpoverwrite4*AA$2))/$G59,_xll.qlInterpolationInterpolate(Y$3,$F59,TRUE))</f>
        <v>#NUM!</v>
      </c>
      <c r="AA59" s="176" t="str">
        <f>IF(AND(NOT(Y59),AND(Y$4:Y58)),IF($Z59&lt;0,IF($Z59&lt;$J59,EXP(($Z59-$J59)*$G59),EXP(($J59-$Z59)*$G59)),EXP(($Z59-$J59)*$G59)),"")</f>
        <v/>
      </c>
      <c r="AB59" s="107"/>
      <c r="AC59" s="72" t="b">
        <f>IF(AND(NOT(Y59),AND(Y$4:Y58)),TRUE,Y59)</f>
        <v>0</v>
      </c>
      <c r="AD59" s="172" t="e">
        <f>IF(AND(NOT(ISBLANK(Jumpoverwrite5)),AND(NOT(AC59),AND(AC$4:AC58))),($J59*$G59-LN(1+Jumpoverwrite5*AE$2))/$G59,_xll.qlInterpolationInterpolate(AC$3,$F59,TRUE))</f>
        <v>#NUM!</v>
      </c>
      <c r="AE59" s="176" t="str">
        <f>IF(AND(NOT(AC59),AND(AC$4:AC58)),IF($AD59&lt;0,IF($AD59&lt;$J59,EXP(($AD59-$J59)*$G59),EXP(($J59-$AD59)*$G59)),EXP(($AD59-$J59)*$G59)),"")</f>
        <v/>
      </c>
      <c r="AF59" s="107"/>
      <c r="AG59" s="72" t="b">
        <f>IF(AND(NOT(AC59),AND(AC$4:AC58)),TRUE,AC59)</f>
        <v>0</v>
      </c>
      <c r="AH59" s="172" t="e">
        <f>IF(AND(NOT(ISBLANK(Jumpoverwrite6)),AND(NOT(AG59),AND(AG$4:AG58))),($J59*$G59-LN(1+Jumpoverwrite6*AI$2))/$G59,_xll.qlInterpolationInterpolate(AG$3,$F59,TRUE))</f>
        <v>#NUM!</v>
      </c>
      <c r="AI59" s="176" t="str">
        <f>IF(AND(NOT(AG59),AND(AG$4:AG58)),IF($AH59&lt;0,IF($AH59&lt;$J59,EXP(($AH59-$J59)*$G59),EXP(($J59-$AH59)*$G59)),EXP(($AH59-$J59)*$G59)),"")</f>
        <v/>
      </c>
      <c r="AJ59" s="107"/>
      <c r="AK59" s="72" t="b">
        <f>IF(AND(NOT(AG59),AND(AG$4:AG58)),TRUE,AG59)</f>
        <v>0</v>
      </c>
      <c r="AL59" s="172" t="e">
        <f>IF(AND(NOT(ISBLANK(Jumpoverwrite7)),AND(NOT(AK59),AND(AK$4:AK58))),($J59*$G59-LN(1+Jumpoverwrite7*AM$2))/$G59,_xll.qlInterpolationInterpolate(AK$3,$F59,TRUE))</f>
        <v>#NUM!</v>
      </c>
      <c r="AM59" s="176" t="str">
        <f>IF(AND(NOT(AK59),AND(AK$4:AK58)),IF($AL59&lt;0,IF($AL59&lt;$J59,EXP(($AL59-$J59)*$G59),EXP(($J59-$AL59)*$G59)),EXP(($AL59-$J59)*$G59)),"")</f>
        <v/>
      </c>
      <c r="AO59" s="72" t="b">
        <f>IF(AND(NOT(AK59),AND(AK$4:AK58)),TRUE,AK59)</f>
        <v>0</v>
      </c>
      <c r="AP59" s="172" t="e">
        <f>IF(AND(NOT(ISBLANK(Jumpoverwrite8)),AND(NOT(AO59),AND(AO$4:AO58))),($J59*$G59-LN(1+Jumpoverwrite8*AQ$2))/$G59,_xll.qlInterpolationInterpolate(AO$3,$F59,TRUE))</f>
        <v>#NUM!</v>
      </c>
      <c r="AQ59" s="176" t="str">
        <f>IF(AND(NOT(AO59),AND(AO$4:AO58)),IF($AP59&lt;0,IF($AP59&lt;$J59,EXP(($AP59-$J59)*$G59),EXP(($J59-$AP59)*$G59)),EXP(($AP59-$J59)*$G59)),"")</f>
        <v/>
      </c>
      <c r="AS59" s="72" t="b">
        <f>IF(AND(NOT(AO59),AND(AO$4:AO58)),TRUE,AO59)</f>
        <v>0</v>
      </c>
      <c r="AT59" s="172" t="e">
        <f>IF(AND(NOT(ISBLANK(Jumpoverwrite9)),AND(NOT(AS59),AND(AS$4:AS58))),($J59*$G59-LN(1+Jumpoverwrite9*AU$2))/$G59,_xll.qlInterpolationInterpolate(AS$3,$F59,TRUE))</f>
        <v>#NUM!</v>
      </c>
      <c r="AU59" s="176" t="str">
        <f>IF(AND(NOT(AS59),AND(AS$4:AS58)),IF($AT59&lt;0,IF($AT59&lt;$J59,EXP(($AT59-$J59)*$G59),EXP(($J59-$AT59)*$G59)),EXP(($AT59-$J59)*$G59)),"")</f>
        <v/>
      </c>
      <c r="AW59" s="72" t="b">
        <f>IF(AND(NOT(AS59),AND(AS$4:AS58)),TRUE,AS59)</f>
        <v>0</v>
      </c>
      <c r="AX59" s="172" t="e">
        <f>IF(AND(NOT(ISBLANK(Jumpoverwrite10)),AND(NOT(AW59),AND(AW$4:AW58))),($J59*$G59-LN(1+Jumpoverwrite10*AY$2))/$G59,_xll.qlInterpolationInterpolate(AW$3,$F59,TRUE))</f>
        <v>#NUM!</v>
      </c>
      <c r="AY59" s="176" t="str">
        <f>IF(AND(NOT(AW59),AND(AW$4:AW58)),IF($AX59&lt;0,IF($AX59&lt;$J59,EXP(($AX59-$J59)*$G59),EXP(($J59-$AX59)*$G59)),EXP(($AX59-$J59)*$G59)),"")</f>
        <v/>
      </c>
      <c r="BA59" s="72" t="b">
        <f>IF(AND(NOT(AW59),AND(AW$4:AW58)),TRUE,AW59)</f>
        <v>0</v>
      </c>
      <c r="BB59" s="172" t="e">
        <f>IF(AND(NOT(ISBLANK(Jumpoverwrite11)),AND(NOT(BA59),AND(BA$4:BA58))),($J59*$G59-LN(1+Jumpoverwrite11*BC$2))/$G59,_xll.qlInterpolationInterpolate(BA$3,$F59,TRUE))</f>
        <v>#NUM!</v>
      </c>
      <c r="BC59" s="176" t="str">
        <f>IF(AND(NOT(BA59),AND(BA$4:BA58)),IF($BB59&lt;0,IF($BB59&lt;$J59,EXP(($BB59-$J59)*$G59),EXP(($J59-$BB59)*$G59)),EXP(($BB59-$J59)*$G59)),"")</f>
        <v/>
      </c>
      <c r="BE59" s="72" t="b">
        <f>IF(AND(NOT(BA59),AND(BA$4:BA58)),TRUE,BA59)</f>
        <v>0</v>
      </c>
      <c r="BF59" s="172" t="e">
        <f>IF(AND(NOT(ISBLANK(Jumpoverwrite12)),AND(NOT(BE59),AND(BE$4:BE58))),($J59*$G59-LN(1+Jumpoverwrite12*BG$2))/$G59,_xll.qlInterpolationInterpolate(BE$3,$F59,TRUE))</f>
        <v>#NUM!</v>
      </c>
      <c r="BG59" s="176" t="str">
        <f>IF(AND(NOT(BE59),AND(BE$4:BE58)),IF($BF59&lt;0,IF($BF59&lt;$J59,EXP(($BF59-$J59)*$G59),EXP(($J59-$BF59)*$G59)),EXP(($BF59-$J59)*$G59)),"")</f>
        <v/>
      </c>
      <c r="BI59" s="72" t="b">
        <f t="shared" si="5"/>
        <v>0</v>
      </c>
      <c r="BJ59" s="172" t="e">
        <f>IF(AND(NOT(ISBLANK(jumpoverwrite13)),AND(NOT(BI59),AND(BI$4:BI58))),($J59*$G59-LN(1+jumpoverwrite13*BK$2))/$G59,_xll.qlInterpolationInterpolate(BI$3,$F59,TRUE))</f>
        <v>#NUM!</v>
      </c>
      <c r="BK59" s="176" t="str">
        <f>IF(AND(NOT(BI59),AND(BI$4:BI58)),IF($BJ59&lt;0,IF($BJ59&lt;$J59,EXP(($BJ59-$J59)*$G59),EXP(($J59-$BJ59)*$G59)),EXP(($BJ59-$J59)*$G59)),"")</f>
        <v/>
      </c>
      <c r="BM59" s="72" t="b">
        <f>IF(AND(NOT(BI59),AND(BI$4:BI58)),TRUE,BI59)</f>
        <v>0</v>
      </c>
      <c r="BN59" s="172" t="e">
        <f>IF(AND(NOT(ISBLANK(Jumpoverwrite14)),AND(NOT(BM59),AND(BM$4:BM58))),($J59*$G59-LN(1+Jumpoverwrite14*BO$2))/$G59,_xll.qlInterpolationInterpolate(BM$3,$F59,TRUE))</f>
        <v>#NUM!</v>
      </c>
      <c r="BO59" s="176" t="str">
        <f>IF(AND(NOT(BM59),AND(BM$4:BM58)),IF($BN59&lt;0,IF($BN59&lt;$J59,EXP(($BN59-$J59)*$G59),EXP(($J59-$BN59)*$G59)),EXP(($BN59-$J59)*$G59)),"")</f>
        <v/>
      </c>
      <c r="BQ59" s="72" t="b">
        <f>IF(AND(NOT(BM59),AND(BM$4:BM58)),TRUE,BM59)</f>
        <v>0</v>
      </c>
      <c r="BR59" s="172" t="e">
        <f>IF(AND(NOT(ISBLANK(Jumpoverwrite15)),AND(NOT(BQ59),AND(BQ$4:BQ58))),($J59*$G59-LN(1+Jumpoverwrite15*BS$2))/$G59,_xll.qlInterpolationInterpolate(BQ$3,$F59,TRUE))</f>
        <v>#NUM!</v>
      </c>
      <c r="BS59" s="176" t="str">
        <f>IF(AND(NOT(BQ59),AND(BQ$4:BQ58)),IF($BN59&lt;0,IF($BN59&lt;$J59,EXP(($BN59-$J59)*$G59),EXP(($J59-$BN59)*$G59)),EXP(($BN59-$J59)*$G59)),"")</f>
        <v/>
      </c>
    </row>
    <row r="60" spans="1:71" x14ac:dyDescent="0.2">
      <c r="A60" s="33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84" t="e">
        <f t="shared" si="4"/>
        <v>#N/A</v>
      </c>
      <c r="G60" s="85" t="e">
        <f>_xll.qlDayCounterYearFraction(DayCounter,D59,D60)</f>
        <v>#NUM!</v>
      </c>
      <c r="I60" s="93" t="b">
        <f t="shared" si="2"/>
        <v>0</v>
      </c>
      <c r="J60" s="37" t="e">
        <v>#N/A</v>
      </c>
      <c r="K60" s="94" t="e">
        <f t="shared" si="3"/>
        <v>#VALUE!</v>
      </c>
      <c r="L60" s="105"/>
      <c r="M60" s="72" t="b">
        <f>IF(AND(NOT(I60),AND(I$4:I59)),TRUE,I60)</f>
        <v>0</v>
      </c>
      <c r="N60" s="172" t="e">
        <f>IF(AND(NOT(ISBLANK(Jumpoverwrite1)),AND(NOT(M60),AND(M$4:M59))),($J60*$G60-LN(1+Jumpoverwrite1*O$2))/$G60,_xll.qlInterpolationInterpolate(M$3,$F60,TRUE))</f>
        <v>#NUM!</v>
      </c>
      <c r="O60" s="34" t="str">
        <f>IF(AND(NOT(M60),AND(M$4:M59)),IF($N60&lt;0,IF($N60&lt;$J60,EXP(($N60-$J60)*$G60),EXP(($J60-$N60)*$G60)),EXP(($N60-$J60)*$G60)),"")</f>
        <v/>
      </c>
      <c r="P60" s="107"/>
      <c r="Q60" s="72" t="b">
        <f>IF(AND(NOT(M60),AND(M$4:M59)),TRUE,M60)</f>
        <v>0</v>
      </c>
      <c r="R60" s="172" t="e">
        <f>IF(AND(NOT(ISBLANK(Jumpoverwrite2)),AND(NOT(Q60),AND(Q$4:Q59))),($J60*$G60-LN(1+Jumpoverwrite2*S$2))/$G60,_xll.qlInterpolationInterpolate(Q$3,$F60,TRUE))</f>
        <v>#NUM!</v>
      </c>
      <c r="S60" s="176" t="str">
        <f>IF(AND(NOT(Q60),AND(Q$4:Q59)),IF($R60&lt;0,IF($R60&lt;$J60,EXP(($R60-$J60)*$G60),EXP(($J60-$R60)*$G60)),EXP(($R60-$J60)*$G60)),"")</f>
        <v/>
      </c>
      <c r="T60" s="107"/>
      <c r="U60" s="72" t="b">
        <f>IF(AND(NOT(Q60),AND(Q$4:Q59)),TRUE,Q60)</f>
        <v>0</v>
      </c>
      <c r="V60" s="172" t="e">
        <f>IF(AND(NOT(ISBLANK(Jumpoverwrite3)),AND(NOT(U60),AND(U$4:U59))),($J60*$G60-LN(1+Jumpoverwrite3*W$2))/$G60,_xll.qlInterpolationInterpolate(U$3,$F60,TRUE))</f>
        <v>#NUM!</v>
      </c>
      <c r="W60" s="176" t="str">
        <f>IF(AND(NOT(U60),AND(U$4:U59)),IF($V60&lt;0,IF($V60&lt;$J60,EXP(($V60-$J60)*$G60),EXP(($J60-$V60)*$G60)),EXP(($V60-$J60)*$G60)),"")</f>
        <v/>
      </c>
      <c r="X60" s="107"/>
      <c r="Y60" s="72" t="b">
        <f>IF(AND(NOT(U60),AND(U$4:U59)),TRUE,U60)</f>
        <v>0</v>
      </c>
      <c r="Z60" s="172" t="e">
        <f>IF(AND(NOT(ISBLANK(Jumpoverwrite4)),AND(NOT(Y60),AND(Y$4:Y59))),($J60*$G60-LN(1+Jumpoverwrite4*AA$2))/$G60,_xll.qlInterpolationInterpolate(Y$3,$F60,TRUE))</f>
        <v>#NUM!</v>
      </c>
      <c r="AA60" s="176" t="str">
        <f>IF(AND(NOT(Y60),AND(Y$4:Y59)),IF($Z60&lt;0,IF($Z60&lt;$J60,EXP(($Z60-$J60)*$G60),EXP(($J60-$Z60)*$G60)),EXP(($Z60-$J60)*$G60)),"")</f>
        <v/>
      </c>
      <c r="AB60" s="107"/>
      <c r="AC60" s="72" t="b">
        <f>IF(AND(NOT(Y60),AND(Y$4:Y59)),TRUE,Y60)</f>
        <v>0</v>
      </c>
      <c r="AD60" s="172" t="e">
        <f>IF(AND(NOT(ISBLANK(Jumpoverwrite5)),AND(NOT(AC60),AND(AC$4:AC59))),($J60*$G60-LN(1+Jumpoverwrite5*AE$2))/$G60,_xll.qlInterpolationInterpolate(AC$3,$F60,TRUE))</f>
        <v>#NUM!</v>
      </c>
      <c r="AE60" s="176" t="str">
        <f>IF(AND(NOT(AC60),AND(AC$4:AC59)),IF($AD60&lt;0,IF($AD60&lt;$J60,EXP(($AD60-$J60)*$G60),EXP(($J60-$AD60)*$G60)),EXP(($AD60-$J60)*$G60)),"")</f>
        <v/>
      </c>
      <c r="AF60" s="107"/>
      <c r="AG60" s="72" t="b">
        <f>IF(AND(NOT(AC60),AND(AC$4:AC59)),TRUE,AC60)</f>
        <v>0</v>
      </c>
      <c r="AH60" s="172" t="e">
        <f>IF(AND(NOT(ISBLANK(Jumpoverwrite6)),AND(NOT(AG60),AND(AG$4:AG59))),($J60*$G60-LN(1+Jumpoverwrite6*AI$2))/$G60,_xll.qlInterpolationInterpolate(AG$3,$F60,TRUE))</f>
        <v>#NUM!</v>
      </c>
      <c r="AI60" s="176" t="str">
        <f>IF(AND(NOT(AG60),AND(AG$4:AG59)),IF($AH60&lt;0,IF($AH60&lt;$J60,EXP(($AH60-$J60)*$G60),EXP(($J60-$AH60)*$G60)),EXP(($AH60-$J60)*$G60)),"")</f>
        <v/>
      </c>
      <c r="AJ60" s="107"/>
      <c r="AK60" s="72" t="b">
        <f>IF(AND(NOT(AG60),AND(AG$4:AG59)),TRUE,AG60)</f>
        <v>0</v>
      </c>
      <c r="AL60" s="172" t="e">
        <f>IF(AND(NOT(ISBLANK(Jumpoverwrite7)),AND(NOT(AK60),AND(AK$4:AK59))),($J60*$G60-LN(1+Jumpoverwrite7*AM$2))/$G60,_xll.qlInterpolationInterpolate(AK$3,$F60,TRUE))</f>
        <v>#NUM!</v>
      </c>
      <c r="AM60" s="176" t="str">
        <f>IF(AND(NOT(AK60),AND(AK$4:AK59)),IF($AL60&lt;0,IF($AL60&lt;$J60,EXP(($AL60-$J60)*$G60),EXP(($J60-$AL60)*$G60)),EXP(($AL60-$J60)*$G60)),"")</f>
        <v/>
      </c>
      <c r="AO60" s="72" t="b">
        <f>IF(AND(NOT(AK60),AND(AK$4:AK59)),TRUE,AK60)</f>
        <v>0</v>
      </c>
      <c r="AP60" s="172" t="e">
        <f>IF(AND(NOT(ISBLANK(Jumpoverwrite8)),AND(NOT(AO60),AND(AO$4:AO59))),($J60*$G60-LN(1+Jumpoverwrite8*AQ$2))/$G60,_xll.qlInterpolationInterpolate(AO$3,$F60,TRUE))</f>
        <v>#NUM!</v>
      </c>
      <c r="AQ60" s="176" t="str">
        <f>IF(AND(NOT(AO60),AND(AO$4:AO59)),IF($AP60&lt;0,IF($AP60&lt;$J60,EXP(($AP60-$J60)*$G60),EXP(($J60-$AP60)*$G60)),EXP(($AP60-$J60)*$G60)),"")</f>
        <v/>
      </c>
      <c r="AS60" s="72" t="b">
        <f>IF(AND(NOT(AO60),AND(AO$4:AO59)),TRUE,AO60)</f>
        <v>0</v>
      </c>
      <c r="AT60" s="172" t="e">
        <f>IF(AND(NOT(ISBLANK(Jumpoverwrite9)),AND(NOT(AS60),AND(AS$4:AS59))),($J60*$G60-LN(1+Jumpoverwrite9*AU$2))/$G60,_xll.qlInterpolationInterpolate(AS$3,$F60,TRUE))</f>
        <v>#NUM!</v>
      </c>
      <c r="AU60" s="176" t="str">
        <f>IF(AND(NOT(AS60),AND(AS$4:AS59)),IF($AT60&lt;0,IF($AT60&lt;$J60,EXP(($AT60-$J60)*$G60),EXP(($J60-$AT60)*$G60)),EXP(($AT60-$J60)*$G60)),"")</f>
        <v/>
      </c>
      <c r="AW60" s="72" t="b">
        <f>IF(AND(NOT(AS60),AND(AS$4:AS59)),TRUE,AS60)</f>
        <v>0</v>
      </c>
      <c r="AX60" s="172" t="e">
        <f>IF(AND(NOT(ISBLANK(Jumpoverwrite10)),AND(NOT(AW60),AND(AW$4:AW59))),($J60*$G60-LN(1+Jumpoverwrite10*AY$2))/$G60,_xll.qlInterpolationInterpolate(AW$3,$F60,TRUE))</f>
        <v>#NUM!</v>
      </c>
      <c r="AY60" s="176" t="str">
        <f>IF(AND(NOT(AW60),AND(AW$4:AW59)),IF($AX60&lt;0,IF($AX60&lt;$J60,EXP(($AX60-$J60)*$G60),EXP(($J60-$AX60)*$G60)),EXP(($AX60-$J60)*$G60)),"")</f>
        <v/>
      </c>
      <c r="BA60" s="72" t="b">
        <f>IF(AND(NOT(AW60),AND(AW$4:AW59)),TRUE,AW60)</f>
        <v>0</v>
      </c>
      <c r="BB60" s="172" t="e">
        <f>IF(AND(NOT(ISBLANK(Jumpoverwrite11)),AND(NOT(BA60),AND(BA$4:BA59))),($J60*$G60-LN(1+Jumpoverwrite11*BC$2))/$G60,_xll.qlInterpolationInterpolate(BA$3,$F60,TRUE))</f>
        <v>#NUM!</v>
      </c>
      <c r="BC60" s="176" t="str">
        <f>IF(AND(NOT(BA60),AND(BA$4:BA59)),IF($BB60&lt;0,IF($BB60&lt;$J60,EXP(($BB60-$J60)*$G60),EXP(($J60-$BB60)*$G60)),EXP(($BB60-$J60)*$G60)),"")</f>
        <v/>
      </c>
      <c r="BE60" s="72" t="b">
        <f>IF(AND(NOT(BA60),AND(BA$4:BA59)),TRUE,BA60)</f>
        <v>0</v>
      </c>
      <c r="BF60" s="172" t="e">
        <f>IF(AND(NOT(ISBLANK(Jumpoverwrite12)),AND(NOT(BE60),AND(BE$4:BE59))),($J60*$G60-LN(1+Jumpoverwrite12*BG$2))/$G60,_xll.qlInterpolationInterpolate(BE$3,$F60,TRUE))</f>
        <v>#NUM!</v>
      </c>
      <c r="BG60" s="176" t="str">
        <f>IF(AND(NOT(BE60),AND(BE$4:BE59)),IF($BF60&lt;0,IF($BF60&lt;$J60,EXP(($BF60-$J60)*$G60),EXP(($J60-$BF60)*$G60)),EXP(($BF60-$J60)*$G60)),"")</f>
        <v/>
      </c>
      <c r="BI60" s="72" t="b">
        <f t="shared" si="5"/>
        <v>0</v>
      </c>
      <c r="BJ60" s="172" t="e">
        <f>IF(AND(NOT(ISBLANK(jumpoverwrite13)),AND(NOT(BI60),AND(BI$4:BI59))),($J60*$G60-LN(1+jumpoverwrite13*BK$2))/$G60,_xll.qlInterpolationInterpolate(BI$3,$F60,TRUE))</f>
        <v>#NUM!</v>
      </c>
      <c r="BK60" s="176" t="str">
        <f>IF(AND(NOT(BI60),AND(BI$4:BI59)),IF($BJ60&lt;0,IF($BJ60&lt;$J60,EXP(($BJ60-$J60)*$G60),EXP(($J60-$BJ60)*$G60)),EXP(($BJ60-$J60)*$G60)),"")</f>
        <v/>
      </c>
      <c r="BM60" s="72" t="b">
        <f>IF(AND(NOT(BI60),AND(BI$4:BI59)),TRUE,BI60)</f>
        <v>0</v>
      </c>
      <c r="BN60" s="172" t="e">
        <f>IF(AND(NOT(ISBLANK(Jumpoverwrite14)),AND(NOT(BM60),AND(BM$4:BM59))),($J60*$G60-LN(1+Jumpoverwrite14*BO$2))/$G60,_xll.qlInterpolationInterpolate(BM$3,$F60,TRUE))</f>
        <v>#NUM!</v>
      </c>
      <c r="BO60" s="176" t="str">
        <f>IF(AND(NOT(BM60),AND(BM$4:BM59)),IF($BN60&lt;0,IF($BN60&lt;$J60,EXP(($BN60-$J60)*$G60),EXP(($J60-$BN60)*$G60)),EXP(($BN60-$J60)*$G60)),"")</f>
        <v/>
      </c>
      <c r="BQ60" s="72" t="b">
        <f>IF(AND(NOT(BM60),AND(BM$4:BM59)),TRUE,BM60)</f>
        <v>0</v>
      </c>
      <c r="BR60" s="172" t="e">
        <f>IF(AND(NOT(ISBLANK(Jumpoverwrite15)),AND(NOT(BQ60),AND(BQ$4:BQ59))),($J60*$G60-LN(1+Jumpoverwrite15*BS$2))/$G60,_xll.qlInterpolationInterpolate(BQ$3,$F60,TRUE))</f>
        <v>#NUM!</v>
      </c>
      <c r="BS60" s="176" t="str">
        <f>IF(AND(NOT(BQ60),AND(BQ$4:BQ59)),IF($BN60&lt;0,IF($BN60&lt;$J60,EXP(($BN60-$J60)*$G60),EXP(($J60-$BN60)*$G60)),EXP(($BN60-$J60)*$G60)),"")</f>
        <v/>
      </c>
    </row>
    <row r="61" spans="1:71" x14ac:dyDescent="0.2">
      <c r="A61" s="33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84" t="e">
        <f t="shared" si="4"/>
        <v>#N/A</v>
      </c>
      <c r="G61" s="85" t="e">
        <f>_xll.qlDayCounterYearFraction(DayCounter,D60,D61)</f>
        <v>#NUM!</v>
      </c>
      <c r="I61" s="93" t="b">
        <f t="shared" si="2"/>
        <v>0</v>
      </c>
      <c r="J61" s="37" t="e">
        <v>#N/A</v>
      </c>
      <c r="K61" s="94" t="e">
        <f t="shared" si="3"/>
        <v>#VALUE!</v>
      </c>
      <c r="L61" s="105"/>
      <c r="M61" s="72" t="b">
        <f>IF(AND(NOT(I61),AND(I$4:I60)),TRUE,I61)</f>
        <v>0</v>
      </c>
      <c r="N61" s="172" t="e">
        <f>IF(AND(NOT(ISBLANK(Jumpoverwrite1)),AND(NOT(M61),AND(M$4:M60))),($J61*$G61-LN(1+Jumpoverwrite1*O$2))/$G61,_xll.qlInterpolationInterpolate(M$3,$F61,TRUE))</f>
        <v>#NUM!</v>
      </c>
      <c r="O61" s="34" t="str">
        <f>IF(AND(NOT(M61),AND(M$4:M60)),IF($N61&lt;0,IF($N61&lt;$J61,EXP(($N61-$J61)*$G61),EXP(($J61-$N61)*$G61)),EXP(($N61-$J61)*$G61)),"")</f>
        <v/>
      </c>
      <c r="P61" s="107"/>
      <c r="Q61" s="72" t="b">
        <f>IF(AND(NOT(M61),AND(M$4:M60)),TRUE,M61)</f>
        <v>0</v>
      </c>
      <c r="R61" s="172" t="e">
        <f>IF(AND(NOT(ISBLANK(Jumpoverwrite2)),AND(NOT(Q61),AND(Q$4:Q60))),($J61*$G61-LN(1+Jumpoverwrite2*S$2))/$G61,_xll.qlInterpolationInterpolate(Q$3,$F61,TRUE))</f>
        <v>#NUM!</v>
      </c>
      <c r="S61" s="176" t="str">
        <f>IF(AND(NOT(Q61),AND(Q$4:Q60)),IF($R61&lt;0,IF($R61&lt;$J61,EXP(($R61-$J61)*$G61),EXP(($J61-$R61)*$G61)),EXP(($R61-$J61)*$G61)),"")</f>
        <v/>
      </c>
      <c r="T61" s="107"/>
      <c r="U61" s="72" t="b">
        <f>IF(AND(NOT(Q61),AND(Q$4:Q60)),TRUE,Q61)</f>
        <v>0</v>
      </c>
      <c r="V61" s="172" t="e">
        <f>IF(AND(NOT(ISBLANK(Jumpoverwrite3)),AND(NOT(U61),AND(U$4:U60))),($J61*$G61-LN(1+Jumpoverwrite3*W$2))/$G61,_xll.qlInterpolationInterpolate(U$3,$F61,TRUE))</f>
        <v>#NUM!</v>
      </c>
      <c r="W61" s="176" t="str">
        <f>IF(AND(NOT(U61),AND(U$4:U60)),IF($V61&lt;0,IF($V61&lt;$J61,EXP(($V61-$J61)*$G61),EXP(($J61-$V61)*$G61)),EXP(($V61-$J61)*$G61)),"")</f>
        <v/>
      </c>
      <c r="X61" s="107"/>
      <c r="Y61" s="72" t="b">
        <f>IF(AND(NOT(U61),AND(U$4:U60)),TRUE,U61)</f>
        <v>0</v>
      </c>
      <c r="Z61" s="172" t="e">
        <f>IF(AND(NOT(ISBLANK(Jumpoverwrite4)),AND(NOT(Y61),AND(Y$4:Y60))),($J61*$G61-LN(1+Jumpoverwrite4*AA$2))/$G61,_xll.qlInterpolationInterpolate(Y$3,$F61,TRUE))</f>
        <v>#NUM!</v>
      </c>
      <c r="AA61" s="176" t="str">
        <f>IF(AND(NOT(Y61),AND(Y$4:Y60)),IF($Z61&lt;0,IF($Z61&lt;$J61,EXP(($Z61-$J61)*$G61),EXP(($J61-$Z61)*$G61)),EXP(($Z61-$J61)*$G61)),"")</f>
        <v/>
      </c>
      <c r="AB61" s="107"/>
      <c r="AC61" s="72" t="b">
        <f>IF(AND(NOT(Y61),AND(Y$4:Y60)),TRUE,Y61)</f>
        <v>0</v>
      </c>
      <c r="AD61" s="172" t="e">
        <f>IF(AND(NOT(ISBLANK(Jumpoverwrite5)),AND(NOT(AC61),AND(AC$4:AC60))),($J61*$G61-LN(1+Jumpoverwrite5*AE$2))/$G61,_xll.qlInterpolationInterpolate(AC$3,$F61,TRUE))</f>
        <v>#NUM!</v>
      </c>
      <c r="AE61" s="176" t="str">
        <f>IF(AND(NOT(AC61),AND(AC$4:AC60)),IF($AD61&lt;0,IF($AD61&lt;$J61,EXP(($AD61-$J61)*$G61),EXP(($J61-$AD61)*$G61)),EXP(($AD61-$J61)*$G61)),"")</f>
        <v/>
      </c>
      <c r="AF61" s="107"/>
      <c r="AG61" s="72" t="b">
        <f>IF(AND(NOT(AC61),AND(AC$4:AC60)),TRUE,AC61)</f>
        <v>0</v>
      </c>
      <c r="AH61" s="172" t="e">
        <f>IF(AND(NOT(ISBLANK(Jumpoverwrite6)),AND(NOT(AG61),AND(AG$4:AG60))),($J61*$G61-LN(1+Jumpoverwrite6*AI$2))/$G61,_xll.qlInterpolationInterpolate(AG$3,$F61,TRUE))</f>
        <v>#NUM!</v>
      </c>
      <c r="AI61" s="176" t="str">
        <f>IF(AND(NOT(AG61),AND(AG$4:AG60)),IF($AH61&lt;0,IF($AH61&lt;$J61,EXP(($AH61-$J61)*$G61),EXP(($J61-$AH61)*$G61)),EXP(($AH61-$J61)*$G61)),"")</f>
        <v/>
      </c>
      <c r="AJ61" s="107"/>
      <c r="AK61" s="72" t="b">
        <f>IF(AND(NOT(AG61),AND(AG$4:AG60)),TRUE,AG61)</f>
        <v>0</v>
      </c>
      <c r="AL61" s="172" t="e">
        <f>IF(AND(NOT(ISBLANK(Jumpoverwrite7)),AND(NOT(AK61),AND(AK$4:AK60))),($J61*$G61-LN(1+Jumpoverwrite7*AM$2))/$G61,_xll.qlInterpolationInterpolate(AK$3,$F61,TRUE))</f>
        <v>#NUM!</v>
      </c>
      <c r="AM61" s="176" t="str">
        <f>IF(AND(NOT(AK61),AND(AK$4:AK60)),IF($AL61&lt;0,IF($AL61&lt;$J61,EXP(($AL61-$J61)*$G61),EXP(($J61-$AL61)*$G61)),EXP(($AL61-$J61)*$G61)),"")</f>
        <v/>
      </c>
      <c r="AO61" s="72" t="b">
        <f>IF(AND(NOT(AK61),AND(AK$4:AK60)),TRUE,AK61)</f>
        <v>0</v>
      </c>
      <c r="AP61" s="172" t="e">
        <f>IF(AND(NOT(ISBLANK(Jumpoverwrite8)),AND(NOT(AO61),AND(AO$4:AO60))),($J61*$G61-LN(1+Jumpoverwrite8*AQ$2))/$G61,_xll.qlInterpolationInterpolate(AO$3,$F61,TRUE))</f>
        <v>#NUM!</v>
      </c>
      <c r="AQ61" s="176" t="str">
        <f>IF(AND(NOT(AO61),AND(AO$4:AO60)),IF($AP61&lt;0,IF($AP61&lt;$J61,EXP(($AP61-$J61)*$G61),EXP(($J61-$AP61)*$G61)),EXP(($AP61-$J61)*$G61)),"")</f>
        <v/>
      </c>
      <c r="AS61" s="72" t="b">
        <f>IF(AND(NOT(AO61),AND(AO$4:AO60)),TRUE,AO61)</f>
        <v>0</v>
      </c>
      <c r="AT61" s="172" t="e">
        <f>IF(AND(NOT(ISBLANK(Jumpoverwrite9)),AND(NOT(AS61),AND(AS$4:AS60))),($J61*$G61-LN(1+Jumpoverwrite9*AU$2))/$G61,_xll.qlInterpolationInterpolate(AS$3,$F61,TRUE))</f>
        <v>#NUM!</v>
      </c>
      <c r="AU61" s="176" t="str">
        <f>IF(AND(NOT(AS61),AND(AS$4:AS60)),IF($AT61&lt;0,IF($AT61&lt;$J61,EXP(($AT61-$J61)*$G61),EXP(($J61-$AT61)*$G61)),EXP(($AT61-$J61)*$G61)),"")</f>
        <v/>
      </c>
      <c r="AW61" s="72" t="b">
        <f>IF(AND(NOT(AS61),AND(AS$4:AS60)),TRUE,AS61)</f>
        <v>0</v>
      </c>
      <c r="AX61" s="172" t="e">
        <f>IF(AND(NOT(ISBLANK(Jumpoverwrite10)),AND(NOT(AW61),AND(AW$4:AW60))),($J61*$G61-LN(1+Jumpoverwrite10*AY$2))/$G61,_xll.qlInterpolationInterpolate(AW$3,$F61,TRUE))</f>
        <v>#NUM!</v>
      </c>
      <c r="AY61" s="176" t="str">
        <f>IF(AND(NOT(AW61),AND(AW$4:AW60)),IF($AX61&lt;0,IF($AX61&lt;$J61,EXP(($AX61-$J61)*$G61),EXP(($J61-$AX61)*$G61)),EXP(($AX61-$J61)*$G61)),"")</f>
        <v/>
      </c>
      <c r="BA61" s="72" t="b">
        <f>IF(AND(NOT(AW61),AND(AW$4:AW60)),TRUE,AW61)</f>
        <v>0</v>
      </c>
      <c r="BB61" s="172" t="e">
        <f>IF(AND(NOT(ISBLANK(Jumpoverwrite11)),AND(NOT(BA61),AND(BA$4:BA60))),($J61*$G61-LN(1+Jumpoverwrite11*BC$2))/$G61,_xll.qlInterpolationInterpolate(BA$3,$F61,TRUE))</f>
        <v>#NUM!</v>
      </c>
      <c r="BC61" s="176" t="str">
        <f>IF(AND(NOT(BA61),AND(BA$4:BA60)),IF($BB61&lt;0,IF($BB61&lt;$J61,EXP(($BB61-$J61)*$G61),EXP(($J61-$BB61)*$G61)),EXP(($BB61-$J61)*$G61)),"")</f>
        <v/>
      </c>
      <c r="BE61" s="72" t="b">
        <f>IF(AND(NOT(BA61),AND(BA$4:BA60)),TRUE,BA61)</f>
        <v>0</v>
      </c>
      <c r="BF61" s="172" t="e">
        <f>IF(AND(NOT(ISBLANK(Jumpoverwrite12)),AND(NOT(BE61),AND(BE$4:BE60))),($J61*$G61-LN(1+Jumpoverwrite12*BG$2))/$G61,_xll.qlInterpolationInterpolate(BE$3,$F61,TRUE))</f>
        <v>#NUM!</v>
      </c>
      <c r="BG61" s="176" t="str">
        <f>IF(AND(NOT(BE61),AND(BE$4:BE60)),IF($BF61&lt;0,IF($BF61&lt;$J61,EXP(($BF61-$J61)*$G61),EXP(($J61-$BF61)*$G61)),EXP(($BF61-$J61)*$G61)),"")</f>
        <v/>
      </c>
      <c r="BI61" s="72" t="b">
        <f t="shared" si="5"/>
        <v>0</v>
      </c>
      <c r="BJ61" s="172" t="e">
        <f>IF(AND(NOT(ISBLANK(jumpoverwrite13)),AND(NOT(BI61),AND(BI$4:BI60))),($J61*$G61-LN(1+jumpoverwrite13*BK$2))/$G61,_xll.qlInterpolationInterpolate(BI$3,$F61,TRUE))</f>
        <v>#NUM!</v>
      </c>
      <c r="BK61" s="176" t="str">
        <f>IF(AND(NOT(BI61),AND(BI$4:BI60)),IF($BJ61&lt;0,IF($BJ61&lt;$J61,EXP(($BJ61-$J61)*$G61),EXP(($J61-$BJ61)*$G61)),EXP(($BJ61-$J61)*$G61)),"")</f>
        <v/>
      </c>
      <c r="BM61" s="72" t="b">
        <f>IF(AND(NOT(BI61),AND(BI$4:BI60)),TRUE,BI61)</f>
        <v>0</v>
      </c>
      <c r="BN61" s="172" t="e">
        <f>IF(AND(NOT(ISBLANK(Jumpoverwrite14)),AND(NOT(BM61),AND(BM$4:BM60))),($J61*$G61-LN(1+Jumpoverwrite14*BO$2))/$G61,_xll.qlInterpolationInterpolate(BM$3,$F61,TRUE))</f>
        <v>#NUM!</v>
      </c>
      <c r="BO61" s="176" t="str">
        <f>IF(AND(NOT(BM61),AND(BM$4:BM60)),IF($BN61&lt;0,IF($BN61&lt;$J61,EXP(($BN61-$J61)*$G61),EXP(($J61-$BN61)*$G61)),EXP(($BN61-$J61)*$G61)),"")</f>
        <v/>
      </c>
      <c r="BQ61" s="72" t="b">
        <f>IF(AND(NOT(BM61),AND(BM$4:BM60)),TRUE,BM61)</f>
        <v>0</v>
      </c>
      <c r="BR61" s="172" t="e">
        <f>IF(AND(NOT(ISBLANK(Jumpoverwrite15)),AND(NOT(BQ61),AND(BQ$4:BQ60))),($J61*$G61-LN(1+Jumpoverwrite15*BS$2))/$G61,_xll.qlInterpolationInterpolate(BQ$3,$F61,TRUE))</f>
        <v>#NUM!</v>
      </c>
      <c r="BS61" s="176" t="str">
        <f>IF(AND(NOT(BQ61),AND(BQ$4:BQ60)),IF($BN61&lt;0,IF($BN61&lt;$J61,EXP(($BN61-$J61)*$G61),EXP(($J61-$BN61)*$G61)),EXP(($BN61-$J61)*$G61)),"")</f>
        <v/>
      </c>
    </row>
    <row r="62" spans="1:71" x14ac:dyDescent="0.2">
      <c r="A62" s="33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84" t="e">
        <f t="shared" si="4"/>
        <v>#N/A</v>
      </c>
      <c r="G62" s="85" t="e">
        <f>_xll.qlDayCounterYearFraction(DayCounter,D61,D62)</f>
        <v>#NUM!</v>
      </c>
      <c r="I62" s="93" t="b">
        <f t="shared" si="2"/>
        <v>0</v>
      </c>
      <c r="J62" s="37" t="e">
        <v>#N/A</v>
      </c>
      <c r="K62" s="94" t="e">
        <f t="shared" si="3"/>
        <v>#VALUE!</v>
      </c>
      <c r="L62" s="105"/>
      <c r="M62" s="72" t="b">
        <f>IF(AND(NOT(I62),AND(I$4:I61)),TRUE,I62)</f>
        <v>0</v>
      </c>
      <c r="N62" s="172" t="e">
        <f>IF(AND(NOT(ISBLANK(Jumpoverwrite1)),AND(NOT(M62),AND(M$4:M61))),($J62*$G62-LN(1+Jumpoverwrite1*O$2))/$G62,_xll.qlInterpolationInterpolate(M$3,$F62,TRUE))</f>
        <v>#NUM!</v>
      </c>
      <c r="O62" s="34" t="str">
        <f>IF(AND(NOT(M62),AND(M$4:M61)),IF($N62&lt;0,IF($N62&lt;$J62,EXP(($N62-$J62)*$G62),EXP(($J62-$N62)*$G62)),EXP(($N62-$J62)*$G62)),"")</f>
        <v/>
      </c>
      <c r="P62" s="107"/>
      <c r="Q62" s="72" t="b">
        <f>IF(AND(NOT(M62),AND(M$4:M61)),TRUE,M62)</f>
        <v>0</v>
      </c>
      <c r="R62" s="172" t="e">
        <f>IF(AND(NOT(ISBLANK(Jumpoverwrite2)),AND(NOT(Q62),AND(Q$4:Q61))),($J62*$G62-LN(1+Jumpoverwrite2*S$2))/$G62,_xll.qlInterpolationInterpolate(Q$3,$F62,TRUE))</f>
        <v>#NUM!</v>
      </c>
      <c r="S62" s="176" t="str">
        <f>IF(AND(NOT(Q62),AND(Q$4:Q61)),IF($R62&lt;0,IF($R62&lt;$J62,EXP(($R62-$J62)*$G62),EXP(($J62-$R62)*$G62)),EXP(($R62-$J62)*$G62)),"")</f>
        <v/>
      </c>
      <c r="T62" s="107"/>
      <c r="U62" s="72" t="b">
        <f>IF(AND(NOT(Q62),AND(Q$4:Q61)),TRUE,Q62)</f>
        <v>0</v>
      </c>
      <c r="V62" s="172" t="e">
        <f>IF(AND(NOT(ISBLANK(Jumpoverwrite3)),AND(NOT(U62),AND(U$4:U61))),($J62*$G62-LN(1+Jumpoverwrite3*W$2))/$G62,_xll.qlInterpolationInterpolate(U$3,$F62,TRUE))</f>
        <v>#NUM!</v>
      </c>
      <c r="W62" s="176" t="str">
        <f>IF(AND(NOT(U62),AND(U$4:U61)),IF($V62&lt;0,IF($V62&lt;$J62,EXP(($V62-$J62)*$G62),EXP(($J62-$V62)*$G62)),EXP(($V62-$J62)*$G62)),"")</f>
        <v/>
      </c>
      <c r="X62" s="107"/>
      <c r="Y62" s="72" t="b">
        <f>IF(AND(NOT(U62),AND(U$4:U61)),TRUE,U62)</f>
        <v>0</v>
      </c>
      <c r="Z62" s="172" t="e">
        <f>IF(AND(NOT(ISBLANK(Jumpoverwrite4)),AND(NOT(Y62),AND(Y$4:Y61))),($J62*$G62-LN(1+Jumpoverwrite4*AA$2))/$G62,_xll.qlInterpolationInterpolate(Y$3,$F62,TRUE))</f>
        <v>#NUM!</v>
      </c>
      <c r="AA62" s="176" t="str">
        <f>IF(AND(NOT(Y62),AND(Y$4:Y61)),IF($Z62&lt;0,IF($Z62&lt;$J62,EXP(($Z62-$J62)*$G62),EXP(($J62-$Z62)*$G62)),EXP(($Z62-$J62)*$G62)),"")</f>
        <v/>
      </c>
      <c r="AB62" s="107"/>
      <c r="AC62" s="72" t="b">
        <f>IF(AND(NOT(Y62),AND(Y$4:Y61)),TRUE,Y62)</f>
        <v>0</v>
      </c>
      <c r="AD62" s="172" t="e">
        <f>IF(AND(NOT(ISBLANK(Jumpoverwrite5)),AND(NOT(AC62),AND(AC$4:AC61))),($J62*$G62-LN(1+Jumpoverwrite5*AE$2))/$G62,_xll.qlInterpolationInterpolate(AC$3,$F62,TRUE))</f>
        <v>#NUM!</v>
      </c>
      <c r="AE62" s="176" t="str">
        <f>IF(AND(NOT(AC62),AND(AC$4:AC61)),IF($AD62&lt;0,IF($AD62&lt;$J62,EXP(($AD62-$J62)*$G62),EXP(($J62-$AD62)*$G62)),EXP(($AD62-$J62)*$G62)),"")</f>
        <v/>
      </c>
      <c r="AF62" s="107"/>
      <c r="AG62" s="72" t="b">
        <f>IF(AND(NOT(AC62),AND(AC$4:AC61)),TRUE,AC62)</f>
        <v>0</v>
      </c>
      <c r="AH62" s="172" t="e">
        <f>IF(AND(NOT(ISBLANK(Jumpoverwrite6)),AND(NOT(AG62),AND(AG$4:AG61))),($J62*$G62-LN(1+Jumpoverwrite6*AI$2))/$G62,_xll.qlInterpolationInterpolate(AG$3,$F62,TRUE))</f>
        <v>#NUM!</v>
      </c>
      <c r="AI62" s="176" t="str">
        <f>IF(AND(NOT(AG62),AND(AG$4:AG61)),IF($AH62&lt;0,IF($AH62&lt;$J62,EXP(($AH62-$J62)*$G62),EXP(($J62-$AH62)*$G62)),EXP(($AH62-$J62)*$G62)),"")</f>
        <v/>
      </c>
      <c r="AJ62" s="107"/>
      <c r="AK62" s="72" t="b">
        <f>IF(AND(NOT(AG62),AND(AG$4:AG61)),TRUE,AG62)</f>
        <v>0</v>
      </c>
      <c r="AL62" s="172" t="e">
        <f>IF(AND(NOT(ISBLANK(Jumpoverwrite7)),AND(NOT(AK62),AND(AK$4:AK61))),($J62*$G62-LN(1+Jumpoverwrite7*AM$2))/$G62,_xll.qlInterpolationInterpolate(AK$3,$F62,TRUE))</f>
        <v>#NUM!</v>
      </c>
      <c r="AM62" s="176" t="str">
        <f>IF(AND(NOT(AK62),AND(AK$4:AK61)),IF($AL62&lt;0,IF($AL62&lt;$J62,EXP(($AL62-$J62)*$G62),EXP(($J62-$AL62)*$G62)),EXP(($AL62-$J62)*$G62)),"")</f>
        <v/>
      </c>
      <c r="AO62" s="72" t="b">
        <f>IF(AND(NOT(AK62),AND(AK$4:AK61)),TRUE,AK62)</f>
        <v>0</v>
      </c>
      <c r="AP62" s="172" t="e">
        <f>IF(AND(NOT(ISBLANK(Jumpoverwrite8)),AND(NOT(AO62),AND(AO$4:AO61))),($J62*$G62-LN(1+Jumpoverwrite8*AQ$2))/$G62,_xll.qlInterpolationInterpolate(AO$3,$F62,TRUE))</f>
        <v>#NUM!</v>
      </c>
      <c r="AQ62" s="176" t="str">
        <f>IF(AND(NOT(AO62),AND(AO$4:AO61)),IF($AP62&lt;0,IF($AP62&lt;$J62,EXP(($AP62-$J62)*$G62),EXP(($J62-$AP62)*$G62)),EXP(($AP62-$J62)*$G62)),"")</f>
        <v/>
      </c>
      <c r="AS62" s="72" t="b">
        <f>IF(AND(NOT(AO62),AND(AO$4:AO61)),TRUE,AO62)</f>
        <v>0</v>
      </c>
      <c r="AT62" s="172" t="e">
        <f>IF(AND(NOT(ISBLANK(Jumpoverwrite9)),AND(NOT(AS62),AND(AS$4:AS61))),($J62*$G62-LN(1+Jumpoverwrite9*AU$2))/$G62,_xll.qlInterpolationInterpolate(AS$3,$F62,TRUE))</f>
        <v>#NUM!</v>
      </c>
      <c r="AU62" s="176" t="str">
        <f>IF(AND(NOT(AS62),AND(AS$4:AS61)),IF($AT62&lt;0,IF($AT62&lt;$J62,EXP(($AT62-$J62)*$G62),EXP(($J62-$AT62)*$G62)),EXP(($AT62-$J62)*$G62)),"")</f>
        <v/>
      </c>
      <c r="AW62" s="72" t="b">
        <f>IF(AND(NOT(AS62),AND(AS$4:AS61)),TRUE,AS62)</f>
        <v>0</v>
      </c>
      <c r="AX62" s="172" t="e">
        <f>IF(AND(NOT(ISBLANK(Jumpoverwrite10)),AND(NOT(AW62),AND(AW$4:AW61))),($J62*$G62-LN(1+Jumpoverwrite10*AY$2))/$G62,_xll.qlInterpolationInterpolate(AW$3,$F62,TRUE))</f>
        <v>#NUM!</v>
      </c>
      <c r="AY62" s="176" t="str">
        <f>IF(AND(NOT(AW62),AND(AW$4:AW61)),IF($AX62&lt;0,IF($AX62&lt;$J62,EXP(($AX62-$J62)*$G62),EXP(($J62-$AX62)*$G62)),EXP(($AX62-$J62)*$G62)),"")</f>
        <v/>
      </c>
      <c r="BA62" s="72" t="b">
        <f>IF(AND(NOT(AW62),AND(AW$4:AW61)),TRUE,AW62)</f>
        <v>0</v>
      </c>
      <c r="BB62" s="172" t="e">
        <f>IF(AND(NOT(ISBLANK(Jumpoverwrite11)),AND(NOT(BA62),AND(BA$4:BA61))),($J62*$G62-LN(1+Jumpoverwrite11*BC$2))/$G62,_xll.qlInterpolationInterpolate(BA$3,$F62,TRUE))</f>
        <v>#NUM!</v>
      </c>
      <c r="BC62" s="176" t="str">
        <f>IF(AND(NOT(BA62),AND(BA$4:BA61)),IF($BB62&lt;0,IF($BB62&lt;$J62,EXP(($BB62-$J62)*$G62),EXP(($J62-$BB62)*$G62)),EXP(($BB62-$J62)*$G62)),"")</f>
        <v/>
      </c>
      <c r="BE62" s="72" t="b">
        <f>IF(AND(NOT(BA62),AND(BA$4:BA61)),TRUE,BA62)</f>
        <v>0</v>
      </c>
      <c r="BF62" s="172" t="e">
        <f>IF(AND(NOT(ISBLANK(Jumpoverwrite12)),AND(NOT(BE62),AND(BE$4:BE61))),($J62*$G62-LN(1+Jumpoverwrite12*BG$2))/$G62,_xll.qlInterpolationInterpolate(BE$3,$F62,TRUE))</f>
        <v>#NUM!</v>
      </c>
      <c r="BG62" s="176" t="str">
        <f>IF(AND(NOT(BE62),AND(BE$4:BE61)),IF($BF62&lt;0,IF($BF62&lt;$J62,EXP(($BF62-$J62)*$G62),EXP(($J62-$BF62)*$G62)),EXP(($BF62-$J62)*$G62)),"")</f>
        <v/>
      </c>
      <c r="BI62" s="72" t="b">
        <f t="shared" si="5"/>
        <v>0</v>
      </c>
      <c r="BJ62" s="172" t="e">
        <f>IF(AND(NOT(ISBLANK(jumpoverwrite13)),AND(NOT(BI62),AND(BI$4:BI61))),($J62*$G62-LN(1+jumpoverwrite13*BK$2))/$G62,_xll.qlInterpolationInterpolate(BI$3,$F62,TRUE))</f>
        <v>#NUM!</v>
      </c>
      <c r="BK62" s="176" t="str">
        <f>IF(AND(NOT(BI62),AND(BI$4:BI61)),IF($BJ62&lt;0,IF($BJ62&lt;$J62,EXP(($BJ62-$J62)*$G62),EXP(($J62-$BJ62)*$G62)),EXP(($BJ62-$J62)*$G62)),"")</f>
        <v/>
      </c>
      <c r="BM62" s="72" t="b">
        <f>IF(AND(NOT(BI62),AND(BI$4:BI61)),TRUE,BI62)</f>
        <v>0</v>
      </c>
      <c r="BN62" s="172" t="e">
        <f>IF(AND(NOT(ISBLANK(Jumpoverwrite14)),AND(NOT(BM62),AND(BM$4:BM61))),($J62*$G62-LN(1+Jumpoverwrite14*BO$2))/$G62,_xll.qlInterpolationInterpolate(BM$3,$F62,TRUE))</f>
        <v>#NUM!</v>
      </c>
      <c r="BO62" s="176" t="str">
        <f>IF(AND(NOT(BM62),AND(BM$4:BM61)),IF($BN62&lt;0,IF($BN62&lt;$J62,EXP(($BN62-$J62)*$G62),EXP(($J62-$BN62)*$G62)),EXP(($BN62-$J62)*$G62)),"")</f>
        <v/>
      </c>
      <c r="BQ62" s="72" t="b">
        <f>IF(AND(NOT(BM62),AND(BM$4:BM61)),TRUE,BM62)</f>
        <v>0</v>
      </c>
      <c r="BR62" s="172" t="e">
        <f>IF(AND(NOT(ISBLANK(Jumpoverwrite15)),AND(NOT(BQ62),AND(BQ$4:BQ61))),($J62*$G62-LN(1+Jumpoverwrite15*BS$2))/$G62,_xll.qlInterpolationInterpolate(BQ$3,$F62,TRUE))</f>
        <v>#NUM!</v>
      </c>
      <c r="BS62" s="176" t="str">
        <f>IF(AND(NOT(BQ62),AND(BQ$4:BQ61)),IF($BN62&lt;0,IF($BN62&lt;$J62,EXP(($BN62-$J62)*$G62),EXP(($J62-$BN62)*$G62)),EXP(($BN62-$J62)*$G62)),"")</f>
        <v/>
      </c>
    </row>
    <row r="63" spans="1:71" x14ac:dyDescent="0.2">
      <c r="A63" s="33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84" t="e">
        <f t="shared" si="4"/>
        <v>#N/A</v>
      </c>
      <c r="G63" s="85" t="e">
        <f>_xll.qlDayCounterYearFraction(DayCounter,D62,D63)</f>
        <v>#NUM!</v>
      </c>
      <c r="I63" s="93" t="b">
        <f t="shared" si="2"/>
        <v>0</v>
      </c>
      <c r="J63" s="37" t="e">
        <v>#N/A</v>
      </c>
      <c r="K63" s="94" t="e">
        <f t="shared" si="3"/>
        <v>#VALUE!</v>
      </c>
      <c r="L63" s="105"/>
      <c r="M63" s="72" t="b">
        <f>IF(AND(NOT(I63),AND(I$4:I62)),TRUE,I63)</f>
        <v>0</v>
      </c>
      <c r="N63" s="172" t="e">
        <f>IF(AND(NOT(ISBLANK(Jumpoverwrite1)),AND(NOT(M63),AND(M$4:M62))),($J63*$G63-LN(1+Jumpoverwrite1*O$2))/$G63,_xll.qlInterpolationInterpolate(M$3,$F63,TRUE))</f>
        <v>#NUM!</v>
      </c>
      <c r="O63" s="34" t="str">
        <f>IF(AND(NOT(M63),AND(M$4:M62)),IF($N63&lt;0,IF($N63&lt;$J63,EXP(($N63-$J63)*$G63),EXP(($J63-$N63)*$G63)),EXP(($N63-$J63)*$G63)),"")</f>
        <v/>
      </c>
      <c r="P63" s="107"/>
      <c r="Q63" s="72" t="b">
        <f>IF(AND(NOT(M63),AND(M$4:M62)),TRUE,M63)</f>
        <v>0</v>
      </c>
      <c r="R63" s="172" t="e">
        <f>IF(AND(NOT(ISBLANK(Jumpoverwrite2)),AND(NOT(Q63),AND(Q$4:Q62))),($J63*$G63-LN(1+Jumpoverwrite2*S$2))/$G63,_xll.qlInterpolationInterpolate(Q$3,$F63,TRUE))</f>
        <v>#NUM!</v>
      </c>
      <c r="S63" s="176" t="str">
        <f>IF(AND(NOT(Q63),AND(Q$4:Q62)),IF($R63&lt;0,IF($R63&lt;$J63,EXP(($R63-$J63)*$G63),EXP(($J63-$R63)*$G63)),EXP(($R63-$J63)*$G63)),"")</f>
        <v/>
      </c>
      <c r="T63" s="107"/>
      <c r="U63" s="72" t="b">
        <f>IF(AND(NOT(Q63),AND(Q$4:Q62)),TRUE,Q63)</f>
        <v>0</v>
      </c>
      <c r="V63" s="172" t="e">
        <f>IF(AND(NOT(ISBLANK(Jumpoverwrite3)),AND(NOT(U63),AND(U$4:U62))),($J63*$G63-LN(1+Jumpoverwrite3*W$2))/$G63,_xll.qlInterpolationInterpolate(U$3,$F63,TRUE))</f>
        <v>#NUM!</v>
      </c>
      <c r="W63" s="176" t="str">
        <f>IF(AND(NOT(U63),AND(U$4:U62)),IF($V63&lt;0,IF($V63&lt;$J63,EXP(($V63-$J63)*$G63),EXP(($J63-$V63)*$G63)),EXP(($V63-$J63)*$G63)),"")</f>
        <v/>
      </c>
      <c r="X63" s="107"/>
      <c r="Y63" s="72" t="b">
        <f>IF(AND(NOT(U63),AND(U$4:U62)),TRUE,U63)</f>
        <v>0</v>
      </c>
      <c r="Z63" s="172" t="e">
        <f>IF(AND(NOT(ISBLANK(Jumpoverwrite4)),AND(NOT(Y63),AND(Y$4:Y62))),($J63*$G63-LN(1+Jumpoverwrite4*AA$2))/$G63,_xll.qlInterpolationInterpolate(Y$3,$F63,TRUE))</f>
        <v>#NUM!</v>
      </c>
      <c r="AA63" s="176" t="str">
        <f>IF(AND(NOT(Y63),AND(Y$4:Y62)),IF($Z63&lt;0,IF($Z63&lt;$J63,EXP(($Z63-$J63)*$G63),EXP(($J63-$Z63)*$G63)),EXP(($Z63-$J63)*$G63)),"")</f>
        <v/>
      </c>
      <c r="AB63" s="107"/>
      <c r="AC63" s="72" t="b">
        <f>IF(AND(NOT(Y63),AND(Y$4:Y62)),TRUE,Y63)</f>
        <v>0</v>
      </c>
      <c r="AD63" s="172" t="e">
        <f>IF(AND(NOT(ISBLANK(Jumpoverwrite5)),AND(NOT(AC63),AND(AC$4:AC62))),($J63*$G63-LN(1+Jumpoverwrite5*AE$2))/$G63,_xll.qlInterpolationInterpolate(AC$3,$F63,TRUE))</f>
        <v>#NUM!</v>
      </c>
      <c r="AE63" s="176" t="str">
        <f>IF(AND(NOT(AC63),AND(AC$4:AC62)),IF($AD63&lt;0,IF($AD63&lt;$J63,EXP(($AD63-$J63)*$G63),EXP(($J63-$AD63)*$G63)),EXP(($AD63-$J63)*$G63)),"")</f>
        <v/>
      </c>
      <c r="AF63" s="107"/>
      <c r="AG63" s="72" t="b">
        <f>IF(AND(NOT(AC63),AND(AC$4:AC62)),TRUE,AC63)</f>
        <v>0</v>
      </c>
      <c r="AH63" s="172" t="e">
        <f>IF(AND(NOT(ISBLANK(Jumpoverwrite6)),AND(NOT(AG63),AND(AG$4:AG62))),($J63*$G63-LN(1+Jumpoverwrite6*AI$2))/$G63,_xll.qlInterpolationInterpolate(AG$3,$F63,TRUE))</f>
        <v>#NUM!</v>
      </c>
      <c r="AI63" s="176" t="str">
        <f>IF(AND(NOT(AG63),AND(AG$4:AG62)),IF($AH63&lt;0,IF($AH63&lt;$J63,EXP(($AH63-$J63)*$G63),EXP(($J63-$AH63)*$G63)),EXP(($AH63-$J63)*$G63)),"")</f>
        <v/>
      </c>
      <c r="AJ63" s="107"/>
      <c r="AK63" s="72" t="b">
        <f>IF(AND(NOT(AG63),AND(AG$4:AG62)),TRUE,AG63)</f>
        <v>0</v>
      </c>
      <c r="AL63" s="172" t="e">
        <f>IF(AND(NOT(ISBLANK(Jumpoverwrite7)),AND(NOT(AK63),AND(AK$4:AK62))),($J63*$G63-LN(1+Jumpoverwrite7*AM$2))/$G63,_xll.qlInterpolationInterpolate(AK$3,$F63,TRUE))</f>
        <v>#NUM!</v>
      </c>
      <c r="AM63" s="176" t="str">
        <f>IF(AND(NOT(AK63),AND(AK$4:AK62)),IF($AL63&lt;0,IF($AL63&lt;$J63,EXP(($AL63-$J63)*$G63),EXP(($J63-$AL63)*$G63)),EXP(($AL63-$J63)*$G63)),"")</f>
        <v/>
      </c>
      <c r="AO63" s="72" t="b">
        <f>IF(AND(NOT(AK63),AND(AK$4:AK62)),TRUE,AK63)</f>
        <v>0</v>
      </c>
      <c r="AP63" s="172" t="e">
        <f>IF(AND(NOT(ISBLANK(Jumpoverwrite8)),AND(NOT(AO63),AND(AO$4:AO62))),($J63*$G63-LN(1+Jumpoverwrite8*AQ$2))/$G63,_xll.qlInterpolationInterpolate(AO$3,$F63,TRUE))</f>
        <v>#NUM!</v>
      </c>
      <c r="AQ63" s="176" t="str">
        <f>IF(AND(NOT(AO63),AND(AO$4:AO62)),IF($AP63&lt;0,IF($AP63&lt;$J63,EXP(($AP63-$J63)*$G63),EXP(($J63-$AP63)*$G63)),EXP(($AP63-$J63)*$G63)),"")</f>
        <v/>
      </c>
      <c r="AS63" s="72" t="b">
        <f>IF(AND(NOT(AO63),AND(AO$4:AO62)),TRUE,AO63)</f>
        <v>0</v>
      </c>
      <c r="AT63" s="172" t="e">
        <f>IF(AND(NOT(ISBLANK(Jumpoverwrite9)),AND(NOT(AS63),AND(AS$4:AS62))),($J63*$G63-LN(1+Jumpoverwrite9*AU$2))/$G63,_xll.qlInterpolationInterpolate(AS$3,$F63,TRUE))</f>
        <v>#NUM!</v>
      </c>
      <c r="AU63" s="176" t="str">
        <f>IF(AND(NOT(AS63),AND(AS$4:AS62)),IF($AT63&lt;0,IF($AT63&lt;$J63,EXP(($AT63-$J63)*$G63),EXP(($J63-$AT63)*$G63)),EXP(($AT63-$J63)*$G63)),"")</f>
        <v/>
      </c>
      <c r="AW63" s="72" t="b">
        <f>IF(AND(NOT(AS63),AND(AS$4:AS62)),TRUE,AS63)</f>
        <v>0</v>
      </c>
      <c r="AX63" s="172" t="e">
        <f>IF(AND(NOT(ISBLANK(Jumpoverwrite10)),AND(NOT(AW63),AND(AW$4:AW62))),($J63*$G63-LN(1+Jumpoverwrite10*AY$2))/$G63,_xll.qlInterpolationInterpolate(AW$3,$F63,TRUE))</f>
        <v>#NUM!</v>
      </c>
      <c r="AY63" s="176" t="str">
        <f>IF(AND(NOT(AW63),AND(AW$4:AW62)),IF($AX63&lt;0,IF($AX63&lt;$J63,EXP(($AX63-$J63)*$G63),EXP(($J63-$AX63)*$G63)),EXP(($AX63-$J63)*$G63)),"")</f>
        <v/>
      </c>
      <c r="BA63" s="72" t="b">
        <f>IF(AND(NOT(AW63),AND(AW$4:AW62)),TRUE,AW63)</f>
        <v>0</v>
      </c>
      <c r="BB63" s="172" t="e">
        <f>IF(AND(NOT(ISBLANK(Jumpoverwrite11)),AND(NOT(BA63),AND(BA$4:BA62))),($J63*$G63-LN(1+Jumpoverwrite11*BC$2))/$G63,_xll.qlInterpolationInterpolate(BA$3,$F63,TRUE))</f>
        <v>#NUM!</v>
      </c>
      <c r="BC63" s="176" t="str">
        <f>IF(AND(NOT(BA63),AND(BA$4:BA62)),IF($BB63&lt;0,IF($BB63&lt;$J63,EXP(($BB63-$J63)*$G63),EXP(($J63-$BB63)*$G63)),EXP(($BB63-$J63)*$G63)),"")</f>
        <v/>
      </c>
      <c r="BE63" s="72" t="b">
        <f>IF(AND(NOT(BA63),AND(BA$4:BA62)),TRUE,BA63)</f>
        <v>0</v>
      </c>
      <c r="BF63" s="172" t="e">
        <f>IF(AND(NOT(ISBLANK(Jumpoverwrite12)),AND(NOT(BE63),AND(BE$4:BE62))),($J63*$G63-LN(1+Jumpoverwrite12*BG$2))/$G63,_xll.qlInterpolationInterpolate(BE$3,$F63,TRUE))</f>
        <v>#NUM!</v>
      </c>
      <c r="BG63" s="176" t="str">
        <f>IF(AND(NOT(BE63),AND(BE$4:BE62)),IF($BF63&lt;0,IF($BF63&lt;$J63,EXP(($BF63-$J63)*$G63),EXP(($J63-$BF63)*$G63)),EXP(($BF63-$J63)*$G63)),"")</f>
        <v/>
      </c>
      <c r="BI63" s="72" t="b">
        <f t="shared" si="5"/>
        <v>0</v>
      </c>
      <c r="BJ63" s="172" t="e">
        <f>IF(AND(NOT(ISBLANK(jumpoverwrite13)),AND(NOT(BI63),AND(BI$4:BI62))),($J63*$G63-LN(1+jumpoverwrite13*BK$2))/$G63,_xll.qlInterpolationInterpolate(BI$3,$F63,TRUE))</f>
        <v>#NUM!</v>
      </c>
      <c r="BK63" s="176" t="str">
        <f>IF(AND(NOT(BI63),AND(BI$4:BI62)),IF($BJ63&lt;0,IF($BJ63&lt;$J63,EXP(($BJ63-$J63)*$G63),EXP(($J63-$BJ63)*$G63)),EXP(($BJ63-$J63)*$G63)),"")</f>
        <v/>
      </c>
      <c r="BM63" s="72" t="b">
        <f>IF(AND(NOT(BI63),AND(BI$4:BI62)),TRUE,BI63)</f>
        <v>0</v>
      </c>
      <c r="BN63" s="172" t="e">
        <f>IF(AND(NOT(ISBLANK(Jumpoverwrite14)),AND(NOT(BM63),AND(BM$4:BM62))),($J63*$G63-LN(1+Jumpoverwrite14*BO$2))/$G63,_xll.qlInterpolationInterpolate(BM$3,$F63,TRUE))</f>
        <v>#NUM!</v>
      </c>
      <c r="BO63" s="176" t="str">
        <f>IF(AND(NOT(BM63),AND(BM$4:BM62)),IF($BN63&lt;0,IF($BN63&lt;$J63,EXP(($BN63-$J63)*$G63),EXP(($J63-$BN63)*$G63)),EXP(($BN63-$J63)*$G63)),"")</f>
        <v/>
      </c>
      <c r="BQ63" s="72" t="b">
        <f>IF(AND(NOT(BM63),AND(BM$4:BM62)),TRUE,BM63)</f>
        <v>0</v>
      </c>
      <c r="BR63" s="172" t="e">
        <f>IF(AND(NOT(ISBLANK(Jumpoverwrite15)),AND(NOT(BQ63),AND(BQ$4:BQ62))),($J63*$G63-LN(1+Jumpoverwrite15*BS$2))/$G63,_xll.qlInterpolationInterpolate(BQ$3,$F63,TRUE))</f>
        <v>#NUM!</v>
      </c>
      <c r="BS63" s="176" t="str">
        <f>IF(AND(NOT(BQ63),AND(BQ$4:BQ62)),IF($BN63&lt;0,IF($BN63&lt;$J63,EXP(($BN63-$J63)*$G63),EXP(($J63-$BN63)*$G63)),EXP(($BN63-$J63)*$G63)),"")</f>
        <v/>
      </c>
    </row>
    <row r="64" spans="1:71" x14ac:dyDescent="0.2">
      <c r="A64" s="33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84" t="e">
        <f t="shared" si="4"/>
        <v>#N/A</v>
      </c>
      <c r="G64" s="85" t="e">
        <f>_xll.qlDayCounterYearFraction(DayCounter,D63,D64)</f>
        <v>#NUM!</v>
      </c>
      <c r="I64" s="93" t="b">
        <f t="shared" si="2"/>
        <v>0</v>
      </c>
      <c r="J64" s="37" t="e">
        <v>#N/A</v>
      </c>
      <c r="K64" s="94" t="e">
        <f t="shared" si="3"/>
        <v>#VALUE!</v>
      </c>
      <c r="L64" s="105"/>
      <c r="M64" s="72" t="b">
        <f>IF(AND(NOT(I64),AND(I$4:I63)),TRUE,I64)</f>
        <v>0</v>
      </c>
      <c r="N64" s="172" t="e">
        <f>IF(AND(NOT(ISBLANK(Jumpoverwrite1)),AND(NOT(M64),AND(M$4:M63))),($J64*$G64-LN(1+Jumpoverwrite1*O$2))/$G64,_xll.qlInterpolationInterpolate(M$3,$F64,TRUE))</f>
        <v>#NUM!</v>
      </c>
      <c r="O64" s="34" t="str">
        <f>IF(AND(NOT(M64),AND(M$4:M63)),IF($N64&lt;0,IF($N64&lt;$J64,EXP(($N64-$J64)*$G64),EXP(($J64-$N64)*$G64)),EXP(($N64-$J64)*$G64)),"")</f>
        <v/>
      </c>
      <c r="P64" s="107"/>
      <c r="Q64" s="72" t="b">
        <f>IF(AND(NOT(M64),AND(M$4:M63)),TRUE,M64)</f>
        <v>0</v>
      </c>
      <c r="R64" s="172" t="e">
        <f>IF(AND(NOT(ISBLANK(Jumpoverwrite2)),AND(NOT(Q64),AND(Q$4:Q63))),($J64*$G64-LN(1+Jumpoverwrite2*S$2))/$G64,_xll.qlInterpolationInterpolate(Q$3,$F64,TRUE))</f>
        <v>#NUM!</v>
      </c>
      <c r="S64" s="176" t="str">
        <f>IF(AND(NOT(Q64),AND(Q$4:Q63)),IF($R64&lt;0,IF($R64&lt;$J64,EXP(($R64-$J64)*$G64),EXP(($J64-$R64)*$G64)),EXP(($R64-$J64)*$G64)),"")</f>
        <v/>
      </c>
      <c r="T64" s="107"/>
      <c r="U64" s="72" t="b">
        <f>IF(AND(NOT(Q64),AND(Q$4:Q63)),TRUE,Q64)</f>
        <v>0</v>
      </c>
      <c r="V64" s="172" t="e">
        <f>IF(AND(NOT(ISBLANK(Jumpoverwrite3)),AND(NOT(U64),AND(U$4:U63))),($J64*$G64-LN(1+Jumpoverwrite3*W$2))/$G64,_xll.qlInterpolationInterpolate(U$3,$F64,TRUE))</f>
        <v>#NUM!</v>
      </c>
      <c r="W64" s="176" t="str">
        <f>IF(AND(NOT(U64),AND(U$4:U63)),IF($V64&lt;0,IF($V64&lt;$J64,EXP(($V64-$J64)*$G64),EXP(($J64-$V64)*$G64)),EXP(($V64-$J64)*$G64)),"")</f>
        <v/>
      </c>
      <c r="X64" s="107"/>
      <c r="Y64" s="72" t="b">
        <f>IF(AND(NOT(U64),AND(U$4:U63)),TRUE,U64)</f>
        <v>0</v>
      </c>
      <c r="Z64" s="172" t="e">
        <f>IF(AND(NOT(ISBLANK(Jumpoverwrite4)),AND(NOT(Y64),AND(Y$4:Y63))),($J64*$G64-LN(1+Jumpoverwrite4*AA$2))/$G64,_xll.qlInterpolationInterpolate(Y$3,$F64,TRUE))</f>
        <v>#NUM!</v>
      </c>
      <c r="AA64" s="176" t="str">
        <f>IF(AND(NOT(Y64),AND(Y$4:Y63)),IF($Z64&lt;0,IF($Z64&lt;$J64,EXP(($Z64-$J64)*$G64),EXP(($J64-$Z64)*$G64)),EXP(($Z64-$J64)*$G64)),"")</f>
        <v/>
      </c>
      <c r="AB64" s="107"/>
      <c r="AC64" s="72" t="b">
        <f>IF(AND(NOT(Y64),AND(Y$4:Y63)),TRUE,Y64)</f>
        <v>0</v>
      </c>
      <c r="AD64" s="172" t="e">
        <f>IF(AND(NOT(ISBLANK(Jumpoverwrite5)),AND(NOT(AC64),AND(AC$4:AC63))),($J64*$G64-LN(1+Jumpoverwrite5*AE$2))/$G64,_xll.qlInterpolationInterpolate(AC$3,$F64,TRUE))</f>
        <v>#NUM!</v>
      </c>
      <c r="AE64" s="176" t="str">
        <f>IF(AND(NOT(AC64),AND(AC$4:AC63)),IF($AD64&lt;0,IF($AD64&lt;$J64,EXP(($AD64-$J64)*$G64),EXP(($J64-$AD64)*$G64)),EXP(($AD64-$J64)*$G64)),"")</f>
        <v/>
      </c>
      <c r="AF64" s="107"/>
      <c r="AG64" s="72" t="b">
        <f>IF(AND(NOT(AC64),AND(AC$4:AC63)),TRUE,AC64)</f>
        <v>0</v>
      </c>
      <c r="AH64" s="172" t="e">
        <f>IF(AND(NOT(ISBLANK(Jumpoverwrite6)),AND(NOT(AG64),AND(AG$4:AG63))),($J64*$G64-LN(1+Jumpoverwrite6*AI$2))/$G64,_xll.qlInterpolationInterpolate(AG$3,$F64,TRUE))</f>
        <v>#NUM!</v>
      </c>
      <c r="AI64" s="176" t="str">
        <f>IF(AND(NOT(AG64),AND(AG$4:AG63)),IF($AH64&lt;0,IF($AH64&lt;$J64,EXP(($AH64-$J64)*$G64),EXP(($J64-$AH64)*$G64)),EXP(($AH64-$J64)*$G64)),"")</f>
        <v/>
      </c>
      <c r="AJ64" s="107"/>
      <c r="AK64" s="72" t="b">
        <f>IF(AND(NOT(AG64),AND(AG$4:AG63)),TRUE,AG64)</f>
        <v>0</v>
      </c>
      <c r="AL64" s="172" t="e">
        <f>IF(AND(NOT(ISBLANK(Jumpoverwrite7)),AND(NOT(AK64),AND(AK$4:AK63))),($J64*$G64-LN(1+Jumpoverwrite7*AM$2))/$G64,_xll.qlInterpolationInterpolate(AK$3,$F64,TRUE))</f>
        <v>#NUM!</v>
      </c>
      <c r="AM64" s="176" t="str">
        <f>IF(AND(NOT(AK64),AND(AK$4:AK63)),IF($AL64&lt;0,IF($AL64&lt;$J64,EXP(($AL64-$J64)*$G64),EXP(($J64-$AL64)*$G64)),EXP(($AL64-$J64)*$G64)),"")</f>
        <v/>
      </c>
      <c r="AO64" s="72" t="b">
        <f>IF(AND(NOT(AK64),AND(AK$4:AK63)),TRUE,AK64)</f>
        <v>0</v>
      </c>
      <c r="AP64" s="172" t="e">
        <f>IF(AND(NOT(ISBLANK(Jumpoverwrite8)),AND(NOT(AO64),AND(AO$4:AO63))),($J64*$G64-LN(1+Jumpoverwrite8*AQ$2))/$G64,_xll.qlInterpolationInterpolate(AO$3,$F64,TRUE))</f>
        <v>#NUM!</v>
      </c>
      <c r="AQ64" s="176" t="str">
        <f>IF(AND(NOT(AO64),AND(AO$4:AO63)),IF($AP64&lt;0,IF($AP64&lt;$J64,EXP(($AP64-$J64)*$G64),EXP(($J64-$AP64)*$G64)),EXP(($AP64-$J64)*$G64)),"")</f>
        <v/>
      </c>
      <c r="AS64" s="72" t="b">
        <f>IF(AND(NOT(AO64),AND(AO$4:AO63)),TRUE,AO64)</f>
        <v>0</v>
      </c>
      <c r="AT64" s="172" t="e">
        <f>IF(AND(NOT(ISBLANK(Jumpoverwrite9)),AND(NOT(AS64),AND(AS$4:AS63))),($J64*$G64-LN(1+Jumpoverwrite9*AU$2))/$G64,_xll.qlInterpolationInterpolate(AS$3,$F64,TRUE))</f>
        <v>#NUM!</v>
      </c>
      <c r="AU64" s="176" t="str">
        <f>IF(AND(NOT(AS64),AND(AS$4:AS63)),IF($AT64&lt;0,IF($AT64&lt;$J64,EXP(($AT64-$J64)*$G64),EXP(($J64-$AT64)*$G64)),EXP(($AT64-$J64)*$G64)),"")</f>
        <v/>
      </c>
      <c r="AW64" s="72" t="b">
        <f>IF(AND(NOT(AS64),AND(AS$4:AS63)),TRUE,AS64)</f>
        <v>0</v>
      </c>
      <c r="AX64" s="172" t="e">
        <f>IF(AND(NOT(ISBLANK(Jumpoverwrite10)),AND(NOT(AW64),AND(AW$4:AW63))),($J64*$G64-LN(1+Jumpoverwrite10*AY$2))/$G64,_xll.qlInterpolationInterpolate(AW$3,$F64,TRUE))</f>
        <v>#NUM!</v>
      </c>
      <c r="AY64" s="176" t="str">
        <f>IF(AND(NOT(AW64),AND(AW$4:AW63)),IF($AX64&lt;0,IF($AX64&lt;$J64,EXP(($AX64-$J64)*$G64),EXP(($J64-$AX64)*$G64)),EXP(($AX64-$J64)*$G64)),"")</f>
        <v/>
      </c>
      <c r="BA64" s="72" t="b">
        <f>IF(AND(NOT(AW64),AND(AW$4:AW63)),TRUE,AW64)</f>
        <v>0</v>
      </c>
      <c r="BB64" s="172" t="e">
        <f>IF(AND(NOT(ISBLANK(Jumpoverwrite11)),AND(NOT(BA64),AND(BA$4:BA63))),($J64*$G64-LN(1+Jumpoverwrite11*BC$2))/$G64,_xll.qlInterpolationInterpolate(BA$3,$F64,TRUE))</f>
        <v>#NUM!</v>
      </c>
      <c r="BC64" s="176" t="str">
        <f>IF(AND(NOT(BA64),AND(BA$4:BA63)),IF($BB64&lt;0,IF($BB64&lt;$J64,EXP(($BB64-$J64)*$G64),EXP(($J64-$BB64)*$G64)),EXP(($BB64-$J64)*$G64)),"")</f>
        <v/>
      </c>
      <c r="BE64" s="72" t="b">
        <f>IF(AND(NOT(BA64),AND(BA$4:BA63)),TRUE,BA64)</f>
        <v>0</v>
      </c>
      <c r="BF64" s="172" t="e">
        <f>IF(AND(NOT(ISBLANK(Jumpoverwrite12)),AND(NOT(BE64),AND(BE$4:BE63))),($J64*$G64-LN(1+Jumpoverwrite12*BG$2))/$G64,_xll.qlInterpolationInterpolate(BE$3,$F64,TRUE))</f>
        <v>#NUM!</v>
      </c>
      <c r="BG64" s="176" t="str">
        <f>IF(AND(NOT(BE64),AND(BE$4:BE63)),IF($BF64&lt;0,IF($BF64&lt;$J64,EXP(($BF64-$J64)*$G64),EXP(($J64-$BF64)*$G64)),EXP(($BF64-$J64)*$G64)),"")</f>
        <v/>
      </c>
      <c r="BI64" s="72" t="b">
        <f t="shared" si="5"/>
        <v>0</v>
      </c>
      <c r="BJ64" s="172" t="e">
        <f>IF(AND(NOT(ISBLANK(jumpoverwrite13)),AND(NOT(BI64),AND(BI$4:BI63))),($J64*$G64-LN(1+jumpoverwrite13*BK$2))/$G64,_xll.qlInterpolationInterpolate(BI$3,$F64,TRUE))</f>
        <v>#NUM!</v>
      </c>
      <c r="BK64" s="176" t="str">
        <f>IF(AND(NOT(BI64),AND(BI$4:BI63)),IF($BJ64&lt;0,IF($BJ64&lt;$J64,EXP(($BJ64-$J64)*$G64),EXP(($J64-$BJ64)*$G64)),EXP(($BJ64-$J64)*$G64)),"")</f>
        <v/>
      </c>
      <c r="BM64" s="72" t="b">
        <f>IF(AND(NOT(BI64),AND(BI$4:BI63)),TRUE,BI64)</f>
        <v>0</v>
      </c>
      <c r="BN64" s="172" t="e">
        <f>IF(AND(NOT(ISBLANK(Jumpoverwrite14)),AND(NOT(BM64),AND(BM$4:BM63))),($J64*$G64-LN(1+Jumpoverwrite14*BO$2))/$G64,_xll.qlInterpolationInterpolate(BM$3,$F64,TRUE))</f>
        <v>#NUM!</v>
      </c>
      <c r="BO64" s="176" t="str">
        <f>IF(AND(NOT(BM64),AND(BM$4:BM63)),IF($BN64&lt;0,IF($BN64&lt;$J64,EXP(($BN64-$J64)*$G64),EXP(($J64-$BN64)*$G64)),EXP(($BN64-$J64)*$G64)),"")</f>
        <v/>
      </c>
      <c r="BQ64" s="72" t="b">
        <f>IF(AND(NOT(BM64),AND(BM$4:BM63)),TRUE,BM64)</f>
        <v>0</v>
      </c>
      <c r="BR64" s="172" t="e">
        <f>IF(AND(NOT(ISBLANK(Jumpoverwrite15)),AND(NOT(BQ64),AND(BQ$4:BQ63))),($J64*$G64-LN(1+Jumpoverwrite15*BS$2))/$G64,_xll.qlInterpolationInterpolate(BQ$3,$F64,TRUE))</f>
        <v>#NUM!</v>
      </c>
      <c r="BS64" s="176" t="str">
        <f>IF(AND(NOT(BQ64),AND(BQ$4:BQ63)),IF($BN64&lt;0,IF($BN64&lt;$J64,EXP(($BN64-$J64)*$G64),EXP(($J64-$BN64)*$G64)),EXP(($BN64-$J64)*$G64)),"")</f>
        <v/>
      </c>
    </row>
    <row r="65" spans="1:71" x14ac:dyDescent="0.2">
      <c r="A65" s="33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84" t="e">
        <f t="shared" si="4"/>
        <v>#N/A</v>
      </c>
      <c r="G65" s="85" t="e">
        <f>_xll.qlDayCounterYearFraction(DayCounter,D64,D65)</f>
        <v>#NUM!</v>
      </c>
      <c r="I65" s="93" t="b">
        <f t="shared" si="2"/>
        <v>0</v>
      </c>
      <c r="J65" s="37" t="e">
        <v>#N/A</v>
      </c>
      <c r="K65" s="94" t="e">
        <f t="shared" si="3"/>
        <v>#VALUE!</v>
      </c>
      <c r="L65" s="105"/>
      <c r="M65" s="72" t="b">
        <f>IF(AND(NOT(I65),AND(I$4:I64)),TRUE,I65)</f>
        <v>0</v>
      </c>
      <c r="N65" s="172" t="e">
        <f>IF(AND(NOT(ISBLANK(Jumpoverwrite1)),AND(NOT(M65),AND(M$4:M64))),($J65*$G65-LN(1+Jumpoverwrite1*O$2))/$G65,_xll.qlInterpolationInterpolate(M$3,$F65,TRUE))</f>
        <v>#NUM!</v>
      </c>
      <c r="O65" s="34" t="str">
        <f>IF(AND(NOT(M65),AND(M$4:M64)),IF($N65&lt;0,IF($N65&lt;$J65,EXP(($N65-$J65)*$G65),EXP(($J65-$N65)*$G65)),EXP(($N65-$J65)*$G65)),"")</f>
        <v/>
      </c>
      <c r="P65" s="107"/>
      <c r="Q65" s="72" t="b">
        <f>IF(AND(NOT(M65),AND(M$4:M64)),TRUE,M65)</f>
        <v>0</v>
      </c>
      <c r="R65" s="172" t="e">
        <f>IF(AND(NOT(ISBLANK(Jumpoverwrite2)),AND(NOT(Q65),AND(Q$4:Q64))),($J65*$G65-LN(1+Jumpoverwrite2*S$2))/$G65,_xll.qlInterpolationInterpolate(Q$3,$F65,TRUE))</f>
        <v>#NUM!</v>
      </c>
      <c r="S65" s="176" t="str">
        <f>IF(AND(NOT(Q65),AND(Q$4:Q64)),IF($R65&lt;0,IF($R65&lt;$J65,EXP(($R65-$J65)*$G65),EXP(($J65-$R65)*$G65)),EXP(($R65-$J65)*$G65)),"")</f>
        <v/>
      </c>
      <c r="T65" s="107"/>
      <c r="U65" s="72" t="b">
        <f>IF(AND(NOT(Q65),AND(Q$4:Q64)),TRUE,Q65)</f>
        <v>0</v>
      </c>
      <c r="V65" s="172" t="e">
        <f>IF(AND(NOT(ISBLANK(Jumpoverwrite3)),AND(NOT(U65),AND(U$4:U64))),($J65*$G65-LN(1+Jumpoverwrite3*W$2))/$G65,_xll.qlInterpolationInterpolate(U$3,$F65,TRUE))</f>
        <v>#NUM!</v>
      </c>
      <c r="W65" s="176" t="str">
        <f>IF(AND(NOT(U65),AND(U$4:U64)),IF($V65&lt;0,IF($V65&lt;$J65,EXP(($V65-$J65)*$G65),EXP(($J65-$V65)*$G65)),EXP(($V65-$J65)*$G65)),"")</f>
        <v/>
      </c>
      <c r="X65" s="107"/>
      <c r="Y65" s="72" t="b">
        <f>IF(AND(NOT(U65),AND(U$4:U64)),TRUE,U65)</f>
        <v>0</v>
      </c>
      <c r="Z65" s="172" t="e">
        <f>IF(AND(NOT(ISBLANK(Jumpoverwrite4)),AND(NOT(Y65),AND(Y$4:Y64))),($J65*$G65-LN(1+Jumpoverwrite4*AA$2))/$G65,_xll.qlInterpolationInterpolate(Y$3,$F65,TRUE))</f>
        <v>#NUM!</v>
      </c>
      <c r="AA65" s="176" t="str">
        <f>IF(AND(NOT(Y65),AND(Y$4:Y64)),IF($Z65&lt;0,IF($Z65&lt;$J65,EXP(($Z65-$J65)*$G65),EXP(($J65-$Z65)*$G65)),EXP(($Z65-$J65)*$G65)),"")</f>
        <v/>
      </c>
      <c r="AB65" s="107"/>
      <c r="AC65" s="72" t="b">
        <f>IF(AND(NOT(Y65),AND(Y$4:Y64)),TRUE,Y65)</f>
        <v>0</v>
      </c>
      <c r="AD65" s="172" t="e">
        <f>IF(AND(NOT(ISBLANK(Jumpoverwrite5)),AND(NOT(AC65),AND(AC$4:AC64))),($J65*$G65-LN(1+Jumpoverwrite5*AE$2))/$G65,_xll.qlInterpolationInterpolate(AC$3,$F65,TRUE))</f>
        <v>#NUM!</v>
      </c>
      <c r="AE65" s="176" t="str">
        <f>IF(AND(NOT(AC65),AND(AC$4:AC64)),IF($AD65&lt;0,IF($AD65&lt;$J65,EXP(($AD65-$J65)*$G65),EXP(($J65-$AD65)*$G65)),EXP(($AD65-$J65)*$G65)),"")</f>
        <v/>
      </c>
      <c r="AF65" s="107"/>
      <c r="AG65" s="72" t="b">
        <f>IF(AND(NOT(AC65),AND(AC$4:AC64)),TRUE,AC65)</f>
        <v>0</v>
      </c>
      <c r="AH65" s="172" t="e">
        <f>IF(AND(NOT(ISBLANK(Jumpoverwrite6)),AND(NOT(AG65),AND(AG$4:AG64))),($J65*$G65-LN(1+Jumpoverwrite6*AI$2))/$G65,_xll.qlInterpolationInterpolate(AG$3,$F65,TRUE))</f>
        <v>#NUM!</v>
      </c>
      <c r="AI65" s="176" t="str">
        <f>IF(AND(NOT(AG65),AND(AG$4:AG64)),IF($AH65&lt;0,IF($AH65&lt;$J65,EXP(($AH65-$J65)*$G65),EXP(($J65-$AH65)*$G65)),EXP(($AH65-$J65)*$G65)),"")</f>
        <v/>
      </c>
      <c r="AJ65" s="107"/>
      <c r="AK65" s="72" t="b">
        <f>IF(AND(NOT(AG65),AND(AG$4:AG64)),TRUE,AG65)</f>
        <v>0</v>
      </c>
      <c r="AL65" s="172" t="e">
        <f>IF(AND(NOT(ISBLANK(Jumpoverwrite7)),AND(NOT(AK65),AND(AK$4:AK64))),($J65*$G65-LN(1+Jumpoverwrite7*AM$2))/$G65,_xll.qlInterpolationInterpolate(AK$3,$F65,TRUE))</f>
        <v>#NUM!</v>
      </c>
      <c r="AM65" s="176" t="str">
        <f>IF(AND(NOT(AK65),AND(AK$4:AK64)),IF($AL65&lt;0,IF($AL65&lt;$J65,EXP(($AL65-$J65)*$G65),EXP(($J65-$AL65)*$G65)),EXP(($AL65-$J65)*$G65)),"")</f>
        <v/>
      </c>
      <c r="AO65" s="72" t="b">
        <f>IF(AND(NOT(AK65),AND(AK$4:AK64)),TRUE,AK65)</f>
        <v>0</v>
      </c>
      <c r="AP65" s="172" t="e">
        <f>IF(AND(NOT(ISBLANK(Jumpoverwrite8)),AND(NOT(AO65),AND(AO$4:AO64))),($J65*$G65-LN(1+Jumpoverwrite8*AQ$2))/$G65,_xll.qlInterpolationInterpolate(AO$3,$F65,TRUE))</f>
        <v>#NUM!</v>
      </c>
      <c r="AQ65" s="176" t="str">
        <f>IF(AND(NOT(AO65),AND(AO$4:AO64)),IF($AP65&lt;0,IF($AP65&lt;$J65,EXP(($AP65-$J65)*$G65),EXP(($J65-$AP65)*$G65)),EXP(($AP65-$J65)*$G65)),"")</f>
        <v/>
      </c>
      <c r="AS65" s="72" t="b">
        <f>IF(AND(NOT(AO65),AND(AO$4:AO64)),TRUE,AO65)</f>
        <v>0</v>
      </c>
      <c r="AT65" s="172" t="e">
        <f>IF(AND(NOT(ISBLANK(Jumpoverwrite9)),AND(NOT(AS65),AND(AS$4:AS64))),($J65*$G65-LN(1+Jumpoverwrite9*AU$2))/$G65,_xll.qlInterpolationInterpolate(AS$3,$F65,TRUE))</f>
        <v>#NUM!</v>
      </c>
      <c r="AU65" s="176" t="str">
        <f>IF(AND(NOT(AS65),AND(AS$4:AS64)),IF($AT65&lt;0,IF($AT65&lt;$J65,EXP(($AT65-$J65)*$G65),EXP(($J65-$AT65)*$G65)),EXP(($AT65-$J65)*$G65)),"")</f>
        <v/>
      </c>
      <c r="AW65" s="72" t="b">
        <f>IF(AND(NOT(AS65),AND(AS$4:AS64)),TRUE,AS65)</f>
        <v>0</v>
      </c>
      <c r="AX65" s="172" t="e">
        <f>IF(AND(NOT(ISBLANK(Jumpoverwrite10)),AND(NOT(AW65),AND(AW$4:AW64))),($J65*$G65-LN(1+Jumpoverwrite10*AY$2))/$G65,_xll.qlInterpolationInterpolate(AW$3,$F65,TRUE))</f>
        <v>#NUM!</v>
      </c>
      <c r="AY65" s="176" t="str">
        <f>IF(AND(NOT(AW65),AND(AW$4:AW64)),IF($AX65&lt;0,IF($AX65&lt;$J65,EXP(($AX65-$J65)*$G65),EXP(($J65-$AX65)*$G65)),EXP(($AX65-$J65)*$G65)),"")</f>
        <v/>
      </c>
      <c r="BA65" s="72" t="b">
        <f>IF(AND(NOT(AW65),AND(AW$4:AW64)),TRUE,AW65)</f>
        <v>0</v>
      </c>
      <c r="BB65" s="172" t="e">
        <f>IF(AND(NOT(ISBLANK(Jumpoverwrite11)),AND(NOT(BA65),AND(BA$4:BA64))),($J65*$G65-LN(1+Jumpoverwrite11*BC$2))/$G65,_xll.qlInterpolationInterpolate(BA$3,$F65,TRUE))</f>
        <v>#NUM!</v>
      </c>
      <c r="BC65" s="176" t="str">
        <f>IF(AND(NOT(BA65),AND(BA$4:BA64)),IF($BB65&lt;0,IF($BB65&lt;$J65,EXP(($BB65-$J65)*$G65),EXP(($J65-$BB65)*$G65)),EXP(($BB65-$J65)*$G65)),"")</f>
        <v/>
      </c>
      <c r="BE65" s="72" t="b">
        <f>IF(AND(NOT(BA65),AND(BA$4:BA64)),TRUE,BA65)</f>
        <v>0</v>
      </c>
      <c r="BF65" s="172" t="e">
        <f>IF(AND(NOT(ISBLANK(Jumpoverwrite12)),AND(NOT(BE65),AND(BE$4:BE64))),($J65*$G65-LN(1+Jumpoverwrite12*BG$2))/$G65,_xll.qlInterpolationInterpolate(BE$3,$F65,TRUE))</f>
        <v>#NUM!</v>
      </c>
      <c r="BG65" s="176" t="str">
        <f>IF(AND(NOT(BE65),AND(BE$4:BE64)),IF($BF65&lt;0,IF($BF65&lt;$J65,EXP(($BF65-$J65)*$G65),EXP(($J65-$BF65)*$G65)),EXP(($BF65-$J65)*$G65)),"")</f>
        <v/>
      </c>
      <c r="BI65" s="72" t="b">
        <f t="shared" si="5"/>
        <v>0</v>
      </c>
      <c r="BJ65" s="172" t="e">
        <f>IF(AND(NOT(ISBLANK(jumpoverwrite13)),AND(NOT(BI65),AND(BI$4:BI64))),($J65*$G65-LN(1+jumpoverwrite13*BK$2))/$G65,_xll.qlInterpolationInterpolate(BI$3,$F65,TRUE))</f>
        <v>#NUM!</v>
      </c>
      <c r="BK65" s="176" t="str">
        <f>IF(AND(NOT(BI65),AND(BI$4:BI64)),IF($BJ65&lt;0,IF($BJ65&lt;$J65,EXP(($BJ65-$J65)*$G65),EXP(($J65-$BJ65)*$G65)),EXP(($BJ65-$J65)*$G65)),"")</f>
        <v/>
      </c>
      <c r="BM65" s="72" t="b">
        <f>IF(AND(NOT(BI65),AND(BI$4:BI64)),TRUE,BI65)</f>
        <v>0</v>
      </c>
      <c r="BN65" s="172" t="e">
        <f>IF(AND(NOT(ISBLANK(Jumpoverwrite14)),AND(NOT(BM65),AND(BM$4:BM64))),($J65*$G65-LN(1+Jumpoverwrite14*BO$2))/$G65,_xll.qlInterpolationInterpolate(BM$3,$F65,TRUE))</f>
        <v>#NUM!</v>
      </c>
      <c r="BO65" s="176" t="str">
        <f>IF(AND(NOT(BM65),AND(BM$4:BM64)),IF($BN65&lt;0,IF($BN65&lt;$J65,EXP(($BN65-$J65)*$G65),EXP(($J65-$BN65)*$G65)),EXP(($BN65-$J65)*$G65)),"")</f>
        <v/>
      </c>
      <c r="BQ65" s="72" t="b">
        <f>IF(AND(NOT(BM65),AND(BM$4:BM64)),TRUE,BM65)</f>
        <v>0</v>
      </c>
      <c r="BR65" s="172" t="e">
        <f>IF(AND(NOT(ISBLANK(Jumpoverwrite15)),AND(NOT(BQ65),AND(BQ$4:BQ64))),($J65*$G65-LN(1+Jumpoverwrite15*BS$2))/$G65,_xll.qlInterpolationInterpolate(BQ$3,$F65,TRUE))</f>
        <v>#NUM!</v>
      </c>
      <c r="BS65" s="176" t="str">
        <f>IF(AND(NOT(BQ65),AND(BQ$4:BQ64)),IF($BN65&lt;0,IF($BN65&lt;$J65,EXP(($BN65-$J65)*$G65),EXP(($J65-$BN65)*$G65)),EXP(($BN65-$J65)*$G65)),"")</f>
        <v/>
      </c>
    </row>
    <row r="66" spans="1:71" x14ac:dyDescent="0.2">
      <c r="A66" s="33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84" t="e">
        <f t="shared" si="4"/>
        <v>#N/A</v>
      </c>
      <c r="G66" s="85" t="e">
        <f>_xll.qlDayCounterYearFraction(DayCounter,D65,D66)</f>
        <v>#NUM!</v>
      </c>
      <c r="I66" s="93" t="b">
        <f t="shared" si="2"/>
        <v>0</v>
      </c>
      <c r="J66" s="37" t="e">
        <v>#N/A</v>
      </c>
      <c r="K66" s="94" t="e">
        <f t="shared" si="3"/>
        <v>#VALUE!</v>
      </c>
      <c r="L66" s="105"/>
      <c r="M66" s="72" t="b">
        <f>IF(AND(NOT(I66),AND(I$4:I65)),TRUE,I66)</f>
        <v>0</v>
      </c>
      <c r="N66" s="172" t="e">
        <f>IF(AND(NOT(ISBLANK(Jumpoverwrite1)),AND(NOT(M66),AND(M$4:M65))),($J66*$G66-LN(1+Jumpoverwrite1*O$2))/$G66,_xll.qlInterpolationInterpolate(M$3,$F66,TRUE))</f>
        <v>#NUM!</v>
      </c>
      <c r="O66" s="34" t="str">
        <f>IF(AND(NOT(M66),AND(M$4:M65)),IF($N66&lt;0,IF($N66&lt;$J66,EXP(($N66-$J66)*$G66),EXP(($J66-$N66)*$G66)),EXP(($N66-$J66)*$G66)),"")</f>
        <v/>
      </c>
      <c r="P66" s="107"/>
      <c r="Q66" s="72" t="b">
        <f>IF(AND(NOT(M66),AND(M$4:M65)),TRUE,M66)</f>
        <v>0</v>
      </c>
      <c r="R66" s="172" t="e">
        <f>IF(AND(NOT(ISBLANK(Jumpoverwrite2)),AND(NOT(Q66),AND(Q$4:Q65))),($J66*$G66-LN(1+Jumpoverwrite2*S$2))/$G66,_xll.qlInterpolationInterpolate(Q$3,$F66,TRUE))</f>
        <v>#NUM!</v>
      </c>
      <c r="S66" s="176" t="str">
        <f>IF(AND(NOT(Q66),AND(Q$4:Q65)),IF($R66&lt;0,IF($R66&lt;$J66,EXP(($R66-$J66)*$G66),EXP(($J66-$R66)*$G66)),EXP(($R66-$J66)*$G66)),"")</f>
        <v/>
      </c>
      <c r="T66" s="107"/>
      <c r="U66" s="72" t="b">
        <f>IF(AND(NOT(Q66),AND(Q$4:Q65)),TRUE,Q66)</f>
        <v>0</v>
      </c>
      <c r="V66" s="172" t="e">
        <f>IF(AND(NOT(ISBLANK(Jumpoverwrite3)),AND(NOT(U66),AND(U$4:U65))),($J66*$G66-LN(1+Jumpoverwrite3*W$2))/$G66,_xll.qlInterpolationInterpolate(U$3,$F66,TRUE))</f>
        <v>#NUM!</v>
      </c>
      <c r="W66" s="176" t="str">
        <f>IF(AND(NOT(U66),AND(U$4:U65)),IF($V66&lt;0,IF($V66&lt;$J66,EXP(($V66-$J66)*$G66),EXP(($J66-$V66)*$G66)),EXP(($V66-$J66)*$G66)),"")</f>
        <v/>
      </c>
      <c r="X66" s="107"/>
      <c r="Y66" s="72" t="b">
        <f>IF(AND(NOT(U66),AND(U$4:U65)),TRUE,U66)</f>
        <v>0</v>
      </c>
      <c r="Z66" s="172" t="e">
        <f>IF(AND(NOT(ISBLANK(Jumpoverwrite4)),AND(NOT(Y66),AND(Y$4:Y65))),($J66*$G66-LN(1+Jumpoverwrite4*AA$2))/$G66,_xll.qlInterpolationInterpolate(Y$3,$F66,TRUE))</f>
        <v>#NUM!</v>
      </c>
      <c r="AA66" s="176" t="str">
        <f>IF(AND(NOT(Y66),AND(Y$4:Y65)),IF($Z66&lt;0,IF($Z66&lt;$J66,EXP(($Z66-$J66)*$G66),EXP(($J66-$Z66)*$G66)),EXP(($Z66-$J66)*$G66)),"")</f>
        <v/>
      </c>
      <c r="AB66" s="107"/>
      <c r="AC66" s="72" t="b">
        <f>IF(AND(NOT(Y66),AND(Y$4:Y65)),TRUE,Y66)</f>
        <v>0</v>
      </c>
      <c r="AD66" s="172" t="e">
        <f>IF(AND(NOT(ISBLANK(Jumpoverwrite5)),AND(NOT(AC66),AND(AC$4:AC65))),($J66*$G66-LN(1+Jumpoverwrite5*AE$2))/$G66,_xll.qlInterpolationInterpolate(AC$3,$F66,TRUE))</f>
        <v>#NUM!</v>
      </c>
      <c r="AE66" s="176" t="str">
        <f>IF(AND(NOT(AC66),AND(AC$4:AC65)),IF($AD66&lt;0,IF($AD66&lt;$J66,EXP(($AD66-$J66)*$G66),EXP(($J66-$AD66)*$G66)),EXP(($AD66-$J66)*$G66)),"")</f>
        <v/>
      </c>
      <c r="AF66" s="107"/>
      <c r="AG66" s="72" t="b">
        <f>IF(AND(NOT(AC66),AND(AC$4:AC65)),TRUE,AC66)</f>
        <v>0</v>
      </c>
      <c r="AH66" s="172" t="e">
        <f>IF(AND(NOT(ISBLANK(Jumpoverwrite6)),AND(NOT(AG66),AND(AG$4:AG65))),($J66*$G66-LN(1+Jumpoverwrite6*AI$2))/$G66,_xll.qlInterpolationInterpolate(AG$3,$F66,TRUE))</f>
        <v>#NUM!</v>
      </c>
      <c r="AI66" s="176" t="str">
        <f>IF(AND(NOT(AG66),AND(AG$4:AG65)),IF($AH66&lt;0,IF($AH66&lt;$J66,EXP(($AH66-$J66)*$G66),EXP(($J66-$AH66)*$G66)),EXP(($AH66-$J66)*$G66)),"")</f>
        <v/>
      </c>
      <c r="AJ66" s="107"/>
      <c r="AK66" s="72" t="b">
        <f>IF(AND(NOT(AG66),AND(AG$4:AG65)),TRUE,AG66)</f>
        <v>0</v>
      </c>
      <c r="AL66" s="172" t="e">
        <f>IF(AND(NOT(ISBLANK(Jumpoverwrite7)),AND(NOT(AK66),AND(AK$4:AK65))),($J66*$G66-LN(1+Jumpoverwrite7*AM$2))/$G66,_xll.qlInterpolationInterpolate(AK$3,$F66,TRUE))</f>
        <v>#NUM!</v>
      </c>
      <c r="AM66" s="176" t="str">
        <f>IF(AND(NOT(AK66),AND(AK$4:AK65)),IF($AL66&lt;0,IF($AL66&lt;$J66,EXP(($AL66-$J66)*$G66),EXP(($J66-$AL66)*$G66)),EXP(($AL66-$J66)*$G66)),"")</f>
        <v/>
      </c>
      <c r="AO66" s="72" t="b">
        <f>IF(AND(NOT(AK66),AND(AK$4:AK65)),TRUE,AK66)</f>
        <v>0</v>
      </c>
      <c r="AP66" s="172" t="e">
        <f>IF(AND(NOT(ISBLANK(Jumpoverwrite8)),AND(NOT(AO66),AND(AO$4:AO65))),($J66*$G66-LN(1+Jumpoverwrite8*AQ$2))/$G66,_xll.qlInterpolationInterpolate(AO$3,$F66,TRUE))</f>
        <v>#NUM!</v>
      </c>
      <c r="AQ66" s="176" t="str">
        <f>IF(AND(NOT(AO66),AND(AO$4:AO65)),IF($AP66&lt;0,IF($AP66&lt;$J66,EXP(($AP66-$J66)*$G66),EXP(($J66-$AP66)*$G66)),EXP(($AP66-$J66)*$G66)),"")</f>
        <v/>
      </c>
      <c r="AS66" s="72" t="b">
        <f>IF(AND(NOT(AO66),AND(AO$4:AO65)),TRUE,AO66)</f>
        <v>0</v>
      </c>
      <c r="AT66" s="172" t="e">
        <f>IF(AND(NOT(ISBLANK(Jumpoverwrite9)),AND(NOT(AS66),AND(AS$4:AS65))),($J66*$G66-LN(1+Jumpoverwrite9*AU$2))/$G66,_xll.qlInterpolationInterpolate(AS$3,$F66,TRUE))</f>
        <v>#NUM!</v>
      </c>
      <c r="AU66" s="176" t="str">
        <f>IF(AND(NOT(AS66),AND(AS$4:AS65)),IF($AT66&lt;0,IF($AT66&lt;$J66,EXP(($AT66-$J66)*$G66),EXP(($J66-$AT66)*$G66)),EXP(($AT66-$J66)*$G66)),"")</f>
        <v/>
      </c>
      <c r="AW66" s="72" t="b">
        <f>IF(AND(NOT(AS66),AND(AS$4:AS65)),TRUE,AS66)</f>
        <v>0</v>
      </c>
      <c r="AX66" s="172" t="e">
        <f>IF(AND(NOT(ISBLANK(Jumpoverwrite10)),AND(NOT(AW66),AND(AW$4:AW65))),($J66*$G66-LN(1+Jumpoverwrite10*AY$2))/$G66,_xll.qlInterpolationInterpolate(AW$3,$F66,TRUE))</f>
        <v>#NUM!</v>
      </c>
      <c r="AY66" s="176" t="str">
        <f>IF(AND(NOT(AW66),AND(AW$4:AW65)),IF($AX66&lt;0,IF($AX66&lt;$J66,EXP(($AX66-$J66)*$G66),EXP(($J66-$AX66)*$G66)),EXP(($AX66-$J66)*$G66)),"")</f>
        <v/>
      </c>
      <c r="BA66" s="72" t="b">
        <f>IF(AND(NOT(AW66),AND(AW$4:AW65)),TRUE,AW66)</f>
        <v>0</v>
      </c>
      <c r="BB66" s="172" t="e">
        <f>IF(AND(NOT(ISBLANK(Jumpoverwrite11)),AND(NOT(BA66),AND(BA$4:BA65))),($J66*$G66-LN(1+Jumpoverwrite11*BC$2))/$G66,_xll.qlInterpolationInterpolate(BA$3,$F66,TRUE))</f>
        <v>#NUM!</v>
      </c>
      <c r="BC66" s="176" t="str">
        <f>IF(AND(NOT(BA66),AND(BA$4:BA65)),IF($BB66&lt;0,IF($BB66&lt;$J66,EXP(($BB66-$J66)*$G66),EXP(($J66-$BB66)*$G66)),EXP(($BB66-$J66)*$G66)),"")</f>
        <v/>
      </c>
      <c r="BE66" s="72" t="b">
        <f>IF(AND(NOT(BA66),AND(BA$4:BA65)),TRUE,BA66)</f>
        <v>0</v>
      </c>
      <c r="BF66" s="172" t="e">
        <f>IF(AND(NOT(ISBLANK(Jumpoverwrite12)),AND(NOT(BE66),AND(BE$4:BE65))),($J66*$G66-LN(1+Jumpoverwrite12*BG$2))/$G66,_xll.qlInterpolationInterpolate(BE$3,$F66,TRUE))</f>
        <v>#NUM!</v>
      </c>
      <c r="BG66" s="176" t="str">
        <f>IF(AND(NOT(BE66),AND(BE$4:BE65)),IF($BF66&lt;0,IF($BF66&lt;$J66,EXP(($BF66-$J66)*$G66),EXP(($J66-$BF66)*$G66)),EXP(($BF66-$J66)*$G66)),"")</f>
        <v/>
      </c>
      <c r="BI66" s="72" t="b">
        <f t="shared" si="5"/>
        <v>0</v>
      </c>
      <c r="BJ66" s="172" t="e">
        <f>IF(AND(NOT(ISBLANK(jumpoverwrite13)),AND(NOT(BI66),AND(BI$4:BI65))),($J66*$G66-LN(1+jumpoverwrite13*BK$2))/$G66,_xll.qlInterpolationInterpolate(BI$3,$F66,TRUE))</f>
        <v>#NUM!</v>
      </c>
      <c r="BK66" s="176" t="str">
        <f>IF(AND(NOT(BI66),AND(BI$4:BI65)),IF($BJ66&lt;0,IF($BJ66&lt;$J66,EXP(($BJ66-$J66)*$G66),EXP(($J66-$BJ66)*$G66)),EXP(($BJ66-$J66)*$G66)),"")</f>
        <v/>
      </c>
      <c r="BM66" s="72" t="b">
        <f>IF(AND(NOT(BI66),AND(BI$4:BI65)),TRUE,BI66)</f>
        <v>0</v>
      </c>
      <c r="BN66" s="172" t="e">
        <f>IF(AND(NOT(ISBLANK(Jumpoverwrite14)),AND(NOT(BM66),AND(BM$4:BM65))),($J66*$G66-LN(1+Jumpoverwrite14*BO$2))/$G66,_xll.qlInterpolationInterpolate(BM$3,$F66,TRUE))</f>
        <v>#NUM!</v>
      </c>
      <c r="BO66" s="176" t="str">
        <f>IF(AND(NOT(BM66),AND(BM$4:BM65)),IF($BN66&lt;0,IF($BN66&lt;$J66,EXP(($BN66-$J66)*$G66),EXP(($J66-$BN66)*$G66)),EXP(($BN66-$J66)*$G66)),"")</f>
        <v/>
      </c>
      <c r="BQ66" s="72" t="b">
        <f>IF(AND(NOT(BM66),AND(BM$4:BM65)),TRUE,BM66)</f>
        <v>0</v>
      </c>
      <c r="BR66" s="172" t="e">
        <f>IF(AND(NOT(ISBLANK(Jumpoverwrite15)),AND(NOT(BQ66),AND(BQ$4:BQ65))),($J66*$G66-LN(1+Jumpoverwrite15*BS$2))/$G66,_xll.qlInterpolationInterpolate(BQ$3,$F66,TRUE))</f>
        <v>#NUM!</v>
      </c>
      <c r="BS66" s="176" t="str">
        <f>IF(AND(NOT(BQ66),AND(BQ$4:BQ65)),IF($BN66&lt;0,IF($BN66&lt;$J66,EXP(($BN66-$J66)*$G66),EXP(($J66-$BN66)*$G66)),EXP(($BN66-$J66)*$G66)),"")</f>
        <v/>
      </c>
    </row>
    <row r="67" spans="1:71" x14ac:dyDescent="0.2">
      <c r="A67" s="33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84" t="e">
        <f t="shared" si="4"/>
        <v>#N/A</v>
      </c>
      <c r="G67" s="85" t="e">
        <f>_xll.qlDayCounterYearFraction(DayCounter,D66,D67)</f>
        <v>#NUM!</v>
      </c>
      <c r="I67" s="93" t="b">
        <f t="shared" si="2"/>
        <v>0</v>
      </c>
      <c r="J67" s="37" t="e">
        <v>#N/A</v>
      </c>
      <c r="K67" s="94" t="e">
        <f t="shared" si="3"/>
        <v>#VALUE!</v>
      </c>
      <c r="L67" s="105"/>
      <c r="M67" s="72" t="b">
        <f>IF(AND(NOT(I67),AND(I$4:I66)),TRUE,I67)</f>
        <v>0</v>
      </c>
      <c r="N67" s="172" t="e">
        <f>IF(AND(NOT(ISBLANK(Jumpoverwrite1)),AND(NOT(M67),AND(M$4:M66))),($J67*$G67-LN(1+Jumpoverwrite1*O$2))/$G67,_xll.qlInterpolationInterpolate(M$3,$F67,TRUE))</f>
        <v>#NUM!</v>
      </c>
      <c r="O67" s="34" t="str">
        <f>IF(AND(NOT(M67),AND(M$4:M66)),IF($N67&lt;0,IF($N67&lt;$J67,EXP(($N67-$J67)*$G67),EXP(($J67-$N67)*$G67)),EXP(($N67-$J67)*$G67)),"")</f>
        <v/>
      </c>
      <c r="P67" s="107"/>
      <c r="Q67" s="72" t="b">
        <f>IF(AND(NOT(M67),AND(M$4:M66)),TRUE,M67)</f>
        <v>0</v>
      </c>
      <c r="R67" s="172" t="e">
        <f>IF(AND(NOT(ISBLANK(Jumpoverwrite2)),AND(NOT(Q67),AND(Q$4:Q66))),($J67*$G67-LN(1+Jumpoverwrite2*S$2))/$G67,_xll.qlInterpolationInterpolate(Q$3,$F67,TRUE))</f>
        <v>#NUM!</v>
      </c>
      <c r="S67" s="176" t="str">
        <f>IF(AND(NOT(Q67),AND(Q$4:Q66)),IF($R67&lt;0,IF($R67&lt;$J67,EXP(($R67-$J67)*$G67),EXP(($J67-$R67)*$G67)),EXP(($R67-$J67)*$G67)),"")</f>
        <v/>
      </c>
      <c r="T67" s="107"/>
      <c r="U67" s="72" t="b">
        <f>IF(AND(NOT(Q67),AND(Q$4:Q66)),TRUE,Q67)</f>
        <v>0</v>
      </c>
      <c r="V67" s="172" t="e">
        <f>IF(AND(NOT(ISBLANK(Jumpoverwrite3)),AND(NOT(U67),AND(U$4:U66))),($J67*$G67-LN(1+Jumpoverwrite3*W$2))/$G67,_xll.qlInterpolationInterpolate(U$3,$F67,TRUE))</f>
        <v>#NUM!</v>
      </c>
      <c r="W67" s="176" t="str">
        <f>IF(AND(NOT(U67),AND(U$4:U66)),IF($V67&lt;0,IF($V67&lt;$J67,EXP(($V67-$J67)*$G67),EXP(($J67-$V67)*$G67)),EXP(($V67-$J67)*$G67)),"")</f>
        <v/>
      </c>
      <c r="X67" s="107"/>
      <c r="Y67" s="72" t="b">
        <f>IF(AND(NOT(U67),AND(U$4:U66)),TRUE,U67)</f>
        <v>0</v>
      </c>
      <c r="Z67" s="172" t="e">
        <f>IF(AND(NOT(ISBLANK(Jumpoverwrite4)),AND(NOT(Y67),AND(Y$4:Y66))),($J67*$G67-LN(1+Jumpoverwrite4*AA$2))/$G67,_xll.qlInterpolationInterpolate(Y$3,$F67,TRUE))</f>
        <v>#NUM!</v>
      </c>
      <c r="AA67" s="176" t="str">
        <f>IF(AND(NOT(Y67),AND(Y$4:Y66)),IF($Z67&lt;0,IF($Z67&lt;$J67,EXP(($Z67-$J67)*$G67),EXP(($J67-$Z67)*$G67)),EXP(($Z67-$J67)*$G67)),"")</f>
        <v/>
      </c>
      <c r="AB67" s="107"/>
      <c r="AC67" s="72" t="b">
        <f>IF(AND(NOT(Y67),AND(Y$4:Y66)),TRUE,Y67)</f>
        <v>0</v>
      </c>
      <c r="AD67" s="172" t="e">
        <f>IF(AND(NOT(ISBLANK(Jumpoverwrite5)),AND(NOT(AC67),AND(AC$4:AC66))),($J67*$G67-LN(1+Jumpoverwrite5*AE$2))/$G67,_xll.qlInterpolationInterpolate(AC$3,$F67,TRUE))</f>
        <v>#NUM!</v>
      </c>
      <c r="AE67" s="176" t="str">
        <f>IF(AND(NOT(AC67),AND(AC$4:AC66)),IF($AD67&lt;0,IF($AD67&lt;$J67,EXP(($AD67-$J67)*$G67),EXP(($J67-$AD67)*$G67)),EXP(($AD67-$J67)*$G67)),"")</f>
        <v/>
      </c>
      <c r="AF67" s="107"/>
      <c r="AG67" s="72" t="b">
        <f>IF(AND(NOT(AC67),AND(AC$4:AC66)),TRUE,AC67)</f>
        <v>0</v>
      </c>
      <c r="AH67" s="172" t="e">
        <f>IF(AND(NOT(ISBLANK(Jumpoverwrite6)),AND(NOT(AG67),AND(AG$4:AG66))),($J67*$G67-LN(1+Jumpoverwrite6*AI$2))/$G67,_xll.qlInterpolationInterpolate(AG$3,$F67,TRUE))</f>
        <v>#NUM!</v>
      </c>
      <c r="AI67" s="176" t="str">
        <f>IF(AND(NOT(AG67),AND(AG$4:AG66)),IF($AH67&lt;0,IF($AH67&lt;$J67,EXP(($AH67-$J67)*$G67),EXP(($J67-$AH67)*$G67)),EXP(($AH67-$J67)*$G67)),"")</f>
        <v/>
      </c>
      <c r="AJ67" s="107"/>
      <c r="AK67" s="72" t="b">
        <f>IF(AND(NOT(AG67),AND(AG$4:AG66)),TRUE,AG67)</f>
        <v>0</v>
      </c>
      <c r="AL67" s="172" t="e">
        <f>IF(AND(NOT(ISBLANK(Jumpoverwrite7)),AND(NOT(AK67),AND(AK$4:AK66))),($J67*$G67-LN(1+Jumpoverwrite7*AM$2))/$G67,_xll.qlInterpolationInterpolate(AK$3,$F67,TRUE))</f>
        <v>#NUM!</v>
      </c>
      <c r="AM67" s="176" t="str">
        <f>IF(AND(NOT(AK67),AND(AK$4:AK66)),IF($AL67&lt;0,IF($AL67&lt;$J67,EXP(($AL67-$J67)*$G67),EXP(($J67-$AL67)*$G67)),EXP(($AL67-$J67)*$G67)),"")</f>
        <v/>
      </c>
      <c r="AO67" s="72" t="b">
        <f>IF(AND(NOT(AK67),AND(AK$4:AK66)),TRUE,AK67)</f>
        <v>0</v>
      </c>
      <c r="AP67" s="172" t="e">
        <f>IF(AND(NOT(ISBLANK(Jumpoverwrite8)),AND(NOT(AO67),AND(AO$4:AO66))),($J67*$G67-LN(1+Jumpoverwrite8*AQ$2))/$G67,_xll.qlInterpolationInterpolate(AO$3,$F67,TRUE))</f>
        <v>#NUM!</v>
      </c>
      <c r="AQ67" s="176" t="str">
        <f>IF(AND(NOT(AO67),AND(AO$4:AO66)),IF($AP67&lt;0,IF($AP67&lt;$J67,EXP(($AP67-$J67)*$G67),EXP(($J67-$AP67)*$G67)),EXP(($AP67-$J67)*$G67)),"")</f>
        <v/>
      </c>
      <c r="AS67" s="72" t="b">
        <f>IF(AND(NOT(AO67),AND(AO$4:AO66)),TRUE,AO67)</f>
        <v>0</v>
      </c>
      <c r="AT67" s="172" t="e">
        <f>IF(AND(NOT(ISBLANK(Jumpoverwrite9)),AND(NOT(AS67),AND(AS$4:AS66))),($J67*$G67-LN(1+Jumpoverwrite9*AU$2))/$G67,_xll.qlInterpolationInterpolate(AS$3,$F67,TRUE))</f>
        <v>#NUM!</v>
      </c>
      <c r="AU67" s="176" t="str">
        <f>IF(AND(NOT(AS67),AND(AS$4:AS66)),IF($AT67&lt;0,IF($AT67&lt;$J67,EXP(($AT67-$J67)*$G67),EXP(($J67-$AT67)*$G67)),EXP(($AT67-$J67)*$G67)),"")</f>
        <v/>
      </c>
      <c r="AW67" s="72" t="b">
        <f>IF(AND(NOT(AS67),AND(AS$4:AS66)),TRUE,AS67)</f>
        <v>0</v>
      </c>
      <c r="AX67" s="172" t="e">
        <f>IF(AND(NOT(ISBLANK(Jumpoverwrite10)),AND(NOT(AW67),AND(AW$4:AW66))),($J67*$G67-LN(1+Jumpoverwrite10*AY$2))/$G67,_xll.qlInterpolationInterpolate(AW$3,$F67,TRUE))</f>
        <v>#NUM!</v>
      </c>
      <c r="AY67" s="176" t="str">
        <f>IF(AND(NOT(AW67),AND(AW$4:AW66)),IF($AX67&lt;0,IF($AX67&lt;$J67,EXP(($AX67-$J67)*$G67),EXP(($J67-$AX67)*$G67)),EXP(($AX67-$J67)*$G67)),"")</f>
        <v/>
      </c>
      <c r="BA67" s="72" t="b">
        <f>IF(AND(NOT(AW67),AND(AW$4:AW66)),TRUE,AW67)</f>
        <v>0</v>
      </c>
      <c r="BB67" s="172" t="e">
        <f>IF(AND(NOT(ISBLANK(Jumpoverwrite11)),AND(NOT(BA67),AND(BA$4:BA66))),($J67*$G67-LN(1+Jumpoverwrite11*BC$2))/$G67,_xll.qlInterpolationInterpolate(BA$3,$F67,TRUE))</f>
        <v>#NUM!</v>
      </c>
      <c r="BC67" s="176" t="str">
        <f>IF(AND(NOT(BA67),AND(BA$4:BA66)),IF($BB67&lt;0,IF($BB67&lt;$J67,EXP(($BB67-$J67)*$G67),EXP(($J67-$BB67)*$G67)),EXP(($BB67-$J67)*$G67)),"")</f>
        <v/>
      </c>
      <c r="BE67" s="72" t="b">
        <f>IF(AND(NOT(BA67),AND(BA$4:BA66)),TRUE,BA67)</f>
        <v>0</v>
      </c>
      <c r="BF67" s="172" t="e">
        <f>IF(AND(NOT(ISBLANK(Jumpoverwrite12)),AND(NOT(BE67),AND(BE$4:BE66))),($J67*$G67-LN(1+Jumpoverwrite12*BG$2))/$G67,_xll.qlInterpolationInterpolate(BE$3,$F67,TRUE))</f>
        <v>#NUM!</v>
      </c>
      <c r="BG67" s="176" t="str">
        <f>IF(AND(NOT(BE67),AND(BE$4:BE66)),IF($BF67&lt;0,IF($BF67&lt;$J67,EXP(($BF67-$J67)*$G67),EXP(($J67-$BF67)*$G67)),EXP(($BF67-$J67)*$G67)),"")</f>
        <v/>
      </c>
      <c r="BI67" s="72" t="b">
        <f t="shared" si="5"/>
        <v>0</v>
      </c>
      <c r="BJ67" s="172" t="e">
        <f>IF(AND(NOT(ISBLANK(jumpoverwrite13)),AND(NOT(BI67),AND(BI$4:BI66))),($J67*$G67-LN(1+jumpoverwrite13*BK$2))/$G67,_xll.qlInterpolationInterpolate(BI$3,$F67,TRUE))</f>
        <v>#NUM!</v>
      </c>
      <c r="BK67" s="176" t="str">
        <f>IF(AND(NOT(BI67),AND(BI$4:BI66)),IF($BJ67&lt;0,IF($BJ67&lt;$J67,EXP(($BJ67-$J67)*$G67),EXP(($J67-$BJ67)*$G67)),EXP(($BJ67-$J67)*$G67)),"")</f>
        <v/>
      </c>
      <c r="BM67" s="72" t="b">
        <f>IF(AND(NOT(BI67),AND(BI$4:BI66)),TRUE,BI67)</f>
        <v>0</v>
      </c>
      <c r="BN67" s="172" t="e">
        <f>IF(AND(NOT(ISBLANK(Jumpoverwrite14)),AND(NOT(BM67),AND(BM$4:BM66))),($J67*$G67-LN(1+Jumpoverwrite14*BO$2))/$G67,_xll.qlInterpolationInterpolate(BM$3,$F67,TRUE))</f>
        <v>#NUM!</v>
      </c>
      <c r="BO67" s="176" t="str">
        <f>IF(AND(NOT(BM67),AND(BM$4:BM66)),IF($BN67&lt;0,IF($BN67&lt;$J67,EXP(($BN67-$J67)*$G67),EXP(($J67-$BN67)*$G67)),EXP(($BN67-$J67)*$G67)),"")</f>
        <v/>
      </c>
      <c r="BQ67" s="72" t="b">
        <f>IF(AND(NOT(BM67),AND(BM$4:BM66)),TRUE,BM67)</f>
        <v>0</v>
      </c>
      <c r="BR67" s="172" t="e">
        <f>IF(AND(NOT(ISBLANK(Jumpoverwrite15)),AND(NOT(BQ67),AND(BQ$4:BQ66))),($J67*$G67-LN(1+Jumpoverwrite15*BS$2))/$G67,_xll.qlInterpolationInterpolate(BQ$3,$F67,TRUE))</f>
        <v>#NUM!</v>
      </c>
      <c r="BS67" s="176" t="str">
        <f>IF(AND(NOT(BQ67),AND(BQ$4:BQ66)),IF($BN67&lt;0,IF($BN67&lt;$J67,EXP(($BN67-$J67)*$G67),EXP(($J67-$BN67)*$G67)),EXP(($BN67-$J67)*$G67)),"")</f>
        <v/>
      </c>
    </row>
    <row r="68" spans="1:71" x14ac:dyDescent="0.2">
      <c r="A68" s="33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84" t="e">
        <f t="shared" si="4"/>
        <v>#N/A</v>
      </c>
      <c r="G68" s="85" t="e">
        <f>_xll.qlDayCounterYearFraction(DayCounter,D67,D68)</f>
        <v>#NUM!</v>
      </c>
      <c r="I68" s="93" t="b">
        <f t="shared" si="2"/>
        <v>0</v>
      </c>
      <c r="J68" s="37" t="e">
        <v>#N/A</v>
      </c>
      <c r="K68" s="94" t="e">
        <f t="shared" si="3"/>
        <v>#VALUE!</v>
      </c>
      <c r="L68" s="105"/>
      <c r="M68" s="72" t="b">
        <f>IF(AND(NOT(I68),AND(I$4:I67)),TRUE,I68)</f>
        <v>0</v>
      </c>
      <c r="N68" s="172" t="e">
        <f>IF(AND(NOT(ISBLANK(Jumpoverwrite1)),AND(NOT(M68),AND(M$4:M67))),($J68*$G68-LN(1+Jumpoverwrite1*O$2))/$G68,_xll.qlInterpolationInterpolate(M$3,$F68,TRUE))</f>
        <v>#NUM!</v>
      </c>
      <c r="O68" s="34" t="str">
        <f>IF(AND(NOT(M68),AND(M$4:M67)),IF($N68&lt;0,IF($N68&lt;$J68,EXP(($N68-$J68)*$G68),EXP(($J68-$N68)*$G68)),EXP(($N68-$J68)*$G68)),"")</f>
        <v/>
      </c>
      <c r="P68" s="107"/>
      <c r="Q68" s="72" t="b">
        <f>IF(AND(NOT(M68),AND(M$4:M67)),TRUE,M68)</f>
        <v>0</v>
      </c>
      <c r="R68" s="172" t="e">
        <f>IF(AND(NOT(ISBLANK(Jumpoverwrite2)),AND(NOT(Q68),AND(Q$4:Q67))),($J68*$G68-LN(1+Jumpoverwrite2*S$2))/$G68,_xll.qlInterpolationInterpolate(Q$3,$F68,TRUE))</f>
        <v>#NUM!</v>
      </c>
      <c r="S68" s="176" t="str">
        <f>IF(AND(NOT(Q68),AND(Q$4:Q67)),IF($R68&lt;0,IF($R68&lt;$J68,EXP(($R68-$J68)*$G68),EXP(($J68-$R68)*$G68)),EXP(($R68-$J68)*$G68)),"")</f>
        <v/>
      </c>
      <c r="T68" s="107"/>
      <c r="U68" s="72" t="b">
        <f>IF(AND(NOT(Q68),AND(Q$4:Q67)),TRUE,Q68)</f>
        <v>0</v>
      </c>
      <c r="V68" s="172" t="e">
        <f>IF(AND(NOT(ISBLANK(Jumpoverwrite3)),AND(NOT(U68),AND(U$4:U67))),($J68*$G68-LN(1+Jumpoverwrite3*W$2))/$G68,_xll.qlInterpolationInterpolate(U$3,$F68,TRUE))</f>
        <v>#NUM!</v>
      </c>
      <c r="W68" s="176" t="str">
        <f>IF(AND(NOT(U68),AND(U$4:U67)),IF($V68&lt;0,IF($V68&lt;$J68,EXP(($V68-$J68)*$G68),EXP(($J68-$V68)*$G68)),EXP(($V68-$J68)*$G68)),"")</f>
        <v/>
      </c>
      <c r="X68" s="107"/>
      <c r="Y68" s="72" t="b">
        <f>IF(AND(NOT(U68),AND(U$4:U67)),TRUE,U68)</f>
        <v>0</v>
      </c>
      <c r="Z68" s="172" t="e">
        <f>IF(AND(NOT(ISBLANK(Jumpoverwrite4)),AND(NOT(Y68),AND(Y$4:Y67))),($J68*$G68-LN(1+Jumpoverwrite4*AA$2))/$G68,_xll.qlInterpolationInterpolate(Y$3,$F68,TRUE))</f>
        <v>#NUM!</v>
      </c>
      <c r="AA68" s="176" t="str">
        <f>IF(AND(NOT(Y68),AND(Y$4:Y67)),IF($Z68&lt;0,IF($Z68&lt;$J68,EXP(($Z68-$J68)*$G68),EXP(($J68-$Z68)*$G68)),EXP(($Z68-$J68)*$G68)),"")</f>
        <v/>
      </c>
      <c r="AB68" s="107"/>
      <c r="AC68" s="72" t="b">
        <f>IF(AND(NOT(Y68),AND(Y$4:Y67)),TRUE,Y68)</f>
        <v>0</v>
      </c>
      <c r="AD68" s="172" t="e">
        <f>IF(AND(NOT(ISBLANK(Jumpoverwrite5)),AND(NOT(AC68),AND(AC$4:AC67))),($J68*$G68-LN(1+Jumpoverwrite5*AE$2))/$G68,_xll.qlInterpolationInterpolate(AC$3,$F68,TRUE))</f>
        <v>#NUM!</v>
      </c>
      <c r="AE68" s="176" t="str">
        <f>IF(AND(NOT(AC68),AND(AC$4:AC67)),IF($AD68&lt;0,IF($AD68&lt;$J68,EXP(($AD68-$J68)*$G68),EXP(($J68-$AD68)*$G68)),EXP(($AD68-$J68)*$G68)),"")</f>
        <v/>
      </c>
      <c r="AF68" s="107"/>
      <c r="AG68" s="72" t="b">
        <f>IF(AND(NOT(AC68),AND(AC$4:AC67)),TRUE,AC68)</f>
        <v>0</v>
      </c>
      <c r="AH68" s="172" t="e">
        <f>IF(AND(NOT(ISBLANK(Jumpoverwrite6)),AND(NOT(AG68),AND(AG$4:AG67))),($J68*$G68-LN(1+Jumpoverwrite6*AI$2))/$G68,_xll.qlInterpolationInterpolate(AG$3,$F68,TRUE))</f>
        <v>#NUM!</v>
      </c>
      <c r="AI68" s="176" t="str">
        <f>IF(AND(NOT(AG68),AND(AG$4:AG67)),IF($AH68&lt;0,IF($AH68&lt;$J68,EXP(($AH68-$J68)*$G68),EXP(($J68-$AH68)*$G68)),EXP(($AH68-$J68)*$G68)),"")</f>
        <v/>
      </c>
      <c r="AJ68" s="107"/>
      <c r="AK68" s="72" t="b">
        <f>IF(AND(NOT(AG68),AND(AG$4:AG67)),TRUE,AG68)</f>
        <v>0</v>
      </c>
      <c r="AL68" s="172" t="e">
        <f>IF(AND(NOT(ISBLANK(Jumpoverwrite7)),AND(NOT(AK68),AND(AK$4:AK67))),($J68*$G68-LN(1+Jumpoverwrite7*AM$2))/$G68,_xll.qlInterpolationInterpolate(AK$3,$F68,TRUE))</f>
        <v>#NUM!</v>
      </c>
      <c r="AM68" s="176" t="str">
        <f>IF(AND(NOT(AK68),AND(AK$4:AK67)),IF($AL68&lt;0,IF($AL68&lt;$J68,EXP(($AL68-$J68)*$G68),EXP(($J68-$AL68)*$G68)),EXP(($AL68-$J68)*$G68)),"")</f>
        <v/>
      </c>
      <c r="AO68" s="72" t="b">
        <f>IF(AND(NOT(AK68),AND(AK$4:AK67)),TRUE,AK68)</f>
        <v>0</v>
      </c>
      <c r="AP68" s="172" t="e">
        <f>IF(AND(NOT(ISBLANK(Jumpoverwrite8)),AND(NOT(AO68),AND(AO$4:AO67))),($J68*$G68-LN(1+Jumpoverwrite8*AQ$2))/$G68,_xll.qlInterpolationInterpolate(AO$3,$F68,TRUE))</f>
        <v>#NUM!</v>
      </c>
      <c r="AQ68" s="176" t="str">
        <f>IF(AND(NOT(AO68),AND(AO$4:AO67)),IF($AP68&lt;0,IF($AP68&lt;$J68,EXP(($AP68-$J68)*$G68),EXP(($J68-$AP68)*$G68)),EXP(($AP68-$J68)*$G68)),"")</f>
        <v/>
      </c>
      <c r="AS68" s="72" t="b">
        <f>IF(AND(NOT(AO68),AND(AO$4:AO67)),TRUE,AO68)</f>
        <v>0</v>
      </c>
      <c r="AT68" s="172" t="e">
        <f>IF(AND(NOT(ISBLANK(Jumpoverwrite9)),AND(NOT(AS68),AND(AS$4:AS67))),($J68*$G68-LN(1+Jumpoverwrite9*AU$2))/$G68,_xll.qlInterpolationInterpolate(AS$3,$F68,TRUE))</f>
        <v>#NUM!</v>
      </c>
      <c r="AU68" s="176" t="str">
        <f>IF(AND(NOT(AS68),AND(AS$4:AS67)),IF($AT68&lt;0,IF($AT68&lt;$J68,EXP(($AT68-$J68)*$G68),EXP(($J68-$AT68)*$G68)),EXP(($AT68-$J68)*$G68)),"")</f>
        <v/>
      </c>
      <c r="AW68" s="72" t="b">
        <f>IF(AND(NOT(AS68),AND(AS$4:AS67)),TRUE,AS68)</f>
        <v>0</v>
      </c>
      <c r="AX68" s="172" t="e">
        <f>IF(AND(NOT(ISBLANK(Jumpoverwrite10)),AND(NOT(AW68),AND(AW$4:AW67))),($J68*$G68-LN(1+Jumpoverwrite10*AY$2))/$G68,_xll.qlInterpolationInterpolate(AW$3,$F68,TRUE))</f>
        <v>#NUM!</v>
      </c>
      <c r="AY68" s="176" t="str">
        <f>IF(AND(NOT(AW68),AND(AW$4:AW67)),IF($AX68&lt;0,IF($AX68&lt;$J68,EXP(($AX68-$J68)*$G68),EXP(($J68-$AX68)*$G68)),EXP(($AX68-$J68)*$G68)),"")</f>
        <v/>
      </c>
      <c r="BA68" s="72" t="b">
        <f>IF(AND(NOT(AW68),AND(AW$4:AW67)),TRUE,AW68)</f>
        <v>0</v>
      </c>
      <c r="BB68" s="172" t="e">
        <f>IF(AND(NOT(ISBLANK(Jumpoverwrite11)),AND(NOT(BA68),AND(BA$4:BA67))),($J68*$G68-LN(1+Jumpoverwrite11*BC$2))/$G68,_xll.qlInterpolationInterpolate(BA$3,$F68,TRUE))</f>
        <v>#NUM!</v>
      </c>
      <c r="BC68" s="176" t="str">
        <f>IF(AND(NOT(BA68),AND(BA$4:BA67)),IF($BB68&lt;0,IF($BB68&lt;$J68,EXP(($BB68-$J68)*$G68),EXP(($J68-$BB68)*$G68)),EXP(($BB68-$J68)*$G68)),"")</f>
        <v/>
      </c>
      <c r="BE68" s="72" t="b">
        <f>IF(AND(NOT(BA68),AND(BA$4:BA67)),TRUE,BA68)</f>
        <v>0</v>
      </c>
      <c r="BF68" s="172" t="e">
        <f>IF(AND(NOT(ISBLANK(Jumpoverwrite12)),AND(NOT(BE68),AND(BE$4:BE67))),($J68*$G68-LN(1+Jumpoverwrite12*BG$2))/$G68,_xll.qlInterpolationInterpolate(BE$3,$F68,TRUE))</f>
        <v>#NUM!</v>
      </c>
      <c r="BG68" s="176" t="str">
        <f>IF(AND(NOT(BE68),AND(BE$4:BE67)),IF($BF68&lt;0,IF($BF68&lt;$J68,EXP(($BF68-$J68)*$G68),EXP(($J68-$BF68)*$G68)),EXP(($BF68-$J68)*$G68)),"")</f>
        <v/>
      </c>
      <c r="BI68" s="72" t="b">
        <f t="shared" si="5"/>
        <v>0</v>
      </c>
      <c r="BJ68" s="172" t="e">
        <f>IF(AND(NOT(ISBLANK(jumpoverwrite13)),AND(NOT(BI68),AND(BI$4:BI67))),($J68*$G68-LN(1+jumpoverwrite13*BK$2))/$G68,_xll.qlInterpolationInterpolate(BI$3,$F68,TRUE))</f>
        <v>#NUM!</v>
      </c>
      <c r="BK68" s="176" t="str">
        <f>IF(AND(NOT(BI68),AND(BI$4:BI67)),IF($BJ68&lt;0,IF($BJ68&lt;$J68,EXP(($BJ68-$J68)*$G68),EXP(($J68-$BJ68)*$G68)),EXP(($BJ68-$J68)*$G68)),"")</f>
        <v/>
      </c>
      <c r="BM68" s="72" t="b">
        <f>IF(AND(NOT(BI68),AND(BI$4:BI67)),TRUE,BI68)</f>
        <v>0</v>
      </c>
      <c r="BN68" s="172" t="e">
        <f>IF(AND(NOT(ISBLANK(Jumpoverwrite14)),AND(NOT(BM68),AND(BM$4:BM67))),($J68*$G68-LN(1+Jumpoverwrite14*BO$2))/$G68,_xll.qlInterpolationInterpolate(BM$3,$F68,TRUE))</f>
        <v>#NUM!</v>
      </c>
      <c r="BO68" s="176" t="str">
        <f>IF(AND(NOT(BM68),AND(BM$4:BM67)),IF($BN68&lt;0,IF($BN68&lt;$J68,EXP(($BN68-$J68)*$G68),EXP(($J68-$BN68)*$G68)),EXP(($BN68-$J68)*$G68)),"")</f>
        <v/>
      </c>
      <c r="BQ68" s="72" t="b">
        <f>IF(AND(NOT(BM68),AND(BM$4:BM67)),TRUE,BM68)</f>
        <v>0</v>
      </c>
      <c r="BR68" s="172" t="e">
        <f>IF(AND(NOT(ISBLANK(Jumpoverwrite15)),AND(NOT(BQ68),AND(BQ$4:BQ67))),($J68*$G68-LN(1+Jumpoverwrite15*BS$2))/$G68,_xll.qlInterpolationInterpolate(BQ$3,$F68,TRUE))</f>
        <v>#NUM!</v>
      </c>
      <c r="BS68" s="176" t="str">
        <f>IF(AND(NOT(BQ68),AND(BQ$4:BQ67)),IF($BN68&lt;0,IF($BN68&lt;$J68,EXP(($BN68-$J68)*$G68),EXP(($J68-$BN68)*$G68)),EXP(($BN68-$J68)*$G68)),"")</f>
        <v/>
      </c>
    </row>
    <row r="69" spans="1:71" x14ac:dyDescent="0.2">
      <c r="A69" s="33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84" t="e">
        <f t="shared" si="4"/>
        <v>#N/A</v>
      </c>
      <c r="G69" s="85" t="e">
        <f>_xll.qlDayCounterYearFraction(DayCounter,D68,D69)</f>
        <v>#NUM!</v>
      </c>
      <c r="I69" s="93" t="b">
        <f t="shared" si="2"/>
        <v>0</v>
      </c>
      <c r="J69" s="37" t="e">
        <v>#N/A</v>
      </c>
      <c r="K69" s="94" t="e">
        <f t="shared" si="3"/>
        <v>#VALUE!</v>
      </c>
      <c r="L69" s="105"/>
      <c r="M69" s="72" t="b">
        <f>IF(AND(NOT(I69),AND(I$4:I68)),TRUE,I69)</f>
        <v>0</v>
      </c>
      <c r="N69" s="172" t="e">
        <f>IF(AND(NOT(ISBLANK(Jumpoverwrite1)),AND(NOT(M69),AND(M$4:M68))),($J69*$G69-LN(1+Jumpoverwrite1*O$2))/$G69,_xll.qlInterpolationInterpolate(M$3,$F69,TRUE))</f>
        <v>#NUM!</v>
      </c>
      <c r="O69" s="34" t="str">
        <f>IF(AND(NOT(M69),AND(M$4:M68)),IF($N69&lt;0,IF($N69&lt;$J69,EXP(($N69-$J69)*$G69),EXP(($J69-$N69)*$G69)),EXP(($N69-$J69)*$G69)),"")</f>
        <v/>
      </c>
      <c r="P69" s="107"/>
      <c r="Q69" s="72" t="b">
        <f>IF(AND(NOT(M69),AND(M$4:M68)),TRUE,M69)</f>
        <v>0</v>
      </c>
      <c r="R69" s="172" t="e">
        <f>IF(AND(NOT(ISBLANK(Jumpoverwrite2)),AND(NOT(Q69),AND(Q$4:Q68))),($J69*$G69-LN(1+Jumpoverwrite2*S$2))/$G69,_xll.qlInterpolationInterpolate(Q$3,$F69,TRUE))</f>
        <v>#NUM!</v>
      </c>
      <c r="S69" s="176" t="str">
        <f>IF(AND(NOT(Q69),AND(Q$4:Q68)),IF($R69&lt;0,IF($R69&lt;$J69,EXP(($R69-$J69)*$G69),EXP(($J69-$R69)*$G69)),EXP(($R69-$J69)*$G69)),"")</f>
        <v/>
      </c>
      <c r="T69" s="107"/>
      <c r="U69" s="72" t="b">
        <f>IF(AND(NOT(Q69),AND(Q$4:Q68)),TRUE,Q69)</f>
        <v>0</v>
      </c>
      <c r="V69" s="172" t="e">
        <f>IF(AND(NOT(ISBLANK(Jumpoverwrite3)),AND(NOT(U69),AND(U$4:U68))),($J69*$G69-LN(1+Jumpoverwrite3*W$2))/$G69,_xll.qlInterpolationInterpolate(U$3,$F69,TRUE))</f>
        <v>#NUM!</v>
      </c>
      <c r="W69" s="176" t="str">
        <f>IF(AND(NOT(U69),AND(U$4:U68)),IF($V69&lt;0,IF($V69&lt;$J69,EXP(($V69-$J69)*$G69),EXP(($J69-$V69)*$G69)),EXP(($V69-$J69)*$G69)),"")</f>
        <v/>
      </c>
      <c r="X69" s="107"/>
      <c r="Y69" s="72" t="b">
        <f>IF(AND(NOT(U69),AND(U$4:U68)),TRUE,U69)</f>
        <v>0</v>
      </c>
      <c r="Z69" s="172" t="e">
        <f>IF(AND(NOT(ISBLANK(Jumpoverwrite4)),AND(NOT(Y69),AND(Y$4:Y68))),($J69*$G69-LN(1+Jumpoverwrite4*AA$2))/$G69,_xll.qlInterpolationInterpolate(Y$3,$F69,TRUE))</f>
        <v>#NUM!</v>
      </c>
      <c r="AA69" s="176" t="str">
        <f>IF(AND(NOT(Y69),AND(Y$4:Y68)),IF($Z69&lt;0,IF($Z69&lt;$J69,EXP(($Z69-$J69)*$G69),EXP(($J69-$Z69)*$G69)),EXP(($Z69-$J69)*$G69)),"")</f>
        <v/>
      </c>
      <c r="AB69" s="107"/>
      <c r="AC69" s="72" t="b">
        <f>IF(AND(NOT(Y69),AND(Y$4:Y68)),TRUE,Y69)</f>
        <v>0</v>
      </c>
      <c r="AD69" s="172" t="e">
        <f>IF(AND(NOT(ISBLANK(Jumpoverwrite5)),AND(NOT(AC69),AND(AC$4:AC68))),($J69*$G69-LN(1+Jumpoverwrite5*AE$2))/$G69,_xll.qlInterpolationInterpolate(AC$3,$F69,TRUE))</f>
        <v>#NUM!</v>
      </c>
      <c r="AE69" s="176" t="str">
        <f>IF(AND(NOT(AC69),AND(AC$4:AC68)),IF($AD69&lt;0,IF($AD69&lt;$J69,EXP(($AD69-$J69)*$G69),EXP(($J69-$AD69)*$G69)),EXP(($AD69-$J69)*$G69)),"")</f>
        <v/>
      </c>
      <c r="AF69" s="107"/>
      <c r="AG69" s="72" t="b">
        <f>IF(AND(NOT(AC69),AND(AC$4:AC68)),TRUE,AC69)</f>
        <v>0</v>
      </c>
      <c r="AH69" s="172" t="e">
        <f>IF(AND(NOT(ISBLANK(Jumpoverwrite6)),AND(NOT(AG69),AND(AG$4:AG68))),($J69*$G69-LN(1+Jumpoverwrite6*AI$2))/$G69,_xll.qlInterpolationInterpolate(AG$3,$F69,TRUE))</f>
        <v>#NUM!</v>
      </c>
      <c r="AI69" s="176" t="str">
        <f>IF(AND(NOT(AG69),AND(AG$4:AG68)),IF($AH69&lt;0,IF($AH69&lt;$J69,EXP(($AH69-$J69)*$G69),EXP(($J69-$AH69)*$G69)),EXP(($AH69-$J69)*$G69)),"")</f>
        <v/>
      </c>
      <c r="AJ69" s="107"/>
      <c r="AK69" s="72" t="b">
        <f>IF(AND(NOT(AG69),AND(AG$4:AG68)),TRUE,AG69)</f>
        <v>0</v>
      </c>
      <c r="AL69" s="172" t="e">
        <f>IF(AND(NOT(ISBLANK(Jumpoverwrite7)),AND(NOT(AK69),AND(AK$4:AK68))),($J69*$G69-LN(1+Jumpoverwrite7*AM$2))/$G69,_xll.qlInterpolationInterpolate(AK$3,$F69,TRUE))</f>
        <v>#NUM!</v>
      </c>
      <c r="AM69" s="176" t="str">
        <f>IF(AND(NOT(AK69),AND(AK$4:AK68)),IF($AL69&lt;0,IF($AL69&lt;$J69,EXP(($AL69-$J69)*$G69),EXP(($J69-$AL69)*$G69)),EXP(($AL69-$J69)*$G69)),"")</f>
        <v/>
      </c>
      <c r="AO69" s="72" t="b">
        <f>IF(AND(NOT(AK69),AND(AK$4:AK68)),TRUE,AK69)</f>
        <v>0</v>
      </c>
      <c r="AP69" s="172" t="e">
        <f>IF(AND(NOT(ISBLANK(Jumpoverwrite8)),AND(NOT(AO69),AND(AO$4:AO68))),($J69*$G69-LN(1+Jumpoverwrite8*AQ$2))/$G69,_xll.qlInterpolationInterpolate(AO$3,$F69,TRUE))</f>
        <v>#NUM!</v>
      </c>
      <c r="AQ69" s="176" t="str">
        <f>IF(AND(NOT(AO69),AND(AO$4:AO68)),IF($AP69&lt;0,IF($AP69&lt;$J69,EXP(($AP69-$J69)*$G69),EXP(($J69-$AP69)*$G69)),EXP(($AP69-$J69)*$G69)),"")</f>
        <v/>
      </c>
      <c r="AS69" s="72" t="b">
        <f>IF(AND(NOT(AO69),AND(AO$4:AO68)),TRUE,AO69)</f>
        <v>0</v>
      </c>
      <c r="AT69" s="172" t="e">
        <f>IF(AND(NOT(ISBLANK(Jumpoverwrite9)),AND(NOT(AS69),AND(AS$4:AS68))),($J69*$G69-LN(1+Jumpoverwrite9*AU$2))/$G69,_xll.qlInterpolationInterpolate(AS$3,$F69,TRUE))</f>
        <v>#NUM!</v>
      </c>
      <c r="AU69" s="176" t="str">
        <f>IF(AND(NOT(AS69),AND(AS$4:AS68)),IF($AT69&lt;0,IF($AT69&lt;$J69,EXP(($AT69-$J69)*$G69),EXP(($J69-$AT69)*$G69)),EXP(($AT69-$J69)*$G69)),"")</f>
        <v/>
      </c>
      <c r="AW69" s="72" t="b">
        <f>IF(AND(NOT(AS69),AND(AS$4:AS68)),TRUE,AS69)</f>
        <v>0</v>
      </c>
      <c r="AX69" s="172" t="e">
        <f>IF(AND(NOT(ISBLANK(Jumpoverwrite10)),AND(NOT(AW69),AND(AW$4:AW68))),($J69*$G69-LN(1+Jumpoverwrite10*AY$2))/$G69,_xll.qlInterpolationInterpolate(AW$3,$F69,TRUE))</f>
        <v>#NUM!</v>
      </c>
      <c r="AY69" s="176" t="str">
        <f>IF(AND(NOT(AW69),AND(AW$4:AW68)),IF($AX69&lt;0,IF($AX69&lt;$J69,EXP(($AX69-$J69)*$G69),EXP(($J69-$AX69)*$G69)),EXP(($AX69-$J69)*$G69)),"")</f>
        <v/>
      </c>
      <c r="BA69" s="72" t="b">
        <f>IF(AND(NOT(AW69),AND(AW$4:AW68)),TRUE,AW69)</f>
        <v>0</v>
      </c>
      <c r="BB69" s="172" t="e">
        <f>IF(AND(NOT(ISBLANK(Jumpoverwrite11)),AND(NOT(BA69),AND(BA$4:BA68))),($J69*$G69-LN(1+Jumpoverwrite11*BC$2))/$G69,_xll.qlInterpolationInterpolate(BA$3,$F69,TRUE))</f>
        <v>#NUM!</v>
      </c>
      <c r="BC69" s="176" t="str">
        <f>IF(AND(NOT(BA69),AND(BA$4:BA68)),IF($BB69&lt;0,IF($BB69&lt;$J69,EXP(($BB69-$J69)*$G69),EXP(($J69-$BB69)*$G69)),EXP(($BB69-$J69)*$G69)),"")</f>
        <v/>
      </c>
      <c r="BE69" s="72" t="b">
        <f>IF(AND(NOT(BA69),AND(BA$4:BA68)),TRUE,BA69)</f>
        <v>0</v>
      </c>
      <c r="BF69" s="172" t="e">
        <f>IF(AND(NOT(ISBLANK(Jumpoverwrite12)),AND(NOT(BE69),AND(BE$4:BE68))),($J69*$G69-LN(1+Jumpoverwrite12*BG$2))/$G69,_xll.qlInterpolationInterpolate(BE$3,$F69,TRUE))</f>
        <v>#NUM!</v>
      </c>
      <c r="BG69" s="176" t="str">
        <f>IF(AND(NOT(BE69),AND(BE$4:BE68)),IF($BF69&lt;0,IF($BF69&lt;$J69,EXP(($BF69-$J69)*$G69),EXP(($J69-$BF69)*$G69)),EXP(($BF69-$J69)*$G69)),"")</f>
        <v/>
      </c>
      <c r="BI69" s="72" t="b">
        <f t="shared" ref="BI69:BI100" si="6">IF(ISERROR(K69),FALSE,IF(YEAR(K69)-YEAR(SettlementDate)=2,FALSE,TRUE))</f>
        <v>0</v>
      </c>
      <c r="BJ69" s="172" t="e">
        <f>IF(AND(NOT(ISBLANK(jumpoverwrite13)),AND(NOT(BI69),AND(BI$4:BI68))),($J69*$G69-LN(1+jumpoverwrite13*BK$2))/$G69,_xll.qlInterpolationInterpolate(BI$3,$F69,TRUE))</f>
        <v>#NUM!</v>
      </c>
      <c r="BK69" s="176" t="str">
        <f>IF(AND(NOT(BI69),AND(BI$4:BI68)),IF($BJ69&lt;0,IF($BJ69&lt;$J69,EXP(($BJ69-$J69)*$G69),EXP(($J69-$BJ69)*$G69)),EXP(($BJ69-$J69)*$G69)),"")</f>
        <v/>
      </c>
      <c r="BM69" s="72" t="b">
        <f>IF(AND(NOT(BI69),AND(BI$4:BI68)),TRUE,BI69)</f>
        <v>0</v>
      </c>
      <c r="BN69" s="172" t="e">
        <f>IF(AND(NOT(ISBLANK(Jumpoverwrite14)),AND(NOT(BM69),AND(BM$4:BM68))),($J69*$G69-LN(1+Jumpoverwrite14*BO$2))/$G69,_xll.qlInterpolationInterpolate(BM$3,$F69,TRUE))</f>
        <v>#NUM!</v>
      </c>
      <c r="BO69" s="176" t="str">
        <f>IF(AND(NOT(BM69),AND(BM$4:BM68)),IF($BN69&lt;0,IF($BN69&lt;$J69,EXP(($BN69-$J69)*$G69),EXP(($J69-$BN69)*$G69)),EXP(($BN69-$J69)*$G69)),"")</f>
        <v/>
      </c>
      <c r="BQ69" s="72" t="b">
        <f>IF(AND(NOT(BM69),AND(BM$4:BM68)),TRUE,BM69)</f>
        <v>0</v>
      </c>
      <c r="BR69" s="172" t="e">
        <f>IF(AND(NOT(ISBLANK(Jumpoverwrite15)),AND(NOT(BQ69),AND(BQ$4:BQ68))),($J69*$G69-LN(1+Jumpoverwrite15*BS$2))/$G69,_xll.qlInterpolationInterpolate(BQ$3,$F69,TRUE))</f>
        <v>#NUM!</v>
      </c>
      <c r="BS69" s="176" t="str">
        <f>IF(AND(NOT(BQ69),AND(BQ$4:BQ68)),IF($BN69&lt;0,IF($BN69&lt;$J69,EXP(($BN69-$J69)*$G69),EXP(($J69-$BN69)*$G69)),EXP(($BN69-$J69)*$G69)),"")</f>
        <v/>
      </c>
    </row>
    <row r="70" spans="1:71" x14ac:dyDescent="0.2">
      <c r="A70" s="33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84" t="e">
        <f t="shared" si="4"/>
        <v>#N/A</v>
      </c>
      <c r="G70" s="85" t="e">
        <f>_xll.qlDayCounterYearFraction(DayCounter,D69,D70)</f>
        <v>#NUM!</v>
      </c>
      <c r="I70" s="93" t="b">
        <f t="shared" ref="I70:I129" si="7">IF(ISERROR(K70),FALSE,IF(OR(MONTH(K70)-MONTH(K69)=1,YEAR(K70)-YEAR(K69)=1),FALSE,TRUE))</f>
        <v>0</v>
      </c>
      <c r="J70" s="37" t="e">
        <v>#N/A</v>
      </c>
      <c r="K70" s="94" t="e">
        <f t="shared" ref="K70:K129" si="8">D70</f>
        <v>#VALUE!</v>
      </c>
      <c r="L70" s="105"/>
      <c r="M70" s="72" t="b">
        <f>IF(AND(NOT(I70),AND(I$4:I69)),TRUE,I70)</f>
        <v>0</v>
      </c>
      <c r="N70" s="172" t="e">
        <f>IF(AND(NOT(ISBLANK(Jumpoverwrite1)),AND(NOT(M70),AND(M$4:M69))),($J70*$G70-LN(1+Jumpoverwrite1*O$2))/$G70,_xll.qlInterpolationInterpolate(M$3,$F70,TRUE))</f>
        <v>#NUM!</v>
      </c>
      <c r="O70" s="34" t="str">
        <f>IF(AND(NOT(M70),AND(M$4:M69)),IF($N70&lt;0,IF($N70&lt;$J70,EXP(($N70-$J70)*$G70),EXP(($J70-$N70)*$G70)),EXP(($N70-$J70)*$G70)),"")</f>
        <v/>
      </c>
      <c r="P70" s="107"/>
      <c r="Q70" s="72" t="b">
        <f>IF(AND(NOT(M70),AND(M$4:M69)),TRUE,M70)</f>
        <v>0</v>
      </c>
      <c r="R70" s="172" t="e">
        <f>IF(AND(NOT(ISBLANK(Jumpoverwrite2)),AND(NOT(Q70),AND(Q$4:Q69))),($J70*$G70-LN(1+Jumpoverwrite2*S$2))/$G70,_xll.qlInterpolationInterpolate(Q$3,$F70,TRUE))</f>
        <v>#NUM!</v>
      </c>
      <c r="S70" s="176" t="str">
        <f>IF(AND(NOT(Q70),AND(Q$4:Q69)),IF($R70&lt;0,IF($R70&lt;$J70,EXP(($R70-$J70)*$G70),EXP(($J70-$R70)*$G70)),EXP(($R70-$J70)*$G70)),"")</f>
        <v/>
      </c>
      <c r="T70" s="107"/>
      <c r="U70" s="72" t="b">
        <f>IF(AND(NOT(Q70),AND(Q$4:Q69)),TRUE,Q70)</f>
        <v>0</v>
      </c>
      <c r="V70" s="172" t="e">
        <f>IF(AND(NOT(ISBLANK(Jumpoverwrite3)),AND(NOT(U70),AND(U$4:U69))),($J70*$G70-LN(1+Jumpoverwrite3*W$2))/$G70,_xll.qlInterpolationInterpolate(U$3,$F70,TRUE))</f>
        <v>#NUM!</v>
      </c>
      <c r="W70" s="176" t="str">
        <f>IF(AND(NOT(U70),AND(U$4:U69)),IF($V70&lt;0,IF($V70&lt;$J70,EXP(($V70-$J70)*$G70),EXP(($J70-$V70)*$G70)),EXP(($V70-$J70)*$G70)),"")</f>
        <v/>
      </c>
      <c r="X70" s="107"/>
      <c r="Y70" s="72" t="b">
        <f>IF(AND(NOT(U70),AND(U$4:U69)),TRUE,U70)</f>
        <v>0</v>
      </c>
      <c r="Z70" s="172" t="e">
        <f>IF(AND(NOT(ISBLANK(Jumpoverwrite4)),AND(NOT(Y70),AND(Y$4:Y69))),($J70*$G70-LN(1+Jumpoverwrite4*AA$2))/$G70,_xll.qlInterpolationInterpolate(Y$3,$F70,TRUE))</f>
        <v>#NUM!</v>
      </c>
      <c r="AA70" s="176" t="str">
        <f>IF(AND(NOT(Y70),AND(Y$4:Y69)),IF($Z70&lt;0,IF($Z70&lt;$J70,EXP(($Z70-$J70)*$G70),EXP(($J70-$Z70)*$G70)),EXP(($Z70-$J70)*$G70)),"")</f>
        <v/>
      </c>
      <c r="AB70" s="107"/>
      <c r="AC70" s="72" t="b">
        <f>IF(AND(NOT(Y70),AND(Y$4:Y69)),TRUE,Y70)</f>
        <v>0</v>
      </c>
      <c r="AD70" s="172" t="e">
        <f>IF(AND(NOT(ISBLANK(Jumpoverwrite5)),AND(NOT(AC70),AND(AC$4:AC69))),($J70*$G70-LN(1+Jumpoverwrite5*AE$2))/$G70,_xll.qlInterpolationInterpolate(AC$3,$F70,TRUE))</f>
        <v>#NUM!</v>
      </c>
      <c r="AE70" s="176" t="str">
        <f>IF(AND(NOT(AC70),AND(AC$4:AC69)),IF($AD70&lt;0,IF($AD70&lt;$J70,EXP(($AD70-$J70)*$G70),EXP(($J70-$AD70)*$G70)),EXP(($AD70-$J70)*$G70)),"")</f>
        <v/>
      </c>
      <c r="AF70" s="107"/>
      <c r="AG70" s="72" t="b">
        <f>IF(AND(NOT(AC70),AND(AC$4:AC69)),TRUE,AC70)</f>
        <v>0</v>
      </c>
      <c r="AH70" s="172" t="e">
        <f>IF(AND(NOT(ISBLANK(Jumpoverwrite6)),AND(NOT(AG70),AND(AG$4:AG69))),($J70*$G70-LN(1+Jumpoverwrite6*AI$2))/$G70,_xll.qlInterpolationInterpolate(AG$3,$F70,TRUE))</f>
        <v>#NUM!</v>
      </c>
      <c r="AI70" s="176" t="str">
        <f>IF(AND(NOT(AG70),AND(AG$4:AG69)),IF($AH70&lt;0,IF($AH70&lt;$J70,EXP(($AH70-$J70)*$G70),EXP(($J70-$AH70)*$G70)),EXP(($AH70-$J70)*$G70)),"")</f>
        <v/>
      </c>
      <c r="AJ70" s="107"/>
      <c r="AK70" s="72" t="b">
        <f>IF(AND(NOT(AG70),AND(AG$4:AG69)),TRUE,AG70)</f>
        <v>0</v>
      </c>
      <c r="AL70" s="172" t="e">
        <f>IF(AND(NOT(ISBLANK(Jumpoverwrite7)),AND(NOT(AK70),AND(AK$4:AK69))),($J70*$G70-LN(1+Jumpoverwrite7*AM$2))/$G70,_xll.qlInterpolationInterpolate(AK$3,$F70,TRUE))</f>
        <v>#NUM!</v>
      </c>
      <c r="AM70" s="176" t="str">
        <f>IF(AND(NOT(AK70),AND(AK$4:AK69)),IF($AL70&lt;0,IF($AL70&lt;$J70,EXP(($AL70-$J70)*$G70),EXP(($J70-$AL70)*$G70)),EXP(($AL70-$J70)*$G70)),"")</f>
        <v/>
      </c>
      <c r="AO70" s="72" t="b">
        <f>IF(AND(NOT(AK70),AND(AK$4:AK69)),TRUE,AK70)</f>
        <v>0</v>
      </c>
      <c r="AP70" s="172" t="e">
        <f>IF(AND(NOT(ISBLANK(Jumpoverwrite8)),AND(NOT(AO70),AND(AO$4:AO69))),($J70*$G70-LN(1+Jumpoverwrite8*AQ$2))/$G70,_xll.qlInterpolationInterpolate(AO$3,$F70,TRUE))</f>
        <v>#NUM!</v>
      </c>
      <c r="AQ70" s="176" t="str">
        <f>IF(AND(NOT(AO70),AND(AO$4:AO69)),IF($AP70&lt;0,IF($AP70&lt;$J70,EXP(($AP70-$J70)*$G70),EXP(($J70-$AP70)*$G70)),EXP(($AP70-$J70)*$G70)),"")</f>
        <v/>
      </c>
      <c r="AS70" s="72" t="b">
        <f>IF(AND(NOT(AO70),AND(AO$4:AO69)),TRUE,AO70)</f>
        <v>0</v>
      </c>
      <c r="AT70" s="172" t="e">
        <f>IF(AND(NOT(ISBLANK(Jumpoverwrite9)),AND(NOT(AS70),AND(AS$4:AS69))),($J70*$G70-LN(1+Jumpoverwrite9*AU$2))/$G70,_xll.qlInterpolationInterpolate(AS$3,$F70,TRUE))</f>
        <v>#NUM!</v>
      </c>
      <c r="AU70" s="176" t="str">
        <f>IF(AND(NOT(AS70),AND(AS$4:AS69)),IF($AT70&lt;0,IF($AT70&lt;$J70,EXP(($AT70-$J70)*$G70),EXP(($J70-$AT70)*$G70)),EXP(($AT70-$J70)*$G70)),"")</f>
        <v/>
      </c>
      <c r="AW70" s="72" t="b">
        <f>IF(AND(NOT(AS70),AND(AS$4:AS69)),TRUE,AS70)</f>
        <v>0</v>
      </c>
      <c r="AX70" s="172" t="e">
        <f>IF(AND(NOT(ISBLANK(Jumpoverwrite10)),AND(NOT(AW70),AND(AW$4:AW69))),($J70*$G70-LN(1+Jumpoverwrite10*AY$2))/$G70,_xll.qlInterpolationInterpolate(AW$3,$F70,TRUE))</f>
        <v>#NUM!</v>
      </c>
      <c r="AY70" s="176" t="str">
        <f>IF(AND(NOT(AW70),AND(AW$4:AW69)),IF($AX70&lt;0,IF($AX70&lt;$J70,EXP(($AX70-$J70)*$G70),EXP(($J70-$AX70)*$G70)),EXP(($AX70-$J70)*$G70)),"")</f>
        <v/>
      </c>
      <c r="BA70" s="72" t="b">
        <f>IF(AND(NOT(AW70),AND(AW$4:AW69)),TRUE,AW70)</f>
        <v>0</v>
      </c>
      <c r="BB70" s="172" t="e">
        <f>IF(AND(NOT(ISBLANK(Jumpoverwrite11)),AND(NOT(BA70),AND(BA$4:BA69))),($J70*$G70-LN(1+Jumpoverwrite11*BC$2))/$G70,_xll.qlInterpolationInterpolate(BA$3,$F70,TRUE))</f>
        <v>#NUM!</v>
      </c>
      <c r="BC70" s="176" t="str">
        <f>IF(AND(NOT(BA70),AND(BA$4:BA69)),IF($BB70&lt;0,IF($BB70&lt;$J70,EXP(($BB70-$J70)*$G70),EXP(($J70-$BB70)*$G70)),EXP(($BB70-$J70)*$G70)),"")</f>
        <v/>
      </c>
      <c r="BE70" s="72" t="b">
        <f>IF(AND(NOT(BA70),AND(BA$4:BA69)),TRUE,BA70)</f>
        <v>0</v>
      </c>
      <c r="BF70" s="172" t="e">
        <f>IF(AND(NOT(ISBLANK(Jumpoverwrite12)),AND(NOT(BE70),AND(BE$4:BE69))),($J70*$G70-LN(1+Jumpoverwrite12*BG$2))/$G70,_xll.qlInterpolationInterpolate(BE$3,$F70,TRUE))</f>
        <v>#NUM!</v>
      </c>
      <c r="BG70" s="176" t="str">
        <f>IF(AND(NOT(BE70),AND(BE$4:BE69)),IF($BF70&lt;0,IF($BF70&lt;$J70,EXP(($BF70-$J70)*$G70),EXP(($J70-$BF70)*$G70)),EXP(($BF70-$J70)*$G70)),"")</f>
        <v/>
      </c>
      <c r="BI70" s="72" t="b">
        <f t="shared" si="6"/>
        <v>0</v>
      </c>
      <c r="BJ70" s="172" t="e">
        <f>IF(AND(NOT(ISBLANK(jumpoverwrite13)),AND(NOT(BI70),AND(BI$4:BI69))),($J70*$G70-LN(1+jumpoverwrite13*BK$2))/$G70,_xll.qlInterpolationInterpolate(BI$3,$F70,TRUE))</f>
        <v>#NUM!</v>
      </c>
      <c r="BK70" s="176" t="str">
        <f>IF(AND(NOT(BI70),AND(BI$4:BI69)),IF($BJ70&lt;0,IF($BJ70&lt;$J70,EXP(($BJ70-$J70)*$G70),EXP(($J70-$BJ70)*$G70)),EXP(($BJ70-$J70)*$G70)),"")</f>
        <v/>
      </c>
      <c r="BM70" s="72" t="b">
        <f>IF(AND(NOT(BI70),AND(BI$4:BI69)),TRUE,BI70)</f>
        <v>0</v>
      </c>
      <c r="BN70" s="172" t="e">
        <f>IF(AND(NOT(ISBLANK(Jumpoverwrite14)),AND(NOT(BM70),AND(BM$4:BM69))),($J70*$G70-LN(1+Jumpoverwrite14*BO$2))/$G70,_xll.qlInterpolationInterpolate(BM$3,$F70,TRUE))</f>
        <v>#NUM!</v>
      </c>
      <c r="BO70" s="176" t="str">
        <f>IF(AND(NOT(BM70),AND(BM$4:BM69)),IF($BN70&lt;0,IF($BN70&lt;$J70,EXP(($BN70-$J70)*$G70),EXP(($J70-$BN70)*$G70)),EXP(($BN70-$J70)*$G70)),"")</f>
        <v/>
      </c>
      <c r="BQ70" s="72" t="b">
        <f>IF(AND(NOT(BM70),AND(BM$4:BM69)),TRUE,BM70)</f>
        <v>0</v>
      </c>
      <c r="BR70" s="172" t="e">
        <f>IF(AND(NOT(ISBLANK(Jumpoverwrite15)),AND(NOT(BQ70),AND(BQ$4:BQ69))),($J70*$G70-LN(1+Jumpoverwrite15*BS$2))/$G70,_xll.qlInterpolationInterpolate(BQ$3,$F70,TRUE))</f>
        <v>#NUM!</v>
      </c>
      <c r="BS70" s="176" t="str">
        <f>IF(AND(NOT(BQ70),AND(BQ$4:BQ69)),IF($BN70&lt;0,IF($BN70&lt;$J70,EXP(($BN70-$J70)*$G70),EXP(($J70-$BN70)*$G70)),EXP(($BN70-$J70)*$G70)),"")</f>
        <v/>
      </c>
    </row>
    <row r="71" spans="1:71" x14ac:dyDescent="0.2">
      <c r="A71" s="33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84" t="e">
        <f t="shared" si="4"/>
        <v>#N/A</v>
      </c>
      <c r="G71" s="85" t="e">
        <f>_xll.qlDayCounterYearFraction(DayCounter,D70,D71)</f>
        <v>#NUM!</v>
      </c>
      <c r="I71" s="93" t="b">
        <f t="shared" si="7"/>
        <v>0</v>
      </c>
      <c r="J71" s="37" t="e">
        <v>#N/A</v>
      </c>
      <c r="K71" s="94" t="e">
        <f t="shared" si="8"/>
        <v>#VALUE!</v>
      </c>
      <c r="L71" s="105"/>
      <c r="M71" s="72" t="b">
        <f>IF(AND(NOT(I71),AND(I$4:I70)),TRUE,I71)</f>
        <v>0</v>
      </c>
      <c r="N71" s="172" t="e">
        <f>IF(AND(NOT(ISBLANK(Jumpoverwrite1)),AND(NOT(M71),AND(M$4:M70))),($J71*$G71-LN(1+Jumpoverwrite1*O$2))/$G71,_xll.qlInterpolationInterpolate(M$3,$F71,TRUE))</f>
        <v>#NUM!</v>
      </c>
      <c r="O71" s="34" t="str">
        <f>IF(AND(NOT(M71),AND(M$4:M70)),IF($N71&lt;0,IF($N71&lt;$J71,EXP(($N71-$J71)*$G71),EXP(($J71-$N71)*$G71)),EXP(($N71-$J71)*$G71)),"")</f>
        <v/>
      </c>
      <c r="P71" s="107"/>
      <c r="Q71" s="72" t="b">
        <f>IF(AND(NOT(M71),AND(M$4:M70)),TRUE,M71)</f>
        <v>0</v>
      </c>
      <c r="R71" s="172" t="e">
        <f>IF(AND(NOT(ISBLANK(Jumpoverwrite2)),AND(NOT(Q71),AND(Q$4:Q70))),($J71*$G71-LN(1+Jumpoverwrite2*S$2))/$G71,_xll.qlInterpolationInterpolate(Q$3,$F71,TRUE))</f>
        <v>#NUM!</v>
      </c>
      <c r="S71" s="176" t="str">
        <f>IF(AND(NOT(Q71),AND(Q$4:Q70)),IF($R71&lt;0,IF($R71&lt;$J71,EXP(($R71-$J71)*$G71),EXP(($J71-$R71)*$G71)),EXP(($R71-$J71)*$G71)),"")</f>
        <v/>
      </c>
      <c r="T71" s="107"/>
      <c r="U71" s="72" t="b">
        <f>IF(AND(NOT(Q71),AND(Q$4:Q70)),TRUE,Q71)</f>
        <v>0</v>
      </c>
      <c r="V71" s="172" t="e">
        <f>IF(AND(NOT(ISBLANK(Jumpoverwrite3)),AND(NOT(U71),AND(U$4:U70))),($J71*$G71-LN(1+Jumpoverwrite3*W$2))/$G71,_xll.qlInterpolationInterpolate(U$3,$F71,TRUE))</f>
        <v>#NUM!</v>
      </c>
      <c r="W71" s="176" t="str">
        <f>IF(AND(NOT(U71),AND(U$4:U70)),IF($V71&lt;0,IF($V71&lt;$J71,EXP(($V71-$J71)*$G71),EXP(($J71-$V71)*$G71)),EXP(($V71-$J71)*$G71)),"")</f>
        <v/>
      </c>
      <c r="X71" s="107"/>
      <c r="Y71" s="72" t="b">
        <f>IF(AND(NOT(U71),AND(U$4:U70)),TRUE,U71)</f>
        <v>0</v>
      </c>
      <c r="Z71" s="172" t="e">
        <f>IF(AND(NOT(ISBLANK(Jumpoverwrite4)),AND(NOT(Y71),AND(Y$4:Y70))),($J71*$G71-LN(1+Jumpoverwrite4*AA$2))/$G71,_xll.qlInterpolationInterpolate(Y$3,$F71,TRUE))</f>
        <v>#NUM!</v>
      </c>
      <c r="AA71" s="176" t="str">
        <f>IF(AND(NOT(Y71),AND(Y$4:Y70)),IF($Z71&lt;0,IF($Z71&lt;$J71,EXP(($Z71-$J71)*$G71),EXP(($J71-$Z71)*$G71)),EXP(($Z71-$J71)*$G71)),"")</f>
        <v/>
      </c>
      <c r="AB71" s="107"/>
      <c r="AC71" s="72" t="b">
        <f>IF(AND(NOT(Y71),AND(Y$4:Y70)),TRUE,Y71)</f>
        <v>0</v>
      </c>
      <c r="AD71" s="172" t="e">
        <f>IF(AND(NOT(ISBLANK(Jumpoverwrite5)),AND(NOT(AC71),AND(AC$4:AC70))),($J71*$G71-LN(1+Jumpoverwrite5*AE$2))/$G71,_xll.qlInterpolationInterpolate(AC$3,$F71,TRUE))</f>
        <v>#NUM!</v>
      </c>
      <c r="AE71" s="176" t="str">
        <f>IF(AND(NOT(AC71),AND(AC$4:AC70)),IF($AD71&lt;0,IF($AD71&lt;$J71,EXP(($AD71-$J71)*$G71),EXP(($J71-$AD71)*$G71)),EXP(($AD71-$J71)*$G71)),"")</f>
        <v/>
      </c>
      <c r="AF71" s="107"/>
      <c r="AG71" s="72" t="b">
        <f>IF(AND(NOT(AC71),AND(AC$4:AC70)),TRUE,AC71)</f>
        <v>0</v>
      </c>
      <c r="AH71" s="172" t="e">
        <f>IF(AND(NOT(ISBLANK(Jumpoverwrite6)),AND(NOT(AG71),AND(AG$4:AG70))),($J71*$G71-LN(1+Jumpoverwrite6*AI$2))/$G71,_xll.qlInterpolationInterpolate(AG$3,$F71,TRUE))</f>
        <v>#NUM!</v>
      </c>
      <c r="AI71" s="176" t="str">
        <f>IF(AND(NOT(AG71),AND(AG$4:AG70)),IF($AH71&lt;0,IF($AH71&lt;$J71,EXP(($AH71-$J71)*$G71),EXP(($J71-$AH71)*$G71)),EXP(($AH71-$J71)*$G71)),"")</f>
        <v/>
      </c>
      <c r="AJ71" s="107"/>
      <c r="AK71" s="72" t="b">
        <f>IF(AND(NOT(AG71),AND(AG$4:AG70)),TRUE,AG71)</f>
        <v>0</v>
      </c>
      <c r="AL71" s="172" t="e">
        <f>IF(AND(NOT(ISBLANK(Jumpoverwrite7)),AND(NOT(AK71),AND(AK$4:AK70))),($J71*$G71-LN(1+Jumpoverwrite7*AM$2))/$G71,_xll.qlInterpolationInterpolate(AK$3,$F71,TRUE))</f>
        <v>#NUM!</v>
      </c>
      <c r="AM71" s="176" t="str">
        <f>IF(AND(NOT(AK71),AND(AK$4:AK70)),IF($AL71&lt;0,IF($AL71&lt;$J71,EXP(($AL71-$J71)*$G71),EXP(($J71-$AL71)*$G71)),EXP(($AL71-$J71)*$G71)),"")</f>
        <v/>
      </c>
      <c r="AO71" s="72" t="b">
        <f>IF(AND(NOT(AK71),AND(AK$4:AK70)),TRUE,AK71)</f>
        <v>0</v>
      </c>
      <c r="AP71" s="172" t="e">
        <f>IF(AND(NOT(ISBLANK(Jumpoverwrite8)),AND(NOT(AO71),AND(AO$4:AO70))),($J71*$G71-LN(1+Jumpoverwrite8*AQ$2))/$G71,_xll.qlInterpolationInterpolate(AO$3,$F71,TRUE))</f>
        <v>#NUM!</v>
      </c>
      <c r="AQ71" s="176" t="str">
        <f>IF(AND(NOT(AO71),AND(AO$4:AO70)),IF($AP71&lt;0,IF($AP71&lt;$J71,EXP(($AP71-$J71)*$G71),EXP(($J71-$AP71)*$G71)),EXP(($AP71-$J71)*$G71)),"")</f>
        <v/>
      </c>
      <c r="AS71" s="72" t="b">
        <f>IF(AND(NOT(AO71),AND(AO$4:AO70)),TRUE,AO71)</f>
        <v>0</v>
      </c>
      <c r="AT71" s="172" t="e">
        <f>IF(AND(NOT(ISBLANK(Jumpoverwrite9)),AND(NOT(AS71),AND(AS$4:AS70))),($J71*$G71-LN(1+Jumpoverwrite9*AU$2))/$G71,_xll.qlInterpolationInterpolate(AS$3,$F71,TRUE))</f>
        <v>#NUM!</v>
      </c>
      <c r="AU71" s="176" t="str">
        <f>IF(AND(NOT(AS71),AND(AS$4:AS70)),IF($AT71&lt;0,IF($AT71&lt;$J71,EXP(($AT71-$J71)*$G71),EXP(($J71-$AT71)*$G71)),EXP(($AT71-$J71)*$G71)),"")</f>
        <v/>
      </c>
      <c r="AW71" s="72" t="b">
        <f>IF(AND(NOT(AS71),AND(AS$4:AS70)),TRUE,AS71)</f>
        <v>0</v>
      </c>
      <c r="AX71" s="172" t="e">
        <f>IF(AND(NOT(ISBLANK(Jumpoverwrite10)),AND(NOT(AW71),AND(AW$4:AW70))),($J71*$G71-LN(1+Jumpoverwrite10*AY$2))/$G71,_xll.qlInterpolationInterpolate(AW$3,$F71,TRUE))</f>
        <v>#NUM!</v>
      </c>
      <c r="AY71" s="176" t="str">
        <f>IF(AND(NOT(AW71),AND(AW$4:AW70)),IF($AX71&lt;0,IF($AX71&lt;$J71,EXP(($AX71-$J71)*$G71),EXP(($J71-$AX71)*$G71)),EXP(($AX71-$J71)*$G71)),"")</f>
        <v/>
      </c>
      <c r="BA71" s="72" t="b">
        <f>IF(AND(NOT(AW71),AND(AW$4:AW70)),TRUE,AW71)</f>
        <v>0</v>
      </c>
      <c r="BB71" s="172" t="e">
        <f>IF(AND(NOT(ISBLANK(Jumpoverwrite11)),AND(NOT(BA71),AND(BA$4:BA70))),($J71*$G71-LN(1+Jumpoverwrite11*BC$2))/$G71,_xll.qlInterpolationInterpolate(BA$3,$F71,TRUE))</f>
        <v>#NUM!</v>
      </c>
      <c r="BC71" s="176" t="str">
        <f>IF(AND(NOT(BA71),AND(BA$4:BA70)),IF($BB71&lt;0,IF($BB71&lt;$J71,EXP(($BB71-$J71)*$G71),EXP(($J71-$BB71)*$G71)),EXP(($BB71-$J71)*$G71)),"")</f>
        <v/>
      </c>
      <c r="BE71" s="72" t="b">
        <f>IF(AND(NOT(BA71),AND(BA$4:BA70)),TRUE,BA71)</f>
        <v>0</v>
      </c>
      <c r="BF71" s="172" t="e">
        <f>IF(AND(NOT(ISBLANK(Jumpoverwrite12)),AND(NOT(BE71),AND(BE$4:BE70))),($J71*$G71-LN(1+Jumpoverwrite12*BG$2))/$G71,_xll.qlInterpolationInterpolate(BE$3,$F71,TRUE))</f>
        <v>#NUM!</v>
      </c>
      <c r="BG71" s="176" t="str">
        <f>IF(AND(NOT(BE71),AND(BE$4:BE70)),IF($BF71&lt;0,IF($BF71&lt;$J71,EXP(($BF71-$J71)*$G71),EXP(($J71-$BF71)*$G71)),EXP(($BF71-$J71)*$G71)),"")</f>
        <v/>
      </c>
      <c r="BI71" s="72" t="b">
        <f t="shared" si="6"/>
        <v>0</v>
      </c>
      <c r="BJ71" s="172" t="e">
        <f>IF(AND(NOT(ISBLANK(jumpoverwrite13)),AND(NOT(BI71),AND(BI$4:BI70))),($J71*$G71-LN(1+jumpoverwrite13*BK$2))/$G71,_xll.qlInterpolationInterpolate(BI$3,$F71,TRUE))</f>
        <v>#NUM!</v>
      </c>
      <c r="BK71" s="176" t="str">
        <f>IF(AND(NOT(BI71),AND(BI$4:BI70)),IF($BJ71&lt;0,IF($BJ71&lt;$J71,EXP(($BJ71-$J71)*$G71),EXP(($J71-$BJ71)*$G71)),EXP(($BJ71-$J71)*$G71)),"")</f>
        <v/>
      </c>
      <c r="BM71" s="72" t="b">
        <f>IF(AND(NOT(BI71),AND(BI$4:BI70)),TRUE,BI71)</f>
        <v>0</v>
      </c>
      <c r="BN71" s="172" t="e">
        <f>IF(AND(NOT(ISBLANK(Jumpoverwrite14)),AND(NOT(BM71),AND(BM$4:BM70))),($J71*$G71-LN(1+Jumpoverwrite14*BO$2))/$G71,_xll.qlInterpolationInterpolate(BM$3,$F71,TRUE))</f>
        <v>#NUM!</v>
      </c>
      <c r="BO71" s="176" t="str">
        <f>IF(AND(NOT(BM71),AND(BM$4:BM70)),IF($BN71&lt;0,IF($BN71&lt;$J71,EXP(($BN71-$J71)*$G71),EXP(($J71-$BN71)*$G71)),EXP(($BN71-$J71)*$G71)),"")</f>
        <v/>
      </c>
      <c r="BQ71" s="72" t="b">
        <f>IF(AND(NOT(BM71),AND(BM$4:BM70)),TRUE,BM71)</f>
        <v>0</v>
      </c>
      <c r="BR71" s="172" t="e">
        <f>IF(AND(NOT(ISBLANK(Jumpoverwrite15)),AND(NOT(BQ71),AND(BQ$4:BQ70))),($J71*$G71-LN(1+Jumpoverwrite15*BS$2))/$G71,_xll.qlInterpolationInterpolate(BQ$3,$F71,TRUE))</f>
        <v>#NUM!</v>
      </c>
      <c r="BS71" s="176" t="str">
        <f>IF(AND(NOT(BQ71),AND(BQ$4:BQ70)),IF($BN71&lt;0,IF($BN71&lt;$J71,EXP(($BN71-$J71)*$G71),EXP(($J71-$BN71)*$G71)),EXP(($BN71-$J71)*$G71)),"")</f>
        <v/>
      </c>
    </row>
    <row r="72" spans="1:71" x14ac:dyDescent="0.2">
      <c r="A72" s="33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84" t="e">
        <f t="shared" si="4"/>
        <v>#N/A</v>
      </c>
      <c r="G72" s="85" t="e">
        <f>_xll.qlDayCounterYearFraction(DayCounter,D71,D72)</f>
        <v>#NUM!</v>
      </c>
      <c r="I72" s="93" t="b">
        <f t="shared" si="7"/>
        <v>0</v>
      </c>
      <c r="J72" s="37" t="e">
        <v>#N/A</v>
      </c>
      <c r="K72" s="94" t="e">
        <f t="shared" si="8"/>
        <v>#VALUE!</v>
      </c>
      <c r="L72" s="105"/>
      <c r="M72" s="72" t="b">
        <f>IF(AND(NOT(I72),AND(I$4:I71)),TRUE,I72)</f>
        <v>0</v>
      </c>
      <c r="N72" s="172" t="e">
        <f>IF(AND(NOT(ISBLANK(Jumpoverwrite1)),AND(NOT(M72),AND(M$4:M71))),($J72*$G72-LN(1+Jumpoverwrite1*O$2))/$G72,_xll.qlInterpolationInterpolate(M$3,$F72,TRUE))</f>
        <v>#NUM!</v>
      </c>
      <c r="O72" s="34" t="str">
        <f>IF(AND(NOT(M72),AND(M$4:M71)),IF($N72&lt;0,IF($N72&lt;$J72,EXP(($N72-$J72)*$G72),EXP(($J72-$N72)*$G72)),EXP(($N72-$J72)*$G72)),"")</f>
        <v/>
      </c>
      <c r="P72" s="107"/>
      <c r="Q72" s="72" t="b">
        <f>IF(AND(NOT(M72),AND(M$4:M71)),TRUE,M72)</f>
        <v>0</v>
      </c>
      <c r="R72" s="172" t="e">
        <f>IF(AND(NOT(ISBLANK(Jumpoverwrite2)),AND(NOT(Q72),AND(Q$4:Q71))),($J72*$G72-LN(1+Jumpoverwrite2*S$2))/$G72,_xll.qlInterpolationInterpolate(Q$3,$F72,TRUE))</f>
        <v>#NUM!</v>
      </c>
      <c r="S72" s="176" t="str">
        <f>IF(AND(NOT(Q72),AND(Q$4:Q71)),IF($R72&lt;0,IF($R72&lt;$J72,EXP(($R72-$J72)*$G72),EXP(($J72-$R72)*$G72)),EXP(($R72-$J72)*$G72)),"")</f>
        <v/>
      </c>
      <c r="T72" s="107"/>
      <c r="U72" s="72" t="b">
        <f>IF(AND(NOT(Q72),AND(Q$4:Q71)),TRUE,Q72)</f>
        <v>0</v>
      </c>
      <c r="V72" s="172" t="e">
        <f>IF(AND(NOT(ISBLANK(Jumpoverwrite3)),AND(NOT(U72),AND(U$4:U71))),($J72*$G72-LN(1+Jumpoverwrite3*W$2))/$G72,_xll.qlInterpolationInterpolate(U$3,$F72,TRUE))</f>
        <v>#NUM!</v>
      </c>
      <c r="W72" s="176" t="str">
        <f>IF(AND(NOT(U72),AND(U$4:U71)),IF($V72&lt;0,IF($V72&lt;$J72,EXP(($V72-$J72)*$G72),EXP(($J72-$V72)*$G72)),EXP(($V72-$J72)*$G72)),"")</f>
        <v/>
      </c>
      <c r="X72" s="107"/>
      <c r="Y72" s="72" t="b">
        <f>IF(AND(NOT(U72),AND(U$4:U71)),TRUE,U72)</f>
        <v>0</v>
      </c>
      <c r="Z72" s="172" t="e">
        <f>IF(AND(NOT(ISBLANK(Jumpoverwrite4)),AND(NOT(Y72),AND(Y$4:Y71))),($J72*$G72-LN(1+Jumpoverwrite4*AA$2))/$G72,_xll.qlInterpolationInterpolate(Y$3,$F72,TRUE))</f>
        <v>#NUM!</v>
      </c>
      <c r="AA72" s="176" t="str">
        <f>IF(AND(NOT(Y72),AND(Y$4:Y71)),IF($Z72&lt;0,IF($Z72&lt;$J72,EXP(($Z72-$J72)*$G72),EXP(($J72-$Z72)*$G72)),EXP(($Z72-$J72)*$G72)),"")</f>
        <v/>
      </c>
      <c r="AB72" s="107"/>
      <c r="AC72" s="72" t="b">
        <f>IF(AND(NOT(Y72),AND(Y$4:Y71)),TRUE,Y72)</f>
        <v>0</v>
      </c>
      <c r="AD72" s="172" t="e">
        <f>IF(AND(NOT(ISBLANK(Jumpoverwrite5)),AND(NOT(AC72),AND(AC$4:AC71))),($J72*$G72-LN(1+Jumpoverwrite5*AE$2))/$G72,_xll.qlInterpolationInterpolate(AC$3,$F72,TRUE))</f>
        <v>#NUM!</v>
      </c>
      <c r="AE72" s="176" t="str">
        <f>IF(AND(NOT(AC72),AND(AC$4:AC71)),IF($AD72&lt;0,IF($AD72&lt;$J72,EXP(($AD72-$J72)*$G72),EXP(($J72-$AD72)*$G72)),EXP(($AD72-$J72)*$G72)),"")</f>
        <v/>
      </c>
      <c r="AF72" s="107"/>
      <c r="AG72" s="72" t="b">
        <f>IF(AND(NOT(AC72),AND(AC$4:AC71)),TRUE,AC72)</f>
        <v>0</v>
      </c>
      <c r="AH72" s="172" t="e">
        <f>IF(AND(NOT(ISBLANK(Jumpoverwrite6)),AND(NOT(AG72),AND(AG$4:AG71))),($J72*$G72-LN(1+Jumpoverwrite6*AI$2))/$G72,_xll.qlInterpolationInterpolate(AG$3,$F72,TRUE))</f>
        <v>#NUM!</v>
      </c>
      <c r="AI72" s="176" t="str">
        <f>IF(AND(NOT(AG72),AND(AG$4:AG71)),IF($AH72&lt;0,IF($AH72&lt;$J72,EXP(($AH72-$J72)*$G72),EXP(($J72-$AH72)*$G72)),EXP(($AH72-$J72)*$G72)),"")</f>
        <v/>
      </c>
      <c r="AJ72" s="107"/>
      <c r="AK72" s="72" t="b">
        <f>IF(AND(NOT(AG72),AND(AG$4:AG71)),TRUE,AG72)</f>
        <v>0</v>
      </c>
      <c r="AL72" s="172" t="e">
        <f>IF(AND(NOT(ISBLANK(Jumpoverwrite7)),AND(NOT(AK72),AND(AK$4:AK71))),($J72*$G72-LN(1+Jumpoverwrite7*AM$2))/$G72,_xll.qlInterpolationInterpolate(AK$3,$F72,TRUE))</f>
        <v>#NUM!</v>
      </c>
      <c r="AM72" s="176" t="str">
        <f>IF(AND(NOT(AK72),AND(AK$4:AK71)),IF($AL72&lt;0,IF($AL72&lt;$J72,EXP(($AL72-$J72)*$G72),EXP(($J72-$AL72)*$G72)),EXP(($AL72-$J72)*$G72)),"")</f>
        <v/>
      </c>
      <c r="AO72" s="72" t="b">
        <f>IF(AND(NOT(AK72),AND(AK$4:AK71)),TRUE,AK72)</f>
        <v>0</v>
      </c>
      <c r="AP72" s="172" t="e">
        <f>IF(AND(NOT(ISBLANK(Jumpoverwrite8)),AND(NOT(AO72),AND(AO$4:AO71))),($J72*$G72-LN(1+Jumpoverwrite8*AQ$2))/$G72,_xll.qlInterpolationInterpolate(AO$3,$F72,TRUE))</f>
        <v>#NUM!</v>
      </c>
      <c r="AQ72" s="176" t="str">
        <f>IF(AND(NOT(AO72),AND(AO$4:AO71)),IF($AP72&lt;0,IF($AP72&lt;$J72,EXP(($AP72-$J72)*$G72),EXP(($J72-$AP72)*$G72)),EXP(($AP72-$J72)*$G72)),"")</f>
        <v/>
      </c>
      <c r="AS72" s="72" t="b">
        <f>IF(AND(NOT(AO72),AND(AO$4:AO71)),TRUE,AO72)</f>
        <v>0</v>
      </c>
      <c r="AT72" s="172" t="e">
        <f>IF(AND(NOT(ISBLANK(Jumpoverwrite9)),AND(NOT(AS72),AND(AS$4:AS71))),($J72*$G72-LN(1+Jumpoverwrite9*AU$2))/$G72,_xll.qlInterpolationInterpolate(AS$3,$F72,TRUE))</f>
        <v>#NUM!</v>
      </c>
      <c r="AU72" s="176" t="str">
        <f>IF(AND(NOT(AS72),AND(AS$4:AS71)),IF($AT72&lt;0,IF($AT72&lt;$J72,EXP(($AT72-$J72)*$G72),EXP(($J72-$AT72)*$G72)),EXP(($AT72-$J72)*$G72)),"")</f>
        <v/>
      </c>
      <c r="AW72" s="72" t="b">
        <f>IF(AND(NOT(AS72),AND(AS$4:AS71)),TRUE,AS72)</f>
        <v>0</v>
      </c>
      <c r="AX72" s="172" t="e">
        <f>IF(AND(NOT(ISBLANK(Jumpoverwrite10)),AND(NOT(AW72),AND(AW$4:AW71))),($J72*$G72-LN(1+Jumpoverwrite10*AY$2))/$G72,_xll.qlInterpolationInterpolate(AW$3,$F72,TRUE))</f>
        <v>#NUM!</v>
      </c>
      <c r="AY72" s="176" t="str">
        <f>IF(AND(NOT(AW72),AND(AW$4:AW71)),IF($AX72&lt;0,IF($AX72&lt;$J72,EXP(($AX72-$J72)*$G72),EXP(($J72-$AX72)*$G72)),EXP(($AX72-$J72)*$G72)),"")</f>
        <v/>
      </c>
      <c r="BA72" s="72" t="b">
        <f>IF(AND(NOT(AW72),AND(AW$4:AW71)),TRUE,AW72)</f>
        <v>0</v>
      </c>
      <c r="BB72" s="172" t="e">
        <f>IF(AND(NOT(ISBLANK(Jumpoverwrite11)),AND(NOT(BA72),AND(BA$4:BA71))),($J72*$G72-LN(1+Jumpoverwrite11*BC$2))/$G72,_xll.qlInterpolationInterpolate(BA$3,$F72,TRUE))</f>
        <v>#NUM!</v>
      </c>
      <c r="BC72" s="176" t="str">
        <f>IF(AND(NOT(BA72),AND(BA$4:BA71)),IF($BB72&lt;0,IF($BB72&lt;$J72,EXP(($BB72-$J72)*$G72),EXP(($J72-$BB72)*$G72)),EXP(($BB72-$J72)*$G72)),"")</f>
        <v/>
      </c>
      <c r="BE72" s="72" t="b">
        <f>IF(AND(NOT(BA72),AND(BA$4:BA71)),TRUE,BA72)</f>
        <v>0</v>
      </c>
      <c r="BF72" s="172" t="e">
        <f>IF(AND(NOT(ISBLANK(Jumpoverwrite12)),AND(NOT(BE72),AND(BE$4:BE71))),($J72*$G72-LN(1+Jumpoverwrite12*BG$2))/$G72,_xll.qlInterpolationInterpolate(BE$3,$F72,TRUE))</f>
        <v>#NUM!</v>
      </c>
      <c r="BG72" s="176" t="str">
        <f>IF(AND(NOT(BE72),AND(BE$4:BE71)),IF($BF72&lt;0,IF($BF72&lt;$J72,EXP(($BF72-$J72)*$G72),EXP(($J72-$BF72)*$G72)),EXP(($BF72-$J72)*$G72)),"")</f>
        <v/>
      </c>
      <c r="BI72" s="72" t="b">
        <f t="shared" si="6"/>
        <v>0</v>
      </c>
      <c r="BJ72" s="172" t="e">
        <f>IF(AND(NOT(ISBLANK(jumpoverwrite13)),AND(NOT(BI72),AND(BI$4:BI71))),($J72*$G72-LN(1+jumpoverwrite13*BK$2))/$G72,_xll.qlInterpolationInterpolate(BI$3,$F72,TRUE))</f>
        <v>#NUM!</v>
      </c>
      <c r="BK72" s="176" t="str">
        <f>IF(AND(NOT(BI72),AND(BI$4:BI71)),IF($BJ72&lt;0,IF($BJ72&lt;$J72,EXP(($BJ72-$J72)*$G72),EXP(($J72-$BJ72)*$G72)),EXP(($BJ72-$J72)*$G72)),"")</f>
        <v/>
      </c>
      <c r="BM72" s="72" t="b">
        <f>IF(AND(NOT(BI72),AND(BI$4:BI71)),TRUE,BI72)</f>
        <v>0</v>
      </c>
      <c r="BN72" s="172" t="e">
        <f>IF(AND(NOT(ISBLANK(Jumpoverwrite14)),AND(NOT(BM72),AND(BM$4:BM71))),($J72*$G72-LN(1+Jumpoverwrite14*BO$2))/$G72,_xll.qlInterpolationInterpolate(BM$3,$F72,TRUE))</f>
        <v>#NUM!</v>
      </c>
      <c r="BO72" s="176" t="str">
        <f>IF(AND(NOT(BM72),AND(BM$4:BM71)),IF($BN72&lt;0,IF($BN72&lt;$J72,EXP(($BN72-$J72)*$G72),EXP(($J72-$BN72)*$G72)),EXP(($BN72-$J72)*$G72)),"")</f>
        <v/>
      </c>
      <c r="BQ72" s="72" t="b">
        <f>IF(AND(NOT(BM72),AND(BM$4:BM71)),TRUE,BM72)</f>
        <v>0</v>
      </c>
      <c r="BR72" s="172" t="e">
        <f>IF(AND(NOT(ISBLANK(Jumpoverwrite15)),AND(NOT(BQ72),AND(BQ$4:BQ71))),($J72*$G72-LN(1+Jumpoverwrite15*BS$2))/$G72,_xll.qlInterpolationInterpolate(BQ$3,$F72,TRUE))</f>
        <v>#NUM!</v>
      </c>
      <c r="BS72" s="176" t="str">
        <f>IF(AND(NOT(BQ72),AND(BQ$4:BQ71)),IF($BN72&lt;0,IF($BN72&lt;$J72,EXP(($BN72-$J72)*$G72),EXP(($J72-$BN72)*$G72)),EXP(($BN72-$J72)*$G72)),"")</f>
        <v/>
      </c>
    </row>
    <row r="73" spans="1:71" x14ac:dyDescent="0.2">
      <c r="A73" s="33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84" t="e">
        <f t="shared" si="4"/>
        <v>#N/A</v>
      </c>
      <c r="G73" s="85" t="e">
        <f>_xll.qlDayCounterYearFraction(DayCounter,D72,D73)</f>
        <v>#NUM!</v>
      </c>
      <c r="I73" s="93" t="b">
        <f t="shared" si="7"/>
        <v>0</v>
      </c>
      <c r="J73" s="37" t="e">
        <v>#N/A</v>
      </c>
      <c r="K73" s="94" t="e">
        <f t="shared" si="8"/>
        <v>#VALUE!</v>
      </c>
      <c r="L73" s="105"/>
      <c r="M73" s="72" t="b">
        <f>IF(AND(NOT(I73),AND(I$4:I72)),TRUE,I73)</f>
        <v>0</v>
      </c>
      <c r="N73" s="172" t="e">
        <f>IF(AND(NOT(ISBLANK(Jumpoverwrite1)),AND(NOT(M73),AND(M$4:M72))),($J73*$G73-LN(1+Jumpoverwrite1*O$2))/$G73,_xll.qlInterpolationInterpolate(M$3,$F73,TRUE))</f>
        <v>#NUM!</v>
      </c>
      <c r="O73" s="34" t="str">
        <f>IF(AND(NOT(M73),AND(M$4:M72)),IF($N73&lt;0,IF($N73&lt;$J73,EXP(($N73-$J73)*$G73),EXP(($J73-$N73)*$G73)),EXP(($N73-$J73)*$G73)),"")</f>
        <v/>
      </c>
      <c r="P73" s="107"/>
      <c r="Q73" s="72" t="b">
        <f>IF(AND(NOT(M73),AND(M$4:M72)),TRUE,M73)</f>
        <v>0</v>
      </c>
      <c r="R73" s="172" t="e">
        <f>IF(AND(NOT(ISBLANK(Jumpoverwrite2)),AND(NOT(Q73),AND(Q$4:Q72))),($J73*$G73-LN(1+Jumpoverwrite2*S$2))/$G73,_xll.qlInterpolationInterpolate(Q$3,$F73,TRUE))</f>
        <v>#NUM!</v>
      </c>
      <c r="S73" s="176" t="str">
        <f>IF(AND(NOT(Q73),AND(Q$4:Q72)),IF($R73&lt;0,IF($R73&lt;$J73,EXP(($R73-$J73)*$G73),EXP(($J73-$R73)*$G73)),EXP(($R73-$J73)*$G73)),"")</f>
        <v/>
      </c>
      <c r="T73" s="107"/>
      <c r="U73" s="72" t="b">
        <f>IF(AND(NOT(Q73),AND(Q$4:Q72)),TRUE,Q73)</f>
        <v>0</v>
      </c>
      <c r="V73" s="172" t="e">
        <f>IF(AND(NOT(ISBLANK(Jumpoverwrite3)),AND(NOT(U73),AND(U$4:U72))),($J73*$G73-LN(1+Jumpoverwrite3*W$2))/$G73,_xll.qlInterpolationInterpolate(U$3,$F73,TRUE))</f>
        <v>#NUM!</v>
      </c>
      <c r="W73" s="176" t="str">
        <f>IF(AND(NOT(U73),AND(U$4:U72)),IF($V73&lt;0,IF($V73&lt;$J73,EXP(($V73-$J73)*$G73),EXP(($J73-$V73)*$G73)),EXP(($V73-$J73)*$G73)),"")</f>
        <v/>
      </c>
      <c r="X73" s="107"/>
      <c r="Y73" s="72" t="b">
        <f>IF(AND(NOT(U73),AND(U$4:U72)),TRUE,U73)</f>
        <v>0</v>
      </c>
      <c r="Z73" s="172" t="e">
        <f>IF(AND(NOT(ISBLANK(Jumpoverwrite4)),AND(NOT(Y73),AND(Y$4:Y72))),($J73*$G73-LN(1+Jumpoverwrite4*AA$2))/$G73,_xll.qlInterpolationInterpolate(Y$3,$F73,TRUE))</f>
        <v>#NUM!</v>
      </c>
      <c r="AA73" s="176" t="str">
        <f>IF(AND(NOT(Y73),AND(Y$4:Y72)),IF($Z73&lt;0,IF($Z73&lt;$J73,EXP(($Z73-$J73)*$G73),EXP(($J73-$Z73)*$G73)),EXP(($Z73-$J73)*$G73)),"")</f>
        <v/>
      </c>
      <c r="AB73" s="107"/>
      <c r="AC73" s="72" t="b">
        <f>IF(AND(NOT(Y73),AND(Y$4:Y72)),TRUE,Y73)</f>
        <v>0</v>
      </c>
      <c r="AD73" s="172" t="e">
        <f>IF(AND(NOT(ISBLANK(Jumpoverwrite5)),AND(NOT(AC73),AND(AC$4:AC72))),($J73*$G73-LN(1+Jumpoverwrite5*AE$2))/$G73,_xll.qlInterpolationInterpolate(AC$3,$F73,TRUE))</f>
        <v>#NUM!</v>
      </c>
      <c r="AE73" s="176" t="str">
        <f>IF(AND(NOT(AC73),AND(AC$4:AC72)),IF($AD73&lt;0,IF($AD73&lt;$J73,EXP(($AD73-$J73)*$G73),EXP(($J73-$AD73)*$G73)),EXP(($AD73-$J73)*$G73)),"")</f>
        <v/>
      </c>
      <c r="AF73" s="107"/>
      <c r="AG73" s="72" t="b">
        <f>IF(AND(NOT(AC73),AND(AC$4:AC72)),TRUE,AC73)</f>
        <v>0</v>
      </c>
      <c r="AH73" s="172" t="e">
        <f>IF(AND(NOT(ISBLANK(Jumpoverwrite6)),AND(NOT(AG73),AND(AG$4:AG72))),($J73*$G73-LN(1+Jumpoverwrite6*AI$2))/$G73,_xll.qlInterpolationInterpolate(AG$3,$F73,TRUE))</f>
        <v>#NUM!</v>
      </c>
      <c r="AI73" s="176" t="str">
        <f>IF(AND(NOT(AG73),AND(AG$4:AG72)),IF($AH73&lt;0,IF($AH73&lt;$J73,EXP(($AH73-$J73)*$G73),EXP(($J73-$AH73)*$G73)),EXP(($AH73-$J73)*$G73)),"")</f>
        <v/>
      </c>
      <c r="AJ73" s="107"/>
      <c r="AK73" s="72" t="b">
        <f>IF(AND(NOT(AG73),AND(AG$4:AG72)),TRUE,AG73)</f>
        <v>0</v>
      </c>
      <c r="AL73" s="172" t="e">
        <f>IF(AND(NOT(ISBLANK(Jumpoverwrite7)),AND(NOT(AK73),AND(AK$4:AK72))),($J73*$G73-LN(1+Jumpoverwrite7*AM$2))/$G73,_xll.qlInterpolationInterpolate(AK$3,$F73,TRUE))</f>
        <v>#NUM!</v>
      </c>
      <c r="AM73" s="176" t="str">
        <f>IF(AND(NOT(AK73),AND(AK$4:AK72)),IF($AL73&lt;0,IF($AL73&lt;$J73,EXP(($AL73-$J73)*$G73),EXP(($J73-$AL73)*$G73)),EXP(($AL73-$J73)*$G73)),"")</f>
        <v/>
      </c>
      <c r="AO73" s="72" t="b">
        <f>IF(AND(NOT(AK73),AND(AK$4:AK72)),TRUE,AK73)</f>
        <v>0</v>
      </c>
      <c r="AP73" s="172" t="e">
        <f>IF(AND(NOT(ISBLANK(Jumpoverwrite8)),AND(NOT(AO73),AND(AO$4:AO72))),($J73*$G73-LN(1+Jumpoverwrite8*AQ$2))/$G73,_xll.qlInterpolationInterpolate(AO$3,$F73,TRUE))</f>
        <v>#NUM!</v>
      </c>
      <c r="AQ73" s="176" t="str">
        <f>IF(AND(NOT(AO73),AND(AO$4:AO72)),IF($AP73&lt;0,IF($AP73&lt;$J73,EXP(($AP73-$J73)*$G73),EXP(($J73-$AP73)*$G73)),EXP(($AP73-$J73)*$G73)),"")</f>
        <v/>
      </c>
      <c r="AS73" s="72" t="b">
        <f>IF(AND(NOT(AO73),AND(AO$4:AO72)),TRUE,AO73)</f>
        <v>0</v>
      </c>
      <c r="AT73" s="172" t="e">
        <f>IF(AND(NOT(ISBLANK(Jumpoverwrite9)),AND(NOT(AS73),AND(AS$4:AS72))),($J73*$G73-LN(1+Jumpoverwrite9*AU$2))/$G73,_xll.qlInterpolationInterpolate(AS$3,$F73,TRUE))</f>
        <v>#NUM!</v>
      </c>
      <c r="AU73" s="176" t="str">
        <f>IF(AND(NOT(AS73),AND(AS$4:AS72)),IF($AT73&lt;0,IF($AT73&lt;$J73,EXP(($AT73-$J73)*$G73),EXP(($J73-$AT73)*$G73)),EXP(($AT73-$J73)*$G73)),"")</f>
        <v/>
      </c>
      <c r="AW73" s="72" t="b">
        <f>IF(AND(NOT(AS73),AND(AS$4:AS72)),TRUE,AS73)</f>
        <v>0</v>
      </c>
      <c r="AX73" s="172" t="e">
        <f>IF(AND(NOT(ISBLANK(Jumpoverwrite10)),AND(NOT(AW73),AND(AW$4:AW72))),($J73*$G73-LN(1+Jumpoverwrite10*AY$2))/$G73,_xll.qlInterpolationInterpolate(AW$3,$F73,TRUE))</f>
        <v>#NUM!</v>
      </c>
      <c r="AY73" s="176" t="str">
        <f>IF(AND(NOT(AW73),AND(AW$4:AW72)),IF($AX73&lt;0,IF($AX73&lt;$J73,EXP(($AX73-$J73)*$G73),EXP(($J73-$AX73)*$G73)),EXP(($AX73-$J73)*$G73)),"")</f>
        <v/>
      </c>
      <c r="BA73" s="72" t="b">
        <f>IF(AND(NOT(AW73),AND(AW$4:AW72)),TRUE,AW73)</f>
        <v>0</v>
      </c>
      <c r="BB73" s="172" t="e">
        <f>IF(AND(NOT(ISBLANK(Jumpoverwrite11)),AND(NOT(BA73),AND(BA$4:BA72))),($J73*$G73-LN(1+Jumpoverwrite11*BC$2))/$G73,_xll.qlInterpolationInterpolate(BA$3,$F73,TRUE))</f>
        <v>#NUM!</v>
      </c>
      <c r="BC73" s="176" t="str">
        <f>IF(AND(NOT(BA73),AND(BA$4:BA72)),IF($BB73&lt;0,IF($BB73&lt;$J73,EXP(($BB73-$J73)*$G73),EXP(($J73-$BB73)*$G73)),EXP(($BB73-$J73)*$G73)),"")</f>
        <v/>
      </c>
      <c r="BE73" s="72" t="b">
        <f>IF(AND(NOT(BA73),AND(BA$4:BA72)),TRUE,BA73)</f>
        <v>0</v>
      </c>
      <c r="BF73" s="172" t="e">
        <f>IF(AND(NOT(ISBLANK(Jumpoverwrite12)),AND(NOT(BE73),AND(BE$4:BE72))),($J73*$G73-LN(1+Jumpoverwrite12*BG$2))/$G73,_xll.qlInterpolationInterpolate(BE$3,$F73,TRUE))</f>
        <v>#NUM!</v>
      </c>
      <c r="BG73" s="176" t="str">
        <f>IF(AND(NOT(BE73),AND(BE$4:BE72)),IF($BF73&lt;0,IF($BF73&lt;$J73,EXP(($BF73-$J73)*$G73),EXP(($J73-$BF73)*$G73)),EXP(($BF73-$J73)*$G73)),"")</f>
        <v/>
      </c>
      <c r="BI73" s="72" t="b">
        <f t="shared" si="6"/>
        <v>0</v>
      </c>
      <c r="BJ73" s="172" t="e">
        <f>IF(AND(NOT(ISBLANK(jumpoverwrite13)),AND(NOT(BI73),AND(BI$4:BI72))),($J73*$G73-LN(1+jumpoverwrite13*BK$2))/$G73,_xll.qlInterpolationInterpolate(BI$3,$F73,TRUE))</f>
        <v>#NUM!</v>
      </c>
      <c r="BK73" s="176" t="str">
        <f>IF(AND(NOT(BI73),AND(BI$4:BI72)),IF($BJ73&lt;0,IF($BJ73&lt;$J73,EXP(($BJ73-$J73)*$G73),EXP(($J73-$BJ73)*$G73)),EXP(($BJ73-$J73)*$G73)),"")</f>
        <v/>
      </c>
      <c r="BM73" s="72" t="b">
        <f>IF(AND(NOT(BI73),AND(BI$4:BI72)),TRUE,BI73)</f>
        <v>0</v>
      </c>
      <c r="BN73" s="172" t="e">
        <f>IF(AND(NOT(ISBLANK(Jumpoverwrite14)),AND(NOT(BM73),AND(BM$4:BM72))),($J73*$G73-LN(1+Jumpoverwrite14*BO$2))/$G73,_xll.qlInterpolationInterpolate(BM$3,$F73,TRUE))</f>
        <v>#NUM!</v>
      </c>
      <c r="BO73" s="176" t="str">
        <f>IF(AND(NOT(BM73),AND(BM$4:BM72)),IF($BN73&lt;0,IF($BN73&lt;$J73,EXP(($BN73-$J73)*$G73),EXP(($J73-$BN73)*$G73)),EXP(($BN73-$J73)*$G73)),"")</f>
        <v/>
      </c>
      <c r="BQ73" s="72" t="b">
        <f>IF(AND(NOT(BM73),AND(BM$4:BM72)),TRUE,BM73)</f>
        <v>0</v>
      </c>
      <c r="BR73" s="172" t="e">
        <f>IF(AND(NOT(ISBLANK(Jumpoverwrite15)),AND(NOT(BQ73),AND(BQ$4:BQ72))),($J73*$G73-LN(1+Jumpoverwrite15*BS$2))/$G73,_xll.qlInterpolationInterpolate(BQ$3,$F73,TRUE))</f>
        <v>#NUM!</v>
      </c>
      <c r="BS73" s="176" t="str">
        <f>IF(AND(NOT(BQ73),AND(BQ$4:BQ72)),IF($BN73&lt;0,IF($BN73&lt;$J73,EXP(($BN73-$J73)*$G73),EXP(($J73-$BN73)*$G73)),EXP(($BN73-$J73)*$G73)),"")</f>
        <v/>
      </c>
    </row>
    <row r="74" spans="1:71" x14ac:dyDescent="0.2">
      <c r="A74" s="33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84" t="e">
        <f t="shared" si="4"/>
        <v>#N/A</v>
      </c>
      <c r="G74" s="85" t="e">
        <f>_xll.qlDayCounterYearFraction(DayCounter,D73,D74)</f>
        <v>#NUM!</v>
      </c>
      <c r="I74" s="93" t="b">
        <f t="shared" si="7"/>
        <v>0</v>
      </c>
      <c r="J74" s="37" t="e">
        <v>#N/A</v>
      </c>
      <c r="K74" s="94" t="e">
        <f t="shared" si="8"/>
        <v>#VALUE!</v>
      </c>
      <c r="L74" s="105"/>
      <c r="M74" s="72" t="b">
        <f>IF(AND(NOT(I74),AND(I$4:I73)),TRUE,I74)</f>
        <v>0</v>
      </c>
      <c r="N74" s="172" t="e">
        <f>IF(AND(NOT(ISBLANK(Jumpoverwrite1)),AND(NOT(M74),AND(M$4:M73))),($J74*$G74-LN(1+Jumpoverwrite1*O$2))/$G74,_xll.qlInterpolationInterpolate(M$3,$F74,TRUE))</f>
        <v>#NUM!</v>
      </c>
      <c r="O74" s="34" t="str">
        <f>IF(AND(NOT(M74),AND(M$4:M73)),IF($N74&lt;0,IF($N74&lt;$J74,EXP(($N74-$J74)*$G74),EXP(($J74-$N74)*$G74)),EXP(($N74-$J74)*$G74)),"")</f>
        <v/>
      </c>
      <c r="P74" s="107"/>
      <c r="Q74" s="72" t="b">
        <f>IF(AND(NOT(M74),AND(M$4:M73)),TRUE,M74)</f>
        <v>0</v>
      </c>
      <c r="R74" s="172" t="e">
        <f>IF(AND(NOT(ISBLANK(Jumpoverwrite2)),AND(NOT(Q74),AND(Q$4:Q73))),($J74*$G74-LN(1+Jumpoverwrite2*S$2))/$G74,_xll.qlInterpolationInterpolate(Q$3,$F74,TRUE))</f>
        <v>#NUM!</v>
      </c>
      <c r="S74" s="176" t="str">
        <f>IF(AND(NOT(Q74),AND(Q$4:Q73)),IF($R74&lt;0,IF($R74&lt;$J74,EXP(($R74-$J74)*$G74),EXP(($J74-$R74)*$G74)),EXP(($R74-$J74)*$G74)),"")</f>
        <v/>
      </c>
      <c r="T74" s="107"/>
      <c r="U74" s="72" t="b">
        <f>IF(AND(NOT(Q74),AND(Q$4:Q73)),TRUE,Q74)</f>
        <v>0</v>
      </c>
      <c r="V74" s="172" t="e">
        <f>IF(AND(NOT(ISBLANK(Jumpoverwrite3)),AND(NOT(U74),AND(U$4:U73))),($J74*$G74-LN(1+Jumpoverwrite3*W$2))/$G74,_xll.qlInterpolationInterpolate(U$3,$F74,TRUE))</f>
        <v>#NUM!</v>
      </c>
      <c r="W74" s="176" t="str">
        <f>IF(AND(NOT(U74),AND(U$4:U73)),IF($V74&lt;0,IF($V74&lt;$J74,EXP(($V74-$J74)*$G74),EXP(($J74-$V74)*$G74)),EXP(($V74-$J74)*$G74)),"")</f>
        <v/>
      </c>
      <c r="X74" s="107"/>
      <c r="Y74" s="72" t="b">
        <f>IF(AND(NOT(U74),AND(U$4:U73)),TRUE,U74)</f>
        <v>0</v>
      </c>
      <c r="Z74" s="172" t="e">
        <f>IF(AND(NOT(ISBLANK(Jumpoverwrite4)),AND(NOT(Y74),AND(Y$4:Y73))),($J74*$G74-LN(1+Jumpoverwrite4*AA$2))/$G74,_xll.qlInterpolationInterpolate(Y$3,$F74,TRUE))</f>
        <v>#NUM!</v>
      </c>
      <c r="AA74" s="176" t="str">
        <f>IF(AND(NOT(Y74),AND(Y$4:Y73)),IF($Z74&lt;0,IF($Z74&lt;$J74,EXP(($Z74-$J74)*$G74),EXP(($J74-$Z74)*$G74)),EXP(($Z74-$J74)*$G74)),"")</f>
        <v/>
      </c>
      <c r="AB74" s="107"/>
      <c r="AC74" s="72" t="b">
        <f>IF(AND(NOT(Y74),AND(Y$4:Y73)),TRUE,Y74)</f>
        <v>0</v>
      </c>
      <c r="AD74" s="172" t="e">
        <f>IF(AND(NOT(ISBLANK(Jumpoverwrite5)),AND(NOT(AC74),AND(AC$4:AC73))),($J74*$G74-LN(1+Jumpoverwrite5*AE$2))/$G74,_xll.qlInterpolationInterpolate(AC$3,$F74,TRUE))</f>
        <v>#NUM!</v>
      </c>
      <c r="AE74" s="176" t="str">
        <f>IF(AND(NOT(AC74),AND(AC$4:AC73)),IF($AD74&lt;0,IF($AD74&lt;$J74,EXP(($AD74-$J74)*$G74),EXP(($J74-$AD74)*$G74)),EXP(($AD74-$J74)*$G74)),"")</f>
        <v/>
      </c>
      <c r="AF74" s="107"/>
      <c r="AG74" s="72" t="b">
        <f>IF(AND(NOT(AC74),AND(AC$4:AC73)),TRUE,AC74)</f>
        <v>0</v>
      </c>
      <c r="AH74" s="172" t="e">
        <f>IF(AND(NOT(ISBLANK(Jumpoverwrite6)),AND(NOT(AG74),AND(AG$4:AG73))),($J74*$G74-LN(1+Jumpoverwrite6*AI$2))/$G74,_xll.qlInterpolationInterpolate(AG$3,$F74,TRUE))</f>
        <v>#NUM!</v>
      </c>
      <c r="AI74" s="176" t="str">
        <f>IF(AND(NOT(AG74),AND(AG$4:AG73)),IF($AH74&lt;0,IF($AH74&lt;$J74,EXP(($AH74-$J74)*$G74),EXP(($J74-$AH74)*$G74)),EXP(($AH74-$J74)*$G74)),"")</f>
        <v/>
      </c>
      <c r="AJ74" s="107"/>
      <c r="AK74" s="72" t="b">
        <f>IF(AND(NOT(AG74),AND(AG$4:AG73)),TRUE,AG74)</f>
        <v>0</v>
      </c>
      <c r="AL74" s="172" t="e">
        <f>IF(AND(NOT(ISBLANK(Jumpoverwrite7)),AND(NOT(AK74),AND(AK$4:AK73))),($J74*$G74-LN(1+Jumpoverwrite7*AM$2))/$G74,_xll.qlInterpolationInterpolate(AK$3,$F74,TRUE))</f>
        <v>#NUM!</v>
      </c>
      <c r="AM74" s="176" t="str">
        <f>IF(AND(NOT(AK74),AND(AK$4:AK73)),IF($AL74&lt;0,IF($AL74&lt;$J74,EXP(($AL74-$J74)*$G74),EXP(($J74-$AL74)*$G74)),EXP(($AL74-$J74)*$G74)),"")</f>
        <v/>
      </c>
      <c r="AO74" s="72" t="b">
        <f>IF(AND(NOT(AK74),AND(AK$4:AK73)),TRUE,AK74)</f>
        <v>0</v>
      </c>
      <c r="AP74" s="172" t="e">
        <f>IF(AND(NOT(ISBLANK(Jumpoverwrite8)),AND(NOT(AO74),AND(AO$4:AO73))),($J74*$G74-LN(1+Jumpoverwrite8*AQ$2))/$G74,_xll.qlInterpolationInterpolate(AO$3,$F74,TRUE))</f>
        <v>#NUM!</v>
      </c>
      <c r="AQ74" s="176" t="str">
        <f>IF(AND(NOT(AO74),AND(AO$4:AO73)),IF($AP74&lt;0,IF($AP74&lt;$J74,EXP(($AP74-$J74)*$G74),EXP(($J74-$AP74)*$G74)),EXP(($AP74-$J74)*$G74)),"")</f>
        <v/>
      </c>
      <c r="AS74" s="72" t="b">
        <f>IF(AND(NOT(AO74),AND(AO$4:AO73)),TRUE,AO74)</f>
        <v>0</v>
      </c>
      <c r="AT74" s="172" t="e">
        <f>IF(AND(NOT(ISBLANK(Jumpoverwrite9)),AND(NOT(AS74),AND(AS$4:AS73))),($J74*$G74-LN(1+Jumpoverwrite9*AU$2))/$G74,_xll.qlInterpolationInterpolate(AS$3,$F74,TRUE))</f>
        <v>#NUM!</v>
      </c>
      <c r="AU74" s="176" t="str">
        <f>IF(AND(NOT(AS74),AND(AS$4:AS73)),IF($AT74&lt;0,IF($AT74&lt;$J74,EXP(($AT74-$J74)*$G74),EXP(($J74-$AT74)*$G74)),EXP(($AT74-$J74)*$G74)),"")</f>
        <v/>
      </c>
      <c r="AW74" s="72" t="b">
        <f>IF(AND(NOT(AS74),AND(AS$4:AS73)),TRUE,AS74)</f>
        <v>0</v>
      </c>
      <c r="AX74" s="172" t="e">
        <f>IF(AND(NOT(ISBLANK(Jumpoverwrite10)),AND(NOT(AW74),AND(AW$4:AW73))),($J74*$G74-LN(1+Jumpoverwrite10*AY$2))/$G74,_xll.qlInterpolationInterpolate(AW$3,$F74,TRUE))</f>
        <v>#NUM!</v>
      </c>
      <c r="AY74" s="176" t="str">
        <f>IF(AND(NOT(AW74),AND(AW$4:AW73)),IF($AX74&lt;0,IF($AX74&lt;$J74,EXP(($AX74-$J74)*$G74),EXP(($J74-$AX74)*$G74)),EXP(($AX74-$J74)*$G74)),"")</f>
        <v/>
      </c>
      <c r="BA74" s="72" t="b">
        <f>IF(AND(NOT(AW74),AND(AW$4:AW73)),TRUE,AW74)</f>
        <v>0</v>
      </c>
      <c r="BB74" s="172" t="e">
        <f>IF(AND(NOT(ISBLANK(Jumpoverwrite11)),AND(NOT(BA74),AND(BA$4:BA73))),($J74*$G74-LN(1+Jumpoverwrite11*BC$2))/$G74,_xll.qlInterpolationInterpolate(BA$3,$F74,TRUE))</f>
        <v>#NUM!</v>
      </c>
      <c r="BC74" s="176" t="str">
        <f>IF(AND(NOT(BA74),AND(BA$4:BA73)),IF($BB74&lt;0,IF($BB74&lt;$J74,EXP(($BB74-$J74)*$G74),EXP(($J74-$BB74)*$G74)),EXP(($BB74-$J74)*$G74)),"")</f>
        <v/>
      </c>
      <c r="BE74" s="72" t="b">
        <f>IF(AND(NOT(BA74),AND(BA$4:BA73)),TRUE,BA74)</f>
        <v>0</v>
      </c>
      <c r="BF74" s="172" t="e">
        <f>IF(AND(NOT(ISBLANK(Jumpoverwrite12)),AND(NOT(BE74),AND(BE$4:BE73))),($J74*$G74-LN(1+Jumpoverwrite12*BG$2))/$G74,_xll.qlInterpolationInterpolate(BE$3,$F74,TRUE))</f>
        <v>#NUM!</v>
      </c>
      <c r="BG74" s="176" t="str">
        <f>IF(AND(NOT(BE74),AND(BE$4:BE73)),IF($BF74&lt;0,IF($BF74&lt;$J74,EXP(($BF74-$J74)*$G74),EXP(($J74-$BF74)*$G74)),EXP(($BF74-$J74)*$G74)),"")</f>
        <v/>
      </c>
      <c r="BI74" s="72" t="b">
        <f t="shared" si="6"/>
        <v>0</v>
      </c>
      <c r="BJ74" s="172" t="e">
        <f>IF(AND(NOT(ISBLANK(jumpoverwrite13)),AND(NOT(BI74),AND(BI$4:BI73))),($J74*$G74-LN(1+jumpoverwrite13*BK$2))/$G74,_xll.qlInterpolationInterpolate(BI$3,$F74,TRUE))</f>
        <v>#NUM!</v>
      </c>
      <c r="BK74" s="176" t="str">
        <f>IF(AND(NOT(BI74),AND(BI$4:BI73)),IF($BJ74&lt;0,IF($BJ74&lt;$J74,EXP(($BJ74-$J74)*$G74),EXP(($J74-$BJ74)*$G74)),EXP(($BJ74-$J74)*$G74)),"")</f>
        <v/>
      </c>
      <c r="BM74" s="72" t="b">
        <f>IF(AND(NOT(BI74),AND(BI$4:BI73)),TRUE,BI74)</f>
        <v>0</v>
      </c>
      <c r="BN74" s="172" t="e">
        <f>IF(AND(NOT(ISBLANK(Jumpoverwrite14)),AND(NOT(BM74),AND(BM$4:BM73))),($J74*$G74-LN(1+Jumpoverwrite14*BO$2))/$G74,_xll.qlInterpolationInterpolate(BM$3,$F74,TRUE))</f>
        <v>#NUM!</v>
      </c>
      <c r="BO74" s="176" t="str">
        <f>IF(AND(NOT(BM74),AND(BM$4:BM73)),IF($BN74&lt;0,IF($BN74&lt;$J74,EXP(($BN74-$J74)*$G74),EXP(($J74-$BN74)*$G74)),EXP(($BN74-$J74)*$G74)),"")</f>
        <v/>
      </c>
      <c r="BQ74" s="72" t="b">
        <f>IF(AND(NOT(BM74),AND(BM$4:BM73)),TRUE,BM74)</f>
        <v>0</v>
      </c>
      <c r="BR74" s="172" t="e">
        <f>IF(AND(NOT(ISBLANK(Jumpoverwrite15)),AND(NOT(BQ74),AND(BQ$4:BQ73))),($J74*$G74-LN(1+Jumpoverwrite15*BS$2))/$G74,_xll.qlInterpolationInterpolate(BQ$3,$F74,TRUE))</f>
        <v>#NUM!</v>
      </c>
      <c r="BS74" s="176" t="str">
        <f>IF(AND(NOT(BQ74),AND(BQ$4:BQ73)),IF($BN74&lt;0,IF($BN74&lt;$J74,EXP(($BN74-$J74)*$G74),EXP(($J74-$BN74)*$G74)),EXP(($BN74-$J74)*$G74)),"")</f>
        <v/>
      </c>
    </row>
    <row r="75" spans="1:71" x14ac:dyDescent="0.2">
      <c r="A75" s="33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84" t="e">
        <f t="shared" si="4"/>
        <v>#N/A</v>
      </c>
      <c r="G75" s="85" t="e">
        <f>_xll.qlDayCounterYearFraction(DayCounter,D74,D75)</f>
        <v>#NUM!</v>
      </c>
      <c r="I75" s="93" t="b">
        <f t="shared" si="7"/>
        <v>0</v>
      </c>
      <c r="J75" s="37" t="e">
        <v>#N/A</v>
      </c>
      <c r="K75" s="94" t="e">
        <f t="shared" si="8"/>
        <v>#VALUE!</v>
      </c>
      <c r="L75" s="105"/>
      <c r="M75" s="72" t="b">
        <f>IF(AND(NOT(I75),AND(I$4:I74)),TRUE,I75)</f>
        <v>0</v>
      </c>
      <c r="N75" s="172" t="e">
        <f>IF(AND(NOT(ISBLANK(Jumpoverwrite1)),AND(NOT(M75),AND(M$4:M74))),($J75*$G75-LN(1+Jumpoverwrite1*O$2))/$G75,_xll.qlInterpolationInterpolate(M$3,$F75,TRUE))</f>
        <v>#NUM!</v>
      </c>
      <c r="O75" s="34" t="str">
        <f>IF(AND(NOT(M75),AND(M$4:M74)),IF($N75&lt;0,IF($N75&lt;$J75,EXP(($N75-$J75)*$G75),EXP(($J75-$N75)*$G75)),EXP(($N75-$J75)*$G75)),"")</f>
        <v/>
      </c>
      <c r="P75" s="107"/>
      <c r="Q75" s="72" t="b">
        <f>IF(AND(NOT(M75),AND(M$4:M74)),TRUE,M75)</f>
        <v>0</v>
      </c>
      <c r="R75" s="172" t="e">
        <f>IF(AND(NOT(ISBLANK(Jumpoverwrite2)),AND(NOT(Q75),AND(Q$4:Q74))),($J75*$G75-LN(1+Jumpoverwrite2*S$2))/$G75,_xll.qlInterpolationInterpolate(Q$3,$F75,TRUE))</f>
        <v>#NUM!</v>
      </c>
      <c r="S75" s="176" t="str">
        <f>IF(AND(NOT(Q75),AND(Q$4:Q74)),IF($R75&lt;0,IF($R75&lt;$J75,EXP(($R75-$J75)*$G75),EXP(($J75-$R75)*$G75)),EXP(($R75-$J75)*$G75)),"")</f>
        <v/>
      </c>
      <c r="T75" s="107"/>
      <c r="U75" s="72" t="b">
        <f>IF(AND(NOT(Q75),AND(Q$4:Q74)),TRUE,Q75)</f>
        <v>0</v>
      </c>
      <c r="V75" s="172" t="e">
        <f>IF(AND(NOT(ISBLANK(Jumpoverwrite3)),AND(NOT(U75),AND(U$4:U74))),($J75*$G75-LN(1+Jumpoverwrite3*W$2))/$G75,_xll.qlInterpolationInterpolate(U$3,$F75,TRUE))</f>
        <v>#NUM!</v>
      </c>
      <c r="W75" s="176" t="str">
        <f>IF(AND(NOT(U75),AND(U$4:U74)),IF($V75&lt;0,IF($V75&lt;$J75,EXP(($V75-$J75)*$G75),EXP(($J75-$V75)*$G75)),EXP(($V75-$J75)*$G75)),"")</f>
        <v/>
      </c>
      <c r="X75" s="107"/>
      <c r="Y75" s="72" t="b">
        <f>IF(AND(NOT(U75),AND(U$4:U74)),TRUE,U75)</f>
        <v>0</v>
      </c>
      <c r="Z75" s="172" t="e">
        <f>IF(AND(NOT(ISBLANK(Jumpoverwrite4)),AND(NOT(Y75),AND(Y$4:Y74))),($J75*$G75-LN(1+Jumpoverwrite4*AA$2))/$G75,_xll.qlInterpolationInterpolate(Y$3,$F75,TRUE))</f>
        <v>#NUM!</v>
      </c>
      <c r="AA75" s="176" t="str">
        <f>IF(AND(NOT(Y75),AND(Y$4:Y74)),IF($Z75&lt;0,IF($Z75&lt;$J75,EXP(($Z75-$J75)*$G75),EXP(($J75-$Z75)*$G75)),EXP(($Z75-$J75)*$G75)),"")</f>
        <v/>
      </c>
      <c r="AB75" s="107"/>
      <c r="AC75" s="72" t="b">
        <f>IF(AND(NOT(Y75),AND(Y$4:Y74)),TRUE,Y75)</f>
        <v>0</v>
      </c>
      <c r="AD75" s="172" t="e">
        <f>IF(AND(NOT(ISBLANK(Jumpoverwrite5)),AND(NOT(AC75),AND(AC$4:AC74))),($J75*$G75-LN(1+Jumpoverwrite5*AE$2))/$G75,_xll.qlInterpolationInterpolate(AC$3,$F75,TRUE))</f>
        <v>#NUM!</v>
      </c>
      <c r="AE75" s="176" t="str">
        <f>IF(AND(NOT(AC75),AND(AC$4:AC74)),IF($AD75&lt;0,IF($AD75&lt;$J75,EXP(($AD75-$J75)*$G75),EXP(($J75-$AD75)*$G75)),EXP(($AD75-$J75)*$G75)),"")</f>
        <v/>
      </c>
      <c r="AF75" s="107"/>
      <c r="AG75" s="72" t="b">
        <f>IF(AND(NOT(AC75),AND(AC$4:AC74)),TRUE,AC75)</f>
        <v>0</v>
      </c>
      <c r="AH75" s="172" t="e">
        <f>IF(AND(NOT(ISBLANK(Jumpoverwrite6)),AND(NOT(AG75),AND(AG$4:AG74))),($J75*$G75-LN(1+Jumpoverwrite6*AI$2))/$G75,_xll.qlInterpolationInterpolate(AG$3,$F75,TRUE))</f>
        <v>#NUM!</v>
      </c>
      <c r="AI75" s="176" t="str">
        <f>IF(AND(NOT(AG75),AND(AG$4:AG74)),IF($AH75&lt;0,IF($AH75&lt;$J75,EXP(($AH75-$J75)*$G75),EXP(($J75-$AH75)*$G75)),EXP(($AH75-$J75)*$G75)),"")</f>
        <v/>
      </c>
      <c r="AJ75" s="107"/>
      <c r="AK75" s="72" t="b">
        <f>IF(AND(NOT(AG75),AND(AG$4:AG74)),TRUE,AG75)</f>
        <v>0</v>
      </c>
      <c r="AL75" s="172" t="e">
        <f>IF(AND(NOT(ISBLANK(Jumpoverwrite7)),AND(NOT(AK75),AND(AK$4:AK74))),($J75*$G75-LN(1+Jumpoverwrite7*AM$2))/$G75,_xll.qlInterpolationInterpolate(AK$3,$F75,TRUE))</f>
        <v>#NUM!</v>
      </c>
      <c r="AM75" s="176" t="str">
        <f>IF(AND(NOT(AK75),AND(AK$4:AK74)),IF($AL75&lt;0,IF($AL75&lt;$J75,EXP(($AL75-$J75)*$G75),EXP(($J75-$AL75)*$G75)),EXP(($AL75-$J75)*$G75)),"")</f>
        <v/>
      </c>
      <c r="AO75" s="72" t="b">
        <f>IF(AND(NOT(AK75),AND(AK$4:AK74)),TRUE,AK75)</f>
        <v>0</v>
      </c>
      <c r="AP75" s="172" t="e">
        <f>IF(AND(NOT(ISBLANK(Jumpoverwrite8)),AND(NOT(AO75),AND(AO$4:AO74))),($J75*$G75-LN(1+Jumpoverwrite8*AQ$2))/$G75,_xll.qlInterpolationInterpolate(AO$3,$F75,TRUE))</f>
        <v>#NUM!</v>
      </c>
      <c r="AQ75" s="176" t="str">
        <f>IF(AND(NOT(AO75),AND(AO$4:AO74)),IF($AP75&lt;0,IF($AP75&lt;$J75,EXP(($AP75-$J75)*$G75),EXP(($J75-$AP75)*$G75)),EXP(($AP75-$J75)*$G75)),"")</f>
        <v/>
      </c>
      <c r="AS75" s="72" t="b">
        <f>IF(AND(NOT(AO75),AND(AO$4:AO74)),TRUE,AO75)</f>
        <v>0</v>
      </c>
      <c r="AT75" s="172" t="e">
        <f>IF(AND(NOT(ISBLANK(Jumpoverwrite9)),AND(NOT(AS75),AND(AS$4:AS74))),($J75*$G75-LN(1+Jumpoverwrite9*AU$2))/$G75,_xll.qlInterpolationInterpolate(AS$3,$F75,TRUE))</f>
        <v>#NUM!</v>
      </c>
      <c r="AU75" s="176" t="str">
        <f>IF(AND(NOT(AS75),AND(AS$4:AS74)),IF($AT75&lt;0,IF($AT75&lt;$J75,EXP(($AT75-$J75)*$G75),EXP(($J75-$AT75)*$G75)),EXP(($AT75-$J75)*$G75)),"")</f>
        <v/>
      </c>
      <c r="AW75" s="72" t="b">
        <f>IF(AND(NOT(AS75),AND(AS$4:AS74)),TRUE,AS75)</f>
        <v>0</v>
      </c>
      <c r="AX75" s="172" t="e">
        <f>IF(AND(NOT(ISBLANK(Jumpoverwrite10)),AND(NOT(AW75),AND(AW$4:AW74))),($J75*$G75-LN(1+Jumpoverwrite10*AY$2))/$G75,_xll.qlInterpolationInterpolate(AW$3,$F75,TRUE))</f>
        <v>#NUM!</v>
      </c>
      <c r="AY75" s="176" t="str">
        <f>IF(AND(NOT(AW75),AND(AW$4:AW74)),IF($AX75&lt;0,IF($AX75&lt;$J75,EXP(($AX75-$J75)*$G75),EXP(($J75-$AX75)*$G75)),EXP(($AX75-$J75)*$G75)),"")</f>
        <v/>
      </c>
      <c r="BA75" s="72" t="b">
        <f>IF(AND(NOT(AW75),AND(AW$4:AW74)),TRUE,AW75)</f>
        <v>0</v>
      </c>
      <c r="BB75" s="172" t="e">
        <f>IF(AND(NOT(ISBLANK(Jumpoverwrite11)),AND(NOT(BA75),AND(BA$4:BA74))),($J75*$G75-LN(1+Jumpoverwrite11*BC$2))/$G75,_xll.qlInterpolationInterpolate(BA$3,$F75,TRUE))</f>
        <v>#NUM!</v>
      </c>
      <c r="BC75" s="176" t="str">
        <f>IF(AND(NOT(BA75),AND(BA$4:BA74)),IF($BB75&lt;0,IF($BB75&lt;$J75,EXP(($BB75-$J75)*$G75),EXP(($J75-$BB75)*$G75)),EXP(($BB75-$J75)*$G75)),"")</f>
        <v/>
      </c>
      <c r="BE75" s="72" t="b">
        <f>IF(AND(NOT(BA75),AND(BA$4:BA74)),TRUE,BA75)</f>
        <v>0</v>
      </c>
      <c r="BF75" s="172" t="e">
        <f>IF(AND(NOT(ISBLANK(Jumpoverwrite12)),AND(NOT(BE75),AND(BE$4:BE74))),($J75*$G75-LN(1+Jumpoverwrite12*BG$2))/$G75,_xll.qlInterpolationInterpolate(BE$3,$F75,TRUE))</f>
        <v>#NUM!</v>
      </c>
      <c r="BG75" s="176" t="str">
        <f>IF(AND(NOT(BE75),AND(BE$4:BE74)),IF($BF75&lt;0,IF($BF75&lt;$J75,EXP(($BF75-$J75)*$G75),EXP(($J75-$BF75)*$G75)),EXP(($BF75-$J75)*$G75)),"")</f>
        <v/>
      </c>
      <c r="BI75" s="72" t="b">
        <f t="shared" si="6"/>
        <v>0</v>
      </c>
      <c r="BJ75" s="172" t="e">
        <f>IF(AND(NOT(ISBLANK(jumpoverwrite13)),AND(NOT(BI75),AND(BI$4:BI74))),($J75*$G75-LN(1+jumpoverwrite13*BK$2))/$G75,_xll.qlInterpolationInterpolate(BI$3,$F75,TRUE))</f>
        <v>#NUM!</v>
      </c>
      <c r="BK75" s="176" t="str">
        <f>IF(AND(NOT(BI75),AND(BI$4:BI74)),IF($BJ75&lt;0,IF($BJ75&lt;$J75,EXP(($BJ75-$J75)*$G75),EXP(($J75-$BJ75)*$G75)),EXP(($BJ75-$J75)*$G75)),"")</f>
        <v/>
      </c>
      <c r="BM75" s="72" t="b">
        <f>IF(AND(NOT(BI75),AND(BI$4:BI74)),TRUE,BI75)</f>
        <v>0</v>
      </c>
      <c r="BN75" s="172" t="e">
        <f>IF(AND(NOT(ISBLANK(Jumpoverwrite14)),AND(NOT(BM75),AND(BM$4:BM74))),($J75*$G75-LN(1+Jumpoverwrite14*BO$2))/$G75,_xll.qlInterpolationInterpolate(BM$3,$F75,TRUE))</f>
        <v>#NUM!</v>
      </c>
      <c r="BO75" s="176" t="str">
        <f>IF(AND(NOT(BM75),AND(BM$4:BM74)),IF($BN75&lt;0,IF($BN75&lt;$J75,EXP(($BN75-$J75)*$G75),EXP(($J75-$BN75)*$G75)),EXP(($BN75-$J75)*$G75)),"")</f>
        <v/>
      </c>
      <c r="BQ75" s="72" t="b">
        <f>IF(AND(NOT(BM75),AND(BM$4:BM74)),TRUE,BM75)</f>
        <v>0</v>
      </c>
      <c r="BR75" s="172" t="e">
        <f>IF(AND(NOT(ISBLANK(Jumpoverwrite15)),AND(NOT(BQ75),AND(BQ$4:BQ74))),($J75*$G75-LN(1+Jumpoverwrite15*BS$2))/$G75,_xll.qlInterpolationInterpolate(BQ$3,$F75,TRUE))</f>
        <v>#NUM!</v>
      </c>
      <c r="BS75" s="176" t="str">
        <f>IF(AND(NOT(BQ75),AND(BQ$4:BQ74)),IF($BN75&lt;0,IF($BN75&lt;$J75,EXP(($BN75-$J75)*$G75),EXP(($J75-$BN75)*$G75)),EXP(($BN75-$J75)*$G75)),"")</f>
        <v/>
      </c>
    </row>
    <row r="76" spans="1:71" x14ac:dyDescent="0.2">
      <c r="A76" s="33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84" t="e">
        <f t="shared" si="4"/>
        <v>#N/A</v>
      </c>
      <c r="G76" s="85" t="e">
        <f>_xll.qlDayCounterYearFraction(DayCounter,D75,D76)</f>
        <v>#NUM!</v>
      </c>
      <c r="I76" s="93" t="b">
        <f t="shared" si="7"/>
        <v>0</v>
      </c>
      <c r="J76" s="37" t="e">
        <v>#N/A</v>
      </c>
      <c r="K76" s="94" t="e">
        <f t="shared" si="8"/>
        <v>#VALUE!</v>
      </c>
      <c r="L76" s="105"/>
      <c r="M76" s="72" t="b">
        <f>IF(AND(NOT(I76),AND(I$4:I75)),TRUE,I76)</f>
        <v>0</v>
      </c>
      <c r="N76" s="172" t="e">
        <f>IF(AND(NOT(ISBLANK(Jumpoverwrite1)),AND(NOT(M76),AND(M$4:M75))),($J76*$G76-LN(1+Jumpoverwrite1*O$2))/$G76,_xll.qlInterpolationInterpolate(M$3,$F76,TRUE))</f>
        <v>#NUM!</v>
      </c>
      <c r="O76" s="34" t="str">
        <f>IF(AND(NOT(M76),AND(M$4:M75)),IF($N76&lt;0,IF($N76&lt;$J76,EXP(($N76-$J76)*$G76),EXP(($J76-$N76)*$G76)),EXP(($N76-$J76)*$G76)),"")</f>
        <v/>
      </c>
      <c r="P76" s="107"/>
      <c r="Q76" s="72" t="b">
        <f>IF(AND(NOT(M76),AND(M$4:M75)),TRUE,M76)</f>
        <v>0</v>
      </c>
      <c r="R76" s="172" t="e">
        <f>IF(AND(NOT(ISBLANK(Jumpoverwrite2)),AND(NOT(Q76),AND(Q$4:Q75))),($J76*$G76-LN(1+Jumpoverwrite2*S$2))/$G76,_xll.qlInterpolationInterpolate(Q$3,$F76,TRUE))</f>
        <v>#NUM!</v>
      </c>
      <c r="S76" s="176" t="str">
        <f>IF(AND(NOT(Q76),AND(Q$4:Q75)),IF($R76&lt;0,IF($R76&lt;$J76,EXP(($R76-$J76)*$G76),EXP(($J76-$R76)*$G76)),EXP(($R76-$J76)*$G76)),"")</f>
        <v/>
      </c>
      <c r="T76" s="107"/>
      <c r="U76" s="72" t="b">
        <f>IF(AND(NOT(Q76),AND(Q$4:Q75)),TRUE,Q76)</f>
        <v>0</v>
      </c>
      <c r="V76" s="172" t="e">
        <f>IF(AND(NOT(ISBLANK(Jumpoverwrite3)),AND(NOT(U76),AND(U$4:U75))),($J76*$G76-LN(1+Jumpoverwrite3*W$2))/$G76,_xll.qlInterpolationInterpolate(U$3,$F76,TRUE))</f>
        <v>#NUM!</v>
      </c>
      <c r="W76" s="176" t="str">
        <f>IF(AND(NOT(U76),AND(U$4:U75)),IF($V76&lt;0,IF($V76&lt;$J76,EXP(($V76-$J76)*$G76),EXP(($J76-$V76)*$G76)),EXP(($V76-$J76)*$G76)),"")</f>
        <v/>
      </c>
      <c r="X76" s="107"/>
      <c r="Y76" s="72" t="b">
        <f>IF(AND(NOT(U76),AND(U$4:U75)),TRUE,U76)</f>
        <v>0</v>
      </c>
      <c r="Z76" s="172" t="e">
        <f>IF(AND(NOT(ISBLANK(Jumpoverwrite4)),AND(NOT(Y76),AND(Y$4:Y75))),($J76*$G76-LN(1+Jumpoverwrite4*AA$2))/$G76,_xll.qlInterpolationInterpolate(Y$3,$F76,TRUE))</f>
        <v>#NUM!</v>
      </c>
      <c r="AA76" s="176" t="str">
        <f>IF(AND(NOT(Y76),AND(Y$4:Y75)),IF($Z76&lt;0,IF($Z76&lt;$J76,EXP(($Z76-$J76)*$G76),EXP(($J76-$Z76)*$G76)),EXP(($Z76-$J76)*$G76)),"")</f>
        <v/>
      </c>
      <c r="AB76" s="107"/>
      <c r="AC76" s="72" t="b">
        <f>IF(AND(NOT(Y76),AND(Y$4:Y75)),TRUE,Y76)</f>
        <v>0</v>
      </c>
      <c r="AD76" s="172" t="e">
        <f>IF(AND(NOT(ISBLANK(Jumpoverwrite5)),AND(NOT(AC76),AND(AC$4:AC75))),($J76*$G76-LN(1+Jumpoverwrite5*AE$2))/$G76,_xll.qlInterpolationInterpolate(AC$3,$F76,TRUE))</f>
        <v>#NUM!</v>
      </c>
      <c r="AE76" s="176" t="str">
        <f>IF(AND(NOT(AC76),AND(AC$4:AC75)),IF($AD76&lt;0,IF($AD76&lt;$J76,EXP(($AD76-$J76)*$G76),EXP(($J76-$AD76)*$G76)),EXP(($AD76-$J76)*$G76)),"")</f>
        <v/>
      </c>
      <c r="AF76" s="107"/>
      <c r="AG76" s="72" t="b">
        <f>IF(AND(NOT(AC76),AND(AC$4:AC75)),TRUE,AC76)</f>
        <v>0</v>
      </c>
      <c r="AH76" s="172" t="e">
        <f>IF(AND(NOT(ISBLANK(Jumpoverwrite6)),AND(NOT(AG76),AND(AG$4:AG75))),($J76*$G76-LN(1+Jumpoverwrite6*AI$2))/$G76,_xll.qlInterpolationInterpolate(AG$3,$F76,TRUE))</f>
        <v>#NUM!</v>
      </c>
      <c r="AI76" s="176" t="str">
        <f>IF(AND(NOT(AG76),AND(AG$4:AG75)),IF($AH76&lt;0,IF($AH76&lt;$J76,EXP(($AH76-$J76)*$G76),EXP(($J76-$AH76)*$G76)),EXP(($AH76-$J76)*$G76)),"")</f>
        <v/>
      </c>
      <c r="AJ76" s="107"/>
      <c r="AK76" s="72" t="b">
        <f>IF(AND(NOT(AG76),AND(AG$4:AG75)),TRUE,AG76)</f>
        <v>0</v>
      </c>
      <c r="AL76" s="172" t="e">
        <f>IF(AND(NOT(ISBLANK(Jumpoverwrite7)),AND(NOT(AK76),AND(AK$4:AK75))),($J76*$G76-LN(1+Jumpoverwrite7*AM$2))/$G76,_xll.qlInterpolationInterpolate(AK$3,$F76,TRUE))</f>
        <v>#NUM!</v>
      </c>
      <c r="AM76" s="176" t="str">
        <f>IF(AND(NOT(AK76),AND(AK$4:AK75)),IF($AL76&lt;0,IF($AL76&lt;$J76,EXP(($AL76-$J76)*$G76),EXP(($J76-$AL76)*$G76)),EXP(($AL76-$J76)*$G76)),"")</f>
        <v/>
      </c>
      <c r="AO76" s="72" t="b">
        <f>IF(AND(NOT(AK76),AND(AK$4:AK75)),TRUE,AK76)</f>
        <v>0</v>
      </c>
      <c r="AP76" s="172" t="e">
        <f>IF(AND(NOT(ISBLANK(Jumpoverwrite8)),AND(NOT(AO76),AND(AO$4:AO75))),($J76*$G76-LN(1+Jumpoverwrite8*AQ$2))/$G76,_xll.qlInterpolationInterpolate(AO$3,$F76,TRUE))</f>
        <v>#NUM!</v>
      </c>
      <c r="AQ76" s="176" t="str">
        <f>IF(AND(NOT(AO76),AND(AO$4:AO75)),IF($AP76&lt;0,IF($AP76&lt;$J76,EXP(($AP76-$J76)*$G76),EXP(($J76-$AP76)*$G76)),EXP(($AP76-$J76)*$G76)),"")</f>
        <v/>
      </c>
      <c r="AS76" s="72" t="b">
        <f>IF(AND(NOT(AO76),AND(AO$4:AO75)),TRUE,AO76)</f>
        <v>0</v>
      </c>
      <c r="AT76" s="172" t="e">
        <f>IF(AND(NOT(ISBLANK(Jumpoverwrite9)),AND(NOT(AS76),AND(AS$4:AS75))),($J76*$G76-LN(1+Jumpoverwrite9*AU$2))/$G76,_xll.qlInterpolationInterpolate(AS$3,$F76,TRUE))</f>
        <v>#NUM!</v>
      </c>
      <c r="AU76" s="176" t="str">
        <f>IF(AND(NOT(AS76),AND(AS$4:AS75)),IF($AT76&lt;0,IF($AT76&lt;$J76,EXP(($AT76-$J76)*$G76),EXP(($J76-$AT76)*$G76)),EXP(($AT76-$J76)*$G76)),"")</f>
        <v/>
      </c>
      <c r="AW76" s="72" t="b">
        <f>IF(AND(NOT(AS76),AND(AS$4:AS75)),TRUE,AS76)</f>
        <v>0</v>
      </c>
      <c r="AX76" s="172" t="e">
        <f>IF(AND(NOT(ISBLANK(Jumpoverwrite10)),AND(NOT(AW76),AND(AW$4:AW75))),($J76*$G76-LN(1+Jumpoverwrite10*AY$2))/$G76,_xll.qlInterpolationInterpolate(AW$3,$F76,TRUE))</f>
        <v>#NUM!</v>
      </c>
      <c r="AY76" s="176" t="str">
        <f>IF(AND(NOT(AW76),AND(AW$4:AW75)),IF($AX76&lt;0,IF($AX76&lt;$J76,EXP(($AX76-$J76)*$G76),EXP(($J76-$AX76)*$G76)),EXP(($AX76-$J76)*$G76)),"")</f>
        <v/>
      </c>
      <c r="BA76" s="72" t="b">
        <f>IF(AND(NOT(AW76),AND(AW$4:AW75)),TRUE,AW76)</f>
        <v>0</v>
      </c>
      <c r="BB76" s="172" t="e">
        <f>IF(AND(NOT(ISBLANK(Jumpoverwrite11)),AND(NOT(BA76),AND(BA$4:BA75))),($J76*$G76-LN(1+Jumpoverwrite11*BC$2))/$G76,_xll.qlInterpolationInterpolate(BA$3,$F76,TRUE))</f>
        <v>#NUM!</v>
      </c>
      <c r="BC76" s="176" t="str">
        <f>IF(AND(NOT(BA76),AND(BA$4:BA75)),IF($BB76&lt;0,IF($BB76&lt;$J76,EXP(($BB76-$J76)*$G76),EXP(($J76-$BB76)*$G76)),EXP(($BB76-$J76)*$G76)),"")</f>
        <v/>
      </c>
      <c r="BE76" s="72" t="b">
        <f>IF(AND(NOT(BA76),AND(BA$4:BA75)),TRUE,BA76)</f>
        <v>0</v>
      </c>
      <c r="BF76" s="172" t="e">
        <f>IF(AND(NOT(ISBLANK(Jumpoverwrite12)),AND(NOT(BE76),AND(BE$4:BE75))),($J76*$G76-LN(1+Jumpoverwrite12*BG$2))/$G76,_xll.qlInterpolationInterpolate(BE$3,$F76,TRUE))</f>
        <v>#NUM!</v>
      </c>
      <c r="BG76" s="176" t="str">
        <f>IF(AND(NOT(BE76),AND(BE$4:BE75)),IF($BF76&lt;0,IF($BF76&lt;$J76,EXP(($BF76-$J76)*$G76),EXP(($J76-$BF76)*$G76)),EXP(($BF76-$J76)*$G76)),"")</f>
        <v/>
      </c>
      <c r="BI76" s="72" t="b">
        <f t="shared" si="6"/>
        <v>0</v>
      </c>
      <c r="BJ76" s="172" t="e">
        <f>IF(AND(NOT(ISBLANK(jumpoverwrite13)),AND(NOT(BI76),AND(BI$4:BI75))),($J76*$G76-LN(1+jumpoverwrite13*BK$2))/$G76,_xll.qlInterpolationInterpolate(BI$3,$F76,TRUE))</f>
        <v>#NUM!</v>
      </c>
      <c r="BK76" s="176" t="str">
        <f>IF(AND(NOT(BI76),AND(BI$4:BI75)),IF($BJ76&lt;0,IF($BJ76&lt;$J76,EXP(($BJ76-$J76)*$G76),EXP(($J76-$BJ76)*$G76)),EXP(($BJ76-$J76)*$G76)),"")</f>
        <v/>
      </c>
      <c r="BM76" s="72" t="b">
        <f>IF(AND(NOT(BI76),AND(BI$4:BI75)),TRUE,BI76)</f>
        <v>0</v>
      </c>
      <c r="BN76" s="172" t="e">
        <f>IF(AND(NOT(ISBLANK(Jumpoverwrite14)),AND(NOT(BM76),AND(BM$4:BM75))),($J76*$G76-LN(1+Jumpoverwrite14*BO$2))/$G76,_xll.qlInterpolationInterpolate(BM$3,$F76,TRUE))</f>
        <v>#NUM!</v>
      </c>
      <c r="BO76" s="176" t="str">
        <f>IF(AND(NOT(BM76),AND(BM$4:BM75)),IF($BN76&lt;0,IF($BN76&lt;$J76,EXP(($BN76-$J76)*$G76),EXP(($J76-$BN76)*$G76)),EXP(($BN76-$J76)*$G76)),"")</f>
        <v/>
      </c>
      <c r="BQ76" s="72" t="b">
        <f>IF(AND(NOT(BM76),AND(BM$4:BM75)),TRUE,BM76)</f>
        <v>0</v>
      </c>
      <c r="BR76" s="172" t="e">
        <f>IF(AND(NOT(ISBLANK(Jumpoverwrite15)),AND(NOT(BQ76),AND(BQ$4:BQ75))),($J76*$G76-LN(1+Jumpoverwrite15*BS$2))/$G76,_xll.qlInterpolationInterpolate(BQ$3,$F76,TRUE))</f>
        <v>#NUM!</v>
      </c>
      <c r="BS76" s="176" t="str">
        <f>IF(AND(NOT(BQ76),AND(BQ$4:BQ75)),IF($BN76&lt;0,IF($BN76&lt;$J76,EXP(($BN76-$J76)*$G76),EXP(($J76-$BN76)*$G76)),EXP(($BN76-$J76)*$G76)),"")</f>
        <v/>
      </c>
    </row>
    <row r="77" spans="1:71" x14ac:dyDescent="0.2">
      <c r="A77" s="33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84" t="e">
        <f t="shared" si="4"/>
        <v>#N/A</v>
      </c>
      <c r="G77" s="85" t="e">
        <f>_xll.qlDayCounterYearFraction(DayCounter,D76,D77)</f>
        <v>#NUM!</v>
      </c>
      <c r="I77" s="93" t="b">
        <f t="shared" si="7"/>
        <v>0</v>
      </c>
      <c r="J77" s="37" t="e">
        <v>#N/A</v>
      </c>
      <c r="K77" s="94" t="e">
        <f t="shared" si="8"/>
        <v>#VALUE!</v>
      </c>
      <c r="L77" s="105"/>
      <c r="M77" s="72" t="b">
        <f>IF(AND(NOT(I77),AND(I$4:I76)),TRUE,I77)</f>
        <v>0</v>
      </c>
      <c r="N77" s="172" t="e">
        <f>IF(AND(NOT(ISBLANK(Jumpoverwrite1)),AND(NOT(M77),AND(M$4:M76))),($J77*$G77-LN(1+Jumpoverwrite1*O$2))/$G77,_xll.qlInterpolationInterpolate(M$3,$F77,TRUE))</f>
        <v>#NUM!</v>
      </c>
      <c r="O77" s="34" t="str">
        <f>IF(AND(NOT(M77),AND(M$4:M76)),IF($N77&lt;0,IF($N77&lt;$J77,EXP(($N77-$J77)*$G77),EXP(($J77-$N77)*$G77)),EXP(($N77-$J77)*$G77)),"")</f>
        <v/>
      </c>
      <c r="P77" s="107"/>
      <c r="Q77" s="72" t="b">
        <f>IF(AND(NOT(M77),AND(M$4:M76)),TRUE,M77)</f>
        <v>0</v>
      </c>
      <c r="R77" s="172" t="e">
        <f>IF(AND(NOT(ISBLANK(Jumpoverwrite2)),AND(NOT(Q77),AND(Q$4:Q76))),($J77*$G77-LN(1+Jumpoverwrite2*S$2))/$G77,_xll.qlInterpolationInterpolate(Q$3,$F77,TRUE))</f>
        <v>#NUM!</v>
      </c>
      <c r="S77" s="176" t="str">
        <f>IF(AND(NOT(Q77),AND(Q$4:Q76)),IF($R77&lt;0,IF($R77&lt;$J77,EXP(($R77-$J77)*$G77),EXP(($J77-$R77)*$G77)),EXP(($R77-$J77)*$G77)),"")</f>
        <v/>
      </c>
      <c r="T77" s="107"/>
      <c r="U77" s="72" t="b">
        <f>IF(AND(NOT(Q77),AND(Q$4:Q76)),TRUE,Q77)</f>
        <v>0</v>
      </c>
      <c r="V77" s="172" t="e">
        <f>IF(AND(NOT(ISBLANK(Jumpoverwrite3)),AND(NOT(U77),AND(U$4:U76))),($J77*$G77-LN(1+Jumpoverwrite3*W$2))/$G77,_xll.qlInterpolationInterpolate(U$3,$F77,TRUE))</f>
        <v>#NUM!</v>
      </c>
      <c r="W77" s="176" t="str">
        <f>IF(AND(NOT(U77),AND(U$4:U76)),IF($V77&lt;0,IF($V77&lt;$J77,EXP(($V77-$J77)*$G77),EXP(($J77-$V77)*$G77)),EXP(($V77-$J77)*$G77)),"")</f>
        <v/>
      </c>
      <c r="X77" s="107"/>
      <c r="Y77" s="72" t="b">
        <f>IF(AND(NOT(U77),AND(U$4:U76)),TRUE,U77)</f>
        <v>0</v>
      </c>
      <c r="Z77" s="172" t="e">
        <f>IF(AND(NOT(ISBLANK(Jumpoverwrite4)),AND(NOT(Y77),AND(Y$4:Y76))),($J77*$G77-LN(1+Jumpoverwrite4*AA$2))/$G77,_xll.qlInterpolationInterpolate(Y$3,$F77,TRUE))</f>
        <v>#NUM!</v>
      </c>
      <c r="AA77" s="176" t="str">
        <f>IF(AND(NOT(Y77),AND(Y$4:Y76)),IF($Z77&lt;0,IF($Z77&lt;$J77,EXP(($Z77-$J77)*$G77),EXP(($J77-$Z77)*$G77)),EXP(($Z77-$J77)*$G77)),"")</f>
        <v/>
      </c>
      <c r="AB77" s="107"/>
      <c r="AC77" s="72" t="b">
        <f>IF(AND(NOT(Y77),AND(Y$4:Y76)),TRUE,Y77)</f>
        <v>0</v>
      </c>
      <c r="AD77" s="172" t="e">
        <f>IF(AND(NOT(ISBLANK(Jumpoverwrite5)),AND(NOT(AC77),AND(AC$4:AC76))),($J77*$G77-LN(1+Jumpoverwrite5*AE$2))/$G77,_xll.qlInterpolationInterpolate(AC$3,$F77,TRUE))</f>
        <v>#NUM!</v>
      </c>
      <c r="AE77" s="176" t="str">
        <f>IF(AND(NOT(AC77),AND(AC$4:AC76)),IF($AD77&lt;0,IF($AD77&lt;$J77,EXP(($AD77-$J77)*$G77),EXP(($J77-$AD77)*$G77)),EXP(($AD77-$J77)*$G77)),"")</f>
        <v/>
      </c>
      <c r="AF77" s="107"/>
      <c r="AG77" s="72" t="b">
        <f>IF(AND(NOT(AC77),AND(AC$4:AC76)),TRUE,AC77)</f>
        <v>0</v>
      </c>
      <c r="AH77" s="172" t="e">
        <f>IF(AND(NOT(ISBLANK(Jumpoverwrite6)),AND(NOT(AG77),AND(AG$4:AG76))),($J77*$G77-LN(1+Jumpoverwrite6*AI$2))/$G77,_xll.qlInterpolationInterpolate(AG$3,$F77,TRUE))</f>
        <v>#NUM!</v>
      </c>
      <c r="AI77" s="176" t="str">
        <f>IF(AND(NOT(AG77),AND(AG$4:AG76)),IF($AH77&lt;0,IF($AH77&lt;$J77,EXP(($AH77-$J77)*$G77),EXP(($J77-$AH77)*$G77)),EXP(($AH77-$J77)*$G77)),"")</f>
        <v/>
      </c>
      <c r="AJ77" s="107"/>
      <c r="AK77" s="72" t="b">
        <f>IF(AND(NOT(AG77),AND(AG$4:AG76)),TRUE,AG77)</f>
        <v>0</v>
      </c>
      <c r="AL77" s="172" t="e">
        <f>IF(AND(NOT(ISBLANK(Jumpoverwrite7)),AND(NOT(AK77),AND(AK$4:AK76))),($J77*$G77-LN(1+Jumpoverwrite7*AM$2))/$G77,_xll.qlInterpolationInterpolate(AK$3,$F77,TRUE))</f>
        <v>#NUM!</v>
      </c>
      <c r="AM77" s="176" t="str">
        <f>IF(AND(NOT(AK77),AND(AK$4:AK76)),IF($AL77&lt;0,IF($AL77&lt;$J77,EXP(($AL77-$J77)*$G77),EXP(($J77-$AL77)*$G77)),EXP(($AL77-$J77)*$G77)),"")</f>
        <v/>
      </c>
      <c r="AO77" s="72" t="b">
        <f>IF(AND(NOT(AK77),AND(AK$4:AK76)),TRUE,AK77)</f>
        <v>0</v>
      </c>
      <c r="AP77" s="172" t="e">
        <f>IF(AND(NOT(ISBLANK(Jumpoverwrite8)),AND(NOT(AO77),AND(AO$4:AO76))),($J77*$G77-LN(1+Jumpoverwrite8*AQ$2))/$G77,_xll.qlInterpolationInterpolate(AO$3,$F77,TRUE))</f>
        <v>#NUM!</v>
      </c>
      <c r="AQ77" s="176" t="str">
        <f>IF(AND(NOT(AO77),AND(AO$4:AO76)),IF($AP77&lt;0,IF($AP77&lt;$J77,EXP(($AP77-$J77)*$G77),EXP(($J77-$AP77)*$G77)),EXP(($AP77-$J77)*$G77)),"")</f>
        <v/>
      </c>
      <c r="AS77" s="72" t="b">
        <f>IF(AND(NOT(AO77),AND(AO$4:AO76)),TRUE,AO77)</f>
        <v>0</v>
      </c>
      <c r="AT77" s="172" t="e">
        <f>IF(AND(NOT(ISBLANK(Jumpoverwrite9)),AND(NOT(AS77),AND(AS$4:AS76))),($J77*$G77-LN(1+Jumpoverwrite9*AU$2))/$G77,_xll.qlInterpolationInterpolate(AS$3,$F77,TRUE))</f>
        <v>#NUM!</v>
      </c>
      <c r="AU77" s="176" t="str">
        <f>IF(AND(NOT(AS77),AND(AS$4:AS76)),IF($AT77&lt;0,IF($AT77&lt;$J77,EXP(($AT77-$J77)*$G77),EXP(($J77-$AT77)*$G77)),EXP(($AT77-$J77)*$G77)),"")</f>
        <v/>
      </c>
      <c r="AW77" s="72" t="b">
        <f>IF(AND(NOT(AS77),AND(AS$4:AS76)),TRUE,AS77)</f>
        <v>0</v>
      </c>
      <c r="AX77" s="172" t="e">
        <f>IF(AND(NOT(ISBLANK(Jumpoverwrite10)),AND(NOT(AW77),AND(AW$4:AW76))),($J77*$G77-LN(1+Jumpoverwrite10*AY$2))/$G77,_xll.qlInterpolationInterpolate(AW$3,$F77,TRUE))</f>
        <v>#NUM!</v>
      </c>
      <c r="AY77" s="176" t="str">
        <f>IF(AND(NOT(AW77),AND(AW$4:AW76)),IF($AX77&lt;0,IF($AX77&lt;$J77,EXP(($AX77-$J77)*$G77),EXP(($J77-$AX77)*$G77)),EXP(($AX77-$J77)*$G77)),"")</f>
        <v/>
      </c>
      <c r="BA77" s="72" t="b">
        <f>IF(AND(NOT(AW77),AND(AW$4:AW76)),TRUE,AW77)</f>
        <v>0</v>
      </c>
      <c r="BB77" s="172" t="e">
        <f>IF(AND(NOT(ISBLANK(Jumpoverwrite11)),AND(NOT(BA77),AND(BA$4:BA76))),($J77*$G77-LN(1+Jumpoverwrite11*BC$2))/$G77,_xll.qlInterpolationInterpolate(BA$3,$F77,TRUE))</f>
        <v>#NUM!</v>
      </c>
      <c r="BC77" s="176" t="str">
        <f>IF(AND(NOT(BA77),AND(BA$4:BA76)),IF($BB77&lt;0,IF($BB77&lt;$J77,EXP(($BB77-$J77)*$G77),EXP(($J77-$BB77)*$G77)),EXP(($BB77-$J77)*$G77)),"")</f>
        <v/>
      </c>
      <c r="BE77" s="72" t="b">
        <f>IF(AND(NOT(BA77),AND(BA$4:BA76)),TRUE,BA77)</f>
        <v>0</v>
      </c>
      <c r="BF77" s="172" t="e">
        <f>IF(AND(NOT(ISBLANK(Jumpoverwrite12)),AND(NOT(BE77),AND(BE$4:BE76))),($J77*$G77-LN(1+Jumpoverwrite12*BG$2))/$G77,_xll.qlInterpolationInterpolate(BE$3,$F77,TRUE))</f>
        <v>#NUM!</v>
      </c>
      <c r="BG77" s="176" t="str">
        <f>IF(AND(NOT(BE77),AND(BE$4:BE76)),IF($BF77&lt;0,IF($BF77&lt;$J77,EXP(($BF77-$J77)*$G77),EXP(($J77-$BF77)*$G77)),EXP(($BF77-$J77)*$G77)),"")</f>
        <v/>
      </c>
      <c r="BI77" s="72" t="b">
        <f t="shared" si="6"/>
        <v>0</v>
      </c>
      <c r="BJ77" s="172" t="e">
        <f>IF(AND(NOT(ISBLANK(jumpoverwrite13)),AND(NOT(BI77),AND(BI$4:BI76))),($J77*$G77-LN(1+jumpoverwrite13*BK$2))/$G77,_xll.qlInterpolationInterpolate(BI$3,$F77,TRUE))</f>
        <v>#NUM!</v>
      </c>
      <c r="BK77" s="176" t="str">
        <f>IF(AND(NOT(BI77),AND(BI$4:BI76)),IF($BJ77&lt;0,IF($BJ77&lt;$J77,EXP(($BJ77-$J77)*$G77),EXP(($J77-$BJ77)*$G77)),EXP(($BJ77-$J77)*$G77)),"")</f>
        <v/>
      </c>
      <c r="BM77" s="72" t="b">
        <f>IF(AND(NOT(BI77),AND(BI$4:BI76)),TRUE,BI77)</f>
        <v>0</v>
      </c>
      <c r="BN77" s="172" t="e">
        <f>IF(AND(NOT(ISBLANK(Jumpoverwrite14)),AND(NOT(BM77),AND(BM$4:BM76))),($J77*$G77-LN(1+Jumpoverwrite14*BO$2))/$G77,_xll.qlInterpolationInterpolate(BM$3,$F77,TRUE))</f>
        <v>#NUM!</v>
      </c>
      <c r="BO77" s="176" t="str">
        <f>IF(AND(NOT(BM77),AND(BM$4:BM76)),IF($BN77&lt;0,IF($BN77&lt;$J77,EXP(($BN77-$J77)*$G77),EXP(($J77-$BN77)*$G77)),EXP(($BN77-$J77)*$G77)),"")</f>
        <v/>
      </c>
      <c r="BQ77" s="72" t="b">
        <f>IF(AND(NOT(BM77),AND(BM$4:BM76)),TRUE,BM77)</f>
        <v>0</v>
      </c>
      <c r="BR77" s="172" t="e">
        <f>IF(AND(NOT(ISBLANK(Jumpoverwrite15)),AND(NOT(BQ77),AND(BQ$4:BQ76))),($J77*$G77-LN(1+Jumpoverwrite15*BS$2))/$G77,_xll.qlInterpolationInterpolate(BQ$3,$F77,TRUE))</f>
        <v>#NUM!</v>
      </c>
      <c r="BS77" s="176" t="str">
        <f>IF(AND(NOT(BQ77),AND(BQ$4:BQ76)),IF($BN77&lt;0,IF($BN77&lt;$J77,EXP(($BN77-$J77)*$G77),EXP(($J77-$BN77)*$G77)),EXP(($BN77-$J77)*$G77)),"")</f>
        <v/>
      </c>
    </row>
    <row r="78" spans="1:71" x14ac:dyDescent="0.2">
      <c r="A78" s="33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84" t="e">
        <f t="shared" si="4"/>
        <v>#N/A</v>
      </c>
      <c r="G78" s="85" t="e">
        <f>_xll.qlDayCounterYearFraction(DayCounter,D77,D78)</f>
        <v>#NUM!</v>
      </c>
      <c r="I78" s="93" t="b">
        <f t="shared" si="7"/>
        <v>0</v>
      </c>
      <c r="J78" s="37" t="e">
        <v>#N/A</v>
      </c>
      <c r="K78" s="94" t="e">
        <f t="shared" si="8"/>
        <v>#VALUE!</v>
      </c>
      <c r="L78" s="105"/>
      <c r="M78" s="72" t="b">
        <f>IF(AND(NOT(I78),AND(I$4:I77)),TRUE,I78)</f>
        <v>0</v>
      </c>
      <c r="N78" s="172" t="e">
        <f>IF(AND(NOT(ISBLANK(Jumpoverwrite1)),AND(NOT(M78),AND(M$4:M77))),($J78*$G78-LN(1+Jumpoverwrite1*O$2))/$G78,_xll.qlInterpolationInterpolate(M$3,$F78,TRUE))</f>
        <v>#NUM!</v>
      </c>
      <c r="O78" s="34" t="str">
        <f>IF(AND(NOT(M78),AND(M$4:M77)),IF($N78&lt;0,IF($N78&lt;$J78,EXP(($N78-$J78)*$G78),EXP(($J78-$N78)*$G78)),EXP(($N78-$J78)*$G78)),"")</f>
        <v/>
      </c>
      <c r="P78" s="107"/>
      <c r="Q78" s="72" t="b">
        <f>IF(AND(NOT(M78),AND(M$4:M77)),TRUE,M78)</f>
        <v>0</v>
      </c>
      <c r="R78" s="172" t="e">
        <f>IF(AND(NOT(ISBLANK(Jumpoverwrite2)),AND(NOT(Q78),AND(Q$4:Q77))),($J78*$G78-LN(1+Jumpoverwrite2*S$2))/$G78,_xll.qlInterpolationInterpolate(Q$3,$F78,TRUE))</f>
        <v>#NUM!</v>
      </c>
      <c r="S78" s="176" t="str">
        <f>IF(AND(NOT(Q78),AND(Q$4:Q77)),IF($R78&lt;0,IF($R78&lt;$J78,EXP(($R78-$J78)*$G78),EXP(($J78-$R78)*$G78)),EXP(($R78-$J78)*$G78)),"")</f>
        <v/>
      </c>
      <c r="T78" s="107"/>
      <c r="U78" s="72" t="b">
        <f>IF(AND(NOT(Q78),AND(Q$4:Q77)),TRUE,Q78)</f>
        <v>0</v>
      </c>
      <c r="V78" s="172" t="e">
        <f>IF(AND(NOT(ISBLANK(Jumpoverwrite3)),AND(NOT(U78),AND(U$4:U77))),($J78*$G78-LN(1+Jumpoverwrite3*W$2))/$G78,_xll.qlInterpolationInterpolate(U$3,$F78,TRUE))</f>
        <v>#NUM!</v>
      </c>
      <c r="W78" s="176" t="str">
        <f>IF(AND(NOT(U78),AND(U$4:U77)),IF($V78&lt;0,IF($V78&lt;$J78,EXP(($V78-$J78)*$G78),EXP(($J78-$V78)*$G78)),EXP(($V78-$J78)*$G78)),"")</f>
        <v/>
      </c>
      <c r="X78" s="107"/>
      <c r="Y78" s="72" t="b">
        <f>IF(AND(NOT(U78),AND(U$4:U77)),TRUE,U78)</f>
        <v>0</v>
      </c>
      <c r="Z78" s="172" t="e">
        <f>IF(AND(NOT(ISBLANK(Jumpoverwrite4)),AND(NOT(Y78),AND(Y$4:Y77))),($J78*$G78-LN(1+Jumpoverwrite4*AA$2))/$G78,_xll.qlInterpolationInterpolate(Y$3,$F78,TRUE))</f>
        <v>#NUM!</v>
      </c>
      <c r="AA78" s="176" t="str">
        <f>IF(AND(NOT(Y78),AND(Y$4:Y77)),IF($Z78&lt;0,IF($Z78&lt;$J78,EXP(($Z78-$J78)*$G78),EXP(($J78-$Z78)*$G78)),EXP(($Z78-$J78)*$G78)),"")</f>
        <v/>
      </c>
      <c r="AB78" s="107"/>
      <c r="AC78" s="72" t="b">
        <f>IF(AND(NOT(Y78),AND(Y$4:Y77)),TRUE,Y78)</f>
        <v>0</v>
      </c>
      <c r="AD78" s="172" t="e">
        <f>IF(AND(NOT(ISBLANK(Jumpoverwrite5)),AND(NOT(AC78),AND(AC$4:AC77))),($J78*$G78-LN(1+Jumpoverwrite5*AE$2))/$G78,_xll.qlInterpolationInterpolate(AC$3,$F78,TRUE))</f>
        <v>#NUM!</v>
      </c>
      <c r="AE78" s="176" t="str">
        <f>IF(AND(NOT(AC78),AND(AC$4:AC77)),IF($AD78&lt;0,IF($AD78&lt;$J78,EXP(($AD78-$J78)*$G78),EXP(($J78-$AD78)*$G78)),EXP(($AD78-$J78)*$G78)),"")</f>
        <v/>
      </c>
      <c r="AF78" s="107"/>
      <c r="AG78" s="72" t="b">
        <f>IF(AND(NOT(AC78),AND(AC$4:AC77)),TRUE,AC78)</f>
        <v>0</v>
      </c>
      <c r="AH78" s="172" t="e">
        <f>IF(AND(NOT(ISBLANK(Jumpoverwrite6)),AND(NOT(AG78),AND(AG$4:AG77))),($J78*$G78-LN(1+Jumpoverwrite6*AI$2))/$G78,_xll.qlInterpolationInterpolate(AG$3,$F78,TRUE))</f>
        <v>#NUM!</v>
      </c>
      <c r="AI78" s="176" t="str">
        <f>IF(AND(NOT(AG78),AND(AG$4:AG77)),IF($AH78&lt;0,IF($AH78&lt;$J78,EXP(($AH78-$J78)*$G78),EXP(($J78-$AH78)*$G78)),EXP(($AH78-$J78)*$G78)),"")</f>
        <v/>
      </c>
      <c r="AJ78" s="107"/>
      <c r="AK78" s="72" t="b">
        <f>IF(AND(NOT(AG78),AND(AG$4:AG77)),TRUE,AG78)</f>
        <v>0</v>
      </c>
      <c r="AL78" s="172" t="e">
        <f>IF(AND(NOT(ISBLANK(Jumpoverwrite7)),AND(NOT(AK78),AND(AK$4:AK77))),($J78*$G78-LN(1+Jumpoverwrite7*AM$2))/$G78,_xll.qlInterpolationInterpolate(AK$3,$F78,TRUE))</f>
        <v>#NUM!</v>
      </c>
      <c r="AM78" s="176" t="str">
        <f>IF(AND(NOT(AK78),AND(AK$4:AK77)),IF($AL78&lt;0,IF($AL78&lt;$J78,EXP(($AL78-$J78)*$G78),EXP(($J78-$AL78)*$G78)),EXP(($AL78-$J78)*$G78)),"")</f>
        <v/>
      </c>
      <c r="AO78" s="72" t="b">
        <f>IF(AND(NOT(AK78),AND(AK$4:AK77)),TRUE,AK78)</f>
        <v>0</v>
      </c>
      <c r="AP78" s="172" t="e">
        <f>IF(AND(NOT(ISBLANK(Jumpoverwrite8)),AND(NOT(AO78),AND(AO$4:AO77))),($J78*$G78-LN(1+Jumpoverwrite8*AQ$2))/$G78,_xll.qlInterpolationInterpolate(AO$3,$F78,TRUE))</f>
        <v>#NUM!</v>
      </c>
      <c r="AQ78" s="176" t="str">
        <f>IF(AND(NOT(AO78),AND(AO$4:AO77)),IF($AP78&lt;0,IF($AP78&lt;$J78,EXP(($AP78-$J78)*$G78),EXP(($J78-$AP78)*$G78)),EXP(($AP78-$J78)*$G78)),"")</f>
        <v/>
      </c>
      <c r="AS78" s="72" t="b">
        <f>IF(AND(NOT(AO78),AND(AO$4:AO77)),TRUE,AO78)</f>
        <v>0</v>
      </c>
      <c r="AT78" s="172" t="e">
        <f>IF(AND(NOT(ISBLANK(Jumpoverwrite9)),AND(NOT(AS78),AND(AS$4:AS77))),($J78*$G78-LN(1+Jumpoverwrite9*AU$2))/$G78,_xll.qlInterpolationInterpolate(AS$3,$F78,TRUE))</f>
        <v>#NUM!</v>
      </c>
      <c r="AU78" s="176" t="str">
        <f>IF(AND(NOT(AS78),AND(AS$4:AS77)),IF($AT78&lt;0,IF($AT78&lt;$J78,EXP(($AT78-$J78)*$G78),EXP(($J78-$AT78)*$G78)),EXP(($AT78-$J78)*$G78)),"")</f>
        <v/>
      </c>
      <c r="AW78" s="72" t="b">
        <f>IF(AND(NOT(AS78),AND(AS$4:AS77)),TRUE,AS78)</f>
        <v>0</v>
      </c>
      <c r="AX78" s="172" t="e">
        <f>IF(AND(NOT(ISBLANK(Jumpoverwrite10)),AND(NOT(AW78),AND(AW$4:AW77))),($J78*$G78-LN(1+Jumpoverwrite10*AY$2))/$G78,_xll.qlInterpolationInterpolate(AW$3,$F78,TRUE))</f>
        <v>#NUM!</v>
      </c>
      <c r="AY78" s="176" t="str">
        <f>IF(AND(NOT(AW78),AND(AW$4:AW77)),IF($AX78&lt;0,IF($AX78&lt;$J78,EXP(($AX78-$J78)*$G78),EXP(($J78-$AX78)*$G78)),EXP(($AX78-$J78)*$G78)),"")</f>
        <v/>
      </c>
      <c r="BA78" s="72" t="b">
        <f>IF(AND(NOT(AW78),AND(AW$4:AW77)),TRUE,AW78)</f>
        <v>0</v>
      </c>
      <c r="BB78" s="172" t="e">
        <f>IF(AND(NOT(ISBLANK(Jumpoverwrite11)),AND(NOT(BA78),AND(BA$4:BA77))),($J78*$G78-LN(1+Jumpoverwrite11*BC$2))/$G78,_xll.qlInterpolationInterpolate(BA$3,$F78,TRUE))</f>
        <v>#NUM!</v>
      </c>
      <c r="BC78" s="176" t="str">
        <f>IF(AND(NOT(BA78),AND(BA$4:BA77)),IF($BB78&lt;0,IF($BB78&lt;$J78,EXP(($BB78-$J78)*$G78),EXP(($J78-$BB78)*$G78)),EXP(($BB78-$J78)*$G78)),"")</f>
        <v/>
      </c>
      <c r="BE78" s="72" t="b">
        <f>IF(AND(NOT(BA78),AND(BA$4:BA77)),TRUE,BA78)</f>
        <v>0</v>
      </c>
      <c r="BF78" s="172" t="e">
        <f>IF(AND(NOT(ISBLANK(Jumpoverwrite12)),AND(NOT(BE78),AND(BE$4:BE77))),($J78*$G78-LN(1+Jumpoverwrite12*BG$2))/$G78,_xll.qlInterpolationInterpolate(BE$3,$F78,TRUE))</f>
        <v>#NUM!</v>
      </c>
      <c r="BG78" s="176" t="str">
        <f>IF(AND(NOT(BE78),AND(BE$4:BE77)),IF($BF78&lt;0,IF($BF78&lt;$J78,EXP(($BF78-$J78)*$G78),EXP(($J78-$BF78)*$G78)),EXP(($BF78-$J78)*$G78)),"")</f>
        <v/>
      </c>
      <c r="BI78" s="72" t="b">
        <f t="shared" si="6"/>
        <v>0</v>
      </c>
      <c r="BJ78" s="172" t="e">
        <f>IF(AND(NOT(ISBLANK(jumpoverwrite13)),AND(NOT(BI78),AND(BI$4:BI77))),($J78*$G78-LN(1+jumpoverwrite13*BK$2))/$G78,_xll.qlInterpolationInterpolate(BI$3,$F78,TRUE))</f>
        <v>#NUM!</v>
      </c>
      <c r="BK78" s="176" t="str">
        <f>IF(AND(NOT(BI78),AND(BI$4:BI77)),IF($BJ78&lt;0,IF($BJ78&lt;$J78,EXP(($BJ78-$J78)*$G78),EXP(($J78-$BJ78)*$G78)),EXP(($BJ78-$J78)*$G78)),"")</f>
        <v/>
      </c>
      <c r="BM78" s="72" t="b">
        <f>IF(AND(NOT(BI78),AND(BI$4:BI77)),TRUE,BI78)</f>
        <v>0</v>
      </c>
      <c r="BN78" s="172" t="e">
        <f>IF(AND(NOT(ISBLANK(Jumpoverwrite14)),AND(NOT(BM78),AND(BM$4:BM77))),($J78*$G78-LN(1+Jumpoverwrite14*BO$2))/$G78,_xll.qlInterpolationInterpolate(BM$3,$F78,TRUE))</f>
        <v>#NUM!</v>
      </c>
      <c r="BO78" s="176" t="str">
        <f>IF(AND(NOT(BM78),AND(BM$4:BM77)),IF($BN78&lt;0,IF($BN78&lt;$J78,EXP(($BN78-$J78)*$G78),EXP(($J78-$BN78)*$G78)),EXP(($BN78-$J78)*$G78)),"")</f>
        <v/>
      </c>
      <c r="BQ78" s="72" t="b">
        <f>IF(AND(NOT(BM78),AND(BM$4:BM77)),TRUE,BM78)</f>
        <v>0</v>
      </c>
      <c r="BR78" s="172" t="e">
        <f>IF(AND(NOT(ISBLANK(Jumpoverwrite15)),AND(NOT(BQ78),AND(BQ$4:BQ77))),($J78*$G78-LN(1+Jumpoverwrite15*BS$2))/$G78,_xll.qlInterpolationInterpolate(BQ$3,$F78,TRUE))</f>
        <v>#NUM!</v>
      </c>
      <c r="BS78" s="176" t="str">
        <f>IF(AND(NOT(BQ78),AND(BQ$4:BQ77)),IF($BN78&lt;0,IF($BN78&lt;$J78,EXP(($BN78-$J78)*$G78),EXP(($J78-$BN78)*$G78)),EXP(($BN78-$J78)*$G78)),"")</f>
        <v/>
      </c>
    </row>
    <row r="79" spans="1:71" x14ac:dyDescent="0.2">
      <c r="A79" s="33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84" t="e">
        <f t="shared" si="4"/>
        <v>#N/A</v>
      </c>
      <c r="G79" s="85" t="e">
        <f>_xll.qlDayCounterYearFraction(DayCounter,D78,D79)</f>
        <v>#NUM!</v>
      </c>
      <c r="I79" s="93" t="b">
        <f t="shared" si="7"/>
        <v>0</v>
      </c>
      <c r="J79" s="37" t="e">
        <v>#N/A</v>
      </c>
      <c r="K79" s="94" t="e">
        <f t="shared" si="8"/>
        <v>#VALUE!</v>
      </c>
      <c r="L79" s="105"/>
      <c r="M79" s="72" t="b">
        <f>IF(AND(NOT(I79),AND(I$4:I78)),TRUE,I79)</f>
        <v>0</v>
      </c>
      <c r="N79" s="172" t="e">
        <f>IF(AND(NOT(ISBLANK(Jumpoverwrite1)),AND(NOT(M79),AND(M$4:M78))),($J79*$G79-LN(1+Jumpoverwrite1*O$2))/$G79,_xll.qlInterpolationInterpolate(M$3,$F79,TRUE))</f>
        <v>#NUM!</v>
      </c>
      <c r="O79" s="34" t="str">
        <f>IF(AND(NOT(M79),AND(M$4:M78)),IF($N79&lt;0,IF($N79&lt;$J79,EXP(($N79-$J79)*$G79),EXP(($J79-$N79)*$G79)),EXP(($N79-$J79)*$G79)),"")</f>
        <v/>
      </c>
      <c r="P79" s="107"/>
      <c r="Q79" s="72" t="b">
        <f>IF(AND(NOT(M79),AND(M$4:M78)),TRUE,M79)</f>
        <v>0</v>
      </c>
      <c r="R79" s="172" t="e">
        <f>IF(AND(NOT(ISBLANK(Jumpoverwrite2)),AND(NOT(Q79),AND(Q$4:Q78))),($J79*$G79-LN(1+Jumpoverwrite2*S$2))/$G79,_xll.qlInterpolationInterpolate(Q$3,$F79,TRUE))</f>
        <v>#NUM!</v>
      </c>
      <c r="S79" s="176" t="str">
        <f>IF(AND(NOT(Q79),AND(Q$4:Q78)),IF($R79&lt;0,IF($R79&lt;$J79,EXP(($R79-$J79)*$G79),EXP(($J79-$R79)*$G79)),EXP(($R79-$J79)*$G79)),"")</f>
        <v/>
      </c>
      <c r="T79" s="107"/>
      <c r="U79" s="72" t="b">
        <f>IF(AND(NOT(Q79),AND(Q$4:Q78)),TRUE,Q79)</f>
        <v>0</v>
      </c>
      <c r="V79" s="172" t="e">
        <f>IF(AND(NOT(ISBLANK(Jumpoverwrite3)),AND(NOT(U79),AND(U$4:U78))),($J79*$G79-LN(1+Jumpoverwrite3*W$2))/$G79,_xll.qlInterpolationInterpolate(U$3,$F79,TRUE))</f>
        <v>#NUM!</v>
      </c>
      <c r="W79" s="176" t="str">
        <f>IF(AND(NOT(U79),AND(U$4:U78)),IF($V79&lt;0,IF($V79&lt;$J79,EXP(($V79-$J79)*$G79),EXP(($J79-$V79)*$G79)),EXP(($V79-$J79)*$G79)),"")</f>
        <v/>
      </c>
      <c r="X79" s="107"/>
      <c r="Y79" s="72" t="b">
        <f>IF(AND(NOT(U79),AND(U$4:U78)),TRUE,U79)</f>
        <v>0</v>
      </c>
      <c r="Z79" s="172" t="e">
        <f>IF(AND(NOT(ISBLANK(Jumpoverwrite4)),AND(NOT(Y79),AND(Y$4:Y78))),($J79*$G79-LN(1+Jumpoverwrite4*AA$2))/$G79,_xll.qlInterpolationInterpolate(Y$3,$F79,TRUE))</f>
        <v>#NUM!</v>
      </c>
      <c r="AA79" s="176" t="str">
        <f>IF(AND(NOT(Y79),AND(Y$4:Y78)),IF($Z79&lt;0,IF($Z79&lt;$J79,EXP(($Z79-$J79)*$G79),EXP(($J79-$Z79)*$G79)),EXP(($Z79-$J79)*$G79)),"")</f>
        <v/>
      </c>
      <c r="AB79" s="107"/>
      <c r="AC79" s="72" t="b">
        <f>IF(AND(NOT(Y79),AND(Y$4:Y78)),TRUE,Y79)</f>
        <v>0</v>
      </c>
      <c r="AD79" s="172" t="e">
        <f>IF(AND(NOT(ISBLANK(Jumpoverwrite5)),AND(NOT(AC79),AND(AC$4:AC78))),($J79*$G79-LN(1+Jumpoverwrite5*AE$2))/$G79,_xll.qlInterpolationInterpolate(AC$3,$F79,TRUE))</f>
        <v>#NUM!</v>
      </c>
      <c r="AE79" s="176" t="str">
        <f>IF(AND(NOT(AC79),AND(AC$4:AC78)),IF($AD79&lt;0,IF($AD79&lt;$J79,EXP(($AD79-$J79)*$G79),EXP(($J79-$AD79)*$G79)),EXP(($AD79-$J79)*$G79)),"")</f>
        <v/>
      </c>
      <c r="AF79" s="107"/>
      <c r="AG79" s="72" t="b">
        <f>IF(AND(NOT(AC79),AND(AC$4:AC78)),TRUE,AC79)</f>
        <v>0</v>
      </c>
      <c r="AH79" s="172" t="e">
        <f>IF(AND(NOT(ISBLANK(Jumpoverwrite6)),AND(NOT(AG79),AND(AG$4:AG78))),($J79*$G79-LN(1+Jumpoverwrite6*AI$2))/$G79,_xll.qlInterpolationInterpolate(AG$3,$F79,TRUE))</f>
        <v>#NUM!</v>
      </c>
      <c r="AI79" s="176" t="str">
        <f>IF(AND(NOT(AG79),AND(AG$4:AG78)),IF($AH79&lt;0,IF($AH79&lt;$J79,EXP(($AH79-$J79)*$G79),EXP(($J79-$AH79)*$G79)),EXP(($AH79-$J79)*$G79)),"")</f>
        <v/>
      </c>
      <c r="AJ79" s="107"/>
      <c r="AK79" s="72" t="b">
        <f>IF(AND(NOT(AG79),AND(AG$4:AG78)),TRUE,AG79)</f>
        <v>0</v>
      </c>
      <c r="AL79" s="172" t="e">
        <f>IF(AND(NOT(ISBLANK(Jumpoverwrite7)),AND(NOT(AK79),AND(AK$4:AK78))),($J79*$G79-LN(1+Jumpoverwrite7*AM$2))/$G79,_xll.qlInterpolationInterpolate(AK$3,$F79,TRUE))</f>
        <v>#NUM!</v>
      </c>
      <c r="AM79" s="176" t="str">
        <f>IF(AND(NOT(AK79),AND(AK$4:AK78)),IF($AL79&lt;0,IF($AL79&lt;$J79,EXP(($AL79-$J79)*$G79),EXP(($J79-$AL79)*$G79)),EXP(($AL79-$J79)*$G79)),"")</f>
        <v/>
      </c>
      <c r="AO79" s="72" t="b">
        <f>IF(AND(NOT(AK79),AND(AK$4:AK78)),TRUE,AK79)</f>
        <v>0</v>
      </c>
      <c r="AP79" s="172" t="e">
        <f>IF(AND(NOT(ISBLANK(Jumpoverwrite8)),AND(NOT(AO79),AND(AO$4:AO78))),($J79*$G79-LN(1+Jumpoverwrite8*AQ$2))/$G79,_xll.qlInterpolationInterpolate(AO$3,$F79,TRUE))</f>
        <v>#NUM!</v>
      </c>
      <c r="AQ79" s="176" t="str">
        <f>IF(AND(NOT(AO79),AND(AO$4:AO78)),IF($AP79&lt;0,IF($AP79&lt;$J79,EXP(($AP79-$J79)*$G79),EXP(($J79-$AP79)*$G79)),EXP(($AP79-$J79)*$G79)),"")</f>
        <v/>
      </c>
      <c r="AS79" s="72" t="b">
        <f>IF(AND(NOT(AO79),AND(AO$4:AO78)),TRUE,AO79)</f>
        <v>0</v>
      </c>
      <c r="AT79" s="172" t="e">
        <f>IF(AND(NOT(ISBLANK(Jumpoverwrite9)),AND(NOT(AS79),AND(AS$4:AS78))),($J79*$G79-LN(1+Jumpoverwrite9*AU$2))/$G79,_xll.qlInterpolationInterpolate(AS$3,$F79,TRUE))</f>
        <v>#NUM!</v>
      </c>
      <c r="AU79" s="176" t="str">
        <f>IF(AND(NOT(AS79),AND(AS$4:AS78)),IF($AT79&lt;0,IF($AT79&lt;$J79,EXP(($AT79-$J79)*$G79),EXP(($J79-$AT79)*$G79)),EXP(($AT79-$J79)*$G79)),"")</f>
        <v/>
      </c>
      <c r="AW79" s="72" t="b">
        <f>IF(AND(NOT(AS79),AND(AS$4:AS78)),TRUE,AS79)</f>
        <v>0</v>
      </c>
      <c r="AX79" s="172" t="e">
        <f>IF(AND(NOT(ISBLANK(Jumpoverwrite10)),AND(NOT(AW79),AND(AW$4:AW78))),($J79*$G79-LN(1+Jumpoverwrite10*AY$2))/$G79,_xll.qlInterpolationInterpolate(AW$3,$F79,TRUE))</f>
        <v>#NUM!</v>
      </c>
      <c r="AY79" s="176" t="str">
        <f>IF(AND(NOT(AW79),AND(AW$4:AW78)),IF($AX79&lt;0,IF($AX79&lt;$J79,EXP(($AX79-$J79)*$G79),EXP(($J79-$AX79)*$G79)),EXP(($AX79-$J79)*$G79)),"")</f>
        <v/>
      </c>
      <c r="BA79" s="72" t="b">
        <f>IF(AND(NOT(AW79),AND(AW$4:AW78)),TRUE,AW79)</f>
        <v>0</v>
      </c>
      <c r="BB79" s="172" t="e">
        <f>IF(AND(NOT(ISBLANK(Jumpoverwrite11)),AND(NOT(BA79),AND(BA$4:BA78))),($J79*$G79-LN(1+Jumpoverwrite11*BC$2))/$G79,_xll.qlInterpolationInterpolate(BA$3,$F79,TRUE))</f>
        <v>#NUM!</v>
      </c>
      <c r="BC79" s="176" t="str">
        <f>IF(AND(NOT(BA79),AND(BA$4:BA78)),IF($BB79&lt;0,IF($BB79&lt;$J79,EXP(($BB79-$J79)*$G79),EXP(($J79-$BB79)*$G79)),EXP(($BB79-$J79)*$G79)),"")</f>
        <v/>
      </c>
      <c r="BE79" s="72" t="b">
        <f>IF(AND(NOT(BA79),AND(BA$4:BA78)),TRUE,BA79)</f>
        <v>0</v>
      </c>
      <c r="BF79" s="172" t="e">
        <f>IF(AND(NOT(ISBLANK(Jumpoverwrite12)),AND(NOT(BE79),AND(BE$4:BE78))),($J79*$G79-LN(1+Jumpoverwrite12*BG$2))/$G79,_xll.qlInterpolationInterpolate(BE$3,$F79,TRUE))</f>
        <v>#NUM!</v>
      </c>
      <c r="BG79" s="176" t="str">
        <f>IF(AND(NOT(BE79),AND(BE$4:BE78)),IF($BF79&lt;0,IF($BF79&lt;$J79,EXP(($BF79-$J79)*$G79),EXP(($J79-$BF79)*$G79)),EXP(($BF79-$J79)*$G79)),"")</f>
        <v/>
      </c>
      <c r="BI79" s="72" t="b">
        <f t="shared" si="6"/>
        <v>0</v>
      </c>
      <c r="BJ79" s="172" t="e">
        <f>IF(AND(NOT(ISBLANK(jumpoverwrite13)),AND(NOT(BI79),AND(BI$4:BI78))),($J79*$G79-LN(1+jumpoverwrite13*BK$2))/$G79,_xll.qlInterpolationInterpolate(BI$3,$F79,TRUE))</f>
        <v>#NUM!</v>
      </c>
      <c r="BK79" s="176" t="str">
        <f>IF(AND(NOT(BI79),AND(BI$4:BI78)),IF($BJ79&lt;0,IF($BJ79&lt;$J79,EXP(($BJ79-$J79)*$G79),EXP(($J79-$BJ79)*$G79)),EXP(($BJ79-$J79)*$G79)),"")</f>
        <v/>
      </c>
      <c r="BM79" s="72" t="b">
        <f>IF(AND(NOT(BI79),AND(BI$4:BI78)),TRUE,BI79)</f>
        <v>0</v>
      </c>
      <c r="BN79" s="172" t="e">
        <f>IF(AND(NOT(ISBLANK(Jumpoverwrite14)),AND(NOT(BM79),AND(BM$4:BM78))),($J79*$G79-LN(1+Jumpoverwrite14*BO$2))/$G79,_xll.qlInterpolationInterpolate(BM$3,$F79,TRUE))</f>
        <v>#NUM!</v>
      </c>
      <c r="BO79" s="176" t="str">
        <f>IF(AND(NOT(BM79),AND(BM$4:BM78)),IF($BN79&lt;0,IF($BN79&lt;$J79,EXP(($BN79-$J79)*$G79),EXP(($J79-$BN79)*$G79)),EXP(($BN79-$J79)*$G79)),"")</f>
        <v/>
      </c>
      <c r="BQ79" s="72" t="b">
        <f>IF(AND(NOT(BM79),AND(BM$4:BM78)),TRUE,BM79)</f>
        <v>0</v>
      </c>
      <c r="BR79" s="172" t="e">
        <f>IF(AND(NOT(ISBLANK(Jumpoverwrite15)),AND(NOT(BQ79),AND(BQ$4:BQ78))),($J79*$G79-LN(1+Jumpoverwrite15*BS$2))/$G79,_xll.qlInterpolationInterpolate(BQ$3,$F79,TRUE))</f>
        <v>#NUM!</v>
      </c>
      <c r="BS79" s="176" t="str">
        <f>IF(AND(NOT(BQ79),AND(BQ$4:BQ78)),IF($BN79&lt;0,IF($BN79&lt;$J79,EXP(($BN79-$J79)*$G79),EXP(($J79-$BN79)*$G79)),EXP(($BN79-$J79)*$G79)),"")</f>
        <v/>
      </c>
    </row>
    <row r="80" spans="1:71" x14ac:dyDescent="0.2">
      <c r="A80" s="33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84" t="e">
        <f t="shared" si="4"/>
        <v>#N/A</v>
      </c>
      <c r="G80" s="85" t="e">
        <f>_xll.qlDayCounterYearFraction(DayCounter,D79,D80)</f>
        <v>#NUM!</v>
      </c>
      <c r="I80" s="93" t="b">
        <f t="shared" si="7"/>
        <v>0</v>
      </c>
      <c r="J80" s="37" t="e">
        <v>#N/A</v>
      </c>
      <c r="K80" s="94" t="e">
        <f t="shared" si="8"/>
        <v>#VALUE!</v>
      </c>
      <c r="L80" s="105"/>
      <c r="M80" s="72" t="b">
        <f>IF(AND(NOT(I80),AND(I$4:I79)),TRUE,I80)</f>
        <v>0</v>
      </c>
      <c r="N80" s="172" t="e">
        <f>IF(AND(NOT(ISBLANK(Jumpoverwrite1)),AND(NOT(M80),AND(M$4:M79))),($J80*$G80-LN(1+Jumpoverwrite1*O$2))/$G80,_xll.qlInterpolationInterpolate(M$3,$F80,TRUE))</f>
        <v>#NUM!</v>
      </c>
      <c r="O80" s="34" t="str">
        <f>IF(AND(NOT(M80),AND(M$4:M79)),IF($N80&lt;0,IF($N80&lt;$J80,EXP(($N80-$J80)*$G80),EXP(($J80-$N80)*$G80)),EXP(($N80-$J80)*$G80)),"")</f>
        <v/>
      </c>
      <c r="P80" s="107"/>
      <c r="Q80" s="72" t="b">
        <f>IF(AND(NOT(M80),AND(M$4:M79)),TRUE,M80)</f>
        <v>0</v>
      </c>
      <c r="R80" s="172" t="e">
        <f>IF(AND(NOT(ISBLANK(Jumpoverwrite2)),AND(NOT(Q80),AND(Q$4:Q79))),($J80*$G80-LN(1+Jumpoverwrite2*S$2))/$G80,_xll.qlInterpolationInterpolate(Q$3,$F80,TRUE))</f>
        <v>#NUM!</v>
      </c>
      <c r="S80" s="176" t="str">
        <f>IF(AND(NOT(Q80),AND(Q$4:Q79)),IF($R80&lt;0,IF($R80&lt;$J80,EXP(($R80-$J80)*$G80),EXP(($J80-$R80)*$G80)),EXP(($R80-$J80)*$G80)),"")</f>
        <v/>
      </c>
      <c r="T80" s="107"/>
      <c r="U80" s="72" t="b">
        <f>IF(AND(NOT(Q80),AND(Q$4:Q79)),TRUE,Q80)</f>
        <v>0</v>
      </c>
      <c r="V80" s="172" t="e">
        <f>IF(AND(NOT(ISBLANK(Jumpoverwrite3)),AND(NOT(U80),AND(U$4:U79))),($J80*$G80-LN(1+Jumpoverwrite3*W$2))/$G80,_xll.qlInterpolationInterpolate(U$3,$F80,TRUE))</f>
        <v>#NUM!</v>
      </c>
      <c r="W80" s="176" t="str">
        <f>IF(AND(NOT(U80),AND(U$4:U79)),IF($V80&lt;0,IF($V80&lt;$J80,EXP(($V80-$J80)*$G80),EXP(($J80-$V80)*$G80)),EXP(($V80-$J80)*$G80)),"")</f>
        <v/>
      </c>
      <c r="X80" s="107"/>
      <c r="Y80" s="72" t="b">
        <f>IF(AND(NOT(U80),AND(U$4:U79)),TRUE,U80)</f>
        <v>0</v>
      </c>
      <c r="Z80" s="172" t="e">
        <f>IF(AND(NOT(ISBLANK(Jumpoverwrite4)),AND(NOT(Y80),AND(Y$4:Y79))),($J80*$G80-LN(1+Jumpoverwrite4*AA$2))/$G80,_xll.qlInterpolationInterpolate(Y$3,$F80,TRUE))</f>
        <v>#NUM!</v>
      </c>
      <c r="AA80" s="176" t="str">
        <f>IF(AND(NOT(Y80),AND(Y$4:Y79)),IF($Z80&lt;0,IF($Z80&lt;$J80,EXP(($Z80-$J80)*$G80),EXP(($J80-$Z80)*$G80)),EXP(($Z80-$J80)*$G80)),"")</f>
        <v/>
      </c>
      <c r="AB80" s="107"/>
      <c r="AC80" s="72" t="b">
        <f>IF(AND(NOT(Y80),AND(Y$4:Y79)),TRUE,Y80)</f>
        <v>0</v>
      </c>
      <c r="AD80" s="172" t="e">
        <f>IF(AND(NOT(ISBLANK(Jumpoverwrite5)),AND(NOT(AC80),AND(AC$4:AC79))),($J80*$G80-LN(1+Jumpoverwrite5*AE$2))/$G80,_xll.qlInterpolationInterpolate(AC$3,$F80,TRUE))</f>
        <v>#NUM!</v>
      </c>
      <c r="AE80" s="176" t="str">
        <f>IF(AND(NOT(AC80),AND(AC$4:AC79)),IF($AD80&lt;0,IF($AD80&lt;$J80,EXP(($AD80-$J80)*$G80),EXP(($J80-$AD80)*$G80)),EXP(($AD80-$J80)*$G80)),"")</f>
        <v/>
      </c>
      <c r="AF80" s="107"/>
      <c r="AG80" s="72" t="b">
        <f>IF(AND(NOT(AC80),AND(AC$4:AC79)),TRUE,AC80)</f>
        <v>0</v>
      </c>
      <c r="AH80" s="172" t="e">
        <f>IF(AND(NOT(ISBLANK(Jumpoverwrite6)),AND(NOT(AG80),AND(AG$4:AG79))),($J80*$G80-LN(1+Jumpoverwrite6*AI$2))/$G80,_xll.qlInterpolationInterpolate(AG$3,$F80,TRUE))</f>
        <v>#NUM!</v>
      </c>
      <c r="AI80" s="176" t="str">
        <f>IF(AND(NOT(AG80),AND(AG$4:AG79)),IF($AH80&lt;0,IF($AH80&lt;$J80,EXP(($AH80-$J80)*$G80),EXP(($J80-$AH80)*$G80)),EXP(($AH80-$J80)*$G80)),"")</f>
        <v/>
      </c>
      <c r="AJ80" s="107"/>
      <c r="AK80" s="72" t="b">
        <f>IF(AND(NOT(AG80),AND(AG$4:AG79)),TRUE,AG80)</f>
        <v>0</v>
      </c>
      <c r="AL80" s="172" t="e">
        <f>IF(AND(NOT(ISBLANK(Jumpoverwrite7)),AND(NOT(AK80),AND(AK$4:AK79))),($J80*$G80-LN(1+Jumpoverwrite7*AM$2))/$G80,_xll.qlInterpolationInterpolate(AK$3,$F80,TRUE))</f>
        <v>#NUM!</v>
      </c>
      <c r="AM80" s="176" t="str">
        <f>IF(AND(NOT(AK80),AND(AK$4:AK79)),IF($AL80&lt;0,IF($AL80&lt;$J80,EXP(($AL80-$J80)*$G80),EXP(($J80-$AL80)*$G80)),EXP(($AL80-$J80)*$G80)),"")</f>
        <v/>
      </c>
      <c r="AO80" s="72" t="b">
        <f>IF(AND(NOT(AK80),AND(AK$4:AK79)),TRUE,AK80)</f>
        <v>0</v>
      </c>
      <c r="AP80" s="172" t="e">
        <f>IF(AND(NOT(ISBLANK(Jumpoverwrite8)),AND(NOT(AO80),AND(AO$4:AO79))),($J80*$G80-LN(1+Jumpoverwrite8*AQ$2))/$G80,_xll.qlInterpolationInterpolate(AO$3,$F80,TRUE))</f>
        <v>#NUM!</v>
      </c>
      <c r="AQ80" s="176" t="str">
        <f>IF(AND(NOT(AO80),AND(AO$4:AO79)),IF($AP80&lt;0,IF($AP80&lt;$J80,EXP(($AP80-$J80)*$G80),EXP(($J80-$AP80)*$G80)),EXP(($AP80-$J80)*$G80)),"")</f>
        <v/>
      </c>
      <c r="AS80" s="72" t="b">
        <f>IF(AND(NOT(AO80),AND(AO$4:AO79)),TRUE,AO80)</f>
        <v>0</v>
      </c>
      <c r="AT80" s="172" t="e">
        <f>IF(AND(NOT(ISBLANK(Jumpoverwrite9)),AND(NOT(AS80),AND(AS$4:AS79))),($J80*$G80-LN(1+Jumpoverwrite9*AU$2))/$G80,_xll.qlInterpolationInterpolate(AS$3,$F80,TRUE))</f>
        <v>#NUM!</v>
      </c>
      <c r="AU80" s="176" t="str">
        <f>IF(AND(NOT(AS80),AND(AS$4:AS79)),IF($AT80&lt;0,IF($AT80&lt;$J80,EXP(($AT80-$J80)*$G80),EXP(($J80-$AT80)*$G80)),EXP(($AT80-$J80)*$G80)),"")</f>
        <v/>
      </c>
      <c r="AW80" s="72" t="b">
        <f>IF(AND(NOT(AS80),AND(AS$4:AS79)),TRUE,AS80)</f>
        <v>0</v>
      </c>
      <c r="AX80" s="172" t="e">
        <f>IF(AND(NOT(ISBLANK(Jumpoverwrite10)),AND(NOT(AW80),AND(AW$4:AW79))),($J80*$G80-LN(1+Jumpoverwrite10*AY$2))/$G80,_xll.qlInterpolationInterpolate(AW$3,$F80,TRUE))</f>
        <v>#NUM!</v>
      </c>
      <c r="AY80" s="176" t="str">
        <f>IF(AND(NOT(AW80),AND(AW$4:AW79)),IF($AX80&lt;0,IF($AX80&lt;$J80,EXP(($AX80-$J80)*$G80),EXP(($J80-$AX80)*$G80)),EXP(($AX80-$J80)*$G80)),"")</f>
        <v/>
      </c>
      <c r="BA80" s="72" t="b">
        <f>IF(AND(NOT(AW80),AND(AW$4:AW79)),TRUE,AW80)</f>
        <v>0</v>
      </c>
      <c r="BB80" s="172" t="e">
        <f>IF(AND(NOT(ISBLANK(Jumpoverwrite11)),AND(NOT(BA80),AND(BA$4:BA79))),($J80*$G80-LN(1+Jumpoverwrite11*BC$2))/$G80,_xll.qlInterpolationInterpolate(BA$3,$F80,TRUE))</f>
        <v>#NUM!</v>
      </c>
      <c r="BC80" s="176" t="str">
        <f>IF(AND(NOT(BA80),AND(BA$4:BA79)),IF($BB80&lt;0,IF($BB80&lt;$J80,EXP(($BB80-$J80)*$G80),EXP(($J80-$BB80)*$G80)),EXP(($BB80-$J80)*$G80)),"")</f>
        <v/>
      </c>
      <c r="BE80" s="72" t="b">
        <f>IF(AND(NOT(BA80),AND(BA$4:BA79)),TRUE,BA80)</f>
        <v>0</v>
      </c>
      <c r="BF80" s="172" t="e">
        <f>IF(AND(NOT(ISBLANK(Jumpoverwrite12)),AND(NOT(BE80),AND(BE$4:BE79))),($J80*$G80-LN(1+Jumpoverwrite12*BG$2))/$G80,_xll.qlInterpolationInterpolate(BE$3,$F80,TRUE))</f>
        <v>#NUM!</v>
      </c>
      <c r="BG80" s="176" t="str">
        <f>IF(AND(NOT(BE80),AND(BE$4:BE79)),IF($BF80&lt;0,IF($BF80&lt;$J80,EXP(($BF80-$J80)*$G80),EXP(($J80-$BF80)*$G80)),EXP(($BF80-$J80)*$G80)),"")</f>
        <v/>
      </c>
      <c r="BI80" s="72" t="b">
        <f t="shared" si="6"/>
        <v>0</v>
      </c>
      <c r="BJ80" s="172" t="e">
        <f>IF(AND(NOT(ISBLANK(jumpoverwrite13)),AND(NOT(BI80),AND(BI$4:BI79))),($J80*$G80-LN(1+jumpoverwrite13*BK$2))/$G80,_xll.qlInterpolationInterpolate(BI$3,$F80,TRUE))</f>
        <v>#NUM!</v>
      </c>
      <c r="BK80" s="176" t="str">
        <f>IF(AND(NOT(BI80),AND(BI$4:BI79)),IF($BJ80&lt;0,IF($BJ80&lt;$J80,EXP(($BJ80-$J80)*$G80),EXP(($J80-$BJ80)*$G80)),EXP(($BJ80-$J80)*$G80)),"")</f>
        <v/>
      </c>
      <c r="BM80" s="72" t="b">
        <f>IF(AND(NOT(BI80),AND(BI$4:BI79)),TRUE,BI80)</f>
        <v>0</v>
      </c>
      <c r="BN80" s="172" t="e">
        <f>IF(AND(NOT(ISBLANK(Jumpoverwrite14)),AND(NOT(BM80),AND(BM$4:BM79))),($J80*$G80-LN(1+Jumpoverwrite14*BO$2))/$G80,_xll.qlInterpolationInterpolate(BM$3,$F80,TRUE))</f>
        <v>#NUM!</v>
      </c>
      <c r="BO80" s="176" t="str">
        <f>IF(AND(NOT(BM80),AND(BM$4:BM79)),IF($BN80&lt;0,IF($BN80&lt;$J80,EXP(($BN80-$J80)*$G80),EXP(($J80-$BN80)*$G80)),EXP(($BN80-$J80)*$G80)),"")</f>
        <v/>
      </c>
      <c r="BQ80" s="72" t="b">
        <f>IF(AND(NOT(BM80),AND(BM$4:BM79)),TRUE,BM80)</f>
        <v>0</v>
      </c>
      <c r="BR80" s="172" t="e">
        <f>IF(AND(NOT(ISBLANK(Jumpoverwrite15)),AND(NOT(BQ80),AND(BQ$4:BQ79))),($J80*$G80-LN(1+Jumpoverwrite15*BS$2))/$G80,_xll.qlInterpolationInterpolate(BQ$3,$F80,TRUE))</f>
        <v>#NUM!</v>
      </c>
      <c r="BS80" s="176" t="str">
        <f>IF(AND(NOT(BQ80),AND(BQ$4:BQ79)),IF($BN80&lt;0,IF($BN80&lt;$J80,EXP(($BN80-$J80)*$G80),EXP(($J80-$BN80)*$G80)),EXP(($BN80-$J80)*$G80)),"")</f>
        <v/>
      </c>
    </row>
    <row r="81" spans="1:71" x14ac:dyDescent="0.2">
      <c r="A81" s="33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84" t="e">
        <f t="shared" si="4"/>
        <v>#N/A</v>
      </c>
      <c r="G81" s="85" t="e">
        <f>_xll.qlDayCounterYearFraction(DayCounter,D80,D81)</f>
        <v>#NUM!</v>
      </c>
      <c r="I81" s="93" t="b">
        <f t="shared" si="7"/>
        <v>0</v>
      </c>
      <c r="J81" s="37" t="e">
        <v>#N/A</v>
      </c>
      <c r="K81" s="94" t="e">
        <f t="shared" si="8"/>
        <v>#VALUE!</v>
      </c>
      <c r="L81" s="105"/>
      <c r="M81" s="72" t="b">
        <f>IF(AND(NOT(I81),AND(I$4:I80)),TRUE,I81)</f>
        <v>0</v>
      </c>
      <c r="N81" s="172" t="e">
        <f>IF(AND(NOT(ISBLANK(Jumpoverwrite1)),AND(NOT(M81),AND(M$4:M80))),($J81*$G81-LN(1+Jumpoverwrite1*O$2))/$G81,_xll.qlInterpolationInterpolate(M$3,$F81,TRUE))</f>
        <v>#NUM!</v>
      </c>
      <c r="O81" s="34" t="str">
        <f>IF(AND(NOT(M81),AND(M$4:M80)),IF($N81&lt;0,IF($N81&lt;$J81,EXP(($N81-$J81)*$G81),EXP(($J81-$N81)*$G81)),EXP(($N81-$J81)*$G81)),"")</f>
        <v/>
      </c>
      <c r="P81" s="107"/>
      <c r="Q81" s="72" t="b">
        <f>IF(AND(NOT(M81),AND(M$4:M80)),TRUE,M81)</f>
        <v>0</v>
      </c>
      <c r="R81" s="172" t="e">
        <f>IF(AND(NOT(ISBLANK(Jumpoverwrite2)),AND(NOT(Q81),AND(Q$4:Q80))),($J81*$G81-LN(1+Jumpoverwrite2*S$2))/$G81,_xll.qlInterpolationInterpolate(Q$3,$F81,TRUE))</f>
        <v>#NUM!</v>
      </c>
      <c r="S81" s="176" t="str">
        <f>IF(AND(NOT(Q81),AND(Q$4:Q80)),IF($R81&lt;0,IF($R81&lt;$J81,EXP(($R81-$J81)*$G81),EXP(($J81-$R81)*$G81)),EXP(($R81-$J81)*$G81)),"")</f>
        <v/>
      </c>
      <c r="T81" s="107"/>
      <c r="U81" s="72" t="b">
        <f>IF(AND(NOT(Q81),AND(Q$4:Q80)),TRUE,Q81)</f>
        <v>0</v>
      </c>
      <c r="V81" s="172" t="e">
        <f>IF(AND(NOT(ISBLANK(Jumpoverwrite3)),AND(NOT(U81),AND(U$4:U80))),($J81*$G81-LN(1+Jumpoverwrite3*W$2))/$G81,_xll.qlInterpolationInterpolate(U$3,$F81,TRUE))</f>
        <v>#NUM!</v>
      </c>
      <c r="W81" s="176" t="str">
        <f>IF(AND(NOT(U81),AND(U$4:U80)),IF($V81&lt;0,IF($V81&lt;$J81,EXP(($V81-$J81)*$G81),EXP(($J81-$V81)*$G81)),EXP(($V81-$J81)*$G81)),"")</f>
        <v/>
      </c>
      <c r="X81" s="107"/>
      <c r="Y81" s="72" t="b">
        <f>IF(AND(NOT(U81),AND(U$4:U80)),TRUE,U81)</f>
        <v>0</v>
      </c>
      <c r="Z81" s="172" t="e">
        <f>IF(AND(NOT(ISBLANK(Jumpoverwrite4)),AND(NOT(Y81),AND(Y$4:Y80))),($J81*$G81-LN(1+Jumpoverwrite4*AA$2))/$G81,_xll.qlInterpolationInterpolate(Y$3,$F81,TRUE))</f>
        <v>#NUM!</v>
      </c>
      <c r="AA81" s="176" t="str">
        <f>IF(AND(NOT(Y81),AND(Y$4:Y80)),IF($Z81&lt;0,IF($Z81&lt;$J81,EXP(($Z81-$J81)*$G81),EXP(($J81-$Z81)*$G81)),EXP(($Z81-$J81)*$G81)),"")</f>
        <v/>
      </c>
      <c r="AB81" s="107"/>
      <c r="AC81" s="72" t="b">
        <f>IF(AND(NOT(Y81),AND(Y$4:Y80)),TRUE,Y81)</f>
        <v>0</v>
      </c>
      <c r="AD81" s="172" t="e">
        <f>IF(AND(NOT(ISBLANK(Jumpoverwrite5)),AND(NOT(AC81),AND(AC$4:AC80))),($J81*$G81-LN(1+Jumpoverwrite5*AE$2))/$G81,_xll.qlInterpolationInterpolate(AC$3,$F81,TRUE))</f>
        <v>#NUM!</v>
      </c>
      <c r="AE81" s="176" t="str">
        <f>IF(AND(NOT(AC81),AND(AC$4:AC80)),IF($AD81&lt;0,IF($AD81&lt;$J81,EXP(($AD81-$J81)*$G81),EXP(($J81-$AD81)*$G81)),EXP(($AD81-$J81)*$G81)),"")</f>
        <v/>
      </c>
      <c r="AF81" s="107"/>
      <c r="AG81" s="72" t="b">
        <f>IF(AND(NOT(AC81),AND(AC$4:AC80)),TRUE,AC81)</f>
        <v>0</v>
      </c>
      <c r="AH81" s="172" t="e">
        <f>IF(AND(NOT(ISBLANK(Jumpoverwrite6)),AND(NOT(AG81),AND(AG$4:AG80))),($J81*$G81-LN(1+Jumpoverwrite6*AI$2))/$G81,_xll.qlInterpolationInterpolate(AG$3,$F81,TRUE))</f>
        <v>#NUM!</v>
      </c>
      <c r="AI81" s="176" t="str">
        <f>IF(AND(NOT(AG81),AND(AG$4:AG80)),IF($AH81&lt;0,IF($AH81&lt;$J81,EXP(($AH81-$J81)*$G81),EXP(($J81-$AH81)*$G81)),EXP(($AH81-$J81)*$G81)),"")</f>
        <v/>
      </c>
      <c r="AJ81" s="107"/>
      <c r="AK81" s="72" t="b">
        <f>IF(AND(NOT(AG81),AND(AG$4:AG80)),TRUE,AG81)</f>
        <v>0</v>
      </c>
      <c r="AL81" s="172" t="e">
        <f>IF(AND(NOT(ISBLANK(Jumpoverwrite7)),AND(NOT(AK81),AND(AK$4:AK80))),($J81*$G81-LN(1+Jumpoverwrite7*AM$2))/$G81,_xll.qlInterpolationInterpolate(AK$3,$F81,TRUE))</f>
        <v>#NUM!</v>
      </c>
      <c r="AM81" s="176" t="str">
        <f>IF(AND(NOT(AK81),AND(AK$4:AK80)),IF($AL81&lt;0,IF($AL81&lt;$J81,EXP(($AL81-$J81)*$G81),EXP(($J81-$AL81)*$G81)),EXP(($AL81-$J81)*$G81)),"")</f>
        <v/>
      </c>
      <c r="AO81" s="72" t="b">
        <f>IF(AND(NOT(AK81),AND(AK$4:AK80)),TRUE,AK81)</f>
        <v>0</v>
      </c>
      <c r="AP81" s="172" t="e">
        <f>IF(AND(NOT(ISBLANK(Jumpoverwrite8)),AND(NOT(AO81),AND(AO$4:AO80))),($J81*$G81-LN(1+Jumpoverwrite8*AQ$2))/$G81,_xll.qlInterpolationInterpolate(AO$3,$F81,TRUE))</f>
        <v>#NUM!</v>
      </c>
      <c r="AQ81" s="176" t="str">
        <f>IF(AND(NOT(AO81),AND(AO$4:AO80)),IF($AP81&lt;0,IF($AP81&lt;$J81,EXP(($AP81-$J81)*$G81),EXP(($J81-$AP81)*$G81)),EXP(($AP81-$J81)*$G81)),"")</f>
        <v/>
      </c>
      <c r="AS81" s="72" t="b">
        <f>IF(AND(NOT(AO81),AND(AO$4:AO80)),TRUE,AO81)</f>
        <v>0</v>
      </c>
      <c r="AT81" s="172" t="e">
        <f>IF(AND(NOT(ISBLANK(Jumpoverwrite9)),AND(NOT(AS81),AND(AS$4:AS80))),($J81*$G81-LN(1+Jumpoverwrite9*AU$2))/$G81,_xll.qlInterpolationInterpolate(AS$3,$F81,TRUE))</f>
        <v>#NUM!</v>
      </c>
      <c r="AU81" s="176" t="str">
        <f>IF(AND(NOT(AS81),AND(AS$4:AS80)),IF($AT81&lt;0,IF($AT81&lt;$J81,EXP(($AT81-$J81)*$G81),EXP(($J81-$AT81)*$G81)),EXP(($AT81-$J81)*$G81)),"")</f>
        <v/>
      </c>
      <c r="AW81" s="72" t="b">
        <f>IF(AND(NOT(AS81),AND(AS$4:AS80)),TRUE,AS81)</f>
        <v>0</v>
      </c>
      <c r="AX81" s="172" t="e">
        <f>IF(AND(NOT(ISBLANK(Jumpoverwrite10)),AND(NOT(AW81),AND(AW$4:AW80))),($J81*$G81-LN(1+Jumpoverwrite10*AY$2))/$G81,_xll.qlInterpolationInterpolate(AW$3,$F81,TRUE))</f>
        <v>#NUM!</v>
      </c>
      <c r="AY81" s="176" t="str">
        <f>IF(AND(NOT(AW81),AND(AW$4:AW80)),IF($AX81&lt;0,IF($AX81&lt;$J81,EXP(($AX81-$J81)*$G81),EXP(($J81-$AX81)*$G81)),EXP(($AX81-$J81)*$G81)),"")</f>
        <v/>
      </c>
      <c r="BA81" s="72" t="b">
        <f>IF(AND(NOT(AW81),AND(AW$4:AW80)),TRUE,AW81)</f>
        <v>0</v>
      </c>
      <c r="BB81" s="172" t="e">
        <f>IF(AND(NOT(ISBLANK(Jumpoverwrite11)),AND(NOT(BA81),AND(BA$4:BA80))),($J81*$G81-LN(1+Jumpoverwrite11*BC$2))/$G81,_xll.qlInterpolationInterpolate(BA$3,$F81,TRUE))</f>
        <v>#NUM!</v>
      </c>
      <c r="BC81" s="176" t="str">
        <f>IF(AND(NOT(BA81),AND(BA$4:BA80)),IF($BB81&lt;0,IF($BB81&lt;$J81,EXP(($BB81-$J81)*$G81),EXP(($J81-$BB81)*$G81)),EXP(($BB81-$J81)*$G81)),"")</f>
        <v/>
      </c>
      <c r="BE81" s="72" t="b">
        <f>IF(AND(NOT(BA81),AND(BA$4:BA80)),TRUE,BA81)</f>
        <v>0</v>
      </c>
      <c r="BF81" s="172" t="e">
        <f>IF(AND(NOT(ISBLANK(Jumpoverwrite12)),AND(NOT(BE81),AND(BE$4:BE80))),($J81*$G81-LN(1+Jumpoverwrite12*BG$2))/$G81,_xll.qlInterpolationInterpolate(BE$3,$F81,TRUE))</f>
        <v>#NUM!</v>
      </c>
      <c r="BG81" s="176" t="str">
        <f>IF(AND(NOT(BE81),AND(BE$4:BE80)),IF($BF81&lt;0,IF($BF81&lt;$J81,EXP(($BF81-$J81)*$G81),EXP(($J81-$BF81)*$G81)),EXP(($BF81-$J81)*$G81)),"")</f>
        <v/>
      </c>
      <c r="BI81" s="72" t="b">
        <f t="shared" si="6"/>
        <v>0</v>
      </c>
      <c r="BJ81" s="172" t="e">
        <f>IF(AND(NOT(ISBLANK(jumpoverwrite13)),AND(NOT(BI81),AND(BI$4:BI80))),($J81*$G81-LN(1+jumpoverwrite13*BK$2))/$G81,_xll.qlInterpolationInterpolate(BI$3,$F81,TRUE))</f>
        <v>#NUM!</v>
      </c>
      <c r="BK81" s="176" t="str">
        <f>IF(AND(NOT(BI81),AND(BI$4:BI80)),IF($BJ81&lt;0,IF($BJ81&lt;$J81,EXP(($BJ81-$J81)*$G81),EXP(($J81-$BJ81)*$G81)),EXP(($BJ81-$J81)*$G81)),"")</f>
        <v/>
      </c>
      <c r="BM81" s="72" t="b">
        <f>IF(AND(NOT(BI81),AND(BI$4:BI80)),TRUE,BI81)</f>
        <v>0</v>
      </c>
      <c r="BN81" s="172" t="e">
        <f>IF(AND(NOT(ISBLANK(Jumpoverwrite14)),AND(NOT(BM81),AND(BM$4:BM80))),($J81*$G81-LN(1+Jumpoverwrite14*BO$2))/$G81,_xll.qlInterpolationInterpolate(BM$3,$F81,TRUE))</f>
        <v>#NUM!</v>
      </c>
      <c r="BO81" s="176" t="str">
        <f>IF(AND(NOT(BM81),AND(BM$4:BM80)),IF($BN81&lt;0,IF($BN81&lt;$J81,EXP(($BN81-$J81)*$G81),EXP(($J81-$BN81)*$G81)),EXP(($BN81-$J81)*$G81)),"")</f>
        <v/>
      </c>
      <c r="BQ81" s="72" t="b">
        <f>IF(AND(NOT(BM81),AND(BM$4:BM80)),TRUE,BM81)</f>
        <v>0</v>
      </c>
      <c r="BR81" s="172" t="e">
        <f>IF(AND(NOT(ISBLANK(Jumpoverwrite15)),AND(NOT(BQ81),AND(BQ$4:BQ80))),($J81*$G81-LN(1+Jumpoverwrite15*BS$2))/$G81,_xll.qlInterpolationInterpolate(BQ$3,$F81,TRUE))</f>
        <v>#NUM!</v>
      </c>
      <c r="BS81" s="176" t="str">
        <f>IF(AND(NOT(BQ81),AND(BQ$4:BQ80)),IF($BN81&lt;0,IF($BN81&lt;$J81,EXP(($BN81-$J81)*$G81),EXP(($J81-$BN81)*$G81)),EXP(($BN81-$J81)*$G81)),"")</f>
        <v/>
      </c>
    </row>
    <row r="82" spans="1:71" x14ac:dyDescent="0.2">
      <c r="A82" s="33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84" t="e">
        <f t="shared" si="4"/>
        <v>#N/A</v>
      </c>
      <c r="G82" s="85" t="e">
        <f>_xll.qlDayCounterYearFraction(DayCounter,D81,D82)</f>
        <v>#NUM!</v>
      </c>
      <c r="I82" s="93" t="b">
        <f t="shared" si="7"/>
        <v>0</v>
      </c>
      <c r="J82" s="37" t="e">
        <v>#N/A</v>
      </c>
      <c r="K82" s="94" t="e">
        <f t="shared" si="8"/>
        <v>#VALUE!</v>
      </c>
      <c r="L82" s="105"/>
      <c r="M82" s="72" t="b">
        <f>IF(AND(NOT(I82),AND(I$4:I81)),TRUE,I82)</f>
        <v>0</v>
      </c>
      <c r="N82" s="172" t="e">
        <f>IF(AND(NOT(ISBLANK(Jumpoverwrite1)),AND(NOT(M82),AND(M$4:M81))),($J82*$G82-LN(1+Jumpoverwrite1*O$2))/$G82,_xll.qlInterpolationInterpolate(M$3,$F82,TRUE))</f>
        <v>#NUM!</v>
      </c>
      <c r="O82" s="34" t="str">
        <f>IF(AND(NOT(M82),AND(M$4:M81)),IF($N82&lt;0,IF($N82&lt;$J82,EXP(($N82-$J82)*$G82),EXP(($J82-$N82)*$G82)),EXP(($N82-$J82)*$G82)),"")</f>
        <v/>
      </c>
      <c r="P82" s="107"/>
      <c r="Q82" s="72" t="b">
        <f>IF(AND(NOT(M82),AND(M$4:M81)),TRUE,M82)</f>
        <v>0</v>
      </c>
      <c r="R82" s="172" t="e">
        <f>IF(AND(NOT(ISBLANK(Jumpoverwrite2)),AND(NOT(Q82),AND(Q$4:Q81))),($J82*$G82-LN(1+Jumpoverwrite2*S$2))/$G82,_xll.qlInterpolationInterpolate(Q$3,$F82,TRUE))</f>
        <v>#NUM!</v>
      </c>
      <c r="S82" s="176" t="str">
        <f>IF(AND(NOT(Q82),AND(Q$4:Q81)),IF($R82&lt;0,IF($R82&lt;$J82,EXP(($R82-$J82)*$G82),EXP(($J82-$R82)*$G82)),EXP(($R82-$J82)*$G82)),"")</f>
        <v/>
      </c>
      <c r="T82" s="107"/>
      <c r="U82" s="72" t="b">
        <f>IF(AND(NOT(Q82),AND(Q$4:Q81)),TRUE,Q82)</f>
        <v>0</v>
      </c>
      <c r="V82" s="172" t="e">
        <f>IF(AND(NOT(ISBLANK(Jumpoverwrite3)),AND(NOT(U82),AND(U$4:U81))),($J82*$G82-LN(1+Jumpoverwrite3*W$2))/$G82,_xll.qlInterpolationInterpolate(U$3,$F82,TRUE))</f>
        <v>#NUM!</v>
      </c>
      <c r="W82" s="176" t="str">
        <f>IF(AND(NOT(U82),AND(U$4:U81)),IF($V82&lt;0,IF($V82&lt;$J82,EXP(($V82-$J82)*$G82),EXP(($J82-$V82)*$G82)),EXP(($V82-$J82)*$G82)),"")</f>
        <v/>
      </c>
      <c r="X82" s="107"/>
      <c r="Y82" s="72" t="b">
        <f>IF(AND(NOT(U82),AND(U$4:U81)),TRUE,U82)</f>
        <v>0</v>
      </c>
      <c r="Z82" s="172" t="e">
        <f>IF(AND(NOT(ISBLANK(Jumpoverwrite4)),AND(NOT(Y82),AND(Y$4:Y81))),($J82*$G82-LN(1+Jumpoverwrite4*AA$2))/$G82,_xll.qlInterpolationInterpolate(Y$3,$F82,TRUE))</f>
        <v>#NUM!</v>
      </c>
      <c r="AA82" s="176" t="str">
        <f>IF(AND(NOT(Y82),AND(Y$4:Y81)),IF($Z82&lt;0,IF($Z82&lt;$J82,EXP(($Z82-$J82)*$G82),EXP(($J82-$Z82)*$G82)),EXP(($Z82-$J82)*$G82)),"")</f>
        <v/>
      </c>
      <c r="AB82" s="107"/>
      <c r="AC82" s="72" t="b">
        <f>IF(AND(NOT(Y82),AND(Y$4:Y81)),TRUE,Y82)</f>
        <v>0</v>
      </c>
      <c r="AD82" s="172" t="e">
        <f>IF(AND(NOT(ISBLANK(Jumpoverwrite5)),AND(NOT(AC82),AND(AC$4:AC81))),($J82*$G82-LN(1+Jumpoverwrite5*AE$2))/$G82,_xll.qlInterpolationInterpolate(AC$3,$F82,TRUE))</f>
        <v>#NUM!</v>
      </c>
      <c r="AE82" s="176" t="str">
        <f>IF(AND(NOT(AC82),AND(AC$4:AC81)),IF($AD82&lt;0,IF($AD82&lt;$J82,EXP(($AD82-$J82)*$G82),EXP(($J82-$AD82)*$G82)),EXP(($AD82-$J82)*$G82)),"")</f>
        <v/>
      </c>
      <c r="AF82" s="107"/>
      <c r="AG82" s="72" t="b">
        <f>IF(AND(NOT(AC82),AND(AC$4:AC81)),TRUE,AC82)</f>
        <v>0</v>
      </c>
      <c r="AH82" s="172" t="e">
        <f>IF(AND(NOT(ISBLANK(Jumpoverwrite6)),AND(NOT(AG82),AND(AG$4:AG81))),($J82*$G82-LN(1+Jumpoverwrite6*AI$2))/$G82,_xll.qlInterpolationInterpolate(AG$3,$F82,TRUE))</f>
        <v>#NUM!</v>
      </c>
      <c r="AI82" s="176" t="str">
        <f>IF(AND(NOT(AG82),AND(AG$4:AG81)),IF($AH82&lt;0,IF($AH82&lt;$J82,EXP(($AH82-$J82)*$G82),EXP(($J82-$AH82)*$G82)),EXP(($AH82-$J82)*$G82)),"")</f>
        <v/>
      </c>
      <c r="AJ82" s="107"/>
      <c r="AK82" s="72" t="b">
        <f>IF(AND(NOT(AG82),AND(AG$4:AG81)),TRUE,AG82)</f>
        <v>0</v>
      </c>
      <c r="AL82" s="172" t="e">
        <f>IF(AND(NOT(ISBLANK(Jumpoverwrite7)),AND(NOT(AK82),AND(AK$4:AK81))),($J82*$G82-LN(1+Jumpoverwrite7*AM$2))/$G82,_xll.qlInterpolationInterpolate(AK$3,$F82,TRUE))</f>
        <v>#NUM!</v>
      </c>
      <c r="AM82" s="176" t="str">
        <f>IF(AND(NOT(AK82),AND(AK$4:AK81)),IF($AL82&lt;0,IF($AL82&lt;$J82,EXP(($AL82-$J82)*$G82),EXP(($J82-$AL82)*$G82)),EXP(($AL82-$J82)*$G82)),"")</f>
        <v/>
      </c>
      <c r="AO82" s="72" t="b">
        <f>IF(AND(NOT(AK82),AND(AK$4:AK81)),TRUE,AK82)</f>
        <v>0</v>
      </c>
      <c r="AP82" s="172" t="e">
        <f>IF(AND(NOT(ISBLANK(Jumpoverwrite8)),AND(NOT(AO82),AND(AO$4:AO81))),($J82*$G82-LN(1+Jumpoverwrite8*AQ$2))/$G82,_xll.qlInterpolationInterpolate(AO$3,$F82,TRUE))</f>
        <v>#NUM!</v>
      </c>
      <c r="AQ82" s="176" t="str">
        <f>IF(AND(NOT(AO82),AND(AO$4:AO81)),IF($AP82&lt;0,IF($AP82&lt;$J82,EXP(($AP82-$J82)*$G82),EXP(($J82-$AP82)*$G82)),EXP(($AP82-$J82)*$G82)),"")</f>
        <v/>
      </c>
      <c r="AS82" s="72" t="b">
        <f>IF(AND(NOT(AO82),AND(AO$4:AO81)),TRUE,AO82)</f>
        <v>0</v>
      </c>
      <c r="AT82" s="172" t="e">
        <f>IF(AND(NOT(ISBLANK(Jumpoverwrite9)),AND(NOT(AS82),AND(AS$4:AS81))),($J82*$G82-LN(1+Jumpoverwrite9*AU$2))/$G82,_xll.qlInterpolationInterpolate(AS$3,$F82,TRUE))</f>
        <v>#NUM!</v>
      </c>
      <c r="AU82" s="176" t="str">
        <f>IF(AND(NOT(AS82),AND(AS$4:AS81)),IF($AT82&lt;0,IF($AT82&lt;$J82,EXP(($AT82-$J82)*$G82),EXP(($J82-$AT82)*$G82)),EXP(($AT82-$J82)*$G82)),"")</f>
        <v/>
      </c>
      <c r="AW82" s="72" t="b">
        <f>IF(AND(NOT(AS82),AND(AS$4:AS81)),TRUE,AS82)</f>
        <v>0</v>
      </c>
      <c r="AX82" s="172" t="e">
        <f>IF(AND(NOT(ISBLANK(Jumpoverwrite10)),AND(NOT(AW82),AND(AW$4:AW81))),($J82*$G82-LN(1+Jumpoverwrite10*AY$2))/$G82,_xll.qlInterpolationInterpolate(AW$3,$F82,TRUE))</f>
        <v>#NUM!</v>
      </c>
      <c r="AY82" s="176" t="str">
        <f>IF(AND(NOT(AW82),AND(AW$4:AW81)),IF($AX82&lt;0,IF($AX82&lt;$J82,EXP(($AX82-$J82)*$G82),EXP(($J82-$AX82)*$G82)),EXP(($AX82-$J82)*$G82)),"")</f>
        <v/>
      </c>
      <c r="BA82" s="72" t="b">
        <f>IF(AND(NOT(AW82),AND(AW$4:AW81)),TRUE,AW82)</f>
        <v>0</v>
      </c>
      <c r="BB82" s="172" t="e">
        <f>IF(AND(NOT(ISBLANK(Jumpoverwrite11)),AND(NOT(BA82),AND(BA$4:BA81))),($J82*$G82-LN(1+Jumpoverwrite11*BC$2))/$G82,_xll.qlInterpolationInterpolate(BA$3,$F82,TRUE))</f>
        <v>#NUM!</v>
      </c>
      <c r="BC82" s="176" t="str">
        <f>IF(AND(NOT(BA82),AND(BA$4:BA81)),IF($BB82&lt;0,IF($BB82&lt;$J82,EXP(($BB82-$J82)*$G82),EXP(($J82-$BB82)*$G82)),EXP(($BB82-$J82)*$G82)),"")</f>
        <v/>
      </c>
      <c r="BE82" s="72" t="b">
        <f>IF(AND(NOT(BA82),AND(BA$4:BA81)),TRUE,BA82)</f>
        <v>0</v>
      </c>
      <c r="BF82" s="172" t="e">
        <f>IF(AND(NOT(ISBLANK(Jumpoverwrite12)),AND(NOT(BE82),AND(BE$4:BE81))),($J82*$G82-LN(1+Jumpoverwrite12*BG$2))/$G82,_xll.qlInterpolationInterpolate(BE$3,$F82,TRUE))</f>
        <v>#NUM!</v>
      </c>
      <c r="BG82" s="176" t="str">
        <f>IF(AND(NOT(BE82),AND(BE$4:BE81)),IF($BF82&lt;0,IF($BF82&lt;$J82,EXP(($BF82-$J82)*$G82),EXP(($J82-$BF82)*$G82)),EXP(($BF82-$J82)*$G82)),"")</f>
        <v/>
      </c>
      <c r="BI82" s="72" t="b">
        <f t="shared" si="6"/>
        <v>0</v>
      </c>
      <c r="BJ82" s="172" t="e">
        <f>IF(AND(NOT(ISBLANK(jumpoverwrite13)),AND(NOT(BI82),AND(BI$4:BI81))),($J82*$G82-LN(1+jumpoverwrite13*BK$2))/$G82,_xll.qlInterpolationInterpolate(BI$3,$F82,TRUE))</f>
        <v>#NUM!</v>
      </c>
      <c r="BK82" s="176" t="str">
        <f>IF(AND(NOT(BI82),AND(BI$4:BI81)),IF($BJ82&lt;0,IF($BJ82&lt;$J82,EXP(($BJ82-$J82)*$G82),EXP(($J82-$BJ82)*$G82)),EXP(($BJ82-$J82)*$G82)),"")</f>
        <v/>
      </c>
      <c r="BM82" s="72" t="b">
        <f>IF(AND(NOT(BI82),AND(BI$4:BI81)),TRUE,BI82)</f>
        <v>0</v>
      </c>
      <c r="BN82" s="172" t="e">
        <f>IF(AND(NOT(ISBLANK(Jumpoverwrite14)),AND(NOT(BM82),AND(BM$4:BM81))),($J82*$G82-LN(1+Jumpoverwrite14*BO$2))/$G82,_xll.qlInterpolationInterpolate(BM$3,$F82,TRUE))</f>
        <v>#NUM!</v>
      </c>
      <c r="BO82" s="176" t="str">
        <f>IF(AND(NOT(BM82),AND(BM$4:BM81)),IF($BN82&lt;0,IF($BN82&lt;$J82,EXP(($BN82-$J82)*$G82),EXP(($J82-$BN82)*$G82)),EXP(($BN82-$J82)*$G82)),"")</f>
        <v/>
      </c>
      <c r="BQ82" s="72" t="b">
        <f>IF(AND(NOT(BM82),AND(BM$4:BM81)),TRUE,BM82)</f>
        <v>0</v>
      </c>
      <c r="BR82" s="172" t="e">
        <f>IF(AND(NOT(ISBLANK(Jumpoverwrite15)),AND(NOT(BQ82),AND(BQ$4:BQ81))),($J82*$G82-LN(1+Jumpoverwrite15*BS$2))/$G82,_xll.qlInterpolationInterpolate(BQ$3,$F82,TRUE))</f>
        <v>#NUM!</v>
      </c>
      <c r="BS82" s="176" t="str">
        <f>IF(AND(NOT(BQ82),AND(BQ$4:BQ81)),IF($BN82&lt;0,IF($BN82&lt;$J82,EXP(($BN82-$J82)*$G82),EXP(($J82-$BN82)*$G82)),EXP(($BN82-$J82)*$G82)),"")</f>
        <v/>
      </c>
    </row>
    <row r="83" spans="1:71" x14ac:dyDescent="0.2">
      <c r="A83" s="33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84" t="e">
        <f t="shared" si="4"/>
        <v>#N/A</v>
      </c>
      <c r="G83" s="85" t="e">
        <f>_xll.qlDayCounterYearFraction(DayCounter,D82,D83)</f>
        <v>#NUM!</v>
      </c>
      <c r="I83" s="93" t="b">
        <f t="shared" si="7"/>
        <v>0</v>
      </c>
      <c r="J83" s="37" t="e">
        <v>#N/A</v>
      </c>
      <c r="K83" s="94" t="e">
        <f t="shared" si="8"/>
        <v>#VALUE!</v>
      </c>
      <c r="L83" s="105"/>
      <c r="M83" s="72" t="b">
        <f>IF(AND(NOT(I83),AND(I$4:I82)),TRUE,I83)</f>
        <v>0</v>
      </c>
      <c r="N83" s="172" t="e">
        <f>IF(AND(NOT(ISBLANK(Jumpoverwrite1)),AND(NOT(M83),AND(M$4:M82))),($J83*$G83-LN(1+Jumpoverwrite1*O$2))/$G83,_xll.qlInterpolationInterpolate(M$3,$F83,TRUE))</f>
        <v>#NUM!</v>
      </c>
      <c r="O83" s="34" t="str">
        <f>IF(AND(NOT(M83),AND(M$4:M82)),IF($N83&lt;0,IF($N83&lt;$J83,EXP(($N83-$J83)*$G83),EXP(($J83-$N83)*$G83)),EXP(($N83-$J83)*$G83)),"")</f>
        <v/>
      </c>
      <c r="P83" s="107"/>
      <c r="Q83" s="72" t="b">
        <f>IF(AND(NOT(M83),AND(M$4:M82)),TRUE,M83)</f>
        <v>0</v>
      </c>
      <c r="R83" s="172" t="e">
        <f>IF(AND(NOT(ISBLANK(Jumpoverwrite2)),AND(NOT(Q83),AND(Q$4:Q82))),($J83*$G83-LN(1+Jumpoverwrite2*S$2))/$G83,_xll.qlInterpolationInterpolate(Q$3,$F83,TRUE))</f>
        <v>#NUM!</v>
      </c>
      <c r="S83" s="176" t="str">
        <f>IF(AND(NOT(Q83),AND(Q$4:Q82)),IF($R83&lt;0,IF($R83&lt;$J83,EXP(($R83-$J83)*$G83),EXP(($J83-$R83)*$G83)),EXP(($R83-$J83)*$G83)),"")</f>
        <v/>
      </c>
      <c r="T83" s="107"/>
      <c r="U83" s="72" t="b">
        <f>IF(AND(NOT(Q83),AND(Q$4:Q82)),TRUE,Q83)</f>
        <v>0</v>
      </c>
      <c r="V83" s="172" t="e">
        <f>IF(AND(NOT(ISBLANK(Jumpoverwrite3)),AND(NOT(U83),AND(U$4:U82))),($J83*$G83-LN(1+Jumpoverwrite3*W$2))/$G83,_xll.qlInterpolationInterpolate(U$3,$F83,TRUE))</f>
        <v>#NUM!</v>
      </c>
      <c r="W83" s="176" t="str">
        <f>IF(AND(NOT(U83),AND(U$4:U82)),IF($V83&lt;0,IF($V83&lt;$J83,EXP(($V83-$J83)*$G83),EXP(($J83-$V83)*$G83)),EXP(($V83-$J83)*$G83)),"")</f>
        <v/>
      </c>
      <c r="X83" s="107"/>
      <c r="Y83" s="72" t="b">
        <f>IF(AND(NOT(U83),AND(U$4:U82)),TRUE,U83)</f>
        <v>0</v>
      </c>
      <c r="Z83" s="172" t="e">
        <f>IF(AND(NOT(ISBLANK(Jumpoverwrite4)),AND(NOT(Y83),AND(Y$4:Y82))),($J83*$G83-LN(1+Jumpoverwrite4*AA$2))/$G83,_xll.qlInterpolationInterpolate(Y$3,$F83,TRUE))</f>
        <v>#NUM!</v>
      </c>
      <c r="AA83" s="176" t="str">
        <f>IF(AND(NOT(Y83),AND(Y$4:Y82)),IF($Z83&lt;0,IF($Z83&lt;$J83,EXP(($Z83-$J83)*$G83),EXP(($J83-$Z83)*$G83)),EXP(($Z83-$J83)*$G83)),"")</f>
        <v/>
      </c>
      <c r="AB83" s="107"/>
      <c r="AC83" s="72" t="b">
        <f>IF(AND(NOT(Y83),AND(Y$4:Y82)),TRUE,Y83)</f>
        <v>0</v>
      </c>
      <c r="AD83" s="172" t="e">
        <f>IF(AND(NOT(ISBLANK(Jumpoverwrite5)),AND(NOT(AC83),AND(AC$4:AC82))),($J83*$G83-LN(1+Jumpoverwrite5*AE$2))/$G83,_xll.qlInterpolationInterpolate(AC$3,$F83,TRUE))</f>
        <v>#NUM!</v>
      </c>
      <c r="AE83" s="176" t="str">
        <f>IF(AND(NOT(AC83),AND(AC$4:AC82)),IF($AD83&lt;0,IF($AD83&lt;$J83,EXP(($AD83-$J83)*$G83),EXP(($J83-$AD83)*$G83)),EXP(($AD83-$J83)*$G83)),"")</f>
        <v/>
      </c>
      <c r="AF83" s="107"/>
      <c r="AG83" s="72" t="b">
        <f>IF(AND(NOT(AC83),AND(AC$4:AC82)),TRUE,AC83)</f>
        <v>0</v>
      </c>
      <c r="AH83" s="172" t="e">
        <f>IF(AND(NOT(ISBLANK(Jumpoverwrite6)),AND(NOT(AG83),AND(AG$4:AG82))),($J83*$G83-LN(1+Jumpoverwrite6*AI$2))/$G83,_xll.qlInterpolationInterpolate(AG$3,$F83,TRUE))</f>
        <v>#NUM!</v>
      </c>
      <c r="AI83" s="176" t="str">
        <f>IF(AND(NOT(AG83),AND(AG$4:AG82)),IF($AH83&lt;0,IF($AH83&lt;$J83,EXP(($AH83-$J83)*$G83),EXP(($J83-$AH83)*$G83)),EXP(($AH83-$J83)*$G83)),"")</f>
        <v/>
      </c>
      <c r="AJ83" s="107"/>
      <c r="AK83" s="72" t="b">
        <f>IF(AND(NOT(AG83),AND(AG$4:AG82)),TRUE,AG83)</f>
        <v>0</v>
      </c>
      <c r="AL83" s="172" t="e">
        <f>IF(AND(NOT(ISBLANK(Jumpoverwrite7)),AND(NOT(AK83),AND(AK$4:AK82))),($J83*$G83-LN(1+Jumpoverwrite7*AM$2))/$G83,_xll.qlInterpolationInterpolate(AK$3,$F83,TRUE))</f>
        <v>#NUM!</v>
      </c>
      <c r="AM83" s="176" t="str">
        <f>IF(AND(NOT(AK83),AND(AK$4:AK82)),IF($AL83&lt;0,IF($AL83&lt;$J83,EXP(($AL83-$J83)*$G83),EXP(($J83-$AL83)*$G83)),EXP(($AL83-$J83)*$G83)),"")</f>
        <v/>
      </c>
      <c r="AO83" s="72" t="b">
        <f>IF(AND(NOT(AK83),AND(AK$4:AK82)),TRUE,AK83)</f>
        <v>0</v>
      </c>
      <c r="AP83" s="172" t="e">
        <f>IF(AND(NOT(ISBLANK(Jumpoverwrite8)),AND(NOT(AO83),AND(AO$4:AO82))),($J83*$G83-LN(1+Jumpoverwrite8*AQ$2))/$G83,_xll.qlInterpolationInterpolate(AO$3,$F83,TRUE))</f>
        <v>#NUM!</v>
      </c>
      <c r="AQ83" s="176" t="str">
        <f>IF(AND(NOT(AO83),AND(AO$4:AO82)),IF($AP83&lt;0,IF($AP83&lt;$J83,EXP(($AP83-$J83)*$G83),EXP(($J83-$AP83)*$G83)),EXP(($AP83-$J83)*$G83)),"")</f>
        <v/>
      </c>
      <c r="AS83" s="72" t="b">
        <f>IF(AND(NOT(AO83),AND(AO$4:AO82)),TRUE,AO83)</f>
        <v>0</v>
      </c>
      <c r="AT83" s="172" t="e">
        <f>IF(AND(NOT(ISBLANK(Jumpoverwrite9)),AND(NOT(AS83),AND(AS$4:AS82))),($J83*$G83-LN(1+Jumpoverwrite9*AU$2))/$G83,_xll.qlInterpolationInterpolate(AS$3,$F83,TRUE))</f>
        <v>#NUM!</v>
      </c>
      <c r="AU83" s="176" t="str">
        <f>IF(AND(NOT(AS83),AND(AS$4:AS82)),IF($AT83&lt;0,IF($AT83&lt;$J83,EXP(($AT83-$J83)*$G83),EXP(($J83-$AT83)*$G83)),EXP(($AT83-$J83)*$G83)),"")</f>
        <v/>
      </c>
      <c r="AW83" s="72" t="b">
        <f>IF(AND(NOT(AS83),AND(AS$4:AS82)),TRUE,AS83)</f>
        <v>0</v>
      </c>
      <c r="AX83" s="172" t="e">
        <f>IF(AND(NOT(ISBLANK(Jumpoverwrite10)),AND(NOT(AW83),AND(AW$4:AW82))),($J83*$G83-LN(1+Jumpoverwrite10*AY$2))/$G83,_xll.qlInterpolationInterpolate(AW$3,$F83,TRUE))</f>
        <v>#NUM!</v>
      </c>
      <c r="AY83" s="176" t="str">
        <f>IF(AND(NOT(AW83),AND(AW$4:AW82)),IF($AX83&lt;0,IF($AX83&lt;$J83,EXP(($AX83-$J83)*$G83),EXP(($J83-$AX83)*$G83)),EXP(($AX83-$J83)*$G83)),"")</f>
        <v/>
      </c>
      <c r="BA83" s="72" t="b">
        <f>IF(AND(NOT(AW83),AND(AW$4:AW82)),TRUE,AW83)</f>
        <v>0</v>
      </c>
      <c r="BB83" s="172" t="e">
        <f>IF(AND(NOT(ISBLANK(Jumpoverwrite11)),AND(NOT(BA83),AND(BA$4:BA82))),($J83*$G83-LN(1+Jumpoverwrite11*BC$2))/$G83,_xll.qlInterpolationInterpolate(BA$3,$F83,TRUE))</f>
        <v>#NUM!</v>
      </c>
      <c r="BC83" s="176" t="str">
        <f>IF(AND(NOT(BA83),AND(BA$4:BA82)),IF($BB83&lt;0,IF($BB83&lt;$J83,EXP(($BB83-$J83)*$G83),EXP(($J83-$BB83)*$G83)),EXP(($BB83-$J83)*$G83)),"")</f>
        <v/>
      </c>
      <c r="BE83" s="72" t="b">
        <f>IF(AND(NOT(BA83),AND(BA$4:BA82)),TRUE,BA83)</f>
        <v>0</v>
      </c>
      <c r="BF83" s="172" t="e">
        <f>IF(AND(NOT(ISBLANK(Jumpoverwrite12)),AND(NOT(BE83),AND(BE$4:BE82))),($J83*$G83-LN(1+Jumpoverwrite12*BG$2))/$G83,_xll.qlInterpolationInterpolate(BE$3,$F83,TRUE))</f>
        <v>#NUM!</v>
      </c>
      <c r="BG83" s="176" t="str">
        <f>IF(AND(NOT(BE83),AND(BE$4:BE82)),IF($BF83&lt;0,IF($BF83&lt;$J83,EXP(($BF83-$J83)*$G83),EXP(($J83-$BF83)*$G83)),EXP(($BF83-$J83)*$G83)),"")</f>
        <v/>
      </c>
      <c r="BI83" s="72" t="b">
        <f t="shared" si="6"/>
        <v>0</v>
      </c>
      <c r="BJ83" s="172" t="e">
        <f>IF(AND(NOT(ISBLANK(jumpoverwrite13)),AND(NOT(BI83),AND(BI$4:BI82))),($J83*$G83-LN(1+jumpoverwrite13*BK$2))/$G83,_xll.qlInterpolationInterpolate(BI$3,$F83,TRUE))</f>
        <v>#NUM!</v>
      </c>
      <c r="BK83" s="176" t="str">
        <f>IF(AND(NOT(BI83),AND(BI$4:BI82)),IF($BJ83&lt;0,IF($BJ83&lt;$J83,EXP(($BJ83-$J83)*$G83),EXP(($J83-$BJ83)*$G83)),EXP(($BJ83-$J83)*$G83)),"")</f>
        <v/>
      </c>
      <c r="BM83" s="72" t="b">
        <f>IF(AND(NOT(BI83),AND(BI$4:BI82)),TRUE,BI83)</f>
        <v>0</v>
      </c>
      <c r="BN83" s="172" t="e">
        <f>IF(AND(NOT(ISBLANK(Jumpoverwrite14)),AND(NOT(BM83),AND(BM$4:BM82))),($J83*$G83-LN(1+Jumpoverwrite14*BO$2))/$G83,_xll.qlInterpolationInterpolate(BM$3,$F83,TRUE))</f>
        <v>#NUM!</v>
      </c>
      <c r="BO83" s="176" t="str">
        <f>IF(AND(NOT(BM83),AND(BM$4:BM82)),IF($BN83&lt;0,IF($BN83&lt;$J83,EXP(($BN83-$J83)*$G83),EXP(($J83-$BN83)*$G83)),EXP(($BN83-$J83)*$G83)),"")</f>
        <v/>
      </c>
      <c r="BQ83" s="72" t="b">
        <f>IF(AND(NOT(BM83),AND(BM$4:BM82)),TRUE,BM83)</f>
        <v>0</v>
      </c>
      <c r="BR83" s="172" t="e">
        <f>IF(AND(NOT(ISBLANK(Jumpoverwrite15)),AND(NOT(BQ83),AND(BQ$4:BQ82))),($J83*$G83-LN(1+Jumpoverwrite15*BS$2))/$G83,_xll.qlInterpolationInterpolate(BQ$3,$F83,TRUE))</f>
        <v>#NUM!</v>
      </c>
      <c r="BS83" s="176" t="str">
        <f>IF(AND(NOT(BQ83),AND(BQ$4:BQ82)),IF($BN83&lt;0,IF($BN83&lt;$J83,EXP(($BN83-$J83)*$G83),EXP(($J83-$BN83)*$G83)),EXP(($BN83-$J83)*$G83)),"")</f>
        <v/>
      </c>
    </row>
    <row r="84" spans="1:71" x14ac:dyDescent="0.2">
      <c r="A84" s="33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84" t="e">
        <f t="shared" si="4"/>
        <v>#N/A</v>
      </c>
      <c r="G84" s="85" t="e">
        <f>_xll.qlDayCounterYearFraction(DayCounter,D83,D84)</f>
        <v>#NUM!</v>
      </c>
      <c r="I84" s="93" t="b">
        <f t="shared" si="7"/>
        <v>0</v>
      </c>
      <c r="J84" s="37" t="e">
        <v>#N/A</v>
      </c>
      <c r="K84" s="94" t="e">
        <f t="shared" si="8"/>
        <v>#VALUE!</v>
      </c>
      <c r="L84" s="105"/>
      <c r="M84" s="72" t="b">
        <f>IF(AND(NOT(I84),AND(I$4:I83)),TRUE,I84)</f>
        <v>0</v>
      </c>
      <c r="N84" s="172" t="e">
        <f>IF(AND(NOT(ISBLANK(Jumpoverwrite1)),AND(NOT(M84),AND(M$4:M83))),($J84*$G84-LN(1+Jumpoverwrite1*O$2))/$G84,_xll.qlInterpolationInterpolate(M$3,$F84,TRUE))</f>
        <v>#NUM!</v>
      </c>
      <c r="O84" s="34" t="str">
        <f>IF(AND(NOT(M84),AND(M$4:M83)),IF($N84&lt;0,IF($N84&lt;$J84,EXP(($N84-$J84)*$G84),EXP(($J84-$N84)*$G84)),EXP(($N84-$J84)*$G84)),"")</f>
        <v/>
      </c>
      <c r="P84" s="107"/>
      <c r="Q84" s="72" t="b">
        <f>IF(AND(NOT(M84),AND(M$4:M83)),TRUE,M84)</f>
        <v>0</v>
      </c>
      <c r="R84" s="172" t="e">
        <f>IF(AND(NOT(ISBLANK(Jumpoverwrite2)),AND(NOT(Q84),AND(Q$4:Q83))),($J84*$G84-LN(1+Jumpoverwrite2*S$2))/$G84,_xll.qlInterpolationInterpolate(Q$3,$F84,TRUE))</f>
        <v>#NUM!</v>
      </c>
      <c r="S84" s="176" t="str">
        <f>IF(AND(NOT(Q84),AND(Q$4:Q83)),IF($R84&lt;0,IF($R84&lt;$J84,EXP(($R84-$J84)*$G84),EXP(($J84-$R84)*$G84)),EXP(($R84-$J84)*$G84)),"")</f>
        <v/>
      </c>
      <c r="T84" s="107"/>
      <c r="U84" s="72" t="b">
        <f>IF(AND(NOT(Q84),AND(Q$4:Q83)),TRUE,Q84)</f>
        <v>0</v>
      </c>
      <c r="V84" s="172" t="e">
        <f>IF(AND(NOT(ISBLANK(Jumpoverwrite3)),AND(NOT(U84),AND(U$4:U83))),($J84*$G84-LN(1+Jumpoverwrite3*W$2))/$G84,_xll.qlInterpolationInterpolate(U$3,$F84,TRUE))</f>
        <v>#NUM!</v>
      </c>
      <c r="W84" s="176" t="str">
        <f>IF(AND(NOT(U84),AND(U$4:U83)),IF($V84&lt;0,IF($V84&lt;$J84,EXP(($V84-$J84)*$G84),EXP(($J84-$V84)*$G84)),EXP(($V84-$J84)*$G84)),"")</f>
        <v/>
      </c>
      <c r="X84" s="107"/>
      <c r="Y84" s="72" t="b">
        <f>IF(AND(NOT(U84),AND(U$4:U83)),TRUE,U84)</f>
        <v>0</v>
      </c>
      <c r="Z84" s="172" t="e">
        <f>IF(AND(NOT(ISBLANK(Jumpoverwrite4)),AND(NOT(Y84),AND(Y$4:Y83))),($J84*$G84-LN(1+Jumpoverwrite4*AA$2))/$G84,_xll.qlInterpolationInterpolate(Y$3,$F84,TRUE))</f>
        <v>#NUM!</v>
      </c>
      <c r="AA84" s="176" t="str">
        <f>IF(AND(NOT(Y84),AND(Y$4:Y83)),IF($Z84&lt;0,IF($Z84&lt;$J84,EXP(($Z84-$J84)*$G84),EXP(($J84-$Z84)*$G84)),EXP(($Z84-$J84)*$G84)),"")</f>
        <v/>
      </c>
      <c r="AB84" s="107"/>
      <c r="AC84" s="72" t="b">
        <f>IF(AND(NOT(Y84),AND(Y$4:Y83)),TRUE,Y84)</f>
        <v>0</v>
      </c>
      <c r="AD84" s="172" t="e">
        <f>IF(AND(NOT(ISBLANK(Jumpoverwrite5)),AND(NOT(AC84),AND(AC$4:AC83))),($J84*$G84-LN(1+Jumpoverwrite5*AE$2))/$G84,_xll.qlInterpolationInterpolate(AC$3,$F84,TRUE))</f>
        <v>#NUM!</v>
      </c>
      <c r="AE84" s="176" t="str">
        <f>IF(AND(NOT(AC84),AND(AC$4:AC83)),IF($AD84&lt;0,IF($AD84&lt;$J84,EXP(($AD84-$J84)*$G84),EXP(($J84-$AD84)*$G84)),EXP(($AD84-$J84)*$G84)),"")</f>
        <v/>
      </c>
      <c r="AF84" s="107"/>
      <c r="AG84" s="72" t="b">
        <f>IF(AND(NOT(AC84),AND(AC$4:AC83)),TRUE,AC84)</f>
        <v>0</v>
      </c>
      <c r="AH84" s="172" t="e">
        <f>IF(AND(NOT(ISBLANK(Jumpoverwrite6)),AND(NOT(AG84),AND(AG$4:AG83))),($J84*$G84-LN(1+Jumpoverwrite6*AI$2))/$G84,_xll.qlInterpolationInterpolate(AG$3,$F84,TRUE))</f>
        <v>#NUM!</v>
      </c>
      <c r="AI84" s="176" t="str">
        <f>IF(AND(NOT(AG84),AND(AG$4:AG83)),IF($AH84&lt;0,IF($AH84&lt;$J84,EXP(($AH84-$J84)*$G84),EXP(($J84-$AH84)*$G84)),EXP(($AH84-$J84)*$G84)),"")</f>
        <v/>
      </c>
      <c r="AJ84" s="107"/>
      <c r="AK84" s="72" t="b">
        <f>IF(AND(NOT(AG84),AND(AG$4:AG83)),TRUE,AG84)</f>
        <v>0</v>
      </c>
      <c r="AL84" s="172" t="e">
        <f>IF(AND(NOT(ISBLANK(Jumpoverwrite7)),AND(NOT(AK84),AND(AK$4:AK83))),($J84*$G84-LN(1+Jumpoverwrite7*AM$2))/$G84,_xll.qlInterpolationInterpolate(AK$3,$F84,TRUE))</f>
        <v>#NUM!</v>
      </c>
      <c r="AM84" s="176" t="str">
        <f>IF(AND(NOT(AK84),AND(AK$4:AK83)),IF($AL84&lt;0,IF($AL84&lt;$J84,EXP(($AL84-$J84)*$G84),EXP(($J84-$AL84)*$G84)),EXP(($AL84-$J84)*$G84)),"")</f>
        <v/>
      </c>
      <c r="AO84" s="72" t="b">
        <f>IF(AND(NOT(AK84),AND(AK$4:AK83)),TRUE,AK84)</f>
        <v>0</v>
      </c>
      <c r="AP84" s="172" t="e">
        <f>IF(AND(NOT(ISBLANK(Jumpoverwrite8)),AND(NOT(AO84),AND(AO$4:AO83))),($J84*$G84-LN(1+Jumpoverwrite8*AQ$2))/$G84,_xll.qlInterpolationInterpolate(AO$3,$F84,TRUE))</f>
        <v>#NUM!</v>
      </c>
      <c r="AQ84" s="176" t="str">
        <f>IF(AND(NOT(AO84),AND(AO$4:AO83)),IF($AP84&lt;0,IF($AP84&lt;$J84,EXP(($AP84-$J84)*$G84),EXP(($J84-$AP84)*$G84)),EXP(($AP84-$J84)*$G84)),"")</f>
        <v/>
      </c>
      <c r="AS84" s="72" t="b">
        <f>IF(AND(NOT(AO84),AND(AO$4:AO83)),TRUE,AO84)</f>
        <v>0</v>
      </c>
      <c r="AT84" s="172" t="e">
        <f>IF(AND(NOT(ISBLANK(Jumpoverwrite9)),AND(NOT(AS84),AND(AS$4:AS83))),($J84*$G84-LN(1+Jumpoverwrite9*AU$2))/$G84,_xll.qlInterpolationInterpolate(AS$3,$F84,TRUE))</f>
        <v>#NUM!</v>
      </c>
      <c r="AU84" s="176" t="str">
        <f>IF(AND(NOT(AS84),AND(AS$4:AS83)),IF($AT84&lt;0,IF($AT84&lt;$J84,EXP(($AT84-$J84)*$G84),EXP(($J84-$AT84)*$G84)),EXP(($AT84-$J84)*$G84)),"")</f>
        <v/>
      </c>
      <c r="AW84" s="72" t="b">
        <f>IF(AND(NOT(AS84),AND(AS$4:AS83)),TRUE,AS84)</f>
        <v>0</v>
      </c>
      <c r="AX84" s="172" t="e">
        <f>IF(AND(NOT(ISBLANK(Jumpoverwrite10)),AND(NOT(AW84),AND(AW$4:AW83))),($J84*$G84-LN(1+Jumpoverwrite10*AY$2))/$G84,_xll.qlInterpolationInterpolate(AW$3,$F84,TRUE))</f>
        <v>#NUM!</v>
      </c>
      <c r="AY84" s="176" t="str">
        <f>IF(AND(NOT(AW84),AND(AW$4:AW83)),IF($AX84&lt;0,IF($AX84&lt;$J84,EXP(($AX84-$J84)*$G84),EXP(($J84-$AX84)*$G84)),EXP(($AX84-$J84)*$G84)),"")</f>
        <v/>
      </c>
      <c r="BA84" s="72" t="b">
        <f>IF(AND(NOT(AW84),AND(AW$4:AW83)),TRUE,AW84)</f>
        <v>0</v>
      </c>
      <c r="BB84" s="172" t="e">
        <f>IF(AND(NOT(ISBLANK(Jumpoverwrite11)),AND(NOT(BA84),AND(BA$4:BA83))),($J84*$G84-LN(1+Jumpoverwrite11*BC$2))/$G84,_xll.qlInterpolationInterpolate(BA$3,$F84,TRUE))</f>
        <v>#NUM!</v>
      </c>
      <c r="BC84" s="176" t="str">
        <f>IF(AND(NOT(BA84),AND(BA$4:BA83)),IF($BB84&lt;0,IF($BB84&lt;$J84,EXP(($BB84-$J84)*$G84),EXP(($J84-$BB84)*$G84)),EXP(($BB84-$J84)*$G84)),"")</f>
        <v/>
      </c>
      <c r="BE84" s="72" t="b">
        <f>IF(AND(NOT(BA84),AND(BA$4:BA83)),TRUE,BA84)</f>
        <v>0</v>
      </c>
      <c r="BF84" s="172" t="e">
        <f>IF(AND(NOT(ISBLANK(Jumpoverwrite12)),AND(NOT(BE84),AND(BE$4:BE83))),($J84*$G84-LN(1+Jumpoverwrite12*BG$2))/$G84,_xll.qlInterpolationInterpolate(BE$3,$F84,TRUE))</f>
        <v>#NUM!</v>
      </c>
      <c r="BG84" s="176" t="str">
        <f>IF(AND(NOT(BE84),AND(BE$4:BE83)),IF($BF84&lt;0,IF($BF84&lt;$J84,EXP(($BF84-$J84)*$G84),EXP(($J84-$BF84)*$G84)),EXP(($BF84-$J84)*$G84)),"")</f>
        <v/>
      </c>
      <c r="BI84" s="72" t="b">
        <f t="shared" si="6"/>
        <v>0</v>
      </c>
      <c r="BJ84" s="172" t="e">
        <f>IF(AND(NOT(ISBLANK(jumpoverwrite13)),AND(NOT(BI84),AND(BI$4:BI83))),($J84*$G84-LN(1+jumpoverwrite13*BK$2))/$G84,_xll.qlInterpolationInterpolate(BI$3,$F84,TRUE))</f>
        <v>#NUM!</v>
      </c>
      <c r="BK84" s="176" t="str">
        <f>IF(AND(NOT(BI84),AND(BI$4:BI83)),IF($BJ84&lt;0,IF($BJ84&lt;$J84,EXP(($BJ84-$J84)*$G84),EXP(($J84-$BJ84)*$G84)),EXP(($BJ84-$J84)*$G84)),"")</f>
        <v/>
      </c>
      <c r="BM84" s="72" t="b">
        <f>IF(AND(NOT(BI84),AND(BI$4:BI83)),TRUE,BI84)</f>
        <v>0</v>
      </c>
      <c r="BN84" s="172" t="e">
        <f>IF(AND(NOT(ISBLANK(Jumpoverwrite14)),AND(NOT(BM84),AND(BM$4:BM83))),($J84*$G84-LN(1+Jumpoverwrite14*BO$2))/$G84,_xll.qlInterpolationInterpolate(BM$3,$F84,TRUE))</f>
        <v>#NUM!</v>
      </c>
      <c r="BO84" s="176" t="str">
        <f>IF(AND(NOT(BM84),AND(BM$4:BM83)),IF($BN84&lt;0,IF($BN84&lt;$J84,EXP(($BN84-$J84)*$G84),EXP(($J84-$BN84)*$G84)),EXP(($BN84-$J84)*$G84)),"")</f>
        <v/>
      </c>
      <c r="BQ84" s="72" t="b">
        <f>IF(AND(NOT(BM84),AND(BM$4:BM83)),TRUE,BM84)</f>
        <v>0</v>
      </c>
      <c r="BR84" s="172" t="e">
        <f>IF(AND(NOT(ISBLANK(Jumpoverwrite15)),AND(NOT(BQ84),AND(BQ$4:BQ83))),($J84*$G84-LN(1+Jumpoverwrite15*BS$2))/$G84,_xll.qlInterpolationInterpolate(BQ$3,$F84,TRUE))</f>
        <v>#NUM!</v>
      </c>
      <c r="BS84" s="176" t="str">
        <f>IF(AND(NOT(BQ84),AND(BQ$4:BQ83)),IF($BN84&lt;0,IF($BN84&lt;$J84,EXP(($BN84-$J84)*$G84),EXP(($J84-$BN84)*$G84)),EXP(($BN84-$J84)*$G84)),"")</f>
        <v/>
      </c>
    </row>
    <row r="85" spans="1:71" x14ac:dyDescent="0.2">
      <c r="A85" s="33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84" t="e">
        <f t="shared" si="4"/>
        <v>#N/A</v>
      </c>
      <c r="G85" s="85" t="e">
        <f>_xll.qlDayCounterYearFraction(DayCounter,D84,D85)</f>
        <v>#NUM!</v>
      </c>
      <c r="I85" s="93" t="b">
        <f t="shared" si="7"/>
        <v>0</v>
      </c>
      <c r="J85" s="37" t="e">
        <v>#N/A</v>
      </c>
      <c r="K85" s="94" t="e">
        <f t="shared" si="8"/>
        <v>#VALUE!</v>
      </c>
      <c r="L85" s="105"/>
      <c r="M85" s="72" t="b">
        <f>IF(AND(NOT(I85),AND(I$4:I84)),TRUE,I85)</f>
        <v>0</v>
      </c>
      <c r="N85" s="172" t="e">
        <f>IF(AND(NOT(ISBLANK(Jumpoverwrite1)),AND(NOT(M85),AND(M$4:M84))),($J85*$G85-LN(1+Jumpoverwrite1*O$2))/$G85,_xll.qlInterpolationInterpolate(M$3,$F85,TRUE))</f>
        <v>#NUM!</v>
      </c>
      <c r="O85" s="34" t="str">
        <f>IF(AND(NOT(M85),AND(M$4:M84)),IF($N85&lt;0,IF($N85&lt;$J85,EXP(($N85-$J85)*$G85),EXP(($J85-$N85)*$G85)),EXP(($N85-$J85)*$G85)),"")</f>
        <v/>
      </c>
      <c r="P85" s="107"/>
      <c r="Q85" s="72" t="b">
        <f>IF(AND(NOT(M85),AND(M$4:M84)),TRUE,M85)</f>
        <v>0</v>
      </c>
      <c r="R85" s="172" t="e">
        <f>IF(AND(NOT(ISBLANK(Jumpoverwrite2)),AND(NOT(Q85),AND(Q$4:Q84))),($J85*$G85-LN(1+Jumpoverwrite2*S$2))/$G85,_xll.qlInterpolationInterpolate(Q$3,$F85,TRUE))</f>
        <v>#NUM!</v>
      </c>
      <c r="S85" s="176" t="str">
        <f>IF(AND(NOT(Q85),AND(Q$4:Q84)),IF($R85&lt;0,IF($R85&lt;$J85,EXP(($R85-$J85)*$G85),EXP(($J85-$R85)*$G85)),EXP(($R85-$J85)*$G85)),"")</f>
        <v/>
      </c>
      <c r="T85" s="107"/>
      <c r="U85" s="72" t="b">
        <f>IF(AND(NOT(Q85),AND(Q$4:Q84)),TRUE,Q85)</f>
        <v>0</v>
      </c>
      <c r="V85" s="172" t="e">
        <f>IF(AND(NOT(ISBLANK(Jumpoverwrite3)),AND(NOT(U85),AND(U$4:U84))),($J85*$G85-LN(1+Jumpoverwrite3*W$2))/$G85,_xll.qlInterpolationInterpolate(U$3,$F85,TRUE))</f>
        <v>#NUM!</v>
      </c>
      <c r="W85" s="176" t="str">
        <f>IF(AND(NOT(U85),AND(U$4:U84)),IF($V85&lt;0,IF($V85&lt;$J85,EXP(($V85-$J85)*$G85),EXP(($J85-$V85)*$G85)),EXP(($V85-$J85)*$G85)),"")</f>
        <v/>
      </c>
      <c r="X85" s="107"/>
      <c r="Y85" s="72" t="b">
        <f>IF(AND(NOT(U85),AND(U$4:U84)),TRUE,U85)</f>
        <v>0</v>
      </c>
      <c r="Z85" s="172" t="e">
        <f>IF(AND(NOT(ISBLANK(Jumpoverwrite4)),AND(NOT(Y85),AND(Y$4:Y84))),($J85*$G85-LN(1+Jumpoverwrite4*AA$2))/$G85,_xll.qlInterpolationInterpolate(Y$3,$F85,TRUE))</f>
        <v>#NUM!</v>
      </c>
      <c r="AA85" s="176" t="str">
        <f>IF(AND(NOT(Y85),AND(Y$4:Y84)),IF($Z85&lt;0,IF($Z85&lt;$J85,EXP(($Z85-$J85)*$G85),EXP(($J85-$Z85)*$G85)),EXP(($Z85-$J85)*$G85)),"")</f>
        <v/>
      </c>
      <c r="AB85" s="107"/>
      <c r="AC85" s="72" t="b">
        <f>IF(AND(NOT(Y85),AND(Y$4:Y84)),TRUE,Y85)</f>
        <v>0</v>
      </c>
      <c r="AD85" s="172" t="e">
        <f>IF(AND(NOT(ISBLANK(Jumpoverwrite5)),AND(NOT(AC85),AND(AC$4:AC84))),($J85*$G85-LN(1+Jumpoverwrite5*AE$2))/$G85,_xll.qlInterpolationInterpolate(AC$3,$F85,TRUE))</f>
        <v>#NUM!</v>
      </c>
      <c r="AE85" s="176" t="str">
        <f>IF(AND(NOT(AC85),AND(AC$4:AC84)),IF($AD85&lt;0,IF($AD85&lt;$J85,EXP(($AD85-$J85)*$G85),EXP(($J85-$AD85)*$G85)),EXP(($AD85-$J85)*$G85)),"")</f>
        <v/>
      </c>
      <c r="AF85" s="107"/>
      <c r="AG85" s="72" t="b">
        <f>IF(AND(NOT(AC85),AND(AC$4:AC84)),TRUE,AC85)</f>
        <v>0</v>
      </c>
      <c r="AH85" s="172" t="e">
        <f>IF(AND(NOT(ISBLANK(Jumpoverwrite6)),AND(NOT(AG85),AND(AG$4:AG84))),($J85*$G85-LN(1+Jumpoverwrite6*AI$2))/$G85,_xll.qlInterpolationInterpolate(AG$3,$F85,TRUE))</f>
        <v>#NUM!</v>
      </c>
      <c r="AI85" s="176" t="str">
        <f>IF(AND(NOT(AG85),AND(AG$4:AG84)),IF($AH85&lt;0,IF($AH85&lt;$J85,EXP(($AH85-$J85)*$G85),EXP(($J85-$AH85)*$G85)),EXP(($AH85-$J85)*$G85)),"")</f>
        <v/>
      </c>
      <c r="AJ85" s="107"/>
      <c r="AK85" s="72" t="b">
        <f>IF(AND(NOT(AG85),AND(AG$4:AG84)),TRUE,AG85)</f>
        <v>0</v>
      </c>
      <c r="AL85" s="172" t="e">
        <f>IF(AND(NOT(ISBLANK(Jumpoverwrite7)),AND(NOT(AK85),AND(AK$4:AK84))),($J85*$G85-LN(1+Jumpoverwrite7*AM$2))/$G85,_xll.qlInterpolationInterpolate(AK$3,$F85,TRUE))</f>
        <v>#NUM!</v>
      </c>
      <c r="AM85" s="176" t="str">
        <f>IF(AND(NOT(AK85),AND(AK$4:AK84)),IF($AL85&lt;0,IF($AL85&lt;$J85,EXP(($AL85-$J85)*$G85),EXP(($J85-$AL85)*$G85)),EXP(($AL85-$J85)*$G85)),"")</f>
        <v/>
      </c>
      <c r="AO85" s="72" t="b">
        <f>IF(AND(NOT(AK85),AND(AK$4:AK84)),TRUE,AK85)</f>
        <v>0</v>
      </c>
      <c r="AP85" s="172" t="e">
        <f>IF(AND(NOT(ISBLANK(Jumpoverwrite8)),AND(NOT(AO85),AND(AO$4:AO84))),($J85*$G85-LN(1+Jumpoverwrite8*AQ$2))/$G85,_xll.qlInterpolationInterpolate(AO$3,$F85,TRUE))</f>
        <v>#NUM!</v>
      </c>
      <c r="AQ85" s="176" t="str">
        <f>IF(AND(NOT(AO85),AND(AO$4:AO84)),IF($AP85&lt;0,IF($AP85&lt;$J85,EXP(($AP85-$J85)*$G85),EXP(($J85-$AP85)*$G85)),EXP(($AP85-$J85)*$G85)),"")</f>
        <v/>
      </c>
      <c r="AS85" s="72" t="b">
        <f>IF(AND(NOT(AO85),AND(AO$4:AO84)),TRUE,AO85)</f>
        <v>0</v>
      </c>
      <c r="AT85" s="172" t="e">
        <f>IF(AND(NOT(ISBLANK(Jumpoverwrite9)),AND(NOT(AS85),AND(AS$4:AS84))),($J85*$G85-LN(1+Jumpoverwrite9*AU$2))/$G85,_xll.qlInterpolationInterpolate(AS$3,$F85,TRUE))</f>
        <v>#NUM!</v>
      </c>
      <c r="AU85" s="176" t="str">
        <f>IF(AND(NOT(AS85),AND(AS$4:AS84)),IF($AT85&lt;0,IF($AT85&lt;$J85,EXP(($AT85-$J85)*$G85),EXP(($J85-$AT85)*$G85)),EXP(($AT85-$J85)*$G85)),"")</f>
        <v/>
      </c>
      <c r="AW85" s="72" t="b">
        <f>IF(AND(NOT(AS85),AND(AS$4:AS84)),TRUE,AS85)</f>
        <v>0</v>
      </c>
      <c r="AX85" s="172" t="e">
        <f>IF(AND(NOT(ISBLANK(Jumpoverwrite10)),AND(NOT(AW85),AND(AW$4:AW84))),($J85*$G85-LN(1+Jumpoverwrite10*AY$2))/$G85,_xll.qlInterpolationInterpolate(AW$3,$F85,TRUE))</f>
        <v>#NUM!</v>
      </c>
      <c r="AY85" s="176" t="str">
        <f>IF(AND(NOT(AW85),AND(AW$4:AW84)),IF($AX85&lt;0,IF($AX85&lt;$J85,EXP(($AX85-$J85)*$G85),EXP(($J85-$AX85)*$G85)),EXP(($AX85-$J85)*$G85)),"")</f>
        <v/>
      </c>
      <c r="BA85" s="72" t="b">
        <f>IF(AND(NOT(AW85),AND(AW$4:AW84)),TRUE,AW85)</f>
        <v>0</v>
      </c>
      <c r="BB85" s="172" t="e">
        <f>IF(AND(NOT(ISBLANK(Jumpoverwrite11)),AND(NOT(BA85),AND(BA$4:BA84))),($J85*$G85-LN(1+Jumpoverwrite11*BC$2))/$G85,_xll.qlInterpolationInterpolate(BA$3,$F85,TRUE))</f>
        <v>#NUM!</v>
      </c>
      <c r="BC85" s="176" t="str">
        <f>IF(AND(NOT(BA85),AND(BA$4:BA84)),IF($BB85&lt;0,IF($BB85&lt;$J85,EXP(($BB85-$J85)*$G85),EXP(($J85-$BB85)*$G85)),EXP(($BB85-$J85)*$G85)),"")</f>
        <v/>
      </c>
      <c r="BE85" s="72" t="b">
        <f>IF(AND(NOT(BA85),AND(BA$4:BA84)),TRUE,BA85)</f>
        <v>0</v>
      </c>
      <c r="BF85" s="172" t="e">
        <f>IF(AND(NOT(ISBLANK(Jumpoverwrite12)),AND(NOT(BE85),AND(BE$4:BE84))),($J85*$G85-LN(1+Jumpoverwrite12*BG$2))/$G85,_xll.qlInterpolationInterpolate(BE$3,$F85,TRUE))</f>
        <v>#NUM!</v>
      </c>
      <c r="BG85" s="176" t="str">
        <f>IF(AND(NOT(BE85),AND(BE$4:BE84)),IF($BF85&lt;0,IF($BF85&lt;$J85,EXP(($BF85-$J85)*$G85),EXP(($J85-$BF85)*$G85)),EXP(($BF85-$J85)*$G85)),"")</f>
        <v/>
      </c>
      <c r="BI85" s="72" t="b">
        <f t="shared" si="6"/>
        <v>0</v>
      </c>
      <c r="BJ85" s="172" t="e">
        <f>IF(AND(NOT(ISBLANK(jumpoverwrite13)),AND(NOT(BI85),AND(BI$4:BI84))),($J85*$G85-LN(1+jumpoverwrite13*BK$2))/$G85,_xll.qlInterpolationInterpolate(BI$3,$F85,TRUE))</f>
        <v>#NUM!</v>
      </c>
      <c r="BK85" s="176" t="str">
        <f>IF(AND(NOT(BI85),AND(BI$4:BI84)),IF($BJ85&lt;0,IF($BJ85&lt;$J85,EXP(($BJ85-$J85)*$G85),EXP(($J85-$BJ85)*$G85)),EXP(($BJ85-$J85)*$G85)),"")</f>
        <v/>
      </c>
      <c r="BM85" s="72" t="b">
        <f>IF(AND(NOT(BI85),AND(BI$4:BI84)),TRUE,BI85)</f>
        <v>0</v>
      </c>
      <c r="BN85" s="172" t="e">
        <f>IF(AND(NOT(ISBLANK(Jumpoverwrite14)),AND(NOT(BM85),AND(BM$4:BM84))),($J85*$G85-LN(1+Jumpoverwrite14*BO$2))/$G85,_xll.qlInterpolationInterpolate(BM$3,$F85,TRUE))</f>
        <v>#NUM!</v>
      </c>
      <c r="BO85" s="176" t="str">
        <f>IF(AND(NOT(BM85),AND(BM$4:BM84)),IF($BN85&lt;0,IF($BN85&lt;$J85,EXP(($BN85-$J85)*$G85),EXP(($J85-$BN85)*$G85)),EXP(($BN85-$J85)*$G85)),"")</f>
        <v/>
      </c>
      <c r="BQ85" s="72" t="b">
        <f>IF(AND(NOT(BM85),AND(BM$4:BM84)),TRUE,BM85)</f>
        <v>0</v>
      </c>
      <c r="BR85" s="172" t="e">
        <f>IF(AND(NOT(ISBLANK(Jumpoverwrite15)),AND(NOT(BQ85),AND(BQ$4:BQ84))),($J85*$G85-LN(1+Jumpoverwrite15*BS$2))/$G85,_xll.qlInterpolationInterpolate(BQ$3,$F85,TRUE))</f>
        <v>#NUM!</v>
      </c>
      <c r="BS85" s="176" t="str">
        <f>IF(AND(NOT(BQ85),AND(BQ$4:BQ84)),IF($BN85&lt;0,IF($BN85&lt;$J85,EXP(($BN85-$J85)*$G85),EXP(($J85-$BN85)*$G85)),EXP(($BN85-$J85)*$G85)),"")</f>
        <v/>
      </c>
    </row>
    <row r="86" spans="1:71" x14ac:dyDescent="0.2">
      <c r="A86" s="33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84" t="e">
        <f t="shared" si="4"/>
        <v>#N/A</v>
      </c>
      <c r="G86" s="85" t="e">
        <f>_xll.qlDayCounterYearFraction(DayCounter,D85,D86)</f>
        <v>#NUM!</v>
      </c>
      <c r="I86" s="93" t="b">
        <f t="shared" si="7"/>
        <v>0</v>
      </c>
      <c r="J86" s="37" t="e">
        <v>#N/A</v>
      </c>
      <c r="K86" s="94" t="e">
        <f t="shared" si="8"/>
        <v>#VALUE!</v>
      </c>
      <c r="L86" s="105"/>
      <c r="M86" s="72" t="b">
        <f>IF(AND(NOT(I86),AND(I$4:I85)),TRUE,I86)</f>
        <v>0</v>
      </c>
      <c r="N86" s="172" t="e">
        <f>IF(AND(NOT(ISBLANK(Jumpoverwrite1)),AND(NOT(M86),AND(M$4:M85))),($J86*$G86-LN(1+Jumpoverwrite1*O$2))/$G86,_xll.qlInterpolationInterpolate(M$3,$F86,TRUE))</f>
        <v>#NUM!</v>
      </c>
      <c r="O86" s="34" t="str">
        <f>IF(AND(NOT(M86),AND(M$4:M85)),IF($N86&lt;0,IF($N86&lt;$J86,EXP(($N86-$J86)*$G86),EXP(($J86-$N86)*$G86)),EXP(($N86-$J86)*$G86)),"")</f>
        <v/>
      </c>
      <c r="P86" s="107"/>
      <c r="Q86" s="72" t="b">
        <f>IF(AND(NOT(M86),AND(M$4:M85)),TRUE,M86)</f>
        <v>0</v>
      </c>
      <c r="R86" s="172" t="e">
        <f>IF(AND(NOT(ISBLANK(Jumpoverwrite2)),AND(NOT(Q86),AND(Q$4:Q85))),($J86*$G86-LN(1+Jumpoverwrite2*S$2))/$G86,_xll.qlInterpolationInterpolate(Q$3,$F86,TRUE))</f>
        <v>#NUM!</v>
      </c>
      <c r="S86" s="176" t="str">
        <f>IF(AND(NOT(Q86),AND(Q$4:Q85)),IF($R86&lt;0,IF($R86&lt;$J86,EXP(($R86-$J86)*$G86),EXP(($J86-$R86)*$G86)),EXP(($R86-$J86)*$G86)),"")</f>
        <v/>
      </c>
      <c r="T86" s="107"/>
      <c r="U86" s="72" t="b">
        <f>IF(AND(NOT(Q86),AND(Q$4:Q85)),TRUE,Q86)</f>
        <v>0</v>
      </c>
      <c r="V86" s="172" t="e">
        <f>IF(AND(NOT(ISBLANK(Jumpoverwrite3)),AND(NOT(U86),AND(U$4:U85))),($J86*$G86-LN(1+Jumpoverwrite3*W$2))/$G86,_xll.qlInterpolationInterpolate(U$3,$F86,TRUE))</f>
        <v>#NUM!</v>
      </c>
      <c r="W86" s="176" t="str">
        <f>IF(AND(NOT(U86),AND(U$4:U85)),IF($V86&lt;0,IF($V86&lt;$J86,EXP(($V86-$J86)*$G86),EXP(($J86-$V86)*$G86)),EXP(($V86-$J86)*$G86)),"")</f>
        <v/>
      </c>
      <c r="X86" s="107"/>
      <c r="Y86" s="72" t="b">
        <f>IF(AND(NOT(U86),AND(U$4:U85)),TRUE,U86)</f>
        <v>0</v>
      </c>
      <c r="Z86" s="172" t="e">
        <f>IF(AND(NOT(ISBLANK(Jumpoverwrite4)),AND(NOT(Y86),AND(Y$4:Y85))),($J86*$G86-LN(1+Jumpoverwrite4*AA$2))/$G86,_xll.qlInterpolationInterpolate(Y$3,$F86,TRUE))</f>
        <v>#NUM!</v>
      </c>
      <c r="AA86" s="176" t="str">
        <f>IF(AND(NOT(Y86),AND(Y$4:Y85)),IF($Z86&lt;0,IF($Z86&lt;$J86,EXP(($Z86-$J86)*$G86),EXP(($J86-$Z86)*$G86)),EXP(($Z86-$J86)*$G86)),"")</f>
        <v/>
      </c>
      <c r="AB86" s="107"/>
      <c r="AC86" s="72" t="b">
        <f>IF(AND(NOT(Y86),AND(Y$4:Y85)),TRUE,Y86)</f>
        <v>0</v>
      </c>
      <c r="AD86" s="172" t="e">
        <f>IF(AND(NOT(ISBLANK(Jumpoverwrite5)),AND(NOT(AC86),AND(AC$4:AC85))),($J86*$G86-LN(1+Jumpoverwrite5*AE$2))/$G86,_xll.qlInterpolationInterpolate(AC$3,$F86,TRUE))</f>
        <v>#NUM!</v>
      </c>
      <c r="AE86" s="176" t="str">
        <f>IF(AND(NOT(AC86),AND(AC$4:AC85)),IF($AD86&lt;0,IF($AD86&lt;$J86,EXP(($AD86-$J86)*$G86),EXP(($J86-$AD86)*$G86)),EXP(($AD86-$J86)*$G86)),"")</f>
        <v/>
      </c>
      <c r="AF86" s="107"/>
      <c r="AG86" s="72" t="b">
        <f>IF(AND(NOT(AC86),AND(AC$4:AC85)),TRUE,AC86)</f>
        <v>0</v>
      </c>
      <c r="AH86" s="172" t="e">
        <f>IF(AND(NOT(ISBLANK(Jumpoverwrite6)),AND(NOT(AG86),AND(AG$4:AG85))),($J86*$G86-LN(1+Jumpoverwrite6*AI$2))/$G86,_xll.qlInterpolationInterpolate(AG$3,$F86,TRUE))</f>
        <v>#NUM!</v>
      </c>
      <c r="AI86" s="176" t="str">
        <f>IF(AND(NOT(AG86),AND(AG$4:AG85)),IF($AH86&lt;0,IF($AH86&lt;$J86,EXP(($AH86-$J86)*$G86),EXP(($J86-$AH86)*$G86)),EXP(($AH86-$J86)*$G86)),"")</f>
        <v/>
      </c>
      <c r="AJ86" s="107"/>
      <c r="AK86" s="72" t="b">
        <f>IF(AND(NOT(AG86),AND(AG$4:AG85)),TRUE,AG86)</f>
        <v>0</v>
      </c>
      <c r="AL86" s="172" t="e">
        <f>IF(AND(NOT(ISBLANK(Jumpoverwrite7)),AND(NOT(AK86),AND(AK$4:AK85))),($J86*$G86-LN(1+Jumpoverwrite7*AM$2))/$G86,_xll.qlInterpolationInterpolate(AK$3,$F86,TRUE))</f>
        <v>#NUM!</v>
      </c>
      <c r="AM86" s="176" t="str">
        <f>IF(AND(NOT(AK86),AND(AK$4:AK85)),IF($AL86&lt;0,IF($AL86&lt;$J86,EXP(($AL86-$J86)*$G86),EXP(($J86-$AL86)*$G86)),EXP(($AL86-$J86)*$G86)),"")</f>
        <v/>
      </c>
      <c r="AO86" s="72" t="b">
        <f>IF(AND(NOT(AK86),AND(AK$4:AK85)),TRUE,AK86)</f>
        <v>0</v>
      </c>
      <c r="AP86" s="172" t="e">
        <f>IF(AND(NOT(ISBLANK(Jumpoverwrite8)),AND(NOT(AO86),AND(AO$4:AO85))),($J86*$G86-LN(1+Jumpoverwrite8*AQ$2))/$G86,_xll.qlInterpolationInterpolate(AO$3,$F86,TRUE))</f>
        <v>#NUM!</v>
      </c>
      <c r="AQ86" s="176" t="str">
        <f>IF(AND(NOT(AO86),AND(AO$4:AO85)),IF($AP86&lt;0,IF($AP86&lt;$J86,EXP(($AP86-$J86)*$G86),EXP(($J86-$AP86)*$G86)),EXP(($AP86-$J86)*$G86)),"")</f>
        <v/>
      </c>
      <c r="AS86" s="72" t="b">
        <f>IF(AND(NOT(AO86),AND(AO$4:AO85)),TRUE,AO86)</f>
        <v>0</v>
      </c>
      <c r="AT86" s="172" t="e">
        <f>IF(AND(NOT(ISBLANK(Jumpoverwrite9)),AND(NOT(AS86),AND(AS$4:AS85))),($J86*$G86-LN(1+Jumpoverwrite9*AU$2))/$G86,_xll.qlInterpolationInterpolate(AS$3,$F86,TRUE))</f>
        <v>#NUM!</v>
      </c>
      <c r="AU86" s="176" t="str">
        <f>IF(AND(NOT(AS86),AND(AS$4:AS85)),IF($AT86&lt;0,IF($AT86&lt;$J86,EXP(($AT86-$J86)*$G86),EXP(($J86-$AT86)*$G86)),EXP(($AT86-$J86)*$G86)),"")</f>
        <v/>
      </c>
      <c r="AW86" s="72" t="b">
        <f>IF(AND(NOT(AS86),AND(AS$4:AS85)),TRUE,AS86)</f>
        <v>0</v>
      </c>
      <c r="AX86" s="172" t="e">
        <f>IF(AND(NOT(ISBLANK(Jumpoverwrite10)),AND(NOT(AW86),AND(AW$4:AW85))),($J86*$G86-LN(1+Jumpoverwrite10*AY$2))/$G86,_xll.qlInterpolationInterpolate(AW$3,$F86,TRUE))</f>
        <v>#NUM!</v>
      </c>
      <c r="AY86" s="176" t="str">
        <f>IF(AND(NOT(AW86),AND(AW$4:AW85)),IF($AX86&lt;0,IF($AX86&lt;$J86,EXP(($AX86-$J86)*$G86),EXP(($J86-$AX86)*$G86)),EXP(($AX86-$J86)*$G86)),"")</f>
        <v/>
      </c>
      <c r="BA86" s="72" t="b">
        <f>IF(AND(NOT(AW86),AND(AW$4:AW85)),TRUE,AW86)</f>
        <v>0</v>
      </c>
      <c r="BB86" s="172" t="e">
        <f>IF(AND(NOT(ISBLANK(Jumpoverwrite11)),AND(NOT(BA86),AND(BA$4:BA85))),($J86*$G86-LN(1+Jumpoverwrite11*BC$2))/$G86,_xll.qlInterpolationInterpolate(BA$3,$F86,TRUE))</f>
        <v>#NUM!</v>
      </c>
      <c r="BC86" s="176" t="str">
        <f>IF(AND(NOT(BA86),AND(BA$4:BA85)),IF($BB86&lt;0,IF($BB86&lt;$J86,EXP(($BB86-$J86)*$G86),EXP(($J86-$BB86)*$G86)),EXP(($BB86-$J86)*$G86)),"")</f>
        <v/>
      </c>
      <c r="BE86" s="72" t="b">
        <f>IF(AND(NOT(BA86),AND(BA$4:BA85)),TRUE,BA86)</f>
        <v>0</v>
      </c>
      <c r="BF86" s="172" t="e">
        <f>IF(AND(NOT(ISBLANK(Jumpoverwrite12)),AND(NOT(BE86),AND(BE$4:BE85))),($J86*$G86-LN(1+Jumpoverwrite12*BG$2))/$G86,_xll.qlInterpolationInterpolate(BE$3,$F86,TRUE))</f>
        <v>#NUM!</v>
      </c>
      <c r="BG86" s="176" t="str">
        <f>IF(AND(NOT(BE86),AND(BE$4:BE85)),IF($BF86&lt;0,IF($BF86&lt;$J86,EXP(($BF86-$J86)*$G86),EXP(($J86-$BF86)*$G86)),EXP(($BF86-$J86)*$G86)),"")</f>
        <v/>
      </c>
      <c r="BI86" s="72" t="b">
        <f t="shared" si="6"/>
        <v>0</v>
      </c>
      <c r="BJ86" s="172" t="e">
        <f>IF(AND(NOT(ISBLANK(jumpoverwrite13)),AND(NOT(BI86),AND(BI$4:BI85))),($J86*$G86-LN(1+jumpoverwrite13*BK$2))/$G86,_xll.qlInterpolationInterpolate(BI$3,$F86,TRUE))</f>
        <v>#NUM!</v>
      </c>
      <c r="BK86" s="176" t="str">
        <f>IF(AND(NOT(BI86),AND(BI$4:BI85)),IF($BJ86&lt;0,IF($BJ86&lt;$J86,EXP(($BJ86-$J86)*$G86),EXP(($J86-$BJ86)*$G86)),EXP(($BJ86-$J86)*$G86)),"")</f>
        <v/>
      </c>
      <c r="BM86" s="72" t="b">
        <f>IF(AND(NOT(BI86),AND(BI$4:BI85)),TRUE,BI86)</f>
        <v>0</v>
      </c>
      <c r="BN86" s="172" t="e">
        <f>IF(AND(NOT(ISBLANK(Jumpoverwrite14)),AND(NOT(BM86),AND(BM$4:BM85))),($J86*$G86-LN(1+Jumpoverwrite14*BO$2))/$G86,_xll.qlInterpolationInterpolate(BM$3,$F86,TRUE))</f>
        <v>#NUM!</v>
      </c>
      <c r="BO86" s="176" t="str">
        <f>IF(AND(NOT(BM86),AND(BM$4:BM85)),IF($BN86&lt;0,IF($BN86&lt;$J86,EXP(($BN86-$J86)*$G86),EXP(($J86-$BN86)*$G86)),EXP(($BN86-$J86)*$G86)),"")</f>
        <v/>
      </c>
      <c r="BQ86" s="72" t="b">
        <f>IF(AND(NOT(BM86),AND(BM$4:BM85)),TRUE,BM86)</f>
        <v>0</v>
      </c>
      <c r="BR86" s="172" t="e">
        <f>IF(AND(NOT(ISBLANK(Jumpoverwrite15)),AND(NOT(BQ86),AND(BQ$4:BQ85))),($J86*$G86-LN(1+Jumpoverwrite15*BS$2))/$G86,_xll.qlInterpolationInterpolate(BQ$3,$F86,TRUE))</f>
        <v>#NUM!</v>
      </c>
      <c r="BS86" s="176" t="str">
        <f>IF(AND(NOT(BQ86),AND(BQ$4:BQ85)),IF($BN86&lt;0,IF($BN86&lt;$J86,EXP(($BN86-$J86)*$G86),EXP(($J86-$BN86)*$G86)),EXP(($BN86-$J86)*$G86)),"")</f>
        <v/>
      </c>
    </row>
    <row r="87" spans="1:71" x14ac:dyDescent="0.2">
      <c r="A87" s="33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84" t="e">
        <f t="shared" si="4"/>
        <v>#N/A</v>
      </c>
      <c r="G87" s="85" t="e">
        <f>_xll.qlDayCounterYearFraction(DayCounter,D86,D87)</f>
        <v>#NUM!</v>
      </c>
      <c r="I87" s="93" t="b">
        <f t="shared" si="7"/>
        <v>0</v>
      </c>
      <c r="J87" s="37" t="e">
        <v>#N/A</v>
      </c>
      <c r="K87" s="94" t="e">
        <f t="shared" si="8"/>
        <v>#VALUE!</v>
      </c>
      <c r="L87" s="105"/>
      <c r="M87" s="72" t="b">
        <f>IF(AND(NOT(I87),AND(I$4:I86)),TRUE,I87)</f>
        <v>0</v>
      </c>
      <c r="N87" s="172" t="e">
        <f>IF(AND(NOT(ISBLANK(Jumpoverwrite1)),AND(NOT(M87),AND(M$4:M86))),($J87*$G87-LN(1+Jumpoverwrite1*O$2))/$G87,_xll.qlInterpolationInterpolate(M$3,$F87,TRUE))</f>
        <v>#NUM!</v>
      </c>
      <c r="O87" s="34" t="str">
        <f>IF(AND(NOT(M87),AND(M$4:M86)),IF($N87&lt;0,IF($N87&lt;$J87,EXP(($N87-$J87)*$G87),EXP(($J87-$N87)*$G87)),EXP(($N87-$J87)*$G87)),"")</f>
        <v/>
      </c>
      <c r="P87" s="107"/>
      <c r="Q87" s="72" t="b">
        <f>IF(AND(NOT(M87),AND(M$4:M86)),TRUE,M87)</f>
        <v>0</v>
      </c>
      <c r="R87" s="172" t="e">
        <f>IF(AND(NOT(ISBLANK(Jumpoverwrite2)),AND(NOT(Q87),AND(Q$4:Q86))),($J87*$G87-LN(1+Jumpoverwrite2*S$2))/$G87,_xll.qlInterpolationInterpolate(Q$3,$F87,TRUE))</f>
        <v>#NUM!</v>
      </c>
      <c r="S87" s="176" t="str">
        <f>IF(AND(NOT(Q87),AND(Q$4:Q86)),IF($R87&lt;0,IF($R87&lt;$J87,EXP(($R87-$J87)*$G87),EXP(($J87-$R87)*$G87)),EXP(($R87-$J87)*$G87)),"")</f>
        <v/>
      </c>
      <c r="T87" s="107"/>
      <c r="U87" s="72" t="b">
        <f>IF(AND(NOT(Q87),AND(Q$4:Q86)),TRUE,Q87)</f>
        <v>0</v>
      </c>
      <c r="V87" s="172" t="e">
        <f>IF(AND(NOT(ISBLANK(Jumpoverwrite3)),AND(NOT(U87),AND(U$4:U86))),($J87*$G87-LN(1+Jumpoverwrite3*W$2))/$G87,_xll.qlInterpolationInterpolate(U$3,$F87,TRUE))</f>
        <v>#NUM!</v>
      </c>
      <c r="W87" s="176" t="str">
        <f>IF(AND(NOT(U87),AND(U$4:U86)),IF($V87&lt;0,IF($V87&lt;$J87,EXP(($V87-$J87)*$G87),EXP(($J87-$V87)*$G87)),EXP(($V87-$J87)*$G87)),"")</f>
        <v/>
      </c>
      <c r="X87" s="107"/>
      <c r="Y87" s="72" t="b">
        <f>IF(AND(NOT(U87),AND(U$4:U86)),TRUE,U87)</f>
        <v>0</v>
      </c>
      <c r="Z87" s="172" t="e">
        <f>IF(AND(NOT(ISBLANK(Jumpoverwrite4)),AND(NOT(Y87),AND(Y$4:Y86))),($J87*$G87-LN(1+Jumpoverwrite4*AA$2))/$G87,_xll.qlInterpolationInterpolate(Y$3,$F87,TRUE))</f>
        <v>#NUM!</v>
      </c>
      <c r="AA87" s="176" t="str">
        <f>IF(AND(NOT(Y87),AND(Y$4:Y86)),IF($Z87&lt;0,IF($Z87&lt;$J87,EXP(($Z87-$J87)*$G87),EXP(($J87-$Z87)*$G87)),EXP(($Z87-$J87)*$G87)),"")</f>
        <v/>
      </c>
      <c r="AB87" s="107"/>
      <c r="AC87" s="72" t="b">
        <f>IF(AND(NOT(Y87),AND(Y$4:Y86)),TRUE,Y87)</f>
        <v>0</v>
      </c>
      <c r="AD87" s="172" t="e">
        <f>IF(AND(NOT(ISBLANK(Jumpoverwrite5)),AND(NOT(AC87),AND(AC$4:AC86))),($J87*$G87-LN(1+Jumpoverwrite5*AE$2))/$G87,_xll.qlInterpolationInterpolate(AC$3,$F87,TRUE))</f>
        <v>#NUM!</v>
      </c>
      <c r="AE87" s="176" t="str">
        <f>IF(AND(NOT(AC87),AND(AC$4:AC86)),IF($AD87&lt;0,IF($AD87&lt;$J87,EXP(($AD87-$J87)*$G87),EXP(($J87-$AD87)*$G87)),EXP(($AD87-$J87)*$G87)),"")</f>
        <v/>
      </c>
      <c r="AF87" s="107"/>
      <c r="AG87" s="72" t="b">
        <f>IF(AND(NOT(AC87),AND(AC$4:AC86)),TRUE,AC87)</f>
        <v>0</v>
      </c>
      <c r="AH87" s="172" t="e">
        <f>IF(AND(NOT(ISBLANK(Jumpoverwrite6)),AND(NOT(AG87),AND(AG$4:AG86))),($J87*$G87-LN(1+Jumpoverwrite6*AI$2))/$G87,_xll.qlInterpolationInterpolate(AG$3,$F87,TRUE))</f>
        <v>#NUM!</v>
      </c>
      <c r="AI87" s="176" t="str">
        <f>IF(AND(NOT(AG87),AND(AG$4:AG86)),IF($AH87&lt;0,IF($AH87&lt;$J87,EXP(($AH87-$J87)*$G87),EXP(($J87-$AH87)*$G87)),EXP(($AH87-$J87)*$G87)),"")</f>
        <v/>
      </c>
      <c r="AJ87" s="107"/>
      <c r="AK87" s="72" t="b">
        <f>IF(AND(NOT(AG87),AND(AG$4:AG86)),TRUE,AG87)</f>
        <v>0</v>
      </c>
      <c r="AL87" s="172" t="e">
        <f>IF(AND(NOT(ISBLANK(Jumpoverwrite7)),AND(NOT(AK87),AND(AK$4:AK86))),($J87*$G87-LN(1+Jumpoverwrite7*AM$2))/$G87,_xll.qlInterpolationInterpolate(AK$3,$F87,TRUE))</f>
        <v>#NUM!</v>
      </c>
      <c r="AM87" s="176" t="str">
        <f>IF(AND(NOT(AK87),AND(AK$4:AK86)),IF($AL87&lt;0,IF($AL87&lt;$J87,EXP(($AL87-$J87)*$G87),EXP(($J87-$AL87)*$G87)),EXP(($AL87-$J87)*$G87)),"")</f>
        <v/>
      </c>
      <c r="AO87" s="72" t="b">
        <f>IF(AND(NOT(AK87),AND(AK$4:AK86)),TRUE,AK87)</f>
        <v>0</v>
      </c>
      <c r="AP87" s="172" t="e">
        <f>IF(AND(NOT(ISBLANK(Jumpoverwrite8)),AND(NOT(AO87),AND(AO$4:AO86))),($J87*$G87-LN(1+Jumpoverwrite8*AQ$2))/$G87,_xll.qlInterpolationInterpolate(AO$3,$F87,TRUE))</f>
        <v>#NUM!</v>
      </c>
      <c r="AQ87" s="176" t="str">
        <f>IF(AND(NOT(AO87),AND(AO$4:AO86)),IF($AP87&lt;0,IF($AP87&lt;$J87,EXP(($AP87-$J87)*$G87),EXP(($J87-$AP87)*$G87)),EXP(($AP87-$J87)*$G87)),"")</f>
        <v/>
      </c>
      <c r="AS87" s="72" t="b">
        <f>IF(AND(NOT(AO87),AND(AO$4:AO86)),TRUE,AO87)</f>
        <v>0</v>
      </c>
      <c r="AT87" s="172" t="e">
        <f>IF(AND(NOT(ISBLANK(Jumpoverwrite9)),AND(NOT(AS87),AND(AS$4:AS86))),($J87*$G87-LN(1+Jumpoverwrite9*AU$2))/$G87,_xll.qlInterpolationInterpolate(AS$3,$F87,TRUE))</f>
        <v>#NUM!</v>
      </c>
      <c r="AU87" s="176" t="str">
        <f>IF(AND(NOT(AS87),AND(AS$4:AS86)),IF($AT87&lt;0,IF($AT87&lt;$J87,EXP(($AT87-$J87)*$G87),EXP(($J87-$AT87)*$G87)),EXP(($AT87-$J87)*$G87)),"")</f>
        <v/>
      </c>
      <c r="AW87" s="72" t="b">
        <f>IF(AND(NOT(AS87),AND(AS$4:AS86)),TRUE,AS87)</f>
        <v>0</v>
      </c>
      <c r="AX87" s="172" t="e">
        <f>IF(AND(NOT(ISBLANK(Jumpoverwrite10)),AND(NOT(AW87),AND(AW$4:AW86))),($J87*$G87-LN(1+Jumpoverwrite10*AY$2))/$G87,_xll.qlInterpolationInterpolate(AW$3,$F87,TRUE))</f>
        <v>#NUM!</v>
      </c>
      <c r="AY87" s="176" t="str">
        <f>IF(AND(NOT(AW87),AND(AW$4:AW86)),IF($AX87&lt;0,IF($AX87&lt;$J87,EXP(($AX87-$J87)*$G87),EXP(($J87-$AX87)*$G87)),EXP(($AX87-$J87)*$G87)),"")</f>
        <v/>
      </c>
      <c r="BA87" s="72" t="b">
        <f>IF(AND(NOT(AW87),AND(AW$4:AW86)),TRUE,AW87)</f>
        <v>0</v>
      </c>
      <c r="BB87" s="172" t="e">
        <f>IF(AND(NOT(ISBLANK(Jumpoverwrite11)),AND(NOT(BA87),AND(BA$4:BA86))),($J87*$G87-LN(1+Jumpoverwrite11*BC$2))/$G87,_xll.qlInterpolationInterpolate(BA$3,$F87,TRUE))</f>
        <v>#NUM!</v>
      </c>
      <c r="BC87" s="176" t="str">
        <f>IF(AND(NOT(BA87),AND(BA$4:BA86)),IF($BB87&lt;0,IF($BB87&lt;$J87,EXP(($BB87-$J87)*$G87),EXP(($J87-$BB87)*$G87)),EXP(($BB87-$J87)*$G87)),"")</f>
        <v/>
      </c>
      <c r="BE87" s="72" t="b">
        <f>IF(AND(NOT(BA87),AND(BA$4:BA86)),TRUE,BA87)</f>
        <v>0</v>
      </c>
      <c r="BF87" s="172" t="e">
        <f>IF(AND(NOT(ISBLANK(Jumpoverwrite12)),AND(NOT(BE87),AND(BE$4:BE86))),($J87*$G87-LN(1+Jumpoverwrite12*BG$2))/$G87,_xll.qlInterpolationInterpolate(BE$3,$F87,TRUE))</f>
        <v>#NUM!</v>
      </c>
      <c r="BG87" s="176" t="str">
        <f>IF(AND(NOT(BE87),AND(BE$4:BE86)),IF($BF87&lt;0,IF($BF87&lt;$J87,EXP(($BF87-$J87)*$G87),EXP(($J87-$BF87)*$G87)),EXP(($BF87-$J87)*$G87)),"")</f>
        <v/>
      </c>
      <c r="BI87" s="72" t="b">
        <f t="shared" si="6"/>
        <v>0</v>
      </c>
      <c r="BJ87" s="172" t="e">
        <f>IF(AND(NOT(ISBLANK(jumpoverwrite13)),AND(NOT(BI87),AND(BI$4:BI86))),($J87*$G87-LN(1+jumpoverwrite13*BK$2))/$G87,_xll.qlInterpolationInterpolate(BI$3,$F87,TRUE))</f>
        <v>#NUM!</v>
      </c>
      <c r="BK87" s="176" t="str">
        <f>IF(AND(NOT(BI87),AND(BI$4:BI86)),IF($BJ87&lt;0,IF($BJ87&lt;$J87,EXP(($BJ87-$J87)*$G87),EXP(($J87-$BJ87)*$G87)),EXP(($BJ87-$J87)*$G87)),"")</f>
        <v/>
      </c>
      <c r="BM87" s="72" t="b">
        <f>IF(AND(NOT(BI87),AND(BI$4:BI86)),TRUE,BI87)</f>
        <v>0</v>
      </c>
      <c r="BN87" s="172" t="e">
        <f>IF(AND(NOT(ISBLANK(Jumpoverwrite14)),AND(NOT(BM87),AND(BM$4:BM86))),($J87*$G87-LN(1+Jumpoverwrite14*BO$2))/$G87,_xll.qlInterpolationInterpolate(BM$3,$F87,TRUE))</f>
        <v>#NUM!</v>
      </c>
      <c r="BO87" s="176" t="str">
        <f>IF(AND(NOT(BM87),AND(BM$4:BM86)),IF($BN87&lt;0,IF($BN87&lt;$J87,EXP(($BN87-$J87)*$G87),EXP(($J87-$BN87)*$G87)),EXP(($BN87-$J87)*$G87)),"")</f>
        <v/>
      </c>
      <c r="BQ87" s="72" t="b">
        <f>IF(AND(NOT(BM87),AND(BM$4:BM86)),TRUE,BM87)</f>
        <v>0</v>
      </c>
      <c r="BR87" s="172" t="e">
        <f>IF(AND(NOT(ISBLANK(Jumpoverwrite15)),AND(NOT(BQ87),AND(BQ$4:BQ86))),($J87*$G87-LN(1+Jumpoverwrite15*BS$2))/$G87,_xll.qlInterpolationInterpolate(BQ$3,$F87,TRUE))</f>
        <v>#NUM!</v>
      </c>
      <c r="BS87" s="176" t="str">
        <f>IF(AND(NOT(BQ87),AND(BQ$4:BQ86)),IF($BN87&lt;0,IF($BN87&lt;$J87,EXP(($BN87-$J87)*$G87),EXP(($J87-$BN87)*$G87)),EXP(($BN87-$J87)*$G87)),"")</f>
        <v/>
      </c>
    </row>
    <row r="88" spans="1:71" x14ac:dyDescent="0.2">
      <c r="A88" s="33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84" t="e">
        <f t="shared" si="4"/>
        <v>#N/A</v>
      </c>
      <c r="G88" s="85" t="e">
        <f>_xll.qlDayCounterYearFraction(DayCounter,D87,D88)</f>
        <v>#NUM!</v>
      </c>
      <c r="I88" s="93" t="b">
        <f t="shared" si="7"/>
        <v>0</v>
      </c>
      <c r="J88" s="37" t="e">
        <v>#N/A</v>
      </c>
      <c r="K88" s="94" t="e">
        <f t="shared" si="8"/>
        <v>#VALUE!</v>
      </c>
      <c r="L88" s="105"/>
      <c r="M88" s="72" t="b">
        <f>IF(AND(NOT(I88),AND(I$4:I87)),TRUE,I88)</f>
        <v>0</v>
      </c>
      <c r="N88" s="172" t="e">
        <f>IF(AND(NOT(ISBLANK(Jumpoverwrite1)),AND(NOT(M88),AND(M$4:M87))),($J88*$G88-LN(1+Jumpoverwrite1*O$2))/$G88,_xll.qlInterpolationInterpolate(M$3,$F88,TRUE))</f>
        <v>#NUM!</v>
      </c>
      <c r="O88" s="34" t="str">
        <f>IF(AND(NOT(M88),AND(M$4:M87)),IF($N88&lt;0,IF($N88&lt;$J88,EXP(($N88-$J88)*$G88),EXP(($J88-$N88)*$G88)),EXP(($N88-$J88)*$G88)),"")</f>
        <v/>
      </c>
      <c r="P88" s="107"/>
      <c r="Q88" s="72" t="b">
        <f>IF(AND(NOT(M88),AND(M$4:M87)),TRUE,M88)</f>
        <v>0</v>
      </c>
      <c r="R88" s="172" t="e">
        <f>IF(AND(NOT(ISBLANK(Jumpoverwrite2)),AND(NOT(Q88),AND(Q$4:Q87))),($J88*$G88-LN(1+Jumpoverwrite2*S$2))/$G88,_xll.qlInterpolationInterpolate(Q$3,$F88,TRUE))</f>
        <v>#NUM!</v>
      </c>
      <c r="S88" s="176" t="str">
        <f>IF(AND(NOT(Q88),AND(Q$4:Q87)),IF($R88&lt;0,IF($R88&lt;$J88,EXP(($R88-$J88)*$G88),EXP(($J88-$R88)*$G88)),EXP(($R88-$J88)*$G88)),"")</f>
        <v/>
      </c>
      <c r="T88" s="107"/>
      <c r="U88" s="72" t="b">
        <f>IF(AND(NOT(Q88),AND(Q$4:Q87)),TRUE,Q88)</f>
        <v>0</v>
      </c>
      <c r="V88" s="172" t="e">
        <f>IF(AND(NOT(ISBLANK(Jumpoverwrite3)),AND(NOT(U88),AND(U$4:U87))),($J88*$G88-LN(1+Jumpoverwrite3*W$2))/$G88,_xll.qlInterpolationInterpolate(U$3,$F88,TRUE))</f>
        <v>#NUM!</v>
      </c>
      <c r="W88" s="176" t="str">
        <f>IF(AND(NOT(U88),AND(U$4:U87)),IF($V88&lt;0,IF($V88&lt;$J88,EXP(($V88-$J88)*$G88),EXP(($J88-$V88)*$G88)),EXP(($V88-$J88)*$G88)),"")</f>
        <v/>
      </c>
      <c r="X88" s="107"/>
      <c r="Y88" s="72" t="b">
        <f>IF(AND(NOT(U88),AND(U$4:U87)),TRUE,U88)</f>
        <v>0</v>
      </c>
      <c r="Z88" s="172" t="e">
        <f>IF(AND(NOT(ISBLANK(Jumpoverwrite4)),AND(NOT(Y88),AND(Y$4:Y87))),($J88*$G88-LN(1+Jumpoverwrite4*AA$2))/$G88,_xll.qlInterpolationInterpolate(Y$3,$F88,TRUE))</f>
        <v>#NUM!</v>
      </c>
      <c r="AA88" s="176" t="str">
        <f>IF(AND(NOT(Y88),AND(Y$4:Y87)),IF($Z88&lt;0,IF($Z88&lt;$J88,EXP(($Z88-$J88)*$G88),EXP(($J88-$Z88)*$G88)),EXP(($Z88-$J88)*$G88)),"")</f>
        <v/>
      </c>
      <c r="AB88" s="107"/>
      <c r="AC88" s="72" t="b">
        <f>IF(AND(NOT(Y88),AND(Y$4:Y87)),TRUE,Y88)</f>
        <v>0</v>
      </c>
      <c r="AD88" s="172" t="e">
        <f>IF(AND(NOT(ISBLANK(Jumpoverwrite5)),AND(NOT(AC88),AND(AC$4:AC87))),($J88*$G88-LN(1+Jumpoverwrite5*AE$2))/$G88,_xll.qlInterpolationInterpolate(AC$3,$F88,TRUE))</f>
        <v>#NUM!</v>
      </c>
      <c r="AE88" s="176" t="str">
        <f>IF(AND(NOT(AC88),AND(AC$4:AC87)),IF($AD88&lt;0,IF($AD88&lt;$J88,EXP(($AD88-$J88)*$G88),EXP(($J88-$AD88)*$G88)),EXP(($AD88-$J88)*$G88)),"")</f>
        <v/>
      </c>
      <c r="AF88" s="107"/>
      <c r="AG88" s="72" t="b">
        <f>IF(AND(NOT(AC88),AND(AC$4:AC87)),TRUE,AC88)</f>
        <v>0</v>
      </c>
      <c r="AH88" s="172" t="e">
        <f>IF(AND(NOT(ISBLANK(Jumpoverwrite6)),AND(NOT(AG88),AND(AG$4:AG87))),($J88*$G88-LN(1+Jumpoverwrite6*AI$2))/$G88,_xll.qlInterpolationInterpolate(AG$3,$F88,TRUE))</f>
        <v>#NUM!</v>
      </c>
      <c r="AI88" s="176" t="str">
        <f>IF(AND(NOT(AG88),AND(AG$4:AG87)),IF($AH88&lt;0,IF($AH88&lt;$J88,EXP(($AH88-$J88)*$G88),EXP(($J88-$AH88)*$G88)),EXP(($AH88-$J88)*$G88)),"")</f>
        <v/>
      </c>
      <c r="AJ88" s="107"/>
      <c r="AK88" s="72" t="b">
        <f>IF(AND(NOT(AG88),AND(AG$4:AG87)),TRUE,AG88)</f>
        <v>0</v>
      </c>
      <c r="AL88" s="172" t="e">
        <f>IF(AND(NOT(ISBLANK(Jumpoverwrite7)),AND(NOT(AK88),AND(AK$4:AK87))),($J88*$G88-LN(1+Jumpoverwrite7*AM$2))/$G88,_xll.qlInterpolationInterpolate(AK$3,$F88,TRUE))</f>
        <v>#NUM!</v>
      </c>
      <c r="AM88" s="176" t="str">
        <f>IF(AND(NOT(AK88),AND(AK$4:AK87)),IF($AL88&lt;0,IF($AL88&lt;$J88,EXP(($AL88-$J88)*$G88),EXP(($J88-$AL88)*$G88)),EXP(($AL88-$J88)*$G88)),"")</f>
        <v/>
      </c>
      <c r="AO88" s="72" t="b">
        <f>IF(AND(NOT(AK88),AND(AK$4:AK87)),TRUE,AK88)</f>
        <v>0</v>
      </c>
      <c r="AP88" s="172" t="e">
        <f>IF(AND(NOT(ISBLANK(Jumpoverwrite8)),AND(NOT(AO88),AND(AO$4:AO87))),($J88*$G88-LN(1+Jumpoverwrite8*AQ$2))/$G88,_xll.qlInterpolationInterpolate(AO$3,$F88,TRUE))</f>
        <v>#NUM!</v>
      </c>
      <c r="AQ88" s="176" t="str">
        <f>IF(AND(NOT(AO88),AND(AO$4:AO87)),IF($AP88&lt;0,IF($AP88&lt;$J88,EXP(($AP88-$J88)*$G88),EXP(($J88-$AP88)*$G88)),EXP(($AP88-$J88)*$G88)),"")</f>
        <v/>
      </c>
      <c r="AS88" s="72" t="b">
        <f>IF(AND(NOT(AO88),AND(AO$4:AO87)),TRUE,AO88)</f>
        <v>0</v>
      </c>
      <c r="AT88" s="172" t="e">
        <f>IF(AND(NOT(ISBLANK(Jumpoverwrite9)),AND(NOT(AS88),AND(AS$4:AS87))),($J88*$G88-LN(1+Jumpoverwrite9*AU$2))/$G88,_xll.qlInterpolationInterpolate(AS$3,$F88,TRUE))</f>
        <v>#NUM!</v>
      </c>
      <c r="AU88" s="176" t="str">
        <f>IF(AND(NOT(AS88),AND(AS$4:AS87)),IF($AT88&lt;0,IF($AT88&lt;$J88,EXP(($AT88-$J88)*$G88),EXP(($J88-$AT88)*$G88)),EXP(($AT88-$J88)*$G88)),"")</f>
        <v/>
      </c>
      <c r="AW88" s="72" t="b">
        <f>IF(AND(NOT(AS88),AND(AS$4:AS87)),TRUE,AS88)</f>
        <v>0</v>
      </c>
      <c r="AX88" s="172" t="e">
        <f>IF(AND(NOT(ISBLANK(Jumpoverwrite10)),AND(NOT(AW88),AND(AW$4:AW87))),($J88*$G88-LN(1+Jumpoverwrite10*AY$2))/$G88,_xll.qlInterpolationInterpolate(AW$3,$F88,TRUE))</f>
        <v>#NUM!</v>
      </c>
      <c r="AY88" s="176" t="str">
        <f>IF(AND(NOT(AW88),AND(AW$4:AW87)),IF($AX88&lt;0,IF($AX88&lt;$J88,EXP(($AX88-$J88)*$G88),EXP(($J88-$AX88)*$G88)),EXP(($AX88-$J88)*$G88)),"")</f>
        <v/>
      </c>
      <c r="BA88" s="72" t="b">
        <f>IF(AND(NOT(AW88),AND(AW$4:AW87)),TRUE,AW88)</f>
        <v>0</v>
      </c>
      <c r="BB88" s="172" t="e">
        <f>IF(AND(NOT(ISBLANK(Jumpoverwrite11)),AND(NOT(BA88),AND(BA$4:BA87))),($J88*$G88-LN(1+Jumpoverwrite11*BC$2))/$G88,_xll.qlInterpolationInterpolate(BA$3,$F88,TRUE))</f>
        <v>#NUM!</v>
      </c>
      <c r="BC88" s="176" t="str">
        <f>IF(AND(NOT(BA88),AND(BA$4:BA87)),IF($BB88&lt;0,IF($BB88&lt;$J88,EXP(($BB88-$J88)*$G88),EXP(($J88-$BB88)*$G88)),EXP(($BB88-$J88)*$G88)),"")</f>
        <v/>
      </c>
      <c r="BE88" s="72" t="b">
        <f>IF(AND(NOT(BA88),AND(BA$4:BA87)),TRUE,BA88)</f>
        <v>0</v>
      </c>
      <c r="BF88" s="172" t="e">
        <f>IF(AND(NOT(ISBLANK(Jumpoverwrite12)),AND(NOT(BE88),AND(BE$4:BE87))),($J88*$G88-LN(1+Jumpoverwrite12*BG$2))/$G88,_xll.qlInterpolationInterpolate(BE$3,$F88,TRUE))</f>
        <v>#NUM!</v>
      </c>
      <c r="BG88" s="176" t="str">
        <f>IF(AND(NOT(BE88),AND(BE$4:BE87)),IF($BF88&lt;0,IF($BF88&lt;$J88,EXP(($BF88-$J88)*$G88),EXP(($J88-$BF88)*$G88)),EXP(($BF88-$J88)*$G88)),"")</f>
        <v/>
      </c>
      <c r="BI88" s="72" t="b">
        <f t="shared" si="6"/>
        <v>0</v>
      </c>
      <c r="BJ88" s="172" t="e">
        <f>IF(AND(NOT(ISBLANK(jumpoverwrite13)),AND(NOT(BI88),AND(BI$4:BI87))),($J88*$G88-LN(1+jumpoverwrite13*BK$2))/$G88,_xll.qlInterpolationInterpolate(BI$3,$F88,TRUE))</f>
        <v>#NUM!</v>
      </c>
      <c r="BK88" s="176" t="str">
        <f>IF(AND(NOT(BI88),AND(BI$4:BI87)),IF($BJ88&lt;0,IF($BJ88&lt;$J88,EXP(($BJ88-$J88)*$G88),EXP(($J88-$BJ88)*$G88)),EXP(($BJ88-$J88)*$G88)),"")</f>
        <v/>
      </c>
      <c r="BM88" s="72" t="b">
        <f>IF(AND(NOT(BI88),AND(BI$4:BI87)),TRUE,BI88)</f>
        <v>0</v>
      </c>
      <c r="BN88" s="172" t="e">
        <f>IF(AND(NOT(ISBLANK(Jumpoverwrite14)),AND(NOT(BM88),AND(BM$4:BM87))),($J88*$G88-LN(1+Jumpoverwrite14*BO$2))/$G88,_xll.qlInterpolationInterpolate(BM$3,$F88,TRUE))</f>
        <v>#NUM!</v>
      </c>
      <c r="BO88" s="176" t="str">
        <f>IF(AND(NOT(BM88),AND(BM$4:BM87)),IF($BN88&lt;0,IF($BN88&lt;$J88,EXP(($BN88-$J88)*$G88),EXP(($J88-$BN88)*$G88)),EXP(($BN88-$J88)*$G88)),"")</f>
        <v/>
      </c>
      <c r="BQ88" s="72" t="b">
        <f>IF(AND(NOT(BM88),AND(BM$4:BM87)),TRUE,BM88)</f>
        <v>0</v>
      </c>
      <c r="BR88" s="172" t="e">
        <f>IF(AND(NOT(ISBLANK(Jumpoverwrite15)),AND(NOT(BQ88),AND(BQ$4:BQ87))),($J88*$G88-LN(1+Jumpoverwrite15*BS$2))/$G88,_xll.qlInterpolationInterpolate(BQ$3,$F88,TRUE))</f>
        <v>#NUM!</v>
      </c>
      <c r="BS88" s="176" t="str">
        <f>IF(AND(NOT(BQ88),AND(BQ$4:BQ87)),IF($BN88&lt;0,IF($BN88&lt;$J88,EXP(($BN88-$J88)*$G88),EXP(($J88-$BN88)*$G88)),EXP(($BN88-$J88)*$G88)),"")</f>
        <v/>
      </c>
    </row>
    <row r="89" spans="1:71" x14ac:dyDescent="0.2">
      <c r="A89" s="33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84" t="e">
        <f t="shared" si="4"/>
        <v>#N/A</v>
      </c>
      <c r="G89" s="85" t="e">
        <f>_xll.qlDayCounterYearFraction(DayCounter,D88,D89)</f>
        <v>#NUM!</v>
      </c>
      <c r="I89" s="93" t="b">
        <f t="shared" si="7"/>
        <v>0</v>
      </c>
      <c r="J89" s="37" t="e">
        <v>#N/A</v>
      </c>
      <c r="K89" s="94" t="e">
        <f t="shared" si="8"/>
        <v>#VALUE!</v>
      </c>
      <c r="L89" s="105"/>
      <c r="M89" s="72" t="b">
        <f>IF(AND(NOT(I89),AND(I$4:I88)),TRUE,I89)</f>
        <v>0</v>
      </c>
      <c r="N89" s="172" t="e">
        <f>IF(AND(NOT(ISBLANK(Jumpoverwrite1)),AND(NOT(M89),AND(M$4:M88))),($J89*$G89-LN(1+Jumpoverwrite1*O$2))/$G89,_xll.qlInterpolationInterpolate(M$3,$F89,TRUE))</f>
        <v>#NUM!</v>
      </c>
      <c r="O89" s="34" t="str">
        <f>IF(AND(NOT(M89),AND(M$4:M88)),IF($N89&lt;0,IF($N89&lt;$J89,EXP(($N89-$J89)*$G89),EXP(($J89-$N89)*$G89)),EXP(($N89-$J89)*$G89)),"")</f>
        <v/>
      </c>
      <c r="P89" s="107"/>
      <c r="Q89" s="72" t="b">
        <f>IF(AND(NOT(M89),AND(M$4:M88)),TRUE,M89)</f>
        <v>0</v>
      </c>
      <c r="R89" s="172" t="e">
        <f>IF(AND(NOT(ISBLANK(Jumpoverwrite2)),AND(NOT(Q89),AND(Q$4:Q88))),($J89*$G89-LN(1+Jumpoverwrite2*S$2))/$G89,_xll.qlInterpolationInterpolate(Q$3,$F89,TRUE))</f>
        <v>#NUM!</v>
      </c>
      <c r="S89" s="176" t="str">
        <f>IF(AND(NOT(Q89),AND(Q$4:Q88)),IF($R89&lt;0,IF($R89&lt;$J89,EXP(($R89-$J89)*$G89),EXP(($J89-$R89)*$G89)),EXP(($R89-$J89)*$G89)),"")</f>
        <v/>
      </c>
      <c r="T89" s="107"/>
      <c r="U89" s="72" t="b">
        <f>IF(AND(NOT(Q89),AND(Q$4:Q88)),TRUE,Q89)</f>
        <v>0</v>
      </c>
      <c r="V89" s="172" t="e">
        <f>IF(AND(NOT(ISBLANK(Jumpoverwrite3)),AND(NOT(U89),AND(U$4:U88))),($J89*$G89-LN(1+Jumpoverwrite3*W$2))/$G89,_xll.qlInterpolationInterpolate(U$3,$F89,TRUE))</f>
        <v>#NUM!</v>
      </c>
      <c r="W89" s="176" t="str">
        <f>IF(AND(NOT(U89),AND(U$4:U88)),IF($V89&lt;0,IF($V89&lt;$J89,EXP(($V89-$J89)*$G89),EXP(($J89-$V89)*$G89)),EXP(($V89-$J89)*$G89)),"")</f>
        <v/>
      </c>
      <c r="X89" s="107"/>
      <c r="Y89" s="72" t="b">
        <f>IF(AND(NOT(U89),AND(U$4:U88)),TRUE,U89)</f>
        <v>0</v>
      </c>
      <c r="Z89" s="172" t="e">
        <f>IF(AND(NOT(ISBLANK(Jumpoverwrite4)),AND(NOT(Y89),AND(Y$4:Y88))),($J89*$G89-LN(1+Jumpoverwrite4*AA$2))/$G89,_xll.qlInterpolationInterpolate(Y$3,$F89,TRUE))</f>
        <v>#NUM!</v>
      </c>
      <c r="AA89" s="176" t="str">
        <f>IF(AND(NOT(Y89),AND(Y$4:Y88)),IF($Z89&lt;0,IF($Z89&lt;$J89,EXP(($Z89-$J89)*$G89),EXP(($J89-$Z89)*$G89)),EXP(($Z89-$J89)*$G89)),"")</f>
        <v/>
      </c>
      <c r="AB89" s="107"/>
      <c r="AC89" s="72" t="b">
        <f>IF(AND(NOT(Y89),AND(Y$4:Y88)),TRUE,Y89)</f>
        <v>0</v>
      </c>
      <c r="AD89" s="172" t="e">
        <f>IF(AND(NOT(ISBLANK(Jumpoverwrite5)),AND(NOT(AC89),AND(AC$4:AC88))),($J89*$G89-LN(1+Jumpoverwrite5*AE$2))/$G89,_xll.qlInterpolationInterpolate(AC$3,$F89,TRUE))</f>
        <v>#NUM!</v>
      </c>
      <c r="AE89" s="176" t="str">
        <f>IF(AND(NOT(AC89),AND(AC$4:AC88)),IF($AD89&lt;0,IF($AD89&lt;$J89,EXP(($AD89-$J89)*$G89),EXP(($J89-$AD89)*$G89)),EXP(($AD89-$J89)*$G89)),"")</f>
        <v/>
      </c>
      <c r="AF89" s="107"/>
      <c r="AG89" s="72" t="b">
        <f>IF(AND(NOT(AC89),AND(AC$4:AC88)),TRUE,AC89)</f>
        <v>0</v>
      </c>
      <c r="AH89" s="172" t="e">
        <f>IF(AND(NOT(ISBLANK(Jumpoverwrite6)),AND(NOT(AG89),AND(AG$4:AG88))),($J89*$G89-LN(1+Jumpoverwrite6*AI$2))/$G89,_xll.qlInterpolationInterpolate(AG$3,$F89,TRUE))</f>
        <v>#NUM!</v>
      </c>
      <c r="AI89" s="176" t="str">
        <f>IF(AND(NOT(AG89),AND(AG$4:AG88)),IF($AH89&lt;0,IF($AH89&lt;$J89,EXP(($AH89-$J89)*$G89),EXP(($J89-$AH89)*$G89)),EXP(($AH89-$J89)*$G89)),"")</f>
        <v/>
      </c>
      <c r="AJ89" s="107"/>
      <c r="AK89" s="72" t="b">
        <f>IF(AND(NOT(AG89),AND(AG$4:AG88)),TRUE,AG89)</f>
        <v>0</v>
      </c>
      <c r="AL89" s="172" t="e">
        <f>IF(AND(NOT(ISBLANK(Jumpoverwrite7)),AND(NOT(AK89),AND(AK$4:AK88))),($J89*$G89-LN(1+Jumpoverwrite7*AM$2))/$G89,_xll.qlInterpolationInterpolate(AK$3,$F89,TRUE))</f>
        <v>#NUM!</v>
      </c>
      <c r="AM89" s="176" t="str">
        <f>IF(AND(NOT(AK89),AND(AK$4:AK88)),IF($AL89&lt;0,IF($AL89&lt;$J89,EXP(($AL89-$J89)*$G89),EXP(($J89-$AL89)*$G89)),EXP(($AL89-$J89)*$G89)),"")</f>
        <v/>
      </c>
      <c r="AO89" s="72" t="b">
        <f>IF(AND(NOT(AK89),AND(AK$4:AK88)),TRUE,AK89)</f>
        <v>0</v>
      </c>
      <c r="AP89" s="172" t="e">
        <f>IF(AND(NOT(ISBLANK(Jumpoverwrite8)),AND(NOT(AO89),AND(AO$4:AO88))),($J89*$G89-LN(1+Jumpoverwrite8*AQ$2))/$G89,_xll.qlInterpolationInterpolate(AO$3,$F89,TRUE))</f>
        <v>#NUM!</v>
      </c>
      <c r="AQ89" s="176" t="str">
        <f>IF(AND(NOT(AO89),AND(AO$4:AO88)),IF($AP89&lt;0,IF($AP89&lt;$J89,EXP(($AP89-$J89)*$G89),EXP(($J89-$AP89)*$G89)),EXP(($AP89-$J89)*$G89)),"")</f>
        <v/>
      </c>
      <c r="AS89" s="72" t="b">
        <f>IF(AND(NOT(AO89),AND(AO$4:AO88)),TRUE,AO89)</f>
        <v>0</v>
      </c>
      <c r="AT89" s="172" t="e">
        <f>IF(AND(NOT(ISBLANK(Jumpoverwrite9)),AND(NOT(AS89),AND(AS$4:AS88))),($J89*$G89-LN(1+Jumpoverwrite9*AU$2))/$G89,_xll.qlInterpolationInterpolate(AS$3,$F89,TRUE))</f>
        <v>#NUM!</v>
      </c>
      <c r="AU89" s="176" t="str">
        <f>IF(AND(NOT(AS89),AND(AS$4:AS88)),IF($AT89&lt;0,IF($AT89&lt;$J89,EXP(($AT89-$J89)*$G89),EXP(($J89-$AT89)*$G89)),EXP(($AT89-$J89)*$G89)),"")</f>
        <v/>
      </c>
      <c r="AW89" s="72" t="b">
        <f>IF(AND(NOT(AS89),AND(AS$4:AS88)),TRUE,AS89)</f>
        <v>0</v>
      </c>
      <c r="AX89" s="172" t="e">
        <f>IF(AND(NOT(ISBLANK(Jumpoverwrite10)),AND(NOT(AW89),AND(AW$4:AW88))),($J89*$G89-LN(1+Jumpoverwrite10*AY$2))/$G89,_xll.qlInterpolationInterpolate(AW$3,$F89,TRUE))</f>
        <v>#NUM!</v>
      </c>
      <c r="AY89" s="176" t="str">
        <f>IF(AND(NOT(AW89),AND(AW$4:AW88)),IF($AX89&lt;0,IF($AX89&lt;$J89,EXP(($AX89-$J89)*$G89),EXP(($J89-$AX89)*$G89)),EXP(($AX89-$J89)*$G89)),"")</f>
        <v/>
      </c>
      <c r="BA89" s="72" t="b">
        <f>IF(AND(NOT(AW89),AND(AW$4:AW88)),TRUE,AW89)</f>
        <v>0</v>
      </c>
      <c r="BB89" s="172" t="e">
        <f>IF(AND(NOT(ISBLANK(Jumpoverwrite11)),AND(NOT(BA89),AND(BA$4:BA88))),($J89*$G89-LN(1+Jumpoverwrite11*BC$2))/$G89,_xll.qlInterpolationInterpolate(BA$3,$F89,TRUE))</f>
        <v>#NUM!</v>
      </c>
      <c r="BC89" s="176" t="str">
        <f>IF(AND(NOT(BA89),AND(BA$4:BA88)),IF($BB89&lt;0,IF($BB89&lt;$J89,EXP(($BB89-$J89)*$G89),EXP(($J89-$BB89)*$G89)),EXP(($BB89-$J89)*$G89)),"")</f>
        <v/>
      </c>
      <c r="BE89" s="72" t="b">
        <f>IF(AND(NOT(BA89),AND(BA$4:BA88)),TRUE,BA89)</f>
        <v>0</v>
      </c>
      <c r="BF89" s="172" t="e">
        <f>IF(AND(NOT(ISBLANK(Jumpoverwrite12)),AND(NOT(BE89),AND(BE$4:BE88))),($J89*$G89-LN(1+Jumpoverwrite12*BG$2))/$G89,_xll.qlInterpolationInterpolate(BE$3,$F89,TRUE))</f>
        <v>#NUM!</v>
      </c>
      <c r="BG89" s="176" t="str">
        <f>IF(AND(NOT(BE89),AND(BE$4:BE88)),IF($BF89&lt;0,IF($BF89&lt;$J89,EXP(($BF89-$J89)*$G89),EXP(($J89-$BF89)*$G89)),EXP(($BF89-$J89)*$G89)),"")</f>
        <v/>
      </c>
      <c r="BI89" s="72" t="b">
        <f t="shared" si="6"/>
        <v>0</v>
      </c>
      <c r="BJ89" s="172" t="e">
        <f>IF(AND(NOT(ISBLANK(jumpoverwrite13)),AND(NOT(BI89),AND(BI$4:BI88))),($J89*$G89-LN(1+jumpoverwrite13*BK$2))/$G89,_xll.qlInterpolationInterpolate(BI$3,$F89,TRUE))</f>
        <v>#NUM!</v>
      </c>
      <c r="BK89" s="176" t="str">
        <f>IF(AND(NOT(BI89),AND(BI$4:BI88)),IF($BJ89&lt;0,IF($BJ89&lt;$J89,EXP(($BJ89-$J89)*$G89),EXP(($J89-$BJ89)*$G89)),EXP(($BJ89-$J89)*$G89)),"")</f>
        <v/>
      </c>
      <c r="BM89" s="72" t="b">
        <f>IF(AND(NOT(BI89),AND(BI$4:BI88)),TRUE,BI89)</f>
        <v>0</v>
      </c>
      <c r="BN89" s="172" t="e">
        <f>IF(AND(NOT(ISBLANK(Jumpoverwrite14)),AND(NOT(BM89),AND(BM$4:BM88))),($J89*$G89-LN(1+Jumpoverwrite14*BO$2))/$G89,_xll.qlInterpolationInterpolate(BM$3,$F89,TRUE))</f>
        <v>#NUM!</v>
      </c>
      <c r="BO89" s="176" t="str">
        <f>IF(AND(NOT(BM89),AND(BM$4:BM88)),IF($BN89&lt;0,IF($BN89&lt;$J89,EXP(($BN89-$J89)*$G89),EXP(($J89-$BN89)*$G89)),EXP(($BN89-$J89)*$G89)),"")</f>
        <v/>
      </c>
      <c r="BQ89" s="72" t="b">
        <f>IF(AND(NOT(BM89),AND(BM$4:BM88)),TRUE,BM89)</f>
        <v>0</v>
      </c>
      <c r="BR89" s="172" t="e">
        <f>IF(AND(NOT(ISBLANK(Jumpoverwrite15)),AND(NOT(BQ89),AND(BQ$4:BQ88))),($J89*$G89-LN(1+Jumpoverwrite15*BS$2))/$G89,_xll.qlInterpolationInterpolate(BQ$3,$F89,TRUE))</f>
        <v>#NUM!</v>
      </c>
      <c r="BS89" s="176" t="str">
        <f>IF(AND(NOT(BQ89),AND(BQ$4:BQ88)),IF($BN89&lt;0,IF($BN89&lt;$J89,EXP(($BN89-$J89)*$G89),EXP(($J89-$BN89)*$G89)),EXP(($BN89-$J89)*$G89)),"")</f>
        <v/>
      </c>
    </row>
    <row r="90" spans="1:71" x14ac:dyDescent="0.2">
      <c r="A90" s="33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84" t="e">
        <f t="shared" si="4"/>
        <v>#N/A</v>
      </c>
      <c r="G90" s="85" t="e">
        <f>_xll.qlDayCounterYearFraction(DayCounter,D89,D90)</f>
        <v>#NUM!</v>
      </c>
      <c r="I90" s="93" t="b">
        <f t="shared" si="7"/>
        <v>0</v>
      </c>
      <c r="J90" s="37" t="e">
        <v>#N/A</v>
      </c>
      <c r="K90" s="94" t="e">
        <f t="shared" si="8"/>
        <v>#VALUE!</v>
      </c>
      <c r="L90" s="105"/>
      <c r="M90" s="72" t="b">
        <f>IF(AND(NOT(I90),AND(I$4:I89)),TRUE,I90)</f>
        <v>0</v>
      </c>
      <c r="N90" s="172" t="e">
        <f>IF(AND(NOT(ISBLANK(Jumpoverwrite1)),AND(NOT(M90),AND(M$4:M89))),($J90*$G90-LN(1+Jumpoverwrite1*O$2))/$G90,_xll.qlInterpolationInterpolate(M$3,$F90,TRUE))</f>
        <v>#NUM!</v>
      </c>
      <c r="O90" s="34" t="str">
        <f>IF(AND(NOT(M90),AND(M$4:M89)),IF($N90&lt;0,IF($N90&lt;$J90,EXP(($N90-$J90)*$G90),EXP(($J90-$N90)*$G90)),EXP(($N90-$J90)*$G90)),"")</f>
        <v/>
      </c>
      <c r="P90" s="107"/>
      <c r="Q90" s="72" t="b">
        <f>IF(AND(NOT(M90),AND(M$4:M89)),TRUE,M90)</f>
        <v>0</v>
      </c>
      <c r="R90" s="172" t="e">
        <f>IF(AND(NOT(ISBLANK(Jumpoverwrite2)),AND(NOT(Q90),AND(Q$4:Q89))),($J90*$G90-LN(1+Jumpoverwrite2*S$2))/$G90,_xll.qlInterpolationInterpolate(Q$3,$F90,TRUE))</f>
        <v>#NUM!</v>
      </c>
      <c r="S90" s="176" t="str">
        <f>IF(AND(NOT(Q90),AND(Q$4:Q89)),IF($R90&lt;0,IF($R90&lt;$J90,EXP(($R90-$J90)*$G90),EXP(($J90-$R90)*$G90)),EXP(($R90-$J90)*$G90)),"")</f>
        <v/>
      </c>
      <c r="T90" s="107"/>
      <c r="U90" s="72" t="b">
        <f>IF(AND(NOT(Q90),AND(Q$4:Q89)),TRUE,Q90)</f>
        <v>0</v>
      </c>
      <c r="V90" s="172" t="e">
        <f>IF(AND(NOT(ISBLANK(Jumpoverwrite3)),AND(NOT(U90),AND(U$4:U89))),($J90*$G90-LN(1+Jumpoverwrite3*W$2))/$G90,_xll.qlInterpolationInterpolate(U$3,$F90,TRUE))</f>
        <v>#NUM!</v>
      </c>
      <c r="W90" s="176" t="str">
        <f>IF(AND(NOT(U90),AND(U$4:U89)),IF($V90&lt;0,IF($V90&lt;$J90,EXP(($V90-$J90)*$G90),EXP(($J90-$V90)*$G90)),EXP(($V90-$J90)*$G90)),"")</f>
        <v/>
      </c>
      <c r="X90" s="107"/>
      <c r="Y90" s="72" t="b">
        <f>IF(AND(NOT(U90),AND(U$4:U89)),TRUE,U90)</f>
        <v>0</v>
      </c>
      <c r="Z90" s="172" t="e">
        <f>IF(AND(NOT(ISBLANK(Jumpoverwrite4)),AND(NOT(Y90),AND(Y$4:Y89))),($J90*$G90-LN(1+Jumpoverwrite4*AA$2))/$G90,_xll.qlInterpolationInterpolate(Y$3,$F90,TRUE))</f>
        <v>#NUM!</v>
      </c>
      <c r="AA90" s="176" t="str">
        <f>IF(AND(NOT(Y90),AND(Y$4:Y89)),IF($Z90&lt;0,IF($Z90&lt;$J90,EXP(($Z90-$J90)*$G90),EXP(($J90-$Z90)*$G90)),EXP(($Z90-$J90)*$G90)),"")</f>
        <v/>
      </c>
      <c r="AB90" s="107"/>
      <c r="AC90" s="72" t="b">
        <f>IF(AND(NOT(Y90),AND(Y$4:Y89)),TRUE,Y90)</f>
        <v>0</v>
      </c>
      <c r="AD90" s="172" t="e">
        <f>IF(AND(NOT(ISBLANK(Jumpoverwrite5)),AND(NOT(AC90),AND(AC$4:AC89))),($J90*$G90-LN(1+Jumpoverwrite5*AE$2))/$G90,_xll.qlInterpolationInterpolate(AC$3,$F90,TRUE))</f>
        <v>#NUM!</v>
      </c>
      <c r="AE90" s="176" t="str">
        <f>IF(AND(NOT(AC90),AND(AC$4:AC89)),IF($AD90&lt;0,IF($AD90&lt;$J90,EXP(($AD90-$J90)*$G90),EXP(($J90-$AD90)*$G90)),EXP(($AD90-$J90)*$G90)),"")</f>
        <v/>
      </c>
      <c r="AF90" s="107"/>
      <c r="AG90" s="72" t="b">
        <f>IF(AND(NOT(AC90),AND(AC$4:AC89)),TRUE,AC90)</f>
        <v>0</v>
      </c>
      <c r="AH90" s="172" t="e">
        <f>IF(AND(NOT(ISBLANK(Jumpoverwrite6)),AND(NOT(AG90),AND(AG$4:AG89))),($J90*$G90-LN(1+Jumpoverwrite6*AI$2))/$G90,_xll.qlInterpolationInterpolate(AG$3,$F90,TRUE))</f>
        <v>#NUM!</v>
      </c>
      <c r="AI90" s="176" t="str">
        <f>IF(AND(NOT(AG90),AND(AG$4:AG89)),IF($AH90&lt;0,IF($AH90&lt;$J90,EXP(($AH90-$J90)*$G90),EXP(($J90-$AH90)*$G90)),EXP(($AH90-$J90)*$G90)),"")</f>
        <v/>
      </c>
      <c r="AJ90" s="107"/>
      <c r="AK90" s="72" t="b">
        <f>IF(AND(NOT(AG90),AND(AG$4:AG89)),TRUE,AG90)</f>
        <v>0</v>
      </c>
      <c r="AL90" s="172" t="e">
        <f>IF(AND(NOT(ISBLANK(Jumpoverwrite7)),AND(NOT(AK90),AND(AK$4:AK89))),($J90*$G90-LN(1+Jumpoverwrite7*AM$2))/$G90,_xll.qlInterpolationInterpolate(AK$3,$F90,TRUE))</f>
        <v>#NUM!</v>
      </c>
      <c r="AM90" s="176" t="str">
        <f>IF(AND(NOT(AK90),AND(AK$4:AK89)),IF($AL90&lt;0,IF($AL90&lt;$J90,EXP(($AL90-$J90)*$G90),EXP(($J90-$AL90)*$G90)),EXP(($AL90-$J90)*$G90)),"")</f>
        <v/>
      </c>
      <c r="AO90" s="72" t="b">
        <f>IF(AND(NOT(AK90),AND(AK$4:AK89)),TRUE,AK90)</f>
        <v>0</v>
      </c>
      <c r="AP90" s="172" t="e">
        <f>IF(AND(NOT(ISBLANK(Jumpoverwrite8)),AND(NOT(AO90),AND(AO$4:AO89))),($J90*$G90-LN(1+Jumpoverwrite8*AQ$2))/$G90,_xll.qlInterpolationInterpolate(AO$3,$F90,TRUE))</f>
        <v>#NUM!</v>
      </c>
      <c r="AQ90" s="176" t="str">
        <f>IF(AND(NOT(AO90),AND(AO$4:AO89)),IF($AP90&lt;0,IF($AP90&lt;$J90,EXP(($AP90-$J90)*$G90),EXP(($J90-$AP90)*$G90)),EXP(($AP90-$J90)*$G90)),"")</f>
        <v/>
      </c>
      <c r="AS90" s="72" t="b">
        <f>IF(AND(NOT(AO90),AND(AO$4:AO89)),TRUE,AO90)</f>
        <v>0</v>
      </c>
      <c r="AT90" s="172" t="e">
        <f>IF(AND(NOT(ISBLANK(Jumpoverwrite9)),AND(NOT(AS90),AND(AS$4:AS89))),($J90*$G90-LN(1+Jumpoverwrite9*AU$2))/$G90,_xll.qlInterpolationInterpolate(AS$3,$F90,TRUE))</f>
        <v>#NUM!</v>
      </c>
      <c r="AU90" s="176" t="str">
        <f>IF(AND(NOT(AS90),AND(AS$4:AS89)),IF($AT90&lt;0,IF($AT90&lt;$J90,EXP(($AT90-$J90)*$G90),EXP(($J90-$AT90)*$G90)),EXP(($AT90-$J90)*$G90)),"")</f>
        <v/>
      </c>
      <c r="AW90" s="72" t="b">
        <f>IF(AND(NOT(AS90),AND(AS$4:AS89)),TRUE,AS90)</f>
        <v>0</v>
      </c>
      <c r="AX90" s="172" t="e">
        <f>IF(AND(NOT(ISBLANK(Jumpoverwrite10)),AND(NOT(AW90),AND(AW$4:AW89))),($J90*$G90-LN(1+Jumpoverwrite10*AY$2))/$G90,_xll.qlInterpolationInterpolate(AW$3,$F90,TRUE))</f>
        <v>#NUM!</v>
      </c>
      <c r="AY90" s="176" t="str">
        <f>IF(AND(NOT(AW90),AND(AW$4:AW89)),IF($AX90&lt;0,IF($AX90&lt;$J90,EXP(($AX90-$J90)*$G90),EXP(($J90-$AX90)*$G90)),EXP(($AX90-$J90)*$G90)),"")</f>
        <v/>
      </c>
      <c r="BA90" s="72" t="b">
        <f>IF(AND(NOT(AW90),AND(AW$4:AW89)),TRUE,AW90)</f>
        <v>0</v>
      </c>
      <c r="BB90" s="172" t="e">
        <f>IF(AND(NOT(ISBLANK(Jumpoverwrite11)),AND(NOT(BA90),AND(BA$4:BA89))),($J90*$G90-LN(1+Jumpoverwrite11*BC$2))/$G90,_xll.qlInterpolationInterpolate(BA$3,$F90,TRUE))</f>
        <v>#NUM!</v>
      </c>
      <c r="BC90" s="176" t="str">
        <f>IF(AND(NOT(BA90),AND(BA$4:BA89)),IF($BB90&lt;0,IF($BB90&lt;$J90,EXP(($BB90-$J90)*$G90),EXP(($J90-$BB90)*$G90)),EXP(($BB90-$J90)*$G90)),"")</f>
        <v/>
      </c>
      <c r="BE90" s="72" t="b">
        <f>IF(AND(NOT(BA90),AND(BA$4:BA89)),TRUE,BA90)</f>
        <v>0</v>
      </c>
      <c r="BF90" s="172" t="e">
        <f>IF(AND(NOT(ISBLANK(Jumpoverwrite12)),AND(NOT(BE90),AND(BE$4:BE89))),($J90*$G90-LN(1+Jumpoverwrite12*BG$2))/$G90,_xll.qlInterpolationInterpolate(BE$3,$F90,TRUE))</f>
        <v>#NUM!</v>
      </c>
      <c r="BG90" s="176" t="str">
        <f>IF(AND(NOT(BE90),AND(BE$4:BE89)),IF($BF90&lt;0,IF($BF90&lt;$J90,EXP(($BF90-$J90)*$G90),EXP(($J90-$BF90)*$G90)),EXP(($BF90-$J90)*$G90)),"")</f>
        <v/>
      </c>
      <c r="BI90" s="72" t="b">
        <f t="shared" si="6"/>
        <v>0</v>
      </c>
      <c r="BJ90" s="172" t="e">
        <f>IF(AND(NOT(ISBLANK(jumpoverwrite13)),AND(NOT(BI90),AND(BI$4:BI89))),($J90*$G90-LN(1+jumpoverwrite13*BK$2))/$G90,_xll.qlInterpolationInterpolate(BI$3,$F90,TRUE))</f>
        <v>#NUM!</v>
      </c>
      <c r="BK90" s="176" t="str">
        <f>IF(AND(NOT(BI90),AND(BI$4:BI89)),IF($BJ90&lt;0,IF($BJ90&lt;$J90,EXP(($BJ90-$J90)*$G90),EXP(($J90-$BJ90)*$G90)),EXP(($BJ90-$J90)*$G90)),"")</f>
        <v/>
      </c>
      <c r="BM90" s="72" t="b">
        <f>IF(AND(NOT(BI90),AND(BI$4:BI89)),TRUE,BI90)</f>
        <v>0</v>
      </c>
      <c r="BN90" s="172" t="e">
        <f>IF(AND(NOT(ISBLANK(Jumpoverwrite14)),AND(NOT(BM90),AND(BM$4:BM89))),($J90*$G90-LN(1+Jumpoverwrite14*BO$2))/$G90,_xll.qlInterpolationInterpolate(BM$3,$F90,TRUE))</f>
        <v>#NUM!</v>
      </c>
      <c r="BO90" s="176" t="str">
        <f>IF(AND(NOT(BM90),AND(BM$4:BM89)),IF($BN90&lt;0,IF($BN90&lt;$J90,EXP(($BN90-$J90)*$G90),EXP(($J90-$BN90)*$G90)),EXP(($BN90-$J90)*$G90)),"")</f>
        <v/>
      </c>
      <c r="BQ90" s="72" t="b">
        <f>IF(AND(NOT(BM90),AND(BM$4:BM89)),TRUE,BM90)</f>
        <v>0</v>
      </c>
      <c r="BR90" s="172" t="e">
        <f>IF(AND(NOT(ISBLANK(Jumpoverwrite15)),AND(NOT(BQ90),AND(BQ$4:BQ89))),($J90*$G90-LN(1+Jumpoverwrite15*BS$2))/$G90,_xll.qlInterpolationInterpolate(BQ$3,$F90,TRUE))</f>
        <v>#NUM!</v>
      </c>
      <c r="BS90" s="176" t="str">
        <f>IF(AND(NOT(BQ90),AND(BQ$4:BQ89)),IF($BN90&lt;0,IF($BN90&lt;$J90,EXP(($BN90-$J90)*$G90),EXP(($J90-$BN90)*$G90)),EXP(($BN90-$J90)*$G90)),"")</f>
        <v/>
      </c>
    </row>
    <row r="91" spans="1:71" x14ac:dyDescent="0.2">
      <c r="A91" s="33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84" t="e">
        <f t="shared" si="4"/>
        <v>#N/A</v>
      </c>
      <c r="G91" s="85" t="e">
        <f>_xll.qlDayCounterYearFraction(DayCounter,D90,D91)</f>
        <v>#NUM!</v>
      </c>
      <c r="I91" s="93" t="b">
        <f t="shared" si="7"/>
        <v>0</v>
      </c>
      <c r="J91" s="37" t="e">
        <v>#N/A</v>
      </c>
      <c r="K91" s="94" t="e">
        <f t="shared" si="8"/>
        <v>#VALUE!</v>
      </c>
      <c r="L91" s="105"/>
      <c r="M91" s="72" t="b">
        <f>IF(AND(NOT(I91),AND(I$4:I90)),TRUE,I91)</f>
        <v>0</v>
      </c>
      <c r="N91" s="172" t="e">
        <f>IF(AND(NOT(ISBLANK(Jumpoverwrite1)),AND(NOT(M91),AND(M$4:M90))),($J91*$G91-LN(1+Jumpoverwrite1*O$2))/$G91,_xll.qlInterpolationInterpolate(M$3,$F91,TRUE))</f>
        <v>#NUM!</v>
      </c>
      <c r="O91" s="34" t="str">
        <f>IF(AND(NOT(M91),AND(M$4:M90)),IF($N91&lt;0,IF($N91&lt;$J91,EXP(($N91-$J91)*$G91),EXP(($J91-$N91)*$G91)),EXP(($N91-$J91)*$G91)),"")</f>
        <v/>
      </c>
      <c r="P91" s="107"/>
      <c r="Q91" s="72" t="b">
        <f>IF(AND(NOT(M91),AND(M$4:M90)),TRUE,M91)</f>
        <v>0</v>
      </c>
      <c r="R91" s="172" t="e">
        <f>IF(AND(NOT(ISBLANK(Jumpoverwrite2)),AND(NOT(Q91),AND(Q$4:Q90))),($J91*$G91-LN(1+Jumpoverwrite2*S$2))/$G91,_xll.qlInterpolationInterpolate(Q$3,$F91,TRUE))</f>
        <v>#NUM!</v>
      </c>
      <c r="S91" s="176" t="str">
        <f>IF(AND(NOT(Q91),AND(Q$4:Q90)),IF($R91&lt;0,IF($R91&lt;$J91,EXP(($R91-$J91)*$G91),EXP(($J91-$R91)*$G91)),EXP(($R91-$J91)*$G91)),"")</f>
        <v/>
      </c>
      <c r="T91" s="107"/>
      <c r="U91" s="72" t="b">
        <f>IF(AND(NOT(Q91),AND(Q$4:Q90)),TRUE,Q91)</f>
        <v>0</v>
      </c>
      <c r="V91" s="172" t="e">
        <f>IF(AND(NOT(ISBLANK(Jumpoverwrite3)),AND(NOT(U91),AND(U$4:U90))),($J91*$G91-LN(1+Jumpoverwrite3*W$2))/$G91,_xll.qlInterpolationInterpolate(U$3,$F91,TRUE))</f>
        <v>#NUM!</v>
      </c>
      <c r="W91" s="176" t="str">
        <f>IF(AND(NOT(U91),AND(U$4:U90)),IF($V91&lt;0,IF($V91&lt;$J91,EXP(($V91-$J91)*$G91),EXP(($J91-$V91)*$G91)),EXP(($V91-$J91)*$G91)),"")</f>
        <v/>
      </c>
      <c r="X91" s="107"/>
      <c r="Y91" s="72" t="b">
        <f>IF(AND(NOT(U91),AND(U$4:U90)),TRUE,U91)</f>
        <v>0</v>
      </c>
      <c r="Z91" s="172" t="e">
        <f>IF(AND(NOT(ISBLANK(Jumpoverwrite4)),AND(NOT(Y91),AND(Y$4:Y90))),($J91*$G91-LN(1+Jumpoverwrite4*AA$2))/$G91,_xll.qlInterpolationInterpolate(Y$3,$F91,TRUE))</f>
        <v>#NUM!</v>
      </c>
      <c r="AA91" s="176" t="str">
        <f>IF(AND(NOT(Y91),AND(Y$4:Y90)),IF($Z91&lt;0,IF($Z91&lt;$J91,EXP(($Z91-$J91)*$G91),EXP(($J91-$Z91)*$G91)),EXP(($Z91-$J91)*$G91)),"")</f>
        <v/>
      </c>
      <c r="AB91" s="107"/>
      <c r="AC91" s="72" t="b">
        <f>IF(AND(NOT(Y91),AND(Y$4:Y90)),TRUE,Y91)</f>
        <v>0</v>
      </c>
      <c r="AD91" s="172" t="e">
        <f>IF(AND(NOT(ISBLANK(Jumpoverwrite5)),AND(NOT(AC91),AND(AC$4:AC90))),($J91*$G91-LN(1+Jumpoverwrite5*AE$2))/$G91,_xll.qlInterpolationInterpolate(AC$3,$F91,TRUE))</f>
        <v>#NUM!</v>
      </c>
      <c r="AE91" s="176" t="str">
        <f>IF(AND(NOT(AC91),AND(AC$4:AC90)),IF($AD91&lt;0,IF($AD91&lt;$J91,EXP(($AD91-$J91)*$G91),EXP(($J91-$AD91)*$G91)),EXP(($AD91-$J91)*$G91)),"")</f>
        <v/>
      </c>
      <c r="AF91" s="107"/>
      <c r="AG91" s="72" t="b">
        <f>IF(AND(NOT(AC91),AND(AC$4:AC90)),TRUE,AC91)</f>
        <v>0</v>
      </c>
      <c r="AH91" s="172" t="e">
        <f>IF(AND(NOT(ISBLANK(Jumpoverwrite6)),AND(NOT(AG91),AND(AG$4:AG90))),($J91*$G91-LN(1+Jumpoverwrite6*AI$2))/$G91,_xll.qlInterpolationInterpolate(AG$3,$F91,TRUE))</f>
        <v>#NUM!</v>
      </c>
      <c r="AI91" s="176" t="str">
        <f>IF(AND(NOT(AG91),AND(AG$4:AG90)),IF($AH91&lt;0,IF($AH91&lt;$J91,EXP(($AH91-$J91)*$G91),EXP(($J91-$AH91)*$G91)),EXP(($AH91-$J91)*$G91)),"")</f>
        <v/>
      </c>
      <c r="AJ91" s="107"/>
      <c r="AK91" s="72" t="b">
        <f>IF(AND(NOT(AG91),AND(AG$4:AG90)),TRUE,AG91)</f>
        <v>0</v>
      </c>
      <c r="AL91" s="172" t="e">
        <f>IF(AND(NOT(ISBLANK(Jumpoverwrite7)),AND(NOT(AK91),AND(AK$4:AK90))),($J91*$G91-LN(1+Jumpoverwrite7*AM$2))/$G91,_xll.qlInterpolationInterpolate(AK$3,$F91,TRUE))</f>
        <v>#NUM!</v>
      </c>
      <c r="AM91" s="176" t="str">
        <f>IF(AND(NOT(AK91),AND(AK$4:AK90)),IF($AL91&lt;0,IF($AL91&lt;$J91,EXP(($AL91-$J91)*$G91),EXP(($J91-$AL91)*$G91)),EXP(($AL91-$J91)*$G91)),"")</f>
        <v/>
      </c>
      <c r="AO91" s="72" t="b">
        <f>IF(AND(NOT(AK91),AND(AK$4:AK90)),TRUE,AK91)</f>
        <v>0</v>
      </c>
      <c r="AP91" s="172" t="e">
        <f>IF(AND(NOT(ISBLANK(Jumpoverwrite8)),AND(NOT(AO91),AND(AO$4:AO90))),($J91*$G91-LN(1+Jumpoverwrite8*AQ$2))/$G91,_xll.qlInterpolationInterpolate(AO$3,$F91,TRUE))</f>
        <v>#NUM!</v>
      </c>
      <c r="AQ91" s="176" t="str">
        <f>IF(AND(NOT(AO91),AND(AO$4:AO90)),IF($AP91&lt;0,IF($AP91&lt;$J91,EXP(($AP91-$J91)*$G91),EXP(($J91-$AP91)*$G91)),EXP(($AP91-$J91)*$G91)),"")</f>
        <v/>
      </c>
      <c r="AS91" s="72" t="b">
        <f>IF(AND(NOT(AO91),AND(AO$4:AO90)),TRUE,AO91)</f>
        <v>0</v>
      </c>
      <c r="AT91" s="172" t="e">
        <f>IF(AND(NOT(ISBLANK(Jumpoverwrite9)),AND(NOT(AS91),AND(AS$4:AS90))),($J91*$G91-LN(1+Jumpoverwrite9*AU$2))/$G91,_xll.qlInterpolationInterpolate(AS$3,$F91,TRUE))</f>
        <v>#NUM!</v>
      </c>
      <c r="AU91" s="176" t="str">
        <f>IF(AND(NOT(AS91),AND(AS$4:AS90)),IF($AT91&lt;0,IF($AT91&lt;$J91,EXP(($AT91-$J91)*$G91),EXP(($J91-$AT91)*$G91)),EXP(($AT91-$J91)*$G91)),"")</f>
        <v/>
      </c>
      <c r="AW91" s="72" t="b">
        <f>IF(AND(NOT(AS91),AND(AS$4:AS90)),TRUE,AS91)</f>
        <v>0</v>
      </c>
      <c r="AX91" s="172" t="e">
        <f>IF(AND(NOT(ISBLANK(Jumpoverwrite10)),AND(NOT(AW91),AND(AW$4:AW90))),($J91*$G91-LN(1+Jumpoverwrite10*AY$2))/$G91,_xll.qlInterpolationInterpolate(AW$3,$F91,TRUE))</f>
        <v>#NUM!</v>
      </c>
      <c r="AY91" s="176" t="str">
        <f>IF(AND(NOT(AW91),AND(AW$4:AW90)),IF($AX91&lt;0,IF($AX91&lt;$J91,EXP(($AX91-$J91)*$G91),EXP(($J91-$AX91)*$G91)),EXP(($AX91-$J91)*$G91)),"")</f>
        <v/>
      </c>
      <c r="BA91" s="72" t="b">
        <f>IF(AND(NOT(AW91),AND(AW$4:AW90)),TRUE,AW91)</f>
        <v>0</v>
      </c>
      <c r="BB91" s="172" t="e">
        <f>IF(AND(NOT(ISBLANK(Jumpoverwrite11)),AND(NOT(BA91),AND(BA$4:BA90))),($J91*$G91-LN(1+Jumpoverwrite11*BC$2))/$G91,_xll.qlInterpolationInterpolate(BA$3,$F91,TRUE))</f>
        <v>#NUM!</v>
      </c>
      <c r="BC91" s="176" t="str">
        <f>IF(AND(NOT(BA91),AND(BA$4:BA90)),IF($BB91&lt;0,IF($BB91&lt;$J91,EXP(($BB91-$J91)*$G91),EXP(($J91-$BB91)*$G91)),EXP(($BB91-$J91)*$G91)),"")</f>
        <v/>
      </c>
      <c r="BE91" s="72" t="b">
        <f>IF(AND(NOT(BA91),AND(BA$4:BA90)),TRUE,BA91)</f>
        <v>0</v>
      </c>
      <c r="BF91" s="172" t="e">
        <f>IF(AND(NOT(ISBLANK(Jumpoverwrite12)),AND(NOT(BE91),AND(BE$4:BE90))),($J91*$G91-LN(1+Jumpoverwrite12*BG$2))/$G91,_xll.qlInterpolationInterpolate(BE$3,$F91,TRUE))</f>
        <v>#NUM!</v>
      </c>
      <c r="BG91" s="176" t="str">
        <f>IF(AND(NOT(BE91),AND(BE$4:BE90)),IF($BF91&lt;0,IF($BF91&lt;$J91,EXP(($BF91-$J91)*$G91),EXP(($J91-$BF91)*$G91)),EXP(($BF91-$J91)*$G91)),"")</f>
        <v/>
      </c>
      <c r="BI91" s="72" t="b">
        <f t="shared" si="6"/>
        <v>0</v>
      </c>
      <c r="BJ91" s="172" t="e">
        <f>IF(AND(NOT(ISBLANK(jumpoverwrite13)),AND(NOT(BI91),AND(BI$4:BI90))),($J91*$G91-LN(1+jumpoverwrite13*BK$2))/$G91,_xll.qlInterpolationInterpolate(BI$3,$F91,TRUE))</f>
        <v>#NUM!</v>
      </c>
      <c r="BK91" s="176" t="str">
        <f>IF(AND(NOT(BI91),AND(BI$4:BI90)),IF($BJ91&lt;0,IF($BJ91&lt;$J91,EXP(($BJ91-$J91)*$G91),EXP(($J91-$BJ91)*$G91)),EXP(($BJ91-$J91)*$G91)),"")</f>
        <v/>
      </c>
      <c r="BM91" s="72" t="b">
        <f>IF(AND(NOT(BI91),AND(BI$4:BI90)),TRUE,BI91)</f>
        <v>0</v>
      </c>
      <c r="BN91" s="172" t="e">
        <f>IF(AND(NOT(ISBLANK(Jumpoverwrite14)),AND(NOT(BM91),AND(BM$4:BM90))),($J91*$G91-LN(1+Jumpoverwrite14*BO$2))/$G91,_xll.qlInterpolationInterpolate(BM$3,$F91,TRUE))</f>
        <v>#NUM!</v>
      </c>
      <c r="BO91" s="176" t="str">
        <f>IF(AND(NOT(BM91),AND(BM$4:BM90)),IF($BN91&lt;0,IF($BN91&lt;$J91,EXP(($BN91-$J91)*$G91),EXP(($J91-$BN91)*$G91)),EXP(($BN91-$J91)*$G91)),"")</f>
        <v/>
      </c>
      <c r="BQ91" s="72" t="b">
        <f>IF(AND(NOT(BM91),AND(BM$4:BM90)),TRUE,BM91)</f>
        <v>0</v>
      </c>
      <c r="BR91" s="172" t="e">
        <f>IF(AND(NOT(ISBLANK(Jumpoverwrite15)),AND(NOT(BQ91),AND(BQ$4:BQ90))),($J91*$G91-LN(1+Jumpoverwrite15*BS$2))/$G91,_xll.qlInterpolationInterpolate(BQ$3,$F91,TRUE))</f>
        <v>#NUM!</v>
      </c>
      <c r="BS91" s="176" t="str">
        <f>IF(AND(NOT(BQ91),AND(BQ$4:BQ90)),IF($BN91&lt;0,IF($BN91&lt;$J91,EXP(($BN91-$J91)*$G91),EXP(($J91-$BN91)*$G91)),EXP(($BN91-$J91)*$G91)),"")</f>
        <v/>
      </c>
    </row>
    <row r="92" spans="1:71" x14ac:dyDescent="0.2">
      <c r="A92" s="33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84" t="e">
        <f t="shared" si="4"/>
        <v>#N/A</v>
      </c>
      <c r="G92" s="85" t="e">
        <f>_xll.qlDayCounterYearFraction(DayCounter,D91,D92)</f>
        <v>#NUM!</v>
      </c>
      <c r="I92" s="93" t="b">
        <f t="shared" si="7"/>
        <v>0</v>
      </c>
      <c r="J92" s="37" t="e">
        <v>#N/A</v>
      </c>
      <c r="K92" s="94" t="e">
        <f t="shared" si="8"/>
        <v>#VALUE!</v>
      </c>
      <c r="L92" s="105"/>
      <c r="M92" s="72" t="b">
        <f>IF(AND(NOT(I92),AND(I$4:I91)),TRUE,I92)</f>
        <v>0</v>
      </c>
      <c r="N92" s="172" t="e">
        <f>IF(AND(NOT(ISBLANK(Jumpoverwrite1)),AND(NOT(M92),AND(M$4:M91))),($J92*$G92-LN(1+Jumpoverwrite1*O$2))/$G92,_xll.qlInterpolationInterpolate(M$3,$F92,TRUE))</f>
        <v>#NUM!</v>
      </c>
      <c r="O92" s="34" t="str">
        <f>IF(AND(NOT(M92),AND(M$4:M91)),IF($N92&lt;0,IF($N92&lt;$J92,EXP(($N92-$J92)*$G92),EXP(($J92-$N92)*$G92)),EXP(($N92-$J92)*$G92)),"")</f>
        <v/>
      </c>
      <c r="P92" s="107"/>
      <c r="Q92" s="72" t="b">
        <f>IF(AND(NOT(M92),AND(M$4:M91)),TRUE,M92)</f>
        <v>0</v>
      </c>
      <c r="R92" s="172" t="e">
        <f>IF(AND(NOT(ISBLANK(Jumpoverwrite2)),AND(NOT(Q92),AND(Q$4:Q91))),($J92*$G92-LN(1+Jumpoverwrite2*S$2))/$G92,_xll.qlInterpolationInterpolate(Q$3,$F92,TRUE))</f>
        <v>#NUM!</v>
      </c>
      <c r="S92" s="176" t="str">
        <f>IF(AND(NOT(Q92),AND(Q$4:Q91)),IF($R92&lt;0,IF($R92&lt;$J92,EXP(($R92-$J92)*$G92),EXP(($J92-$R92)*$G92)),EXP(($R92-$J92)*$G92)),"")</f>
        <v/>
      </c>
      <c r="T92" s="107"/>
      <c r="U92" s="72" t="b">
        <f>IF(AND(NOT(Q92),AND(Q$4:Q91)),TRUE,Q92)</f>
        <v>0</v>
      </c>
      <c r="V92" s="172" t="e">
        <f>IF(AND(NOT(ISBLANK(Jumpoverwrite3)),AND(NOT(U92),AND(U$4:U91))),($J92*$G92-LN(1+Jumpoverwrite3*W$2))/$G92,_xll.qlInterpolationInterpolate(U$3,$F92,TRUE))</f>
        <v>#NUM!</v>
      </c>
      <c r="W92" s="176" t="str">
        <f>IF(AND(NOT(U92),AND(U$4:U91)),IF($V92&lt;0,IF($V92&lt;$J92,EXP(($V92-$J92)*$G92),EXP(($J92-$V92)*$G92)),EXP(($V92-$J92)*$G92)),"")</f>
        <v/>
      </c>
      <c r="X92" s="107"/>
      <c r="Y92" s="72" t="b">
        <f>IF(AND(NOT(U92),AND(U$4:U91)),TRUE,U92)</f>
        <v>0</v>
      </c>
      <c r="Z92" s="172" t="e">
        <f>IF(AND(NOT(ISBLANK(Jumpoverwrite4)),AND(NOT(Y92),AND(Y$4:Y91))),($J92*$G92-LN(1+Jumpoverwrite4*AA$2))/$G92,_xll.qlInterpolationInterpolate(Y$3,$F92,TRUE))</f>
        <v>#NUM!</v>
      </c>
      <c r="AA92" s="176" t="str">
        <f>IF(AND(NOT(Y92),AND(Y$4:Y91)),IF($Z92&lt;0,IF($Z92&lt;$J92,EXP(($Z92-$J92)*$G92),EXP(($J92-$Z92)*$G92)),EXP(($Z92-$J92)*$G92)),"")</f>
        <v/>
      </c>
      <c r="AB92" s="107"/>
      <c r="AC92" s="72" t="b">
        <f>IF(AND(NOT(Y92),AND(Y$4:Y91)),TRUE,Y92)</f>
        <v>0</v>
      </c>
      <c r="AD92" s="172" t="e">
        <f>IF(AND(NOT(ISBLANK(Jumpoverwrite5)),AND(NOT(AC92),AND(AC$4:AC91))),($J92*$G92-LN(1+Jumpoverwrite5*AE$2))/$G92,_xll.qlInterpolationInterpolate(AC$3,$F92,TRUE))</f>
        <v>#NUM!</v>
      </c>
      <c r="AE92" s="176" t="str">
        <f>IF(AND(NOT(AC92),AND(AC$4:AC91)),IF($AD92&lt;0,IF($AD92&lt;$J92,EXP(($AD92-$J92)*$G92),EXP(($J92-$AD92)*$G92)),EXP(($AD92-$J92)*$G92)),"")</f>
        <v/>
      </c>
      <c r="AF92" s="107"/>
      <c r="AG92" s="72" t="b">
        <f>IF(AND(NOT(AC92),AND(AC$4:AC91)),TRUE,AC92)</f>
        <v>0</v>
      </c>
      <c r="AH92" s="172" t="e">
        <f>IF(AND(NOT(ISBLANK(Jumpoverwrite6)),AND(NOT(AG92),AND(AG$4:AG91))),($J92*$G92-LN(1+Jumpoverwrite6*AI$2))/$G92,_xll.qlInterpolationInterpolate(AG$3,$F92,TRUE))</f>
        <v>#NUM!</v>
      </c>
      <c r="AI92" s="176" t="str">
        <f>IF(AND(NOT(AG92),AND(AG$4:AG91)),IF($AH92&lt;0,IF($AH92&lt;$J92,EXP(($AH92-$J92)*$G92),EXP(($J92-$AH92)*$G92)),EXP(($AH92-$J92)*$G92)),"")</f>
        <v/>
      </c>
      <c r="AJ92" s="107"/>
      <c r="AK92" s="72" t="b">
        <f>IF(AND(NOT(AG92),AND(AG$4:AG91)),TRUE,AG92)</f>
        <v>0</v>
      </c>
      <c r="AL92" s="172" t="e">
        <f>IF(AND(NOT(ISBLANK(Jumpoverwrite7)),AND(NOT(AK92),AND(AK$4:AK91))),($J92*$G92-LN(1+Jumpoverwrite7*AM$2))/$G92,_xll.qlInterpolationInterpolate(AK$3,$F92,TRUE))</f>
        <v>#NUM!</v>
      </c>
      <c r="AM92" s="176" t="str">
        <f>IF(AND(NOT(AK92),AND(AK$4:AK91)),IF($AL92&lt;0,IF($AL92&lt;$J92,EXP(($AL92-$J92)*$G92),EXP(($J92-$AL92)*$G92)),EXP(($AL92-$J92)*$G92)),"")</f>
        <v/>
      </c>
      <c r="AO92" s="72" t="b">
        <f>IF(AND(NOT(AK92),AND(AK$4:AK91)),TRUE,AK92)</f>
        <v>0</v>
      </c>
      <c r="AP92" s="172" t="e">
        <f>IF(AND(NOT(ISBLANK(Jumpoverwrite8)),AND(NOT(AO92),AND(AO$4:AO91))),($J92*$G92-LN(1+Jumpoverwrite8*AQ$2))/$G92,_xll.qlInterpolationInterpolate(AO$3,$F92,TRUE))</f>
        <v>#NUM!</v>
      </c>
      <c r="AQ92" s="176" t="str">
        <f>IF(AND(NOT(AO92),AND(AO$4:AO91)),IF($AP92&lt;0,IF($AP92&lt;$J92,EXP(($AP92-$J92)*$G92),EXP(($J92-$AP92)*$G92)),EXP(($AP92-$J92)*$G92)),"")</f>
        <v/>
      </c>
      <c r="AS92" s="72" t="b">
        <f>IF(AND(NOT(AO92),AND(AO$4:AO91)),TRUE,AO92)</f>
        <v>0</v>
      </c>
      <c r="AT92" s="172" t="e">
        <f>IF(AND(NOT(ISBLANK(Jumpoverwrite9)),AND(NOT(AS92),AND(AS$4:AS91))),($J92*$G92-LN(1+Jumpoverwrite9*AU$2))/$G92,_xll.qlInterpolationInterpolate(AS$3,$F92,TRUE))</f>
        <v>#NUM!</v>
      </c>
      <c r="AU92" s="176" t="str">
        <f>IF(AND(NOT(AS92),AND(AS$4:AS91)),IF($AT92&lt;0,IF($AT92&lt;$J92,EXP(($AT92-$J92)*$G92),EXP(($J92-$AT92)*$G92)),EXP(($AT92-$J92)*$G92)),"")</f>
        <v/>
      </c>
      <c r="AW92" s="72" t="b">
        <f>IF(AND(NOT(AS92),AND(AS$4:AS91)),TRUE,AS92)</f>
        <v>0</v>
      </c>
      <c r="AX92" s="172" t="e">
        <f>IF(AND(NOT(ISBLANK(Jumpoverwrite10)),AND(NOT(AW92),AND(AW$4:AW91))),($J92*$G92-LN(1+Jumpoverwrite10*AY$2))/$G92,_xll.qlInterpolationInterpolate(AW$3,$F92,TRUE))</f>
        <v>#NUM!</v>
      </c>
      <c r="AY92" s="176" t="str">
        <f>IF(AND(NOT(AW92),AND(AW$4:AW91)),IF($AX92&lt;0,IF($AX92&lt;$J92,EXP(($AX92-$J92)*$G92),EXP(($J92-$AX92)*$G92)),EXP(($AX92-$J92)*$G92)),"")</f>
        <v/>
      </c>
      <c r="BA92" s="72" t="b">
        <f>IF(AND(NOT(AW92),AND(AW$4:AW91)),TRUE,AW92)</f>
        <v>0</v>
      </c>
      <c r="BB92" s="172" t="e">
        <f>IF(AND(NOT(ISBLANK(Jumpoverwrite11)),AND(NOT(BA92),AND(BA$4:BA91))),($J92*$G92-LN(1+Jumpoverwrite11*BC$2))/$G92,_xll.qlInterpolationInterpolate(BA$3,$F92,TRUE))</f>
        <v>#NUM!</v>
      </c>
      <c r="BC92" s="176" t="str">
        <f>IF(AND(NOT(BA92),AND(BA$4:BA91)),IF($BB92&lt;0,IF($BB92&lt;$J92,EXP(($BB92-$J92)*$G92),EXP(($J92-$BB92)*$G92)),EXP(($BB92-$J92)*$G92)),"")</f>
        <v/>
      </c>
      <c r="BE92" s="72" t="b">
        <f>IF(AND(NOT(BA92),AND(BA$4:BA91)),TRUE,BA92)</f>
        <v>0</v>
      </c>
      <c r="BF92" s="172" t="e">
        <f>IF(AND(NOT(ISBLANK(Jumpoverwrite12)),AND(NOT(BE92),AND(BE$4:BE91))),($J92*$G92-LN(1+Jumpoverwrite12*BG$2))/$G92,_xll.qlInterpolationInterpolate(BE$3,$F92,TRUE))</f>
        <v>#NUM!</v>
      </c>
      <c r="BG92" s="176" t="str">
        <f>IF(AND(NOT(BE92),AND(BE$4:BE91)),IF($BF92&lt;0,IF($BF92&lt;$J92,EXP(($BF92-$J92)*$G92),EXP(($J92-$BF92)*$G92)),EXP(($BF92-$J92)*$G92)),"")</f>
        <v/>
      </c>
      <c r="BI92" s="72" t="b">
        <f t="shared" si="6"/>
        <v>0</v>
      </c>
      <c r="BJ92" s="172" t="e">
        <f>IF(AND(NOT(ISBLANK(jumpoverwrite13)),AND(NOT(BI92),AND(BI$4:BI91))),($J92*$G92-LN(1+jumpoverwrite13*BK$2))/$G92,_xll.qlInterpolationInterpolate(BI$3,$F92,TRUE))</f>
        <v>#NUM!</v>
      </c>
      <c r="BK92" s="176" t="str">
        <f>IF(AND(NOT(BI92),AND(BI$4:BI91)),IF($BJ92&lt;0,IF($BJ92&lt;$J92,EXP(($BJ92-$J92)*$G92),EXP(($J92-$BJ92)*$G92)),EXP(($BJ92-$J92)*$G92)),"")</f>
        <v/>
      </c>
      <c r="BM92" s="72" t="b">
        <f>IF(AND(NOT(BI92),AND(BI$4:BI91)),TRUE,BI92)</f>
        <v>0</v>
      </c>
      <c r="BN92" s="172" t="e">
        <f>IF(AND(NOT(ISBLANK(Jumpoverwrite14)),AND(NOT(BM92),AND(BM$4:BM91))),($J92*$G92-LN(1+Jumpoverwrite14*BO$2))/$G92,_xll.qlInterpolationInterpolate(BM$3,$F92,TRUE))</f>
        <v>#NUM!</v>
      </c>
      <c r="BO92" s="176" t="str">
        <f>IF(AND(NOT(BM92),AND(BM$4:BM91)),IF($BN92&lt;0,IF($BN92&lt;$J92,EXP(($BN92-$J92)*$G92),EXP(($J92-$BN92)*$G92)),EXP(($BN92-$J92)*$G92)),"")</f>
        <v/>
      </c>
      <c r="BQ92" s="72" t="b">
        <f>IF(AND(NOT(BM92),AND(BM$4:BM91)),TRUE,BM92)</f>
        <v>0</v>
      </c>
      <c r="BR92" s="172" t="e">
        <f>IF(AND(NOT(ISBLANK(Jumpoverwrite15)),AND(NOT(BQ92),AND(BQ$4:BQ91))),($J92*$G92-LN(1+Jumpoverwrite15*BS$2))/$G92,_xll.qlInterpolationInterpolate(BQ$3,$F92,TRUE))</f>
        <v>#NUM!</v>
      </c>
      <c r="BS92" s="176" t="str">
        <f>IF(AND(NOT(BQ92),AND(BQ$4:BQ91)),IF($BN92&lt;0,IF($BN92&lt;$J92,EXP(($BN92-$J92)*$G92),EXP(($J92-$BN92)*$G92)),EXP(($BN92-$J92)*$G92)),"")</f>
        <v/>
      </c>
    </row>
    <row r="93" spans="1:71" x14ac:dyDescent="0.2">
      <c r="A93" s="33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84" t="e">
        <f t="shared" si="4"/>
        <v>#N/A</v>
      </c>
      <c r="G93" s="85" t="e">
        <f>_xll.qlDayCounterYearFraction(DayCounter,D92,D93)</f>
        <v>#NUM!</v>
      </c>
      <c r="I93" s="93" t="b">
        <f t="shared" si="7"/>
        <v>0</v>
      </c>
      <c r="J93" s="37" t="e">
        <v>#N/A</v>
      </c>
      <c r="K93" s="94" t="e">
        <f t="shared" si="8"/>
        <v>#VALUE!</v>
      </c>
      <c r="L93" s="105"/>
      <c r="M93" s="72" t="b">
        <f>IF(AND(NOT(I93),AND(I$4:I92)),TRUE,I93)</f>
        <v>0</v>
      </c>
      <c r="N93" s="172" t="e">
        <f>IF(AND(NOT(ISBLANK(Jumpoverwrite1)),AND(NOT(M93),AND(M$4:M92))),($J93*$G93-LN(1+Jumpoverwrite1*O$2))/$G93,_xll.qlInterpolationInterpolate(M$3,$F93,TRUE))</f>
        <v>#NUM!</v>
      </c>
      <c r="O93" s="34" t="str">
        <f>IF(AND(NOT(M93),AND(M$4:M92)),IF($N93&lt;0,IF($N93&lt;$J93,EXP(($N93-$J93)*$G93),EXP(($J93-$N93)*$G93)),EXP(($N93-$J93)*$G93)),"")</f>
        <v/>
      </c>
      <c r="P93" s="107"/>
      <c r="Q93" s="72" t="b">
        <f>IF(AND(NOT(M93),AND(M$4:M92)),TRUE,M93)</f>
        <v>0</v>
      </c>
      <c r="R93" s="172" t="e">
        <f>IF(AND(NOT(ISBLANK(Jumpoverwrite2)),AND(NOT(Q93),AND(Q$4:Q92))),($J93*$G93-LN(1+Jumpoverwrite2*S$2))/$G93,_xll.qlInterpolationInterpolate(Q$3,$F93,TRUE))</f>
        <v>#NUM!</v>
      </c>
      <c r="S93" s="176" t="str">
        <f>IF(AND(NOT(Q93),AND(Q$4:Q92)),IF($R93&lt;0,IF($R93&lt;$J93,EXP(($R93-$J93)*$G93),EXP(($J93-$R93)*$G93)),EXP(($R93-$J93)*$G93)),"")</f>
        <v/>
      </c>
      <c r="T93" s="107"/>
      <c r="U93" s="72" t="b">
        <f>IF(AND(NOT(Q93),AND(Q$4:Q92)),TRUE,Q93)</f>
        <v>0</v>
      </c>
      <c r="V93" s="172" t="e">
        <f>IF(AND(NOT(ISBLANK(Jumpoverwrite3)),AND(NOT(U93),AND(U$4:U92))),($J93*$G93-LN(1+Jumpoverwrite3*W$2))/$G93,_xll.qlInterpolationInterpolate(U$3,$F93,TRUE))</f>
        <v>#NUM!</v>
      </c>
      <c r="W93" s="176" t="str">
        <f>IF(AND(NOT(U93),AND(U$4:U92)),IF($V93&lt;0,IF($V93&lt;$J93,EXP(($V93-$J93)*$G93),EXP(($J93-$V93)*$G93)),EXP(($V93-$J93)*$G93)),"")</f>
        <v/>
      </c>
      <c r="X93" s="107"/>
      <c r="Y93" s="72" t="b">
        <f>IF(AND(NOT(U93),AND(U$4:U92)),TRUE,U93)</f>
        <v>0</v>
      </c>
      <c r="Z93" s="172" t="e">
        <f>IF(AND(NOT(ISBLANK(Jumpoverwrite4)),AND(NOT(Y93),AND(Y$4:Y92))),($J93*$G93-LN(1+Jumpoverwrite4*AA$2))/$G93,_xll.qlInterpolationInterpolate(Y$3,$F93,TRUE))</f>
        <v>#NUM!</v>
      </c>
      <c r="AA93" s="176" t="str">
        <f>IF(AND(NOT(Y93),AND(Y$4:Y92)),IF($Z93&lt;0,IF($Z93&lt;$J93,EXP(($Z93-$J93)*$G93),EXP(($J93-$Z93)*$G93)),EXP(($Z93-$J93)*$G93)),"")</f>
        <v/>
      </c>
      <c r="AB93" s="107"/>
      <c r="AC93" s="72" t="b">
        <f>IF(AND(NOT(Y93),AND(Y$4:Y92)),TRUE,Y93)</f>
        <v>0</v>
      </c>
      <c r="AD93" s="172" t="e">
        <f>IF(AND(NOT(ISBLANK(Jumpoverwrite5)),AND(NOT(AC93),AND(AC$4:AC92))),($J93*$G93-LN(1+Jumpoverwrite5*AE$2))/$G93,_xll.qlInterpolationInterpolate(AC$3,$F93,TRUE))</f>
        <v>#NUM!</v>
      </c>
      <c r="AE93" s="176" t="str">
        <f>IF(AND(NOT(AC93),AND(AC$4:AC92)),IF($AD93&lt;0,IF($AD93&lt;$J93,EXP(($AD93-$J93)*$G93),EXP(($J93-$AD93)*$G93)),EXP(($AD93-$J93)*$G93)),"")</f>
        <v/>
      </c>
      <c r="AF93" s="107"/>
      <c r="AG93" s="72" t="b">
        <f>IF(AND(NOT(AC93),AND(AC$4:AC92)),TRUE,AC93)</f>
        <v>0</v>
      </c>
      <c r="AH93" s="172" t="e">
        <f>IF(AND(NOT(ISBLANK(Jumpoverwrite6)),AND(NOT(AG93),AND(AG$4:AG92))),($J93*$G93-LN(1+Jumpoverwrite6*AI$2))/$G93,_xll.qlInterpolationInterpolate(AG$3,$F93,TRUE))</f>
        <v>#NUM!</v>
      </c>
      <c r="AI93" s="176" t="str">
        <f>IF(AND(NOT(AG93),AND(AG$4:AG92)),IF($AH93&lt;0,IF($AH93&lt;$J93,EXP(($AH93-$J93)*$G93),EXP(($J93-$AH93)*$G93)),EXP(($AH93-$J93)*$G93)),"")</f>
        <v/>
      </c>
      <c r="AJ93" s="107"/>
      <c r="AK93" s="72" t="b">
        <f>IF(AND(NOT(AG93),AND(AG$4:AG92)),TRUE,AG93)</f>
        <v>0</v>
      </c>
      <c r="AL93" s="172" t="e">
        <f>IF(AND(NOT(ISBLANK(Jumpoverwrite7)),AND(NOT(AK93),AND(AK$4:AK92))),($J93*$G93-LN(1+Jumpoverwrite7*AM$2))/$G93,_xll.qlInterpolationInterpolate(AK$3,$F93,TRUE))</f>
        <v>#NUM!</v>
      </c>
      <c r="AM93" s="176" t="str">
        <f>IF(AND(NOT(AK93),AND(AK$4:AK92)),IF($AL93&lt;0,IF($AL93&lt;$J93,EXP(($AL93-$J93)*$G93),EXP(($J93-$AL93)*$G93)),EXP(($AL93-$J93)*$G93)),"")</f>
        <v/>
      </c>
      <c r="AO93" s="72" t="b">
        <f>IF(AND(NOT(AK93),AND(AK$4:AK92)),TRUE,AK93)</f>
        <v>0</v>
      </c>
      <c r="AP93" s="172" t="e">
        <f>IF(AND(NOT(ISBLANK(Jumpoverwrite8)),AND(NOT(AO93),AND(AO$4:AO92))),($J93*$G93-LN(1+Jumpoverwrite8*AQ$2))/$G93,_xll.qlInterpolationInterpolate(AO$3,$F93,TRUE))</f>
        <v>#NUM!</v>
      </c>
      <c r="AQ93" s="176" t="str">
        <f>IF(AND(NOT(AO93),AND(AO$4:AO92)),IF($AP93&lt;0,IF($AP93&lt;$J93,EXP(($AP93-$J93)*$G93),EXP(($J93-$AP93)*$G93)),EXP(($AP93-$J93)*$G93)),"")</f>
        <v/>
      </c>
      <c r="AS93" s="72" t="b">
        <f>IF(AND(NOT(AO93),AND(AO$4:AO92)),TRUE,AO93)</f>
        <v>0</v>
      </c>
      <c r="AT93" s="172" t="e">
        <f>IF(AND(NOT(ISBLANK(Jumpoverwrite9)),AND(NOT(AS93),AND(AS$4:AS92))),($J93*$G93-LN(1+Jumpoverwrite9*AU$2))/$G93,_xll.qlInterpolationInterpolate(AS$3,$F93,TRUE))</f>
        <v>#NUM!</v>
      </c>
      <c r="AU93" s="176" t="str">
        <f>IF(AND(NOT(AS93),AND(AS$4:AS92)),IF($AT93&lt;0,IF($AT93&lt;$J93,EXP(($AT93-$J93)*$G93),EXP(($J93-$AT93)*$G93)),EXP(($AT93-$J93)*$G93)),"")</f>
        <v/>
      </c>
      <c r="AW93" s="72" t="b">
        <f>IF(AND(NOT(AS93),AND(AS$4:AS92)),TRUE,AS93)</f>
        <v>0</v>
      </c>
      <c r="AX93" s="172" t="e">
        <f>IF(AND(NOT(ISBLANK(Jumpoverwrite10)),AND(NOT(AW93),AND(AW$4:AW92))),($J93*$G93-LN(1+Jumpoverwrite10*AY$2))/$G93,_xll.qlInterpolationInterpolate(AW$3,$F93,TRUE))</f>
        <v>#NUM!</v>
      </c>
      <c r="AY93" s="176" t="str">
        <f>IF(AND(NOT(AW93),AND(AW$4:AW92)),IF($AX93&lt;0,IF($AX93&lt;$J93,EXP(($AX93-$J93)*$G93),EXP(($J93-$AX93)*$G93)),EXP(($AX93-$J93)*$G93)),"")</f>
        <v/>
      </c>
      <c r="BA93" s="72" t="b">
        <f>IF(AND(NOT(AW93),AND(AW$4:AW92)),TRUE,AW93)</f>
        <v>0</v>
      </c>
      <c r="BB93" s="172" t="e">
        <f>IF(AND(NOT(ISBLANK(Jumpoverwrite11)),AND(NOT(BA93),AND(BA$4:BA92))),($J93*$G93-LN(1+Jumpoverwrite11*BC$2))/$G93,_xll.qlInterpolationInterpolate(BA$3,$F93,TRUE))</f>
        <v>#NUM!</v>
      </c>
      <c r="BC93" s="176" t="str">
        <f>IF(AND(NOT(BA93),AND(BA$4:BA92)),IF($BB93&lt;0,IF($BB93&lt;$J93,EXP(($BB93-$J93)*$G93),EXP(($J93-$BB93)*$G93)),EXP(($BB93-$J93)*$G93)),"")</f>
        <v/>
      </c>
      <c r="BE93" s="72" t="b">
        <f>IF(AND(NOT(BA93),AND(BA$4:BA92)),TRUE,BA93)</f>
        <v>0</v>
      </c>
      <c r="BF93" s="172" t="e">
        <f>IF(AND(NOT(ISBLANK(Jumpoverwrite12)),AND(NOT(BE93),AND(BE$4:BE92))),($J93*$G93-LN(1+Jumpoverwrite12*BG$2))/$G93,_xll.qlInterpolationInterpolate(BE$3,$F93,TRUE))</f>
        <v>#NUM!</v>
      </c>
      <c r="BG93" s="176" t="str">
        <f>IF(AND(NOT(BE93),AND(BE$4:BE92)),IF($BF93&lt;0,IF($BF93&lt;$J93,EXP(($BF93-$J93)*$G93),EXP(($J93-$BF93)*$G93)),EXP(($BF93-$J93)*$G93)),"")</f>
        <v/>
      </c>
      <c r="BI93" s="72" t="b">
        <f t="shared" si="6"/>
        <v>0</v>
      </c>
      <c r="BJ93" s="172" t="e">
        <f>IF(AND(NOT(ISBLANK(jumpoverwrite13)),AND(NOT(BI93),AND(BI$4:BI92))),($J93*$G93-LN(1+jumpoverwrite13*BK$2))/$G93,_xll.qlInterpolationInterpolate(BI$3,$F93,TRUE))</f>
        <v>#NUM!</v>
      </c>
      <c r="BK93" s="176" t="str">
        <f>IF(AND(NOT(BI93),AND(BI$4:BI92)),IF($BJ93&lt;0,IF($BJ93&lt;$J93,EXP(($BJ93-$J93)*$G93),EXP(($J93-$BJ93)*$G93)),EXP(($BJ93-$J93)*$G93)),"")</f>
        <v/>
      </c>
      <c r="BM93" s="72" t="b">
        <f>IF(AND(NOT(BI93),AND(BI$4:BI92)),TRUE,BI93)</f>
        <v>0</v>
      </c>
      <c r="BN93" s="172" t="e">
        <f>IF(AND(NOT(ISBLANK(Jumpoverwrite14)),AND(NOT(BM93),AND(BM$4:BM92))),($J93*$G93-LN(1+Jumpoverwrite14*BO$2))/$G93,_xll.qlInterpolationInterpolate(BM$3,$F93,TRUE))</f>
        <v>#NUM!</v>
      </c>
      <c r="BO93" s="176" t="str">
        <f>IF(AND(NOT(BM93),AND(BM$4:BM92)),IF($BN93&lt;0,IF($BN93&lt;$J93,EXP(($BN93-$J93)*$G93),EXP(($J93-$BN93)*$G93)),EXP(($BN93-$J93)*$G93)),"")</f>
        <v/>
      </c>
      <c r="BQ93" s="72" t="b">
        <f>IF(AND(NOT(BM93),AND(BM$4:BM92)),TRUE,BM93)</f>
        <v>0</v>
      </c>
      <c r="BR93" s="172" t="e">
        <f>IF(AND(NOT(ISBLANK(Jumpoverwrite15)),AND(NOT(BQ93),AND(BQ$4:BQ92))),($J93*$G93-LN(1+Jumpoverwrite15*BS$2))/$G93,_xll.qlInterpolationInterpolate(BQ$3,$F93,TRUE))</f>
        <v>#NUM!</v>
      </c>
      <c r="BS93" s="176" t="str">
        <f>IF(AND(NOT(BQ93),AND(BQ$4:BQ92)),IF($BN93&lt;0,IF($BN93&lt;$J93,EXP(($BN93-$J93)*$G93),EXP(($J93-$BN93)*$G93)),EXP(($BN93-$J93)*$G93)),"")</f>
        <v/>
      </c>
    </row>
    <row r="94" spans="1:71" x14ac:dyDescent="0.2">
      <c r="A94" s="33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84" t="e">
        <f t="shared" si="4"/>
        <v>#N/A</v>
      </c>
      <c r="G94" s="85" t="e">
        <f>_xll.qlDayCounterYearFraction(DayCounter,D93,D94)</f>
        <v>#NUM!</v>
      </c>
      <c r="I94" s="93" t="b">
        <f t="shared" si="7"/>
        <v>0</v>
      </c>
      <c r="J94" s="37" t="e">
        <v>#N/A</v>
      </c>
      <c r="K94" s="94" t="e">
        <f t="shared" si="8"/>
        <v>#VALUE!</v>
      </c>
      <c r="L94" s="105"/>
      <c r="M94" s="72" t="b">
        <f>IF(AND(NOT(I94),AND(I$4:I93)),TRUE,I94)</f>
        <v>0</v>
      </c>
      <c r="N94" s="172" t="e">
        <f>IF(AND(NOT(ISBLANK(Jumpoverwrite1)),AND(NOT(M94),AND(M$4:M93))),($J94*$G94-LN(1+Jumpoverwrite1*O$2))/$G94,_xll.qlInterpolationInterpolate(M$3,$F94,TRUE))</f>
        <v>#NUM!</v>
      </c>
      <c r="O94" s="34" t="str">
        <f>IF(AND(NOT(M94),AND(M$4:M93)),IF($N94&lt;0,IF($N94&lt;$J94,EXP(($N94-$J94)*$G94),EXP(($J94-$N94)*$G94)),EXP(($N94-$J94)*$G94)),"")</f>
        <v/>
      </c>
      <c r="P94" s="107"/>
      <c r="Q94" s="72" t="b">
        <f>IF(AND(NOT(M94),AND(M$4:M93)),TRUE,M94)</f>
        <v>0</v>
      </c>
      <c r="R94" s="172" t="e">
        <f>IF(AND(NOT(ISBLANK(Jumpoverwrite2)),AND(NOT(Q94),AND(Q$4:Q93))),($J94*$G94-LN(1+Jumpoverwrite2*S$2))/$G94,_xll.qlInterpolationInterpolate(Q$3,$F94,TRUE))</f>
        <v>#NUM!</v>
      </c>
      <c r="S94" s="176" t="str">
        <f>IF(AND(NOT(Q94),AND(Q$4:Q93)),IF($R94&lt;0,IF($R94&lt;$J94,EXP(($R94-$J94)*$G94),EXP(($J94-$R94)*$G94)),EXP(($R94-$J94)*$G94)),"")</f>
        <v/>
      </c>
      <c r="T94" s="107"/>
      <c r="U94" s="72" t="b">
        <f>IF(AND(NOT(Q94),AND(Q$4:Q93)),TRUE,Q94)</f>
        <v>0</v>
      </c>
      <c r="V94" s="172" t="e">
        <f>IF(AND(NOT(ISBLANK(Jumpoverwrite3)),AND(NOT(U94),AND(U$4:U93))),($J94*$G94-LN(1+Jumpoverwrite3*W$2))/$G94,_xll.qlInterpolationInterpolate(U$3,$F94,TRUE))</f>
        <v>#NUM!</v>
      </c>
      <c r="W94" s="176" t="str">
        <f>IF(AND(NOT(U94),AND(U$4:U93)),IF($V94&lt;0,IF($V94&lt;$J94,EXP(($V94-$J94)*$G94),EXP(($J94-$V94)*$G94)),EXP(($V94-$J94)*$G94)),"")</f>
        <v/>
      </c>
      <c r="X94" s="107"/>
      <c r="Y94" s="72" t="b">
        <f>IF(AND(NOT(U94),AND(U$4:U93)),TRUE,U94)</f>
        <v>0</v>
      </c>
      <c r="Z94" s="172" t="e">
        <f>IF(AND(NOT(ISBLANK(Jumpoverwrite4)),AND(NOT(Y94),AND(Y$4:Y93))),($J94*$G94-LN(1+Jumpoverwrite4*AA$2))/$G94,_xll.qlInterpolationInterpolate(Y$3,$F94,TRUE))</f>
        <v>#NUM!</v>
      </c>
      <c r="AA94" s="176" t="str">
        <f>IF(AND(NOT(Y94),AND(Y$4:Y93)),IF($Z94&lt;0,IF($Z94&lt;$J94,EXP(($Z94-$J94)*$G94),EXP(($J94-$Z94)*$G94)),EXP(($Z94-$J94)*$G94)),"")</f>
        <v/>
      </c>
      <c r="AB94" s="107"/>
      <c r="AC94" s="72" t="b">
        <f>IF(AND(NOT(Y94),AND(Y$4:Y93)),TRUE,Y94)</f>
        <v>0</v>
      </c>
      <c r="AD94" s="172" t="e">
        <f>IF(AND(NOT(ISBLANK(Jumpoverwrite5)),AND(NOT(AC94),AND(AC$4:AC93))),($J94*$G94-LN(1+Jumpoverwrite5*AE$2))/$G94,_xll.qlInterpolationInterpolate(AC$3,$F94,TRUE))</f>
        <v>#NUM!</v>
      </c>
      <c r="AE94" s="176" t="str">
        <f>IF(AND(NOT(AC94),AND(AC$4:AC93)),IF($AD94&lt;0,IF($AD94&lt;$J94,EXP(($AD94-$J94)*$G94),EXP(($J94-$AD94)*$G94)),EXP(($AD94-$J94)*$G94)),"")</f>
        <v/>
      </c>
      <c r="AF94" s="107"/>
      <c r="AG94" s="72" t="b">
        <f>IF(AND(NOT(AC94),AND(AC$4:AC93)),TRUE,AC94)</f>
        <v>0</v>
      </c>
      <c r="AH94" s="172" t="e">
        <f>IF(AND(NOT(ISBLANK(Jumpoverwrite6)),AND(NOT(AG94),AND(AG$4:AG93))),($J94*$G94-LN(1+Jumpoverwrite6*AI$2))/$G94,_xll.qlInterpolationInterpolate(AG$3,$F94,TRUE))</f>
        <v>#NUM!</v>
      </c>
      <c r="AI94" s="176" t="str">
        <f>IF(AND(NOT(AG94),AND(AG$4:AG93)),IF($AH94&lt;0,IF($AH94&lt;$J94,EXP(($AH94-$J94)*$G94),EXP(($J94-$AH94)*$G94)),EXP(($AH94-$J94)*$G94)),"")</f>
        <v/>
      </c>
      <c r="AJ94" s="107"/>
      <c r="AK94" s="72" t="b">
        <f>IF(AND(NOT(AG94),AND(AG$4:AG93)),TRUE,AG94)</f>
        <v>0</v>
      </c>
      <c r="AL94" s="172" t="e">
        <f>IF(AND(NOT(ISBLANK(Jumpoverwrite7)),AND(NOT(AK94),AND(AK$4:AK93))),($J94*$G94-LN(1+Jumpoverwrite7*AM$2))/$G94,_xll.qlInterpolationInterpolate(AK$3,$F94,TRUE))</f>
        <v>#NUM!</v>
      </c>
      <c r="AM94" s="176" t="str">
        <f>IF(AND(NOT(AK94),AND(AK$4:AK93)),IF($AL94&lt;0,IF($AL94&lt;$J94,EXP(($AL94-$J94)*$G94),EXP(($J94-$AL94)*$G94)),EXP(($AL94-$J94)*$G94)),"")</f>
        <v/>
      </c>
      <c r="AO94" s="72" t="b">
        <f>IF(AND(NOT(AK94),AND(AK$4:AK93)),TRUE,AK94)</f>
        <v>0</v>
      </c>
      <c r="AP94" s="172" t="e">
        <f>IF(AND(NOT(ISBLANK(Jumpoverwrite8)),AND(NOT(AO94),AND(AO$4:AO93))),($J94*$G94-LN(1+Jumpoverwrite8*AQ$2))/$G94,_xll.qlInterpolationInterpolate(AO$3,$F94,TRUE))</f>
        <v>#NUM!</v>
      </c>
      <c r="AQ94" s="176" t="str">
        <f>IF(AND(NOT(AO94),AND(AO$4:AO93)),IF($AP94&lt;0,IF($AP94&lt;$J94,EXP(($AP94-$J94)*$G94),EXP(($J94-$AP94)*$G94)),EXP(($AP94-$J94)*$G94)),"")</f>
        <v/>
      </c>
      <c r="AS94" s="72" t="b">
        <f>IF(AND(NOT(AO94),AND(AO$4:AO93)),TRUE,AO94)</f>
        <v>0</v>
      </c>
      <c r="AT94" s="172" t="e">
        <f>IF(AND(NOT(ISBLANK(Jumpoverwrite9)),AND(NOT(AS94),AND(AS$4:AS93))),($J94*$G94-LN(1+Jumpoverwrite9*AU$2))/$G94,_xll.qlInterpolationInterpolate(AS$3,$F94,TRUE))</f>
        <v>#NUM!</v>
      </c>
      <c r="AU94" s="176" t="str">
        <f>IF(AND(NOT(AS94),AND(AS$4:AS93)),IF($AT94&lt;0,IF($AT94&lt;$J94,EXP(($AT94-$J94)*$G94),EXP(($J94-$AT94)*$G94)),EXP(($AT94-$J94)*$G94)),"")</f>
        <v/>
      </c>
      <c r="AW94" s="72" t="b">
        <f>IF(AND(NOT(AS94),AND(AS$4:AS93)),TRUE,AS94)</f>
        <v>0</v>
      </c>
      <c r="AX94" s="172" t="e">
        <f>IF(AND(NOT(ISBLANK(Jumpoverwrite10)),AND(NOT(AW94),AND(AW$4:AW93))),($J94*$G94-LN(1+Jumpoverwrite10*AY$2))/$G94,_xll.qlInterpolationInterpolate(AW$3,$F94,TRUE))</f>
        <v>#NUM!</v>
      </c>
      <c r="AY94" s="176" t="str">
        <f>IF(AND(NOT(AW94),AND(AW$4:AW93)),IF($AX94&lt;0,IF($AX94&lt;$J94,EXP(($AX94-$J94)*$G94),EXP(($J94-$AX94)*$G94)),EXP(($AX94-$J94)*$G94)),"")</f>
        <v/>
      </c>
      <c r="BA94" s="72" t="b">
        <f>IF(AND(NOT(AW94),AND(AW$4:AW93)),TRUE,AW94)</f>
        <v>0</v>
      </c>
      <c r="BB94" s="172" t="e">
        <f>IF(AND(NOT(ISBLANK(Jumpoverwrite11)),AND(NOT(BA94),AND(BA$4:BA93))),($J94*$G94-LN(1+Jumpoverwrite11*BC$2))/$G94,_xll.qlInterpolationInterpolate(BA$3,$F94,TRUE))</f>
        <v>#NUM!</v>
      </c>
      <c r="BC94" s="176" t="str">
        <f>IF(AND(NOT(BA94),AND(BA$4:BA93)),IF($BB94&lt;0,IF($BB94&lt;$J94,EXP(($BB94-$J94)*$G94),EXP(($J94-$BB94)*$G94)),EXP(($BB94-$J94)*$G94)),"")</f>
        <v/>
      </c>
      <c r="BE94" s="72" t="b">
        <f>IF(AND(NOT(BA94),AND(BA$4:BA93)),TRUE,BA94)</f>
        <v>0</v>
      </c>
      <c r="BF94" s="172" t="e">
        <f>IF(AND(NOT(ISBLANK(Jumpoverwrite12)),AND(NOT(BE94),AND(BE$4:BE93))),($J94*$G94-LN(1+Jumpoverwrite12*BG$2))/$G94,_xll.qlInterpolationInterpolate(BE$3,$F94,TRUE))</f>
        <v>#NUM!</v>
      </c>
      <c r="BG94" s="176" t="str">
        <f>IF(AND(NOT(BE94),AND(BE$4:BE93)),IF($BF94&lt;0,IF($BF94&lt;$J94,EXP(($BF94-$J94)*$G94),EXP(($J94-$BF94)*$G94)),EXP(($BF94-$J94)*$G94)),"")</f>
        <v/>
      </c>
      <c r="BI94" s="72" t="b">
        <f t="shared" si="6"/>
        <v>0</v>
      </c>
      <c r="BJ94" s="172" t="e">
        <f>IF(AND(NOT(ISBLANK(jumpoverwrite13)),AND(NOT(BI94),AND(BI$4:BI93))),($J94*$G94-LN(1+jumpoverwrite13*BK$2))/$G94,_xll.qlInterpolationInterpolate(BI$3,$F94,TRUE))</f>
        <v>#NUM!</v>
      </c>
      <c r="BK94" s="176" t="str">
        <f>IF(AND(NOT(BI94),AND(BI$4:BI93)),IF($BJ94&lt;0,IF($BJ94&lt;$J94,EXP(($BJ94-$J94)*$G94),EXP(($J94-$BJ94)*$G94)),EXP(($BJ94-$J94)*$G94)),"")</f>
        <v/>
      </c>
      <c r="BM94" s="72" t="b">
        <f>IF(AND(NOT(BI94),AND(BI$4:BI93)),TRUE,BI94)</f>
        <v>0</v>
      </c>
      <c r="BN94" s="172" t="e">
        <f>IF(AND(NOT(ISBLANK(Jumpoverwrite14)),AND(NOT(BM94),AND(BM$4:BM93))),($J94*$G94-LN(1+Jumpoverwrite14*BO$2))/$G94,_xll.qlInterpolationInterpolate(BM$3,$F94,TRUE))</f>
        <v>#NUM!</v>
      </c>
      <c r="BO94" s="176" t="str">
        <f>IF(AND(NOT(BM94),AND(BM$4:BM93)),IF($BN94&lt;0,IF($BN94&lt;$J94,EXP(($BN94-$J94)*$G94),EXP(($J94-$BN94)*$G94)),EXP(($BN94-$J94)*$G94)),"")</f>
        <v/>
      </c>
      <c r="BQ94" s="72" t="b">
        <f>IF(AND(NOT(BM94),AND(BM$4:BM93)),TRUE,BM94)</f>
        <v>0</v>
      </c>
      <c r="BR94" s="172" t="e">
        <f>IF(AND(NOT(ISBLANK(Jumpoverwrite15)),AND(NOT(BQ94),AND(BQ$4:BQ93))),($J94*$G94-LN(1+Jumpoverwrite15*BS$2))/$G94,_xll.qlInterpolationInterpolate(BQ$3,$F94,TRUE))</f>
        <v>#NUM!</v>
      </c>
      <c r="BS94" s="176" t="str">
        <f>IF(AND(NOT(BQ94),AND(BQ$4:BQ93)),IF($BN94&lt;0,IF($BN94&lt;$J94,EXP(($BN94-$J94)*$G94),EXP(($J94-$BN94)*$G94)),EXP(($BN94-$J94)*$G94)),"")</f>
        <v/>
      </c>
    </row>
    <row r="95" spans="1:71" x14ac:dyDescent="0.2">
      <c r="A95" s="33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84" t="e">
        <f t="shared" ref="F95:F129" si="9">IF(ISERROR(D95),NA(),(D95-D94)/2+D94)</f>
        <v>#N/A</v>
      </c>
      <c r="G95" s="85" t="e">
        <f>_xll.qlDayCounterYearFraction(DayCounter,D94,D95)</f>
        <v>#NUM!</v>
      </c>
      <c r="I95" s="93" t="b">
        <f t="shared" si="7"/>
        <v>0</v>
      </c>
      <c r="J95" s="37" t="e">
        <v>#N/A</v>
      </c>
      <c r="K95" s="94" t="e">
        <f t="shared" si="8"/>
        <v>#VALUE!</v>
      </c>
      <c r="L95" s="105"/>
      <c r="M95" s="72" t="b">
        <f>IF(AND(NOT(I95),AND(I$4:I94)),TRUE,I95)</f>
        <v>0</v>
      </c>
      <c r="N95" s="172" t="e">
        <f>IF(AND(NOT(ISBLANK(Jumpoverwrite1)),AND(NOT(M95),AND(M$4:M94))),($J95*$G95-LN(1+Jumpoverwrite1*O$2))/$G95,_xll.qlInterpolationInterpolate(M$3,$F95,TRUE))</f>
        <v>#NUM!</v>
      </c>
      <c r="O95" s="34" t="str">
        <f>IF(AND(NOT(M95),AND(M$4:M94)),IF($N95&lt;0,IF($N95&lt;$J95,EXP(($N95-$J95)*$G95),EXP(($J95-$N95)*$G95)),EXP(($N95-$J95)*$G95)),"")</f>
        <v/>
      </c>
      <c r="P95" s="107"/>
      <c r="Q95" s="72" t="b">
        <f>IF(AND(NOT(M95),AND(M$4:M94)),TRUE,M95)</f>
        <v>0</v>
      </c>
      <c r="R95" s="172" t="e">
        <f>IF(AND(NOT(ISBLANK(Jumpoverwrite2)),AND(NOT(Q95),AND(Q$4:Q94))),($J95*$G95-LN(1+Jumpoverwrite2*S$2))/$G95,_xll.qlInterpolationInterpolate(Q$3,$F95,TRUE))</f>
        <v>#NUM!</v>
      </c>
      <c r="S95" s="176" t="str">
        <f>IF(AND(NOT(Q95),AND(Q$4:Q94)),IF($R95&lt;0,IF($R95&lt;$J95,EXP(($R95-$J95)*$G95),EXP(($J95-$R95)*$G95)),EXP(($R95-$J95)*$G95)),"")</f>
        <v/>
      </c>
      <c r="T95" s="107"/>
      <c r="U95" s="72" t="b">
        <f>IF(AND(NOT(Q95),AND(Q$4:Q94)),TRUE,Q95)</f>
        <v>0</v>
      </c>
      <c r="V95" s="172" t="e">
        <f>IF(AND(NOT(ISBLANK(Jumpoverwrite3)),AND(NOT(U95),AND(U$4:U94))),($J95*$G95-LN(1+Jumpoverwrite3*W$2))/$G95,_xll.qlInterpolationInterpolate(U$3,$F95,TRUE))</f>
        <v>#NUM!</v>
      </c>
      <c r="W95" s="176" t="str">
        <f>IF(AND(NOT(U95),AND(U$4:U94)),IF($V95&lt;0,IF($V95&lt;$J95,EXP(($V95-$J95)*$G95),EXP(($J95-$V95)*$G95)),EXP(($V95-$J95)*$G95)),"")</f>
        <v/>
      </c>
      <c r="X95" s="107"/>
      <c r="Y95" s="72" t="b">
        <f>IF(AND(NOT(U95),AND(U$4:U94)),TRUE,U95)</f>
        <v>0</v>
      </c>
      <c r="Z95" s="172" t="e">
        <f>IF(AND(NOT(ISBLANK(Jumpoverwrite4)),AND(NOT(Y95),AND(Y$4:Y94))),($J95*$G95-LN(1+Jumpoverwrite4*AA$2))/$G95,_xll.qlInterpolationInterpolate(Y$3,$F95,TRUE))</f>
        <v>#NUM!</v>
      </c>
      <c r="AA95" s="176" t="str">
        <f>IF(AND(NOT(Y95),AND(Y$4:Y94)),IF($Z95&lt;0,IF($Z95&lt;$J95,EXP(($Z95-$J95)*$G95),EXP(($J95-$Z95)*$G95)),EXP(($Z95-$J95)*$G95)),"")</f>
        <v/>
      </c>
      <c r="AB95" s="107"/>
      <c r="AC95" s="72" t="b">
        <f>IF(AND(NOT(Y95),AND(Y$4:Y94)),TRUE,Y95)</f>
        <v>0</v>
      </c>
      <c r="AD95" s="172" t="e">
        <f>IF(AND(NOT(ISBLANK(Jumpoverwrite5)),AND(NOT(AC95),AND(AC$4:AC94))),($J95*$G95-LN(1+Jumpoverwrite5*AE$2))/$G95,_xll.qlInterpolationInterpolate(AC$3,$F95,TRUE))</f>
        <v>#NUM!</v>
      </c>
      <c r="AE95" s="176" t="str">
        <f>IF(AND(NOT(AC95),AND(AC$4:AC94)),IF($AD95&lt;0,IF($AD95&lt;$J95,EXP(($AD95-$J95)*$G95),EXP(($J95-$AD95)*$G95)),EXP(($AD95-$J95)*$G95)),"")</f>
        <v/>
      </c>
      <c r="AF95" s="107"/>
      <c r="AG95" s="72" t="b">
        <f>IF(AND(NOT(AC95),AND(AC$4:AC94)),TRUE,AC95)</f>
        <v>0</v>
      </c>
      <c r="AH95" s="172" t="e">
        <f>IF(AND(NOT(ISBLANK(Jumpoverwrite6)),AND(NOT(AG95),AND(AG$4:AG94))),($J95*$G95-LN(1+Jumpoverwrite6*AI$2))/$G95,_xll.qlInterpolationInterpolate(AG$3,$F95,TRUE))</f>
        <v>#NUM!</v>
      </c>
      <c r="AI95" s="176" t="str">
        <f>IF(AND(NOT(AG95),AND(AG$4:AG94)),IF($AH95&lt;0,IF($AH95&lt;$J95,EXP(($AH95-$J95)*$G95),EXP(($J95-$AH95)*$G95)),EXP(($AH95-$J95)*$G95)),"")</f>
        <v/>
      </c>
      <c r="AJ95" s="107"/>
      <c r="AK95" s="72" t="b">
        <f>IF(AND(NOT(AG95),AND(AG$4:AG94)),TRUE,AG95)</f>
        <v>0</v>
      </c>
      <c r="AL95" s="172" t="e">
        <f>IF(AND(NOT(ISBLANK(Jumpoverwrite7)),AND(NOT(AK95),AND(AK$4:AK94))),($J95*$G95-LN(1+Jumpoverwrite7*AM$2))/$G95,_xll.qlInterpolationInterpolate(AK$3,$F95,TRUE))</f>
        <v>#NUM!</v>
      </c>
      <c r="AM95" s="176" t="str">
        <f>IF(AND(NOT(AK95),AND(AK$4:AK94)),IF($AL95&lt;0,IF($AL95&lt;$J95,EXP(($AL95-$J95)*$G95),EXP(($J95-$AL95)*$G95)),EXP(($AL95-$J95)*$G95)),"")</f>
        <v/>
      </c>
      <c r="AO95" s="72" t="b">
        <f>IF(AND(NOT(AK95),AND(AK$4:AK94)),TRUE,AK95)</f>
        <v>0</v>
      </c>
      <c r="AP95" s="172" t="e">
        <f>IF(AND(NOT(ISBLANK(Jumpoverwrite8)),AND(NOT(AO95),AND(AO$4:AO94))),($J95*$G95-LN(1+Jumpoverwrite8*AQ$2))/$G95,_xll.qlInterpolationInterpolate(AO$3,$F95,TRUE))</f>
        <v>#NUM!</v>
      </c>
      <c r="AQ95" s="176" t="str">
        <f>IF(AND(NOT(AO95),AND(AO$4:AO94)),IF($AP95&lt;0,IF($AP95&lt;$J95,EXP(($AP95-$J95)*$G95),EXP(($J95-$AP95)*$G95)),EXP(($AP95-$J95)*$G95)),"")</f>
        <v/>
      </c>
      <c r="AS95" s="72" t="b">
        <f>IF(AND(NOT(AO95),AND(AO$4:AO94)),TRUE,AO95)</f>
        <v>0</v>
      </c>
      <c r="AT95" s="172" t="e">
        <f>IF(AND(NOT(ISBLANK(Jumpoverwrite9)),AND(NOT(AS95),AND(AS$4:AS94))),($J95*$G95-LN(1+Jumpoverwrite9*AU$2))/$G95,_xll.qlInterpolationInterpolate(AS$3,$F95,TRUE))</f>
        <v>#NUM!</v>
      </c>
      <c r="AU95" s="176" t="str">
        <f>IF(AND(NOT(AS95),AND(AS$4:AS94)),IF($AT95&lt;0,IF($AT95&lt;$J95,EXP(($AT95-$J95)*$G95),EXP(($J95-$AT95)*$G95)),EXP(($AT95-$J95)*$G95)),"")</f>
        <v/>
      </c>
      <c r="AW95" s="72" t="b">
        <f>IF(AND(NOT(AS95),AND(AS$4:AS94)),TRUE,AS95)</f>
        <v>0</v>
      </c>
      <c r="AX95" s="172" t="e">
        <f>IF(AND(NOT(ISBLANK(Jumpoverwrite10)),AND(NOT(AW95),AND(AW$4:AW94))),($J95*$G95-LN(1+Jumpoverwrite10*AY$2))/$G95,_xll.qlInterpolationInterpolate(AW$3,$F95,TRUE))</f>
        <v>#NUM!</v>
      </c>
      <c r="AY95" s="176" t="str">
        <f>IF(AND(NOT(AW95),AND(AW$4:AW94)),IF($AX95&lt;0,IF($AX95&lt;$J95,EXP(($AX95-$J95)*$G95),EXP(($J95-$AX95)*$G95)),EXP(($AX95-$J95)*$G95)),"")</f>
        <v/>
      </c>
      <c r="BA95" s="72" t="b">
        <f>IF(AND(NOT(AW95),AND(AW$4:AW94)),TRUE,AW95)</f>
        <v>0</v>
      </c>
      <c r="BB95" s="172" t="e">
        <f>IF(AND(NOT(ISBLANK(Jumpoverwrite11)),AND(NOT(BA95),AND(BA$4:BA94))),($J95*$G95-LN(1+Jumpoverwrite11*BC$2))/$G95,_xll.qlInterpolationInterpolate(BA$3,$F95,TRUE))</f>
        <v>#NUM!</v>
      </c>
      <c r="BC95" s="176" t="str">
        <f>IF(AND(NOT(BA95),AND(BA$4:BA94)),IF($BB95&lt;0,IF($BB95&lt;$J95,EXP(($BB95-$J95)*$G95),EXP(($J95-$BB95)*$G95)),EXP(($BB95-$J95)*$G95)),"")</f>
        <v/>
      </c>
      <c r="BE95" s="72" t="b">
        <f>IF(AND(NOT(BA95),AND(BA$4:BA94)),TRUE,BA95)</f>
        <v>0</v>
      </c>
      <c r="BF95" s="172" t="e">
        <f>IF(AND(NOT(ISBLANK(Jumpoverwrite12)),AND(NOT(BE95),AND(BE$4:BE94))),($J95*$G95-LN(1+Jumpoverwrite12*BG$2))/$G95,_xll.qlInterpolationInterpolate(BE$3,$F95,TRUE))</f>
        <v>#NUM!</v>
      </c>
      <c r="BG95" s="176" t="str">
        <f>IF(AND(NOT(BE95),AND(BE$4:BE94)),IF($BF95&lt;0,IF($BF95&lt;$J95,EXP(($BF95-$J95)*$G95),EXP(($J95-$BF95)*$G95)),EXP(($BF95-$J95)*$G95)),"")</f>
        <v/>
      </c>
      <c r="BI95" s="72" t="b">
        <f t="shared" si="6"/>
        <v>0</v>
      </c>
      <c r="BJ95" s="172" t="e">
        <f>IF(AND(NOT(ISBLANK(jumpoverwrite13)),AND(NOT(BI95),AND(BI$4:BI94))),($J95*$G95-LN(1+jumpoverwrite13*BK$2))/$G95,_xll.qlInterpolationInterpolate(BI$3,$F95,TRUE))</f>
        <v>#NUM!</v>
      </c>
      <c r="BK95" s="176" t="str">
        <f>IF(AND(NOT(BI95),AND(BI$4:BI94)),IF($BJ95&lt;0,IF($BJ95&lt;$J95,EXP(($BJ95-$J95)*$G95),EXP(($J95-$BJ95)*$G95)),EXP(($BJ95-$J95)*$G95)),"")</f>
        <v/>
      </c>
      <c r="BM95" s="72" t="b">
        <f>IF(AND(NOT(BI95),AND(BI$4:BI94)),TRUE,BI95)</f>
        <v>0</v>
      </c>
      <c r="BN95" s="172" t="e">
        <f>IF(AND(NOT(ISBLANK(Jumpoverwrite14)),AND(NOT(BM95),AND(BM$4:BM94))),($J95*$G95-LN(1+Jumpoverwrite14*BO$2))/$G95,_xll.qlInterpolationInterpolate(BM$3,$F95,TRUE))</f>
        <v>#NUM!</v>
      </c>
      <c r="BO95" s="176" t="str">
        <f>IF(AND(NOT(BM95),AND(BM$4:BM94)),IF($BN95&lt;0,IF($BN95&lt;$J95,EXP(($BN95-$J95)*$G95),EXP(($J95-$BN95)*$G95)),EXP(($BN95-$J95)*$G95)),"")</f>
        <v/>
      </c>
      <c r="BQ95" s="72" t="b">
        <f>IF(AND(NOT(BM95),AND(BM$4:BM94)),TRUE,BM95)</f>
        <v>0</v>
      </c>
      <c r="BR95" s="172" t="e">
        <f>IF(AND(NOT(ISBLANK(Jumpoverwrite15)),AND(NOT(BQ95),AND(BQ$4:BQ94))),($J95*$G95-LN(1+Jumpoverwrite15*BS$2))/$G95,_xll.qlInterpolationInterpolate(BQ$3,$F95,TRUE))</f>
        <v>#NUM!</v>
      </c>
      <c r="BS95" s="176" t="str">
        <f>IF(AND(NOT(BQ95),AND(BQ$4:BQ94)),IF($BN95&lt;0,IF($BN95&lt;$J95,EXP(($BN95-$J95)*$G95),EXP(($J95-$BN95)*$G95)),EXP(($BN95-$J95)*$G95)),"")</f>
        <v/>
      </c>
    </row>
    <row r="96" spans="1:71" x14ac:dyDescent="0.2">
      <c r="A96" s="33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84" t="e">
        <f t="shared" si="9"/>
        <v>#N/A</v>
      </c>
      <c r="G96" s="85" t="e">
        <f>_xll.qlDayCounterYearFraction(DayCounter,D95,D96)</f>
        <v>#NUM!</v>
      </c>
      <c r="I96" s="93" t="b">
        <f t="shared" si="7"/>
        <v>0</v>
      </c>
      <c r="J96" s="37" t="e">
        <v>#N/A</v>
      </c>
      <c r="K96" s="94" t="e">
        <f t="shared" si="8"/>
        <v>#VALUE!</v>
      </c>
      <c r="L96" s="105"/>
      <c r="M96" s="72" t="b">
        <f>IF(AND(NOT(I96),AND(I$4:I95)),TRUE,I96)</f>
        <v>0</v>
      </c>
      <c r="N96" s="172" t="e">
        <f>IF(AND(NOT(ISBLANK(Jumpoverwrite1)),AND(NOT(M96),AND(M$4:M95))),($J96*$G96-LN(1+Jumpoverwrite1*O$2))/$G96,_xll.qlInterpolationInterpolate(M$3,$F96,TRUE))</f>
        <v>#NUM!</v>
      </c>
      <c r="O96" s="34" t="str">
        <f>IF(AND(NOT(M96),AND(M$4:M95)),IF($N96&lt;0,IF($N96&lt;$J96,EXP(($N96-$J96)*$G96),EXP(($J96-$N96)*$G96)),EXP(($N96-$J96)*$G96)),"")</f>
        <v/>
      </c>
      <c r="P96" s="107"/>
      <c r="Q96" s="72" t="b">
        <f>IF(AND(NOT(M96),AND(M$4:M95)),TRUE,M96)</f>
        <v>0</v>
      </c>
      <c r="R96" s="172" t="e">
        <f>IF(AND(NOT(ISBLANK(Jumpoverwrite2)),AND(NOT(Q96),AND(Q$4:Q95))),($J96*$G96-LN(1+Jumpoverwrite2*S$2))/$G96,_xll.qlInterpolationInterpolate(Q$3,$F96,TRUE))</f>
        <v>#NUM!</v>
      </c>
      <c r="S96" s="176" t="str">
        <f>IF(AND(NOT(Q96),AND(Q$4:Q95)),IF($R96&lt;0,IF($R96&lt;$J96,EXP(($R96-$J96)*$G96),EXP(($J96-$R96)*$G96)),EXP(($R96-$J96)*$G96)),"")</f>
        <v/>
      </c>
      <c r="T96" s="107"/>
      <c r="U96" s="72" t="b">
        <f>IF(AND(NOT(Q96),AND(Q$4:Q95)),TRUE,Q96)</f>
        <v>0</v>
      </c>
      <c r="V96" s="172" t="e">
        <f>IF(AND(NOT(ISBLANK(Jumpoverwrite3)),AND(NOT(U96),AND(U$4:U95))),($J96*$G96-LN(1+Jumpoverwrite3*W$2))/$G96,_xll.qlInterpolationInterpolate(U$3,$F96,TRUE))</f>
        <v>#NUM!</v>
      </c>
      <c r="W96" s="176" t="str">
        <f>IF(AND(NOT(U96),AND(U$4:U95)),IF($V96&lt;0,IF($V96&lt;$J96,EXP(($V96-$J96)*$G96),EXP(($J96-$V96)*$G96)),EXP(($V96-$J96)*$G96)),"")</f>
        <v/>
      </c>
      <c r="X96" s="107"/>
      <c r="Y96" s="72" t="b">
        <f>IF(AND(NOT(U96),AND(U$4:U95)),TRUE,U96)</f>
        <v>0</v>
      </c>
      <c r="Z96" s="172" t="e">
        <f>IF(AND(NOT(ISBLANK(Jumpoverwrite4)),AND(NOT(Y96),AND(Y$4:Y95))),($J96*$G96-LN(1+Jumpoverwrite4*AA$2))/$G96,_xll.qlInterpolationInterpolate(Y$3,$F96,TRUE))</f>
        <v>#NUM!</v>
      </c>
      <c r="AA96" s="176" t="str">
        <f>IF(AND(NOT(Y96),AND(Y$4:Y95)),IF($Z96&lt;0,IF($Z96&lt;$J96,EXP(($Z96-$J96)*$G96),EXP(($J96-$Z96)*$G96)),EXP(($Z96-$J96)*$G96)),"")</f>
        <v/>
      </c>
      <c r="AB96" s="107"/>
      <c r="AC96" s="72" t="b">
        <f>IF(AND(NOT(Y96),AND(Y$4:Y95)),TRUE,Y96)</f>
        <v>0</v>
      </c>
      <c r="AD96" s="172" t="e">
        <f>IF(AND(NOT(ISBLANK(Jumpoverwrite5)),AND(NOT(AC96),AND(AC$4:AC95))),($J96*$G96-LN(1+Jumpoverwrite5*AE$2))/$G96,_xll.qlInterpolationInterpolate(AC$3,$F96,TRUE))</f>
        <v>#NUM!</v>
      </c>
      <c r="AE96" s="176" t="str">
        <f>IF(AND(NOT(AC96),AND(AC$4:AC95)),IF($AD96&lt;0,IF($AD96&lt;$J96,EXP(($AD96-$J96)*$G96),EXP(($J96-$AD96)*$G96)),EXP(($AD96-$J96)*$G96)),"")</f>
        <v/>
      </c>
      <c r="AF96" s="107"/>
      <c r="AG96" s="72" t="b">
        <f>IF(AND(NOT(AC96),AND(AC$4:AC95)),TRUE,AC96)</f>
        <v>0</v>
      </c>
      <c r="AH96" s="172" t="e">
        <f>IF(AND(NOT(ISBLANK(Jumpoverwrite6)),AND(NOT(AG96),AND(AG$4:AG95))),($J96*$G96-LN(1+Jumpoverwrite6*AI$2))/$G96,_xll.qlInterpolationInterpolate(AG$3,$F96,TRUE))</f>
        <v>#NUM!</v>
      </c>
      <c r="AI96" s="176" t="str">
        <f>IF(AND(NOT(AG96),AND(AG$4:AG95)),IF($AH96&lt;0,IF($AH96&lt;$J96,EXP(($AH96-$J96)*$G96),EXP(($J96-$AH96)*$G96)),EXP(($AH96-$J96)*$G96)),"")</f>
        <v/>
      </c>
      <c r="AJ96" s="107"/>
      <c r="AK96" s="72" t="b">
        <f>IF(AND(NOT(AG96),AND(AG$4:AG95)),TRUE,AG96)</f>
        <v>0</v>
      </c>
      <c r="AL96" s="172" t="e">
        <f>IF(AND(NOT(ISBLANK(Jumpoverwrite7)),AND(NOT(AK96),AND(AK$4:AK95))),($J96*$G96-LN(1+Jumpoverwrite7*AM$2))/$G96,_xll.qlInterpolationInterpolate(AK$3,$F96,TRUE))</f>
        <v>#NUM!</v>
      </c>
      <c r="AM96" s="176" t="str">
        <f>IF(AND(NOT(AK96),AND(AK$4:AK95)),IF($AL96&lt;0,IF($AL96&lt;$J96,EXP(($AL96-$J96)*$G96),EXP(($J96-$AL96)*$G96)),EXP(($AL96-$J96)*$G96)),"")</f>
        <v/>
      </c>
      <c r="AO96" s="72" t="b">
        <f>IF(AND(NOT(AK96),AND(AK$4:AK95)),TRUE,AK96)</f>
        <v>0</v>
      </c>
      <c r="AP96" s="172" t="e">
        <f>IF(AND(NOT(ISBLANK(Jumpoverwrite8)),AND(NOT(AO96),AND(AO$4:AO95))),($J96*$G96-LN(1+Jumpoverwrite8*AQ$2))/$G96,_xll.qlInterpolationInterpolate(AO$3,$F96,TRUE))</f>
        <v>#NUM!</v>
      </c>
      <c r="AQ96" s="176" t="str">
        <f>IF(AND(NOT(AO96),AND(AO$4:AO95)),IF($AP96&lt;0,IF($AP96&lt;$J96,EXP(($AP96-$J96)*$G96),EXP(($J96-$AP96)*$G96)),EXP(($AP96-$J96)*$G96)),"")</f>
        <v/>
      </c>
      <c r="AS96" s="72" t="b">
        <f>IF(AND(NOT(AO96),AND(AO$4:AO95)),TRUE,AO96)</f>
        <v>0</v>
      </c>
      <c r="AT96" s="172" t="e">
        <f>IF(AND(NOT(ISBLANK(Jumpoverwrite9)),AND(NOT(AS96),AND(AS$4:AS95))),($J96*$G96-LN(1+Jumpoverwrite9*AU$2))/$G96,_xll.qlInterpolationInterpolate(AS$3,$F96,TRUE))</f>
        <v>#NUM!</v>
      </c>
      <c r="AU96" s="176" t="str">
        <f>IF(AND(NOT(AS96),AND(AS$4:AS95)),IF($AT96&lt;0,IF($AT96&lt;$J96,EXP(($AT96-$J96)*$G96),EXP(($J96-$AT96)*$G96)),EXP(($AT96-$J96)*$G96)),"")</f>
        <v/>
      </c>
      <c r="AW96" s="72" t="b">
        <f>IF(AND(NOT(AS96),AND(AS$4:AS95)),TRUE,AS96)</f>
        <v>0</v>
      </c>
      <c r="AX96" s="172" t="e">
        <f>IF(AND(NOT(ISBLANK(Jumpoverwrite10)),AND(NOT(AW96),AND(AW$4:AW95))),($J96*$G96-LN(1+Jumpoverwrite10*AY$2))/$G96,_xll.qlInterpolationInterpolate(AW$3,$F96,TRUE))</f>
        <v>#NUM!</v>
      </c>
      <c r="AY96" s="176" t="str">
        <f>IF(AND(NOT(AW96),AND(AW$4:AW95)),IF($AX96&lt;0,IF($AX96&lt;$J96,EXP(($AX96-$J96)*$G96),EXP(($J96-$AX96)*$G96)),EXP(($AX96-$J96)*$G96)),"")</f>
        <v/>
      </c>
      <c r="BA96" s="72" t="b">
        <f>IF(AND(NOT(AW96),AND(AW$4:AW95)),TRUE,AW96)</f>
        <v>0</v>
      </c>
      <c r="BB96" s="172" t="e">
        <f>IF(AND(NOT(ISBLANK(Jumpoverwrite11)),AND(NOT(BA96),AND(BA$4:BA95))),($J96*$G96-LN(1+Jumpoverwrite11*BC$2))/$G96,_xll.qlInterpolationInterpolate(BA$3,$F96,TRUE))</f>
        <v>#NUM!</v>
      </c>
      <c r="BC96" s="176" t="str">
        <f>IF(AND(NOT(BA96),AND(BA$4:BA95)),IF($BB96&lt;0,IF($BB96&lt;$J96,EXP(($BB96-$J96)*$G96),EXP(($J96-$BB96)*$G96)),EXP(($BB96-$J96)*$G96)),"")</f>
        <v/>
      </c>
      <c r="BE96" s="72" t="b">
        <f>IF(AND(NOT(BA96),AND(BA$4:BA95)),TRUE,BA96)</f>
        <v>0</v>
      </c>
      <c r="BF96" s="172" t="e">
        <f>IF(AND(NOT(ISBLANK(Jumpoverwrite12)),AND(NOT(BE96),AND(BE$4:BE95))),($J96*$G96-LN(1+Jumpoverwrite12*BG$2))/$G96,_xll.qlInterpolationInterpolate(BE$3,$F96,TRUE))</f>
        <v>#NUM!</v>
      </c>
      <c r="BG96" s="176" t="str">
        <f>IF(AND(NOT(BE96),AND(BE$4:BE95)),IF($BF96&lt;0,IF($BF96&lt;$J96,EXP(($BF96-$J96)*$G96),EXP(($J96-$BF96)*$G96)),EXP(($BF96-$J96)*$G96)),"")</f>
        <v/>
      </c>
      <c r="BI96" s="72" t="b">
        <f t="shared" si="6"/>
        <v>0</v>
      </c>
      <c r="BJ96" s="172" t="e">
        <f>IF(AND(NOT(ISBLANK(jumpoverwrite13)),AND(NOT(BI96),AND(BI$4:BI95))),($J96*$G96-LN(1+jumpoverwrite13*BK$2))/$G96,_xll.qlInterpolationInterpolate(BI$3,$F96,TRUE))</f>
        <v>#NUM!</v>
      </c>
      <c r="BK96" s="176" t="str">
        <f>IF(AND(NOT(BI96),AND(BI$4:BI95)),IF($BJ96&lt;0,IF($BJ96&lt;$J96,EXP(($BJ96-$J96)*$G96),EXP(($J96-$BJ96)*$G96)),EXP(($BJ96-$J96)*$G96)),"")</f>
        <v/>
      </c>
      <c r="BM96" s="72" t="b">
        <f>IF(AND(NOT(BI96),AND(BI$4:BI95)),TRUE,BI96)</f>
        <v>0</v>
      </c>
      <c r="BN96" s="172" t="e">
        <f>IF(AND(NOT(ISBLANK(Jumpoverwrite14)),AND(NOT(BM96),AND(BM$4:BM95))),($J96*$G96-LN(1+Jumpoverwrite14*BO$2))/$G96,_xll.qlInterpolationInterpolate(BM$3,$F96,TRUE))</f>
        <v>#NUM!</v>
      </c>
      <c r="BO96" s="176" t="str">
        <f>IF(AND(NOT(BM96),AND(BM$4:BM95)),IF($BN96&lt;0,IF($BN96&lt;$J96,EXP(($BN96-$J96)*$G96),EXP(($J96-$BN96)*$G96)),EXP(($BN96-$J96)*$G96)),"")</f>
        <v/>
      </c>
      <c r="BQ96" s="72" t="b">
        <f>IF(AND(NOT(BM96),AND(BM$4:BM95)),TRUE,BM96)</f>
        <v>0</v>
      </c>
      <c r="BR96" s="172" t="e">
        <f>IF(AND(NOT(ISBLANK(Jumpoverwrite15)),AND(NOT(BQ96),AND(BQ$4:BQ95))),($J96*$G96-LN(1+Jumpoverwrite15*BS$2))/$G96,_xll.qlInterpolationInterpolate(BQ$3,$F96,TRUE))</f>
        <v>#NUM!</v>
      </c>
      <c r="BS96" s="176" t="str">
        <f>IF(AND(NOT(BQ96),AND(BQ$4:BQ95)),IF($BN96&lt;0,IF($BN96&lt;$J96,EXP(($BN96-$J96)*$G96),EXP(($J96-$BN96)*$G96)),EXP(($BN96-$J96)*$G96)),"")</f>
        <v/>
      </c>
    </row>
    <row r="97" spans="1:71" x14ac:dyDescent="0.2">
      <c r="A97" s="33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84" t="e">
        <f t="shared" si="9"/>
        <v>#N/A</v>
      </c>
      <c r="G97" s="85" t="e">
        <f>_xll.qlDayCounterYearFraction(DayCounter,D96,D97)</f>
        <v>#NUM!</v>
      </c>
      <c r="I97" s="93" t="b">
        <f t="shared" si="7"/>
        <v>0</v>
      </c>
      <c r="J97" s="37" t="e">
        <v>#N/A</v>
      </c>
      <c r="K97" s="94" t="e">
        <f t="shared" si="8"/>
        <v>#VALUE!</v>
      </c>
      <c r="L97" s="105"/>
      <c r="M97" s="72" t="b">
        <f>IF(AND(NOT(I97),AND(I$4:I96)),TRUE,I97)</f>
        <v>0</v>
      </c>
      <c r="N97" s="172" t="e">
        <f>IF(AND(NOT(ISBLANK(Jumpoverwrite1)),AND(NOT(M97),AND(M$4:M96))),($J97*$G97-LN(1+Jumpoverwrite1*O$2))/$G97,_xll.qlInterpolationInterpolate(M$3,$F97,TRUE))</f>
        <v>#NUM!</v>
      </c>
      <c r="O97" s="34" t="str">
        <f>IF(AND(NOT(M97),AND(M$4:M96)),IF($N97&lt;0,IF($N97&lt;$J97,EXP(($N97-$J97)*$G97),EXP(($J97-$N97)*$G97)),EXP(($N97-$J97)*$G97)),"")</f>
        <v/>
      </c>
      <c r="P97" s="107"/>
      <c r="Q97" s="72" t="b">
        <f>IF(AND(NOT(M97),AND(M$4:M96)),TRUE,M97)</f>
        <v>0</v>
      </c>
      <c r="R97" s="172" t="e">
        <f>IF(AND(NOT(ISBLANK(Jumpoverwrite2)),AND(NOT(Q97),AND(Q$4:Q96))),($J97*$G97-LN(1+Jumpoverwrite2*S$2))/$G97,_xll.qlInterpolationInterpolate(Q$3,$F97,TRUE))</f>
        <v>#NUM!</v>
      </c>
      <c r="S97" s="176" t="str">
        <f>IF(AND(NOT(Q97),AND(Q$4:Q96)),IF($R97&lt;0,IF($R97&lt;$J97,EXP(($R97-$J97)*$G97),EXP(($J97-$R97)*$G97)),EXP(($R97-$J97)*$G97)),"")</f>
        <v/>
      </c>
      <c r="T97" s="107"/>
      <c r="U97" s="72" t="b">
        <f>IF(AND(NOT(Q97),AND(Q$4:Q96)),TRUE,Q97)</f>
        <v>0</v>
      </c>
      <c r="V97" s="172" t="e">
        <f>IF(AND(NOT(ISBLANK(Jumpoverwrite3)),AND(NOT(U97),AND(U$4:U96))),($J97*$G97-LN(1+Jumpoverwrite3*W$2))/$G97,_xll.qlInterpolationInterpolate(U$3,$F97,TRUE))</f>
        <v>#NUM!</v>
      </c>
      <c r="W97" s="176" t="str">
        <f>IF(AND(NOT(U97),AND(U$4:U96)),IF($V97&lt;0,IF($V97&lt;$J97,EXP(($V97-$J97)*$G97),EXP(($J97-$V97)*$G97)),EXP(($V97-$J97)*$G97)),"")</f>
        <v/>
      </c>
      <c r="X97" s="107"/>
      <c r="Y97" s="72" t="b">
        <f>IF(AND(NOT(U97),AND(U$4:U96)),TRUE,U97)</f>
        <v>0</v>
      </c>
      <c r="Z97" s="172" t="e">
        <f>IF(AND(NOT(ISBLANK(Jumpoverwrite4)),AND(NOT(Y97),AND(Y$4:Y96))),($J97*$G97-LN(1+Jumpoverwrite4*AA$2))/$G97,_xll.qlInterpolationInterpolate(Y$3,$F97,TRUE))</f>
        <v>#NUM!</v>
      </c>
      <c r="AA97" s="176" t="str">
        <f>IF(AND(NOT(Y97),AND(Y$4:Y96)),IF($Z97&lt;0,IF($Z97&lt;$J97,EXP(($Z97-$J97)*$G97),EXP(($J97-$Z97)*$G97)),EXP(($Z97-$J97)*$G97)),"")</f>
        <v/>
      </c>
      <c r="AB97" s="107"/>
      <c r="AC97" s="72" t="b">
        <f>IF(AND(NOT(Y97),AND(Y$4:Y96)),TRUE,Y97)</f>
        <v>0</v>
      </c>
      <c r="AD97" s="172" t="e">
        <f>IF(AND(NOT(ISBLANK(Jumpoverwrite5)),AND(NOT(AC97),AND(AC$4:AC96))),($J97*$G97-LN(1+Jumpoverwrite5*AE$2))/$G97,_xll.qlInterpolationInterpolate(AC$3,$F97,TRUE))</f>
        <v>#NUM!</v>
      </c>
      <c r="AE97" s="176" t="str">
        <f>IF(AND(NOT(AC97),AND(AC$4:AC96)),IF($AD97&lt;0,IF($AD97&lt;$J97,EXP(($AD97-$J97)*$G97),EXP(($J97-$AD97)*$G97)),EXP(($AD97-$J97)*$G97)),"")</f>
        <v/>
      </c>
      <c r="AF97" s="107"/>
      <c r="AG97" s="72" t="b">
        <f>IF(AND(NOT(AC97),AND(AC$4:AC96)),TRUE,AC97)</f>
        <v>0</v>
      </c>
      <c r="AH97" s="172" t="e">
        <f>IF(AND(NOT(ISBLANK(Jumpoverwrite6)),AND(NOT(AG97),AND(AG$4:AG96))),($J97*$G97-LN(1+Jumpoverwrite6*AI$2))/$G97,_xll.qlInterpolationInterpolate(AG$3,$F97,TRUE))</f>
        <v>#NUM!</v>
      </c>
      <c r="AI97" s="176" t="str">
        <f>IF(AND(NOT(AG97),AND(AG$4:AG96)),IF($AH97&lt;0,IF($AH97&lt;$J97,EXP(($AH97-$J97)*$G97),EXP(($J97-$AH97)*$G97)),EXP(($AH97-$J97)*$G97)),"")</f>
        <v/>
      </c>
      <c r="AJ97" s="107"/>
      <c r="AK97" s="72" t="b">
        <f>IF(AND(NOT(AG97),AND(AG$4:AG96)),TRUE,AG97)</f>
        <v>0</v>
      </c>
      <c r="AL97" s="172" t="e">
        <f>IF(AND(NOT(ISBLANK(Jumpoverwrite7)),AND(NOT(AK97),AND(AK$4:AK96))),($J97*$G97-LN(1+Jumpoverwrite7*AM$2))/$G97,_xll.qlInterpolationInterpolate(AK$3,$F97,TRUE))</f>
        <v>#NUM!</v>
      </c>
      <c r="AM97" s="176" t="str">
        <f>IF(AND(NOT(AK97),AND(AK$4:AK96)),IF($AL97&lt;0,IF($AL97&lt;$J97,EXP(($AL97-$J97)*$G97),EXP(($J97-$AL97)*$G97)),EXP(($AL97-$J97)*$G97)),"")</f>
        <v/>
      </c>
      <c r="AO97" s="72" t="b">
        <f>IF(AND(NOT(AK97),AND(AK$4:AK96)),TRUE,AK97)</f>
        <v>0</v>
      </c>
      <c r="AP97" s="172" t="e">
        <f>IF(AND(NOT(ISBLANK(Jumpoverwrite8)),AND(NOT(AO97),AND(AO$4:AO96))),($J97*$G97-LN(1+Jumpoverwrite8*AQ$2))/$G97,_xll.qlInterpolationInterpolate(AO$3,$F97,TRUE))</f>
        <v>#NUM!</v>
      </c>
      <c r="AQ97" s="176" t="str">
        <f>IF(AND(NOT(AO97),AND(AO$4:AO96)),IF($AP97&lt;0,IF($AP97&lt;$J97,EXP(($AP97-$J97)*$G97),EXP(($J97-$AP97)*$G97)),EXP(($AP97-$J97)*$G97)),"")</f>
        <v/>
      </c>
      <c r="AS97" s="72" t="b">
        <f>IF(AND(NOT(AO97),AND(AO$4:AO96)),TRUE,AO97)</f>
        <v>0</v>
      </c>
      <c r="AT97" s="172" t="e">
        <f>IF(AND(NOT(ISBLANK(Jumpoverwrite9)),AND(NOT(AS97),AND(AS$4:AS96))),($J97*$G97-LN(1+Jumpoverwrite9*AU$2))/$G97,_xll.qlInterpolationInterpolate(AS$3,$F97,TRUE))</f>
        <v>#NUM!</v>
      </c>
      <c r="AU97" s="176" t="str">
        <f>IF(AND(NOT(AS97),AND(AS$4:AS96)),IF($AT97&lt;0,IF($AT97&lt;$J97,EXP(($AT97-$J97)*$G97),EXP(($J97-$AT97)*$G97)),EXP(($AT97-$J97)*$G97)),"")</f>
        <v/>
      </c>
      <c r="AW97" s="72" t="b">
        <f>IF(AND(NOT(AS97),AND(AS$4:AS96)),TRUE,AS97)</f>
        <v>0</v>
      </c>
      <c r="AX97" s="172" t="e">
        <f>IF(AND(NOT(ISBLANK(Jumpoverwrite10)),AND(NOT(AW97),AND(AW$4:AW96))),($J97*$G97-LN(1+Jumpoverwrite10*AY$2))/$G97,_xll.qlInterpolationInterpolate(AW$3,$F97,TRUE))</f>
        <v>#NUM!</v>
      </c>
      <c r="AY97" s="176" t="str">
        <f>IF(AND(NOT(AW97),AND(AW$4:AW96)),IF($AX97&lt;0,IF($AX97&lt;$J97,EXP(($AX97-$J97)*$G97),EXP(($J97-$AX97)*$G97)),EXP(($AX97-$J97)*$G97)),"")</f>
        <v/>
      </c>
      <c r="BA97" s="72" t="b">
        <f>IF(AND(NOT(AW97),AND(AW$4:AW96)),TRUE,AW97)</f>
        <v>0</v>
      </c>
      <c r="BB97" s="172" t="e">
        <f>IF(AND(NOT(ISBLANK(Jumpoverwrite11)),AND(NOT(BA97),AND(BA$4:BA96))),($J97*$G97-LN(1+Jumpoverwrite11*BC$2))/$G97,_xll.qlInterpolationInterpolate(BA$3,$F97,TRUE))</f>
        <v>#NUM!</v>
      </c>
      <c r="BC97" s="176" t="str">
        <f>IF(AND(NOT(BA97),AND(BA$4:BA96)),IF($BB97&lt;0,IF($BB97&lt;$J97,EXP(($BB97-$J97)*$G97),EXP(($J97-$BB97)*$G97)),EXP(($BB97-$J97)*$G97)),"")</f>
        <v/>
      </c>
      <c r="BE97" s="72" t="b">
        <f>IF(AND(NOT(BA97),AND(BA$4:BA96)),TRUE,BA97)</f>
        <v>0</v>
      </c>
      <c r="BF97" s="172" t="e">
        <f>IF(AND(NOT(ISBLANK(Jumpoverwrite12)),AND(NOT(BE97),AND(BE$4:BE96))),($J97*$G97-LN(1+Jumpoverwrite12*BG$2))/$G97,_xll.qlInterpolationInterpolate(BE$3,$F97,TRUE))</f>
        <v>#NUM!</v>
      </c>
      <c r="BG97" s="176" t="str">
        <f>IF(AND(NOT(BE97),AND(BE$4:BE96)),IF($BF97&lt;0,IF($BF97&lt;$J97,EXP(($BF97-$J97)*$G97),EXP(($J97-$BF97)*$G97)),EXP(($BF97-$J97)*$G97)),"")</f>
        <v/>
      </c>
      <c r="BI97" s="72" t="b">
        <f t="shared" si="6"/>
        <v>0</v>
      </c>
      <c r="BJ97" s="172" t="e">
        <f>IF(AND(NOT(ISBLANK(jumpoverwrite13)),AND(NOT(BI97),AND(BI$4:BI96))),($J97*$G97-LN(1+jumpoverwrite13*BK$2))/$G97,_xll.qlInterpolationInterpolate(BI$3,$F97,TRUE))</f>
        <v>#NUM!</v>
      </c>
      <c r="BK97" s="176" t="str">
        <f>IF(AND(NOT(BI97),AND(BI$4:BI96)),IF($BJ97&lt;0,IF($BJ97&lt;$J97,EXP(($BJ97-$J97)*$G97),EXP(($J97-$BJ97)*$G97)),EXP(($BJ97-$J97)*$G97)),"")</f>
        <v/>
      </c>
      <c r="BM97" s="72" t="b">
        <f>IF(AND(NOT(BI97),AND(BI$4:BI96)),TRUE,BI97)</f>
        <v>0</v>
      </c>
      <c r="BN97" s="172" t="e">
        <f>IF(AND(NOT(ISBLANK(Jumpoverwrite14)),AND(NOT(BM97),AND(BM$4:BM96))),($J97*$G97-LN(1+Jumpoverwrite14*BO$2))/$G97,_xll.qlInterpolationInterpolate(BM$3,$F97,TRUE))</f>
        <v>#NUM!</v>
      </c>
      <c r="BO97" s="176" t="str">
        <f>IF(AND(NOT(BM97),AND(BM$4:BM96)),IF($BN97&lt;0,IF($BN97&lt;$J97,EXP(($BN97-$J97)*$G97),EXP(($J97-$BN97)*$G97)),EXP(($BN97-$J97)*$G97)),"")</f>
        <v/>
      </c>
      <c r="BQ97" s="72" t="b">
        <f>IF(AND(NOT(BM97),AND(BM$4:BM96)),TRUE,BM97)</f>
        <v>0</v>
      </c>
      <c r="BR97" s="172" t="e">
        <f>IF(AND(NOT(ISBLANK(Jumpoverwrite15)),AND(NOT(BQ97),AND(BQ$4:BQ96))),($J97*$G97-LN(1+Jumpoverwrite15*BS$2))/$G97,_xll.qlInterpolationInterpolate(BQ$3,$F97,TRUE))</f>
        <v>#NUM!</v>
      </c>
      <c r="BS97" s="176" t="str">
        <f>IF(AND(NOT(BQ97),AND(BQ$4:BQ96)),IF($BN97&lt;0,IF($BN97&lt;$J97,EXP(($BN97-$J97)*$G97),EXP(($J97-$BN97)*$G97)),EXP(($BN97-$J97)*$G97)),"")</f>
        <v/>
      </c>
    </row>
    <row r="98" spans="1:71" x14ac:dyDescent="0.2">
      <c r="A98" s="33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84" t="e">
        <f t="shared" si="9"/>
        <v>#N/A</v>
      </c>
      <c r="G98" s="85" t="e">
        <f>_xll.qlDayCounterYearFraction(DayCounter,D97,D98)</f>
        <v>#NUM!</v>
      </c>
      <c r="I98" s="93" t="b">
        <f t="shared" si="7"/>
        <v>0</v>
      </c>
      <c r="J98" s="37" t="e">
        <v>#N/A</v>
      </c>
      <c r="K98" s="94" t="e">
        <f t="shared" si="8"/>
        <v>#VALUE!</v>
      </c>
      <c r="L98" s="105"/>
      <c r="M98" s="72" t="b">
        <f>IF(AND(NOT(I98),AND(I$4:I97)),TRUE,I98)</f>
        <v>0</v>
      </c>
      <c r="N98" s="172" t="e">
        <f>IF(AND(NOT(ISBLANK(Jumpoverwrite1)),AND(NOT(M98),AND(M$4:M97))),($J98*$G98-LN(1+Jumpoverwrite1*O$2))/$G98,_xll.qlInterpolationInterpolate(M$3,$F98,TRUE))</f>
        <v>#NUM!</v>
      </c>
      <c r="O98" s="34" t="str">
        <f>IF(AND(NOT(M98),AND(M$4:M97)),IF($N98&lt;0,IF($N98&lt;$J98,EXP(($N98-$J98)*$G98),EXP(($J98-$N98)*$G98)),EXP(($N98-$J98)*$G98)),"")</f>
        <v/>
      </c>
      <c r="P98" s="107"/>
      <c r="Q98" s="72" t="b">
        <f>IF(AND(NOT(M98),AND(M$4:M97)),TRUE,M98)</f>
        <v>0</v>
      </c>
      <c r="R98" s="172" t="e">
        <f>IF(AND(NOT(ISBLANK(Jumpoverwrite2)),AND(NOT(Q98),AND(Q$4:Q97))),($J98*$G98-LN(1+Jumpoverwrite2*S$2))/$G98,_xll.qlInterpolationInterpolate(Q$3,$F98,TRUE))</f>
        <v>#NUM!</v>
      </c>
      <c r="S98" s="176" t="str">
        <f>IF(AND(NOT(Q98),AND(Q$4:Q97)),IF($R98&lt;0,IF($R98&lt;$J98,EXP(($R98-$J98)*$G98),EXP(($J98-$R98)*$G98)),EXP(($R98-$J98)*$G98)),"")</f>
        <v/>
      </c>
      <c r="T98" s="107"/>
      <c r="U98" s="72" t="b">
        <f>IF(AND(NOT(Q98),AND(Q$4:Q97)),TRUE,Q98)</f>
        <v>0</v>
      </c>
      <c r="V98" s="172" t="e">
        <f>IF(AND(NOT(ISBLANK(Jumpoverwrite3)),AND(NOT(U98),AND(U$4:U97))),($J98*$G98-LN(1+Jumpoverwrite3*W$2))/$G98,_xll.qlInterpolationInterpolate(U$3,$F98,TRUE))</f>
        <v>#NUM!</v>
      </c>
      <c r="W98" s="176" t="str">
        <f>IF(AND(NOT(U98),AND(U$4:U97)),IF($V98&lt;0,IF($V98&lt;$J98,EXP(($V98-$J98)*$G98),EXP(($J98-$V98)*$G98)),EXP(($V98-$J98)*$G98)),"")</f>
        <v/>
      </c>
      <c r="X98" s="107"/>
      <c r="Y98" s="72" t="b">
        <f>IF(AND(NOT(U98),AND(U$4:U97)),TRUE,U98)</f>
        <v>0</v>
      </c>
      <c r="Z98" s="172" t="e">
        <f>IF(AND(NOT(ISBLANK(Jumpoverwrite4)),AND(NOT(Y98),AND(Y$4:Y97))),($J98*$G98-LN(1+Jumpoverwrite4*AA$2))/$G98,_xll.qlInterpolationInterpolate(Y$3,$F98,TRUE))</f>
        <v>#NUM!</v>
      </c>
      <c r="AA98" s="176" t="str">
        <f>IF(AND(NOT(Y98),AND(Y$4:Y97)),IF($Z98&lt;0,IF($Z98&lt;$J98,EXP(($Z98-$J98)*$G98),EXP(($J98-$Z98)*$G98)),EXP(($Z98-$J98)*$G98)),"")</f>
        <v/>
      </c>
      <c r="AB98" s="107"/>
      <c r="AC98" s="72" t="b">
        <f>IF(AND(NOT(Y98),AND(Y$4:Y97)),TRUE,Y98)</f>
        <v>0</v>
      </c>
      <c r="AD98" s="172" t="e">
        <f>IF(AND(NOT(ISBLANK(Jumpoverwrite5)),AND(NOT(AC98),AND(AC$4:AC97))),($J98*$G98-LN(1+Jumpoverwrite5*AE$2))/$G98,_xll.qlInterpolationInterpolate(AC$3,$F98,TRUE))</f>
        <v>#NUM!</v>
      </c>
      <c r="AE98" s="176" t="str">
        <f>IF(AND(NOT(AC98),AND(AC$4:AC97)),IF($AD98&lt;0,IF($AD98&lt;$J98,EXP(($AD98-$J98)*$G98),EXP(($J98-$AD98)*$G98)),EXP(($AD98-$J98)*$G98)),"")</f>
        <v/>
      </c>
      <c r="AF98" s="107"/>
      <c r="AG98" s="72" t="b">
        <f>IF(AND(NOT(AC98),AND(AC$4:AC97)),TRUE,AC98)</f>
        <v>0</v>
      </c>
      <c r="AH98" s="172" t="e">
        <f>IF(AND(NOT(ISBLANK(Jumpoverwrite6)),AND(NOT(AG98),AND(AG$4:AG97))),($J98*$G98-LN(1+Jumpoverwrite6*AI$2))/$G98,_xll.qlInterpolationInterpolate(AG$3,$F98,TRUE))</f>
        <v>#NUM!</v>
      </c>
      <c r="AI98" s="176" t="str">
        <f>IF(AND(NOT(AG98),AND(AG$4:AG97)),IF($AH98&lt;0,IF($AH98&lt;$J98,EXP(($AH98-$J98)*$G98),EXP(($J98-$AH98)*$G98)),EXP(($AH98-$J98)*$G98)),"")</f>
        <v/>
      </c>
      <c r="AJ98" s="107"/>
      <c r="AK98" s="72" t="b">
        <f>IF(AND(NOT(AG98),AND(AG$4:AG97)),TRUE,AG98)</f>
        <v>0</v>
      </c>
      <c r="AL98" s="172" t="e">
        <f>IF(AND(NOT(ISBLANK(Jumpoverwrite7)),AND(NOT(AK98),AND(AK$4:AK97))),($J98*$G98-LN(1+Jumpoverwrite7*AM$2))/$G98,_xll.qlInterpolationInterpolate(AK$3,$F98,TRUE))</f>
        <v>#NUM!</v>
      </c>
      <c r="AM98" s="176" t="str">
        <f>IF(AND(NOT(AK98),AND(AK$4:AK97)),IF($AL98&lt;0,IF($AL98&lt;$J98,EXP(($AL98-$J98)*$G98),EXP(($J98-$AL98)*$G98)),EXP(($AL98-$J98)*$G98)),"")</f>
        <v/>
      </c>
      <c r="AO98" s="72" t="b">
        <f>IF(AND(NOT(AK98),AND(AK$4:AK97)),TRUE,AK98)</f>
        <v>0</v>
      </c>
      <c r="AP98" s="172" t="e">
        <f>IF(AND(NOT(ISBLANK(Jumpoverwrite8)),AND(NOT(AO98),AND(AO$4:AO97))),($J98*$G98-LN(1+Jumpoverwrite8*AQ$2))/$G98,_xll.qlInterpolationInterpolate(AO$3,$F98,TRUE))</f>
        <v>#NUM!</v>
      </c>
      <c r="AQ98" s="176" t="str">
        <f>IF(AND(NOT(AO98),AND(AO$4:AO97)),IF($AP98&lt;0,IF($AP98&lt;$J98,EXP(($AP98-$J98)*$G98),EXP(($J98-$AP98)*$G98)),EXP(($AP98-$J98)*$G98)),"")</f>
        <v/>
      </c>
      <c r="AS98" s="72" t="b">
        <f>IF(AND(NOT(AO98),AND(AO$4:AO97)),TRUE,AO98)</f>
        <v>0</v>
      </c>
      <c r="AT98" s="172" t="e">
        <f>IF(AND(NOT(ISBLANK(Jumpoverwrite9)),AND(NOT(AS98),AND(AS$4:AS97))),($J98*$G98-LN(1+Jumpoverwrite9*AU$2))/$G98,_xll.qlInterpolationInterpolate(AS$3,$F98,TRUE))</f>
        <v>#NUM!</v>
      </c>
      <c r="AU98" s="176" t="str">
        <f>IF(AND(NOT(AS98),AND(AS$4:AS97)),IF($AT98&lt;0,IF($AT98&lt;$J98,EXP(($AT98-$J98)*$G98),EXP(($J98-$AT98)*$G98)),EXP(($AT98-$J98)*$G98)),"")</f>
        <v/>
      </c>
      <c r="AW98" s="72" t="b">
        <f>IF(AND(NOT(AS98),AND(AS$4:AS97)),TRUE,AS98)</f>
        <v>0</v>
      </c>
      <c r="AX98" s="172" t="e">
        <f>IF(AND(NOT(ISBLANK(Jumpoverwrite10)),AND(NOT(AW98),AND(AW$4:AW97))),($J98*$G98-LN(1+Jumpoverwrite10*AY$2))/$G98,_xll.qlInterpolationInterpolate(AW$3,$F98,TRUE))</f>
        <v>#NUM!</v>
      </c>
      <c r="AY98" s="176" t="str">
        <f>IF(AND(NOT(AW98),AND(AW$4:AW97)),IF($AX98&lt;0,IF($AX98&lt;$J98,EXP(($AX98-$J98)*$G98),EXP(($J98-$AX98)*$G98)),EXP(($AX98-$J98)*$G98)),"")</f>
        <v/>
      </c>
      <c r="BA98" s="72" t="b">
        <f>IF(AND(NOT(AW98),AND(AW$4:AW97)),TRUE,AW98)</f>
        <v>0</v>
      </c>
      <c r="BB98" s="172" t="e">
        <f>IF(AND(NOT(ISBLANK(Jumpoverwrite11)),AND(NOT(BA98),AND(BA$4:BA97))),($J98*$G98-LN(1+Jumpoverwrite11*BC$2))/$G98,_xll.qlInterpolationInterpolate(BA$3,$F98,TRUE))</f>
        <v>#NUM!</v>
      </c>
      <c r="BC98" s="176" t="str">
        <f>IF(AND(NOT(BA98),AND(BA$4:BA97)),IF($BB98&lt;0,IF($BB98&lt;$J98,EXP(($BB98-$J98)*$G98),EXP(($J98-$BB98)*$G98)),EXP(($BB98-$J98)*$G98)),"")</f>
        <v/>
      </c>
      <c r="BE98" s="72" t="b">
        <f>IF(AND(NOT(BA98),AND(BA$4:BA97)),TRUE,BA98)</f>
        <v>0</v>
      </c>
      <c r="BF98" s="172" t="e">
        <f>IF(AND(NOT(ISBLANK(Jumpoverwrite12)),AND(NOT(BE98),AND(BE$4:BE97))),($J98*$G98-LN(1+Jumpoverwrite12*BG$2))/$G98,_xll.qlInterpolationInterpolate(BE$3,$F98,TRUE))</f>
        <v>#NUM!</v>
      </c>
      <c r="BG98" s="176" t="str">
        <f>IF(AND(NOT(BE98),AND(BE$4:BE97)),IF($BF98&lt;0,IF($BF98&lt;$J98,EXP(($BF98-$J98)*$G98),EXP(($J98-$BF98)*$G98)),EXP(($BF98-$J98)*$G98)),"")</f>
        <v/>
      </c>
      <c r="BI98" s="72" t="b">
        <f t="shared" si="6"/>
        <v>0</v>
      </c>
      <c r="BJ98" s="172" t="e">
        <f>IF(AND(NOT(ISBLANK(jumpoverwrite13)),AND(NOT(BI98),AND(BI$4:BI97))),($J98*$G98-LN(1+jumpoverwrite13*BK$2))/$G98,_xll.qlInterpolationInterpolate(BI$3,$F98,TRUE))</f>
        <v>#NUM!</v>
      </c>
      <c r="BK98" s="176" t="str">
        <f>IF(AND(NOT(BI98),AND(BI$4:BI97)),IF($BJ98&lt;0,IF($BJ98&lt;$J98,EXP(($BJ98-$J98)*$G98),EXP(($J98-$BJ98)*$G98)),EXP(($BJ98-$J98)*$G98)),"")</f>
        <v/>
      </c>
      <c r="BM98" s="72" t="b">
        <f>IF(AND(NOT(BI98),AND(BI$4:BI97)),TRUE,BI98)</f>
        <v>0</v>
      </c>
      <c r="BN98" s="172" t="e">
        <f>IF(AND(NOT(ISBLANK(Jumpoverwrite14)),AND(NOT(BM98),AND(BM$4:BM97))),($J98*$G98-LN(1+Jumpoverwrite14*BO$2))/$G98,_xll.qlInterpolationInterpolate(BM$3,$F98,TRUE))</f>
        <v>#NUM!</v>
      </c>
      <c r="BO98" s="176" t="str">
        <f>IF(AND(NOT(BM98),AND(BM$4:BM97)),IF($BN98&lt;0,IF($BN98&lt;$J98,EXP(($BN98-$J98)*$G98),EXP(($J98-$BN98)*$G98)),EXP(($BN98-$J98)*$G98)),"")</f>
        <v/>
      </c>
      <c r="BQ98" s="72" t="b">
        <f>IF(AND(NOT(BM98),AND(BM$4:BM97)),TRUE,BM98)</f>
        <v>0</v>
      </c>
      <c r="BR98" s="172" t="e">
        <f>IF(AND(NOT(ISBLANK(Jumpoverwrite15)),AND(NOT(BQ98),AND(BQ$4:BQ97))),($J98*$G98-LN(1+Jumpoverwrite15*BS$2))/$G98,_xll.qlInterpolationInterpolate(BQ$3,$F98,TRUE))</f>
        <v>#NUM!</v>
      </c>
      <c r="BS98" s="176" t="str">
        <f>IF(AND(NOT(BQ98),AND(BQ$4:BQ97)),IF($BN98&lt;0,IF($BN98&lt;$J98,EXP(($BN98-$J98)*$G98),EXP(($J98-$BN98)*$G98)),EXP(($BN98-$J98)*$G98)),"")</f>
        <v/>
      </c>
    </row>
    <row r="99" spans="1:71" x14ac:dyDescent="0.2">
      <c r="A99" s="33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84" t="e">
        <f t="shared" si="9"/>
        <v>#N/A</v>
      </c>
      <c r="G99" s="85" t="e">
        <f>_xll.qlDayCounterYearFraction(DayCounter,D98,D99)</f>
        <v>#NUM!</v>
      </c>
      <c r="I99" s="93" t="b">
        <f t="shared" si="7"/>
        <v>0</v>
      </c>
      <c r="J99" s="37" t="e">
        <v>#N/A</v>
      </c>
      <c r="K99" s="94" t="e">
        <f t="shared" si="8"/>
        <v>#VALUE!</v>
      </c>
      <c r="L99" s="105"/>
      <c r="M99" s="72" t="b">
        <f>IF(AND(NOT(I99),AND(I$4:I98)),TRUE,I99)</f>
        <v>0</v>
      </c>
      <c r="N99" s="172" t="e">
        <f>IF(AND(NOT(ISBLANK(Jumpoverwrite1)),AND(NOT(M99),AND(M$4:M98))),($J99*$G99-LN(1+Jumpoverwrite1*O$2))/$G99,_xll.qlInterpolationInterpolate(M$3,$F99,TRUE))</f>
        <v>#NUM!</v>
      </c>
      <c r="O99" s="34" t="str">
        <f>IF(AND(NOT(M99),AND(M$4:M98)),IF($N99&lt;0,IF($N99&lt;$J99,EXP(($N99-$J99)*$G99),EXP(($J99-$N99)*$G99)),EXP(($N99-$J99)*$G99)),"")</f>
        <v/>
      </c>
      <c r="P99" s="107"/>
      <c r="Q99" s="72" t="b">
        <f>IF(AND(NOT(M99),AND(M$4:M98)),TRUE,M99)</f>
        <v>0</v>
      </c>
      <c r="R99" s="172" t="e">
        <f>IF(AND(NOT(ISBLANK(Jumpoverwrite2)),AND(NOT(Q99),AND(Q$4:Q98))),($J99*$G99-LN(1+Jumpoverwrite2*S$2))/$G99,_xll.qlInterpolationInterpolate(Q$3,$F99,TRUE))</f>
        <v>#NUM!</v>
      </c>
      <c r="S99" s="176" t="str">
        <f>IF(AND(NOT(Q99),AND(Q$4:Q98)),IF($R99&lt;0,IF($R99&lt;$J99,EXP(($R99-$J99)*$G99),EXP(($J99-$R99)*$G99)),EXP(($R99-$J99)*$G99)),"")</f>
        <v/>
      </c>
      <c r="T99" s="107"/>
      <c r="U99" s="72" t="b">
        <f>IF(AND(NOT(Q99),AND(Q$4:Q98)),TRUE,Q99)</f>
        <v>0</v>
      </c>
      <c r="V99" s="172" t="e">
        <f>IF(AND(NOT(ISBLANK(Jumpoverwrite3)),AND(NOT(U99),AND(U$4:U98))),($J99*$G99-LN(1+Jumpoverwrite3*W$2))/$G99,_xll.qlInterpolationInterpolate(U$3,$F99,TRUE))</f>
        <v>#NUM!</v>
      </c>
      <c r="W99" s="176" t="str">
        <f>IF(AND(NOT(U99),AND(U$4:U98)),IF($V99&lt;0,IF($V99&lt;$J99,EXP(($V99-$J99)*$G99),EXP(($J99-$V99)*$G99)),EXP(($V99-$J99)*$G99)),"")</f>
        <v/>
      </c>
      <c r="X99" s="107"/>
      <c r="Y99" s="72" t="b">
        <f>IF(AND(NOT(U99),AND(U$4:U98)),TRUE,U99)</f>
        <v>0</v>
      </c>
      <c r="Z99" s="172" t="e">
        <f>IF(AND(NOT(ISBLANK(Jumpoverwrite4)),AND(NOT(Y99),AND(Y$4:Y98))),($J99*$G99-LN(1+Jumpoverwrite4*AA$2))/$G99,_xll.qlInterpolationInterpolate(Y$3,$F99,TRUE))</f>
        <v>#NUM!</v>
      </c>
      <c r="AA99" s="176" t="str">
        <f>IF(AND(NOT(Y99),AND(Y$4:Y98)),IF($Z99&lt;0,IF($Z99&lt;$J99,EXP(($Z99-$J99)*$G99),EXP(($J99-$Z99)*$G99)),EXP(($Z99-$J99)*$G99)),"")</f>
        <v/>
      </c>
      <c r="AB99" s="107"/>
      <c r="AC99" s="72" t="b">
        <f>IF(AND(NOT(Y99),AND(Y$4:Y98)),TRUE,Y99)</f>
        <v>0</v>
      </c>
      <c r="AD99" s="172" t="e">
        <f>IF(AND(NOT(ISBLANK(Jumpoverwrite5)),AND(NOT(AC99),AND(AC$4:AC98))),($J99*$G99-LN(1+Jumpoverwrite5*AE$2))/$G99,_xll.qlInterpolationInterpolate(AC$3,$F99,TRUE))</f>
        <v>#NUM!</v>
      </c>
      <c r="AE99" s="176" t="str">
        <f>IF(AND(NOT(AC99),AND(AC$4:AC98)),IF($AD99&lt;0,IF($AD99&lt;$J99,EXP(($AD99-$J99)*$G99),EXP(($J99-$AD99)*$G99)),EXP(($AD99-$J99)*$G99)),"")</f>
        <v/>
      </c>
      <c r="AF99" s="107"/>
      <c r="AG99" s="72" t="b">
        <f>IF(AND(NOT(AC99),AND(AC$4:AC98)),TRUE,AC99)</f>
        <v>0</v>
      </c>
      <c r="AH99" s="172" t="e">
        <f>IF(AND(NOT(ISBLANK(Jumpoverwrite6)),AND(NOT(AG99),AND(AG$4:AG98))),($J99*$G99-LN(1+Jumpoverwrite6*AI$2))/$G99,_xll.qlInterpolationInterpolate(AG$3,$F99,TRUE))</f>
        <v>#NUM!</v>
      </c>
      <c r="AI99" s="176" t="str">
        <f>IF(AND(NOT(AG99),AND(AG$4:AG98)),IF($AH99&lt;0,IF($AH99&lt;$J99,EXP(($AH99-$J99)*$G99),EXP(($J99-$AH99)*$G99)),EXP(($AH99-$J99)*$G99)),"")</f>
        <v/>
      </c>
      <c r="AJ99" s="107"/>
      <c r="AK99" s="72" t="b">
        <f>IF(AND(NOT(AG99),AND(AG$4:AG98)),TRUE,AG99)</f>
        <v>0</v>
      </c>
      <c r="AL99" s="172" t="e">
        <f>IF(AND(NOT(ISBLANK(Jumpoverwrite7)),AND(NOT(AK99),AND(AK$4:AK98))),($J99*$G99-LN(1+Jumpoverwrite7*AM$2))/$G99,_xll.qlInterpolationInterpolate(AK$3,$F99,TRUE))</f>
        <v>#NUM!</v>
      </c>
      <c r="AM99" s="176" t="str">
        <f>IF(AND(NOT(AK99),AND(AK$4:AK98)),IF($AL99&lt;0,IF($AL99&lt;$J99,EXP(($AL99-$J99)*$G99),EXP(($J99-$AL99)*$G99)),EXP(($AL99-$J99)*$G99)),"")</f>
        <v/>
      </c>
      <c r="AO99" s="72" t="b">
        <f>IF(AND(NOT(AK99),AND(AK$4:AK98)),TRUE,AK99)</f>
        <v>0</v>
      </c>
      <c r="AP99" s="172" t="e">
        <f>IF(AND(NOT(ISBLANK(Jumpoverwrite8)),AND(NOT(AO99),AND(AO$4:AO98))),($J99*$G99-LN(1+Jumpoverwrite8*AQ$2))/$G99,_xll.qlInterpolationInterpolate(AO$3,$F99,TRUE))</f>
        <v>#NUM!</v>
      </c>
      <c r="AQ99" s="176" t="str">
        <f>IF(AND(NOT(AO99),AND(AO$4:AO98)),IF($AP99&lt;0,IF($AP99&lt;$J99,EXP(($AP99-$J99)*$G99),EXP(($J99-$AP99)*$G99)),EXP(($AP99-$J99)*$G99)),"")</f>
        <v/>
      </c>
      <c r="AS99" s="72" t="b">
        <f>IF(AND(NOT(AO99),AND(AO$4:AO98)),TRUE,AO99)</f>
        <v>0</v>
      </c>
      <c r="AT99" s="172" t="e">
        <f>IF(AND(NOT(ISBLANK(Jumpoverwrite9)),AND(NOT(AS99),AND(AS$4:AS98))),($J99*$G99-LN(1+Jumpoverwrite9*AU$2))/$G99,_xll.qlInterpolationInterpolate(AS$3,$F99,TRUE))</f>
        <v>#NUM!</v>
      </c>
      <c r="AU99" s="176" t="str">
        <f>IF(AND(NOT(AS99),AND(AS$4:AS98)),IF($AT99&lt;0,IF($AT99&lt;$J99,EXP(($AT99-$J99)*$G99),EXP(($J99-$AT99)*$G99)),EXP(($AT99-$J99)*$G99)),"")</f>
        <v/>
      </c>
      <c r="AW99" s="72" t="b">
        <f>IF(AND(NOT(AS99),AND(AS$4:AS98)),TRUE,AS99)</f>
        <v>0</v>
      </c>
      <c r="AX99" s="172" t="e">
        <f>IF(AND(NOT(ISBLANK(Jumpoverwrite10)),AND(NOT(AW99),AND(AW$4:AW98))),($J99*$G99-LN(1+Jumpoverwrite10*AY$2))/$G99,_xll.qlInterpolationInterpolate(AW$3,$F99,TRUE))</f>
        <v>#NUM!</v>
      </c>
      <c r="AY99" s="176" t="str">
        <f>IF(AND(NOT(AW99),AND(AW$4:AW98)),IF($AX99&lt;0,IF($AX99&lt;$J99,EXP(($AX99-$J99)*$G99),EXP(($J99-$AX99)*$G99)),EXP(($AX99-$J99)*$G99)),"")</f>
        <v/>
      </c>
      <c r="BA99" s="72" t="b">
        <f>IF(AND(NOT(AW99),AND(AW$4:AW98)),TRUE,AW99)</f>
        <v>0</v>
      </c>
      <c r="BB99" s="172" t="e">
        <f>IF(AND(NOT(ISBLANK(Jumpoverwrite11)),AND(NOT(BA99),AND(BA$4:BA98))),($J99*$G99-LN(1+Jumpoverwrite11*BC$2))/$G99,_xll.qlInterpolationInterpolate(BA$3,$F99,TRUE))</f>
        <v>#NUM!</v>
      </c>
      <c r="BC99" s="176" t="str">
        <f>IF(AND(NOT(BA99),AND(BA$4:BA98)),IF($BB99&lt;0,IF($BB99&lt;$J99,EXP(($BB99-$J99)*$G99),EXP(($J99-$BB99)*$G99)),EXP(($BB99-$J99)*$G99)),"")</f>
        <v/>
      </c>
      <c r="BE99" s="72" t="b">
        <f>IF(AND(NOT(BA99),AND(BA$4:BA98)),TRUE,BA99)</f>
        <v>0</v>
      </c>
      <c r="BF99" s="172" t="e">
        <f>IF(AND(NOT(ISBLANK(Jumpoverwrite12)),AND(NOT(BE99),AND(BE$4:BE98))),($J99*$G99-LN(1+Jumpoverwrite12*BG$2))/$G99,_xll.qlInterpolationInterpolate(BE$3,$F99,TRUE))</f>
        <v>#NUM!</v>
      </c>
      <c r="BG99" s="176" t="str">
        <f>IF(AND(NOT(BE99),AND(BE$4:BE98)),IF($BF99&lt;0,IF($BF99&lt;$J99,EXP(($BF99-$J99)*$G99),EXP(($J99-$BF99)*$G99)),EXP(($BF99-$J99)*$G99)),"")</f>
        <v/>
      </c>
      <c r="BI99" s="72" t="b">
        <f t="shared" si="6"/>
        <v>0</v>
      </c>
      <c r="BJ99" s="172" t="e">
        <f>IF(AND(NOT(ISBLANK(jumpoverwrite13)),AND(NOT(BI99),AND(BI$4:BI98))),($J99*$G99-LN(1+jumpoverwrite13*BK$2))/$G99,_xll.qlInterpolationInterpolate(BI$3,$F99,TRUE))</f>
        <v>#NUM!</v>
      </c>
      <c r="BK99" s="176" t="str">
        <f>IF(AND(NOT(BI99),AND(BI$4:BI98)),IF($BJ99&lt;0,IF($BJ99&lt;$J99,EXP(($BJ99-$J99)*$G99),EXP(($J99-$BJ99)*$G99)),EXP(($BJ99-$J99)*$G99)),"")</f>
        <v/>
      </c>
      <c r="BM99" s="72" t="b">
        <f>IF(AND(NOT(BI99),AND(BI$4:BI98)),TRUE,BI99)</f>
        <v>0</v>
      </c>
      <c r="BN99" s="172" t="e">
        <f>IF(AND(NOT(ISBLANK(Jumpoverwrite14)),AND(NOT(BM99),AND(BM$4:BM98))),($J99*$G99-LN(1+Jumpoverwrite14*BO$2))/$G99,_xll.qlInterpolationInterpolate(BM$3,$F99,TRUE))</f>
        <v>#NUM!</v>
      </c>
      <c r="BO99" s="176" t="str">
        <f>IF(AND(NOT(BM99),AND(BM$4:BM98)),IF($BN99&lt;0,IF($BN99&lt;$J99,EXP(($BN99-$J99)*$G99),EXP(($J99-$BN99)*$G99)),EXP(($BN99-$J99)*$G99)),"")</f>
        <v/>
      </c>
      <c r="BQ99" s="72" t="b">
        <f>IF(AND(NOT(BM99),AND(BM$4:BM98)),TRUE,BM99)</f>
        <v>0</v>
      </c>
      <c r="BR99" s="172" t="e">
        <f>IF(AND(NOT(ISBLANK(Jumpoverwrite15)),AND(NOT(BQ99),AND(BQ$4:BQ98))),($J99*$G99-LN(1+Jumpoverwrite15*BS$2))/$G99,_xll.qlInterpolationInterpolate(BQ$3,$F99,TRUE))</f>
        <v>#NUM!</v>
      </c>
      <c r="BS99" s="176" t="str">
        <f>IF(AND(NOT(BQ99),AND(BQ$4:BQ98)),IF($BN99&lt;0,IF($BN99&lt;$J99,EXP(($BN99-$J99)*$G99),EXP(($J99-$BN99)*$G99)),EXP(($BN99-$J99)*$G99)),"")</f>
        <v/>
      </c>
    </row>
    <row r="100" spans="1:71" x14ac:dyDescent="0.2">
      <c r="A100" s="33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84" t="e">
        <f t="shared" si="9"/>
        <v>#N/A</v>
      </c>
      <c r="G100" s="85" t="e">
        <f>_xll.qlDayCounterYearFraction(DayCounter,D99,D100)</f>
        <v>#NUM!</v>
      </c>
      <c r="I100" s="93" t="b">
        <f t="shared" si="7"/>
        <v>0</v>
      </c>
      <c r="J100" s="37" t="e">
        <v>#N/A</v>
      </c>
      <c r="K100" s="94" t="e">
        <f t="shared" si="8"/>
        <v>#VALUE!</v>
      </c>
      <c r="L100" s="105"/>
      <c r="M100" s="72" t="b">
        <f>IF(AND(NOT(I100),AND(I$4:I99)),TRUE,I100)</f>
        <v>0</v>
      </c>
      <c r="N100" s="172" t="e">
        <f>IF(AND(NOT(ISBLANK(Jumpoverwrite1)),AND(NOT(M100),AND(M$4:M99))),($J100*$G100-LN(1+Jumpoverwrite1*O$2))/$G100,_xll.qlInterpolationInterpolate(M$3,$F100,TRUE))</f>
        <v>#NUM!</v>
      </c>
      <c r="O100" s="34" t="str">
        <f>IF(AND(NOT(M100),AND(M$4:M99)),IF($N100&lt;0,IF($N100&lt;$J100,EXP(($N100-$J100)*$G100),EXP(($J100-$N100)*$G100)),EXP(($N100-$J100)*$G100)),"")</f>
        <v/>
      </c>
      <c r="P100" s="107"/>
      <c r="Q100" s="72" t="b">
        <f>IF(AND(NOT(M100),AND(M$4:M99)),TRUE,M100)</f>
        <v>0</v>
      </c>
      <c r="R100" s="172" t="e">
        <f>IF(AND(NOT(ISBLANK(Jumpoverwrite2)),AND(NOT(Q100),AND(Q$4:Q99))),($J100*$G100-LN(1+Jumpoverwrite2*S$2))/$G100,_xll.qlInterpolationInterpolate(Q$3,$F100,TRUE))</f>
        <v>#NUM!</v>
      </c>
      <c r="S100" s="176" t="str">
        <f>IF(AND(NOT(Q100),AND(Q$4:Q99)),IF($R100&lt;0,IF($R100&lt;$J100,EXP(($R100-$J100)*$G100),EXP(($J100-$R100)*$G100)),EXP(($R100-$J100)*$G100)),"")</f>
        <v/>
      </c>
      <c r="T100" s="107"/>
      <c r="U100" s="72" t="b">
        <f>IF(AND(NOT(Q100),AND(Q$4:Q99)),TRUE,Q100)</f>
        <v>0</v>
      </c>
      <c r="V100" s="172" t="e">
        <f>IF(AND(NOT(ISBLANK(Jumpoverwrite3)),AND(NOT(U100),AND(U$4:U99))),($J100*$G100-LN(1+Jumpoverwrite3*W$2))/$G100,_xll.qlInterpolationInterpolate(U$3,$F100,TRUE))</f>
        <v>#NUM!</v>
      </c>
      <c r="W100" s="176" t="str">
        <f>IF(AND(NOT(U100),AND(U$4:U99)),IF($V100&lt;0,IF($V100&lt;$J100,EXP(($V100-$J100)*$G100),EXP(($J100-$V100)*$G100)),EXP(($V100-$J100)*$G100)),"")</f>
        <v/>
      </c>
      <c r="X100" s="107"/>
      <c r="Y100" s="72" t="b">
        <f>IF(AND(NOT(U100),AND(U$4:U99)),TRUE,U100)</f>
        <v>0</v>
      </c>
      <c r="Z100" s="172" t="e">
        <f>IF(AND(NOT(ISBLANK(Jumpoverwrite4)),AND(NOT(Y100),AND(Y$4:Y99))),($J100*$G100-LN(1+Jumpoverwrite4*AA$2))/$G100,_xll.qlInterpolationInterpolate(Y$3,$F100,TRUE))</f>
        <v>#NUM!</v>
      </c>
      <c r="AA100" s="176" t="str">
        <f>IF(AND(NOT(Y100),AND(Y$4:Y99)),IF($Z100&lt;0,IF($Z100&lt;$J100,EXP(($Z100-$J100)*$G100),EXP(($J100-$Z100)*$G100)),EXP(($Z100-$J100)*$G100)),"")</f>
        <v/>
      </c>
      <c r="AB100" s="107"/>
      <c r="AC100" s="72" t="b">
        <f>IF(AND(NOT(Y100),AND(Y$4:Y99)),TRUE,Y100)</f>
        <v>0</v>
      </c>
      <c r="AD100" s="172" t="e">
        <f>IF(AND(NOT(ISBLANK(Jumpoverwrite5)),AND(NOT(AC100),AND(AC$4:AC99))),($J100*$G100-LN(1+Jumpoverwrite5*AE$2))/$G100,_xll.qlInterpolationInterpolate(AC$3,$F100,TRUE))</f>
        <v>#NUM!</v>
      </c>
      <c r="AE100" s="176" t="str">
        <f>IF(AND(NOT(AC100),AND(AC$4:AC99)),IF($AD100&lt;0,IF($AD100&lt;$J100,EXP(($AD100-$J100)*$G100),EXP(($J100-$AD100)*$G100)),EXP(($AD100-$J100)*$G100)),"")</f>
        <v/>
      </c>
      <c r="AF100" s="107"/>
      <c r="AG100" s="72" t="b">
        <f>IF(AND(NOT(AC100),AND(AC$4:AC99)),TRUE,AC100)</f>
        <v>0</v>
      </c>
      <c r="AH100" s="172" t="e">
        <f>IF(AND(NOT(ISBLANK(Jumpoverwrite6)),AND(NOT(AG100),AND(AG$4:AG99))),($J100*$G100-LN(1+Jumpoverwrite6*AI$2))/$G100,_xll.qlInterpolationInterpolate(AG$3,$F100,TRUE))</f>
        <v>#NUM!</v>
      </c>
      <c r="AI100" s="176" t="str">
        <f>IF(AND(NOT(AG100),AND(AG$4:AG99)),IF($AH100&lt;0,IF($AH100&lt;$J100,EXP(($AH100-$J100)*$G100),EXP(($J100-$AH100)*$G100)),EXP(($AH100-$J100)*$G100)),"")</f>
        <v/>
      </c>
      <c r="AJ100" s="107"/>
      <c r="AK100" s="72" t="b">
        <f>IF(AND(NOT(AG100),AND(AG$4:AG99)),TRUE,AG100)</f>
        <v>0</v>
      </c>
      <c r="AL100" s="172" t="e">
        <f>IF(AND(NOT(ISBLANK(Jumpoverwrite7)),AND(NOT(AK100),AND(AK$4:AK99))),($J100*$G100-LN(1+Jumpoverwrite7*AM$2))/$G100,_xll.qlInterpolationInterpolate(AK$3,$F100,TRUE))</f>
        <v>#NUM!</v>
      </c>
      <c r="AM100" s="176" t="str">
        <f>IF(AND(NOT(AK100),AND(AK$4:AK99)),IF($AL100&lt;0,IF($AL100&lt;$J100,EXP(($AL100-$J100)*$G100),EXP(($J100-$AL100)*$G100)),EXP(($AL100-$J100)*$G100)),"")</f>
        <v/>
      </c>
      <c r="AO100" s="72" t="b">
        <f>IF(AND(NOT(AK100),AND(AK$4:AK99)),TRUE,AK100)</f>
        <v>0</v>
      </c>
      <c r="AP100" s="172" t="e">
        <f>IF(AND(NOT(ISBLANK(Jumpoverwrite8)),AND(NOT(AO100),AND(AO$4:AO99))),($J100*$G100-LN(1+Jumpoverwrite8*AQ$2))/$G100,_xll.qlInterpolationInterpolate(AO$3,$F100,TRUE))</f>
        <v>#NUM!</v>
      </c>
      <c r="AQ100" s="176" t="str">
        <f>IF(AND(NOT(AO100),AND(AO$4:AO99)),IF($AP100&lt;0,IF($AP100&lt;$J100,EXP(($AP100-$J100)*$G100),EXP(($J100-$AP100)*$G100)),EXP(($AP100-$J100)*$G100)),"")</f>
        <v/>
      </c>
      <c r="AS100" s="72" t="b">
        <f>IF(AND(NOT(AO100),AND(AO$4:AO99)),TRUE,AO100)</f>
        <v>0</v>
      </c>
      <c r="AT100" s="172" t="e">
        <f>IF(AND(NOT(ISBLANK(Jumpoverwrite9)),AND(NOT(AS100),AND(AS$4:AS99))),($J100*$G100-LN(1+Jumpoverwrite9*AU$2))/$G100,_xll.qlInterpolationInterpolate(AS$3,$F100,TRUE))</f>
        <v>#NUM!</v>
      </c>
      <c r="AU100" s="176" t="str">
        <f>IF(AND(NOT(AS100),AND(AS$4:AS99)),IF($AT100&lt;0,IF($AT100&lt;$J100,EXP(($AT100-$J100)*$G100),EXP(($J100-$AT100)*$G100)),EXP(($AT100-$J100)*$G100)),"")</f>
        <v/>
      </c>
      <c r="AW100" s="72" t="b">
        <f>IF(AND(NOT(AS100),AND(AS$4:AS99)),TRUE,AS100)</f>
        <v>0</v>
      </c>
      <c r="AX100" s="172" t="e">
        <f>IF(AND(NOT(ISBLANK(Jumpoverwrite10)),AND(NOT(AW100),AND(AW$4:AW99))),($J100*$G100-LN(1+Jumpoverwrite10*AY$2))/$G100,_xll.qlInterpolationInterpolate(AW$3,$F100,TRUE))</f>
        <v>#NUM!</v>
      </c>
      <c r="AY100" s="176" t="str">
        <f>IF(AND(NOT(AW100),AND(AW$4:AW99)),IF($AX100&lt;0,IF($AX100&lt;$J100,EXP(($AX100-$J100)*$G100),EXP(($J100-$AX100)*$G100)),EXP(($AX100-$J100)*$G100)),"")</f>
        <v/>
      </c>
      <c r="BA100" s="72" t="b">
        <f>IF(AND(NOT(AW100),AND(AW$4:AW99)),TRUE,AW100)</f>
        <v>0</v>
      </c>
      <c r="BB100" s="172" t="e">
        <f>IF(AND(NOT(ISBLANK(Jumpoverwrite11)),AND(NOT(BA100),AND(BA$4:BA99))),($J100*$G100-LN(1+Jumpoverwrite11*BC$2))/$G100,_xll.qlInterpolationInterpolate(BA$3,$F100,TRUE))</f>
        <v>#NUM!</v>
      </c>
      <c r="BC100" s="176" t="str">
        <f>IF(AND(NOT(BA100),AND(BA$4:BA99)),IF($BB100&lt;0,IF($BB100&lt;$J100,EXP(($BB100-$J100)*$G100),EXP(($J100-$BB100)*$G100)),EXP(($BB100-$J100)*$G100)),"")</f>
        <v/>
      </c>
      <c r="BE100" s="72" t="b">
        <f>IF(AND(NOT(BA100),AND(BA$4:BA99)),TRUE,BA100)</f>
        <v>0</v>
      </c>
      <c r="BF100" s="172" t="e">
        <f>IF(AND(NOT(ISBLANK(Jumpoverwrite12)),AND(NOT(BE100),AND(BE$4:BE99))),($J100*$G100-LN(1+Jumpoverwrite12*BG$2))/$G100,_xll.qlInterpolationInterpolate(BE$3,$F100,TRUE))</f>
        <v>#NUM!</v>
      </c>
      <c r="BG100" s="176" t="str">
        <f>IF(AND(NOT(BE100),AND(BE$4:BE99)),IF($BF100&lt;0,IF($BF100&lt;$J100,EXP(($BF100-$J100)*$G100),EXP(($J100-$BF100)*$G100)),EXP(($BF100-$J100)*$G100)),"")</f>
        <v/>
      </c>
      <c r="BI100" s="72" t="b">
        <f t="shared" si="6"/>
        <v>0</v>
      </c>
      <c r="BJ100" s="172" t="e">
        <f>IF(AND(NOT(ISBLANK(jumpoverwrite13)),AND(NOT(BI100),AND(BI$4:BI99))),($J100*$G100-LN(1+jumpoverwrite13*BK$2))/$G100,_xll.qlInterpolationInterpolate(BI$3,$F100,TRUE))</f>
        <v>#NUM!</v>
      </c>
      <c r="BK100" s="176" t="str">
        <f>IF(AND(NOT(BI100),AND(BI$4:BI99)),IF($BJ100&lt;0,IF($BJ100&lt;$J100,EXP(($BJ100-$J100)*$G100),EXP(($J100-$BJ100)*$G100)),EXP(($BJ100-$J100)*$G100)),"")</f>
        <v/>
      </c>
      <c r="BM100" s="72" t="b">
        <f>IF(AND(NOT(BI100),AND(BI$4:BI99)),TRUE,BI100)</f>
        <v>0</v>
      </c>
      <c r="BN100" s="172" t="e">
        <f>IF(AND(NOT(ISBLANK(Jumpoverwrite14)),AND(NOT(BM100),AND(BM$4:BM99))),($J100*$G100-LN(1+Jumpoverwrite14*BO$2))/$G100,_xll.qlInterpolationInterpolate(BM$3,$F100,TRUE))</f>
        <v>#NUM!</v>
      </c>
      <c r="BO100" s="176" t="str">
        <f>IF(AND(NOT(BM100),AND(BM$4:BM99)),IF($BN100&lt;0,IF($BN100&lt;$J100,EXP(($BN100-$J100)*$G100),EXP(($J100-$BN100)*$G100)),EXP(($BN100-$J100)*$G100)),"")</f>
        <v/>
      </c>
      <c r="BQ100" s="72" t="b">
        <f>IF(AND(NOT(BM100),AND(BM$4:BM99)),TRUE,BM100)</f>
        <v>0</v>
      </c>
      <c r="BR100" s="172" t="e">
        <f>IF(AND(NOT(ISBLANK(Jumpoverwrite15)),AND(NOT(BQ100),AND(BQ$4:BQ99))),($J100*$G100-LN(1+Jumpoverwrite15*BS$2))/$G100,_xll.qlInterpolationInterpolate(BQ$3,$F100,TRUE))</f>
        <v>#NUM!</v>
      </c>
      <c r="BS100" s="176" t="str">
        <f>IF(AND(NOT(BQ100),AND(BQ$4:BQ99)),IF($BN100&lt;0,IF($BN100&lt;$J100,EXP(($BN100-$J100)*$G100),EXP(($J100-$BN100)*$G100)),EXP(($BN100-$J100)*$G100)),"")</f>
        <v/>
      </c>
    </row>
    <row r="101" spans="1:71" x14ac:dyDescent="0.2">
      <c r="A101" s="33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84" t="e">
        <f t="shared" si="9"/>
        <v>#N/A</v>
      </c>
      <c r="G101" s="85" t="e">
        <f>_xll.qlDayCounterYearFraction(DayCounter,D100,D101)</f>
        <v>#NUM!</v>
      </c>
      <c r="I101" s="93" t="b">
        <f t="shared" si="7"/>
        <v>0</v>
      </c>
      <c r="J101" s="37" t="e">
        <v>#N/A</v>
      </c>
      <c r="K101" s="94" t="e">
        <f t="shared" si="8"/>
        <v>#VALUE!</v>
      </c>
      <c r="L101" s="105"/>
      <c r="M101" s="72" t="b">
        <f>IF(AND(NOT(I101),AND(I$4:I100)),TRUE,I101)</f>
        <v>0</v>
      </c>
      <c r="N101" s="172" t="e">
        <f>IF(AND(NOT(ISBLANK(Jumpoverwrite1)),AND(NOT(M101),AND(M$4:M100))),($J101*$G101-LN(1+Jumpoverwrite1*O$2))/$G101,_xll.qlInterpolationInterpolate(M$3,$F101,TRUE))</f>
        <v>#NUM!</v>
      </c>
      <c r="O101" s="34" t="str">
        <f>IF(AND(NOT(M101),AND(M$4:M100)),IF($N101&lt;0,IF($N101&lt;$J101,EXP(($N101-$J101)*$G101),EXP(($J101-$N101)*$G101)),EXP(($N101-$J101)*$G101)),"")</f>
        <v/>
      </c>
      <c r="P101" s="107"/>
      <c r="Q101" s="72" t="b">
        <f>IF(AND(NOT(M101),AND(M$4:M100)),TRUE,M101)</f>
        <v>0</v>
      </c>
      <c r="R101" s="172" t="e">
        <f>IF(AND(NOT(ISBLANK(Jumpoverwrite2)),AND(NOT(Q101),AND(Q$4:Q100))),($J101*$G101-LN(1+Jumpoverwrite2*S$2))/$G101,_xll.qlInterpolationInterpolate(Q$3,$F101,TRUE))</f>
        <v>#NUM!</v>
      </c>
      <c r="S101" s="176" t="str">
        <f>IF(AND(NOT(Q101),AND(Q$4:Q100)),IF($R101&lt;0,IF($R101&lt;$J101,EXP(($R101-$J101)*$G101),EXP(($J101-$R101)*$G101)),EXP(($R101-$J101)*$G101)),"")</f>
        <v/>
      </c>
      <c r="T101" s="107"/>
      <c r="U101" s="72" t="b">
        <f>IF(AND(NOT(Q101),AND(Q$4:Q100)),TRUE,Q101)</f>
        <v>0</v>
      </c>
      <c r="V101" s="172" t="e">
        <f>IF(AND(NOT(ISBLANK(Jumpoverwrite3)),AND(NOT(U101),AND(U$4:U100))),($J101*$G101-LN(1+Jumpoverwrite3*W$2))/$G101,_xll.qlInterpolationInterpolate(U$3,$F101,TRUE))</f>
        <v>#NUM!</v>
      </c>
      <c r="W101" s="176" t="str">
        <f>IF(AND(NOT(U101),AND(U$4:U100)),IF($V101&lt;0,IF($V101&lt;$J101,EXP(($V101-$J101)*$G101),EXP(($J101-$V101)*$G101)),EXP(($V101-$J101)*$G101)),"")</f>
        <v/>
      </c>
      <c r="X101" s="107"/>
      <c r="Y101" s="72" t="b">
        <f>IF(AND(NOT(U101),AND(U$4:U100)),TRUE,U101)</f>
        <v>0</v>
      </c>
      <c r="Z101" s="172" t="e">
        <f>IF(AND(NOT(ISBLANK(Jumpoverwrite4)),AND(NOT(Y101),AND(Y$4:Y100))),($J101*$G101-LN(1+Jumpoverwrite4*AA$2))/$G101,_xll.qlInterpolationInterpolate(Y$3,$F101,TRUE))</f>
        <v>#NUM!</v>
      </c>
      <c r="AA101" s="176" t="str">
        <f>IF(AND(NOT(Y101),AND(Y$4:Y100)),IF($Z101&lt;0,IF($Z101&lt;$J101,EXP(($Z101-$J101)*$G101),EXP(($J101-$Z101)*$G101)),EXP(($Z101-$J101)*$G101)),"")</f>
        <v/>
      </c>
      <c r="AB101" s="107"/>
      <c r="AC101" s="72" t="b">
        <f>IF(AND(NOT(Y101),AND(Y$4:Y100)),TRUE,Y101)</f>
        <v>0</v>
      </c>
      <c r="AD101" s="172" t="e">
        <f>IF(AND(NOT(ISBLANK(Jumpoverwrite5)),AND(NOT(AC101),AND(AC$4:AC100))),($J101*$G101-LN(1+Jumpoverwrite5*AE$2))/$G101,_xll.qlInterpolationInterpolate(AC$3,$F101,TRUE))</f>
        <v>#NUM!</v>
      </c>
      <c r="AE101" s="176" t="str">
        <f>IF(AND(NOT(AC101),AND(AC$4:AC100)),IF($AD101&lt;0,IF($AD101&lt;$J101,EXP(($AD101-$J101)*$G101),EXP(($J101-$AD101)*$G101)),EXP(($AD101-$J101)*$G101)),"")</f>
        <v/>
      </c>
      <c r="AF101" s="107"/>
      <c r="AG101" s="72" t="b">
        <f>IF(AND(NOT(AC101),AND(AC$4:AC100)),TRUE,AC101)</f>
        <v>0</v>
      </c>
      <c r="AH101" s="172" t="e">
        <f>IF(AND(NOT(ISBLANK(Jumpoverwrite6)),AND(NOT(AG101),AND(AG$4:AG100))),($J101*$G101-LN(1+Jumpoverwrite6*AI$2))/$G101,_xll.qlInterpolationInterpolate(AG$3,$F101,TRUE))</f>
        <v>#NUM!</v>
      </c>
      <c r="AI101" s="176" t="str">
        <f>IF(AND(NOT(AG101),AND(AG$4:AG100)),IF($AH101&lt;0,IF($AH101&lt;$J101,EXP(($AH101-$J101)*$G101),EXP(($J101-$AH101)*$G101)),EXP(($AH101-$J101)*$G101)),"")</f>
        <v/>
      </c>
      <c r="AJ101" s="107"/>
      <c r="AK101" s="72" t="b">
        <f>IF(AND(NOT(AG101),AND(AG$4:AG100)),TRUE,AG101)</f>
        <v>0</v>
      </c>
      <c r="AL101" s="172" t="e">
        <f>IF(AND(NOT(ISBLANK(Jumpoverwrite7)),AND(NOT(AK101),AND(AK$4:AK100))),($J101*$G101-LN(1+Jumpoverwrite7*AM$2))/$G101,_xll.qlInterpolationInterpolate(AK$3,$F101,TRUE))</f>
        <v>#NUM!</v>
      </c>
      <c r="AM101" s="176" t="str">
        <f>IF(AND(NOT(AK101),AND(AK$4:AK100)),IF($AL101&lt;0,IF($AL101&lt;$J101,EXP(($AL101-$J101)*$G101),EXP(($J101-$AL101)*$G101)),EXP(($AL101-$J101)*$G101)),"")</f>
        <v/>
      </c>
      <c r="AO101" s="72" t="b">
        <f>IF(AND(NOT(AK101),AND(AK$4:AK100)),TRUE,AK101)</f>
        <v>0</v>
      </c>
      <c r="AP101" s="172" t="e">
        <f>IF(AND(NOT(ISBLANK(Jumpoverwrite8)),AND(NOT(AO101),AND(AO$4:AO100))),($J101*$G101-LN(1+Jumpoverwrite8*AQ$2))/$G101,_xll.qlInterpolationInterpolate(AO$3,$F101,TRUE))</f>
        <v>#NUM!</v>
      </c>
      <c r="AQ101" s="176" t="str">
        <f>IF(AND(NOT(AO101),AND(AO$4:AO100)),IF($AP101&lt;0,IF($AP101&lt;$J101,EXP(($AP101-$J101)*$G101),EXP(($J101-$AP101)*$G101)),EXP(($AP101-$J101)*$G101)),"")</f>
        <v/>
      </c>
      <c r="AS101" s="72" t="b">
        <f>IF(AND(NOT(AO101),AND(AO$4:AO100)),TRUE,AO101)</f>
        <v>0</v>
      </c>
      <c r="AT101" s="172" t="e">
        <f>IF(AND(NOT(ISBLANK(Jumpoverwrite9)),AND(NOT(AS101),AND(AS$4:AS100))),($J101*$G101-LN(1+Jumpoverwrite9*AU$2))/$G101,_xll.qlInterpolationInterpolate(AS$3,$F101,TRUE))</f>
        <v>#NUM!</v>
      </c>
      <c r="AU101" s="176" t="str">
        <f>IF(AND(NOT(AS101),AND(AS$4:AS100)),IF($AT101&lt;0,IF($AT101&lt;$J101,EXP(($AT101-$J101)*$G101),EXP(($J101-$AT101)*$G101)),EXP(($AT101-$J101)*$G101)),"")</f>
        <v/>
      </c>
      <c r="AW101" s="72" t="b">
        <f>IF(AND(NOT(AS101),AND(AS$4:AS100)),TRUE,AS101)</f>
        <v>0</v>
      </c>
      <c r="AX101" s="172" t="e">
        <f>IF(AND(NOT(ISBLANK(Jumpoverwrite10)),AND(NOT(AW101),AND(AW$4:AW100))),($J101*$G101-LN(1+Jumpoverwrite10*AY$2))/$G101,_xll.qlInterpolationInterpolate(AW$3,$F101,TRUE))</f>
        <v>#NUM!</v>
      </c>
      <c r="AY101" s="176" t="str">
        <f>IF(AND(NOT(AW101),AND(AW$4:AW100)),IF($AX101&lt;0,IF($AX101&lt;$J101,EXP(($AX101-$J101)*$G101),EXP(($J101-$AX101)*$G101)),EXP(($AX101-$J101)*$G101)),"")</f>
        <v/>
      </c>
      <c r="BA101" s="72" t="b">
        <f>IF(AND(NOT(AW101),AND(AW$4:AW100)),TRUE,AW101)</f>
        <v>0</v>
      </c>
      <c r="BB101" s="172" t="e">
        <f>IF(AND(NOT(ISBLANK(Jumpoverwrite11)),AND(NOT(BA101),AND(BA$4:BA100))),($J101*$G101-LN(1+Jumpoverwrite11*BC$2))/$G101,_xll.qlInterpolationInterpolate(BA$3,$F101,TRUE))</f>
        <v>#NUM!</v>
      </c>
      <c r="BC101" s="176" t="str">
        <f>IF(AND(NOT(BA101),AND(BA$4:BA100)),IF($BB101&lt;0,IF($BB101&lt;$J101,EXP(($BB101-$J101)*$G101),EXP(($J101-$BB101)*$G101)),EXP(($BB101-$J101)*$G101)),"")</f>
        <v/>
      </c>
      <c r="BE101" s="72" t="b">
        <f>IF(AND(NOT(BA101),AND(BA$4:BA100)),TRUE,BA101)</f>
        <v>0</v>
      </c>
      <c r="BF101" s="172" t="e">
        <f>IF(AND(NOT(ISBLANK(Jumpoverwrite12)),AND(NOT(BE101),AND(BE$4:BE100))),($J101*$G101-LN(1+Jumpoverwrite12*BG$2))/$G101,_xll.qlInterpolationInterpolate(BE$3,$F101,TRUE))</f>
        <v>#NUM!</v>
      </c>
      <c r="BG101" s="176" t="str">
        <f>IF(AND(NOT(BE101),AND(BE$4:BE100)),IF($BF101&lt;0,IF($BF101&lt;$J101,EXP(($BF101-$J101)*$G101),EXP(($J101-$BF101)*$G101)),EXP(($BF101-$J101)*$G101)),"")</f>
        <v/>
      </c>
      <c r="BI101" s="72" t="b">
        <f t="shared" ref="BI101:BI129" si="10">IF(ISERROR(K101),FALSE,IF(YEAR(K101)-YEAR(SettlementDate)=2,FALSE,TRUE))</f>
        <v>0</v>
      </c>
      <c r="BJ101" s="172" t="e">
        <f>IF(AND(NOT(ISBLANK(jumpoverwrite13)),AND(NOT(BI101),AND(BI$4:BI100))),($J101*$G101-LN(1+jumpoverwrite13*BK$2))/$G101,_xll.qlInterpolationInterpolate(BI$3,$F101,TRUE))</f>
        <v>#NUM!</v>
      </c>
      <c r="BK101" s="176" t="str">
        <f>IF(AND(NOT(BI101),AND(BI$4:BI100)),IF($BJ101&lt;0,IF($BJ101&lt;$J101,EXP(($BJ101-$J101)*$G101),EXP(($J101-$BJ101)*$G101)),EXP(($BJ101-$J101)*$G101)),"")</f>
        <v/>
      </c>
      <c r="BM101" s="72" t="b">
        <f>IF(AND(NOT(BI101),AND(BI$4:BI100)),TRUE,BI101)</f>
        <v>0</v>
      </c>
      <c r="BN101" s="172" t="e">
        <f>IF(AND(NOT(ISBLANK(Jumpoverwrite14)),AND(NOT(BM101),AND(BM$4:BM100))),($J101*$G101-LN(1+Jumpoverwrite14*BO$2))/$G101,_xll.qlInterpolationInterpolate(BM$3,$F101,TRUE))</f>
        <v>#NUM!</v>
      </c>
      <c r="BO101" s="176" t="str">
        <f>IF(AND(NOT(BM101),AND(BM$4:BM100)),IF($BN101&lt;0,IF($BN101&lt;$J101,EXP(($BN101-$J101)*$G101),EXP(($J101-$BN101)*$G101)),EXP(($BN101-$J101)*$G101)),"")</f>
        <v/>
      </c>
      <c r="BQ101" s="72" t="b">
        <f>IF(AND(NOT(BM101),AND(BM$4:BM100)),TRUE,BM101)</f>
        <v>0</v>
      </c>
      <c r="BR101" s="172" t="e">
        <f>IF(AND(NOT(ISBLANK(Jumpoverwrite15)),AND(NOT(BQ101),AND(BQ$4:BQ100))),($J101*$G101-LN(1+Jumpoverwrite15*BS$2))/$G101,_xll.qlInterpolationInterpolate(BQ$3,$F101,TRUE))</f>
        <v>#NUM!</v>
      </c>
      <c r="BS101" s="176" t="str">
        <f>IF(AND(NOT(BQ101),AND(BQ$4:BQ100)),IF($BN101&lt;0,IF($BN101&lt;$J101,EXP(($BN101-$J101)*$G101),EXP(($J101-$BN101)*$G101)),EXP(($BN101-$J101)*$G101)),"")</f>
        <v/>
      </c>
    </row>
    <row r="102" spans="1:71" x14ac:dyDescent="0.2">
      <c r="A102" s="33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84" t="e">
        <f t="shared" si="9"/>
        <v>#N/A</v>
      </c>
      <c r="G102" s="85" t="e">
        <f>_xll.qlDayCounterYearFraction(DayCounter,D101,D102)</f>
        <v>#NUM!</v>
      </c>
      <c r="I102" s="93" t="b">
        <f t="shared" si="7"/>
        <v>0</v>
      </c>
      <c r="J102" s="37" t="e">
        <v>#N/A</v>
      </c>
      <c r="K102" s="94" t="e">
        <f t="shared" si="8"/>
        <v>#VALUE!</v>
      </c>
      <c r="L102" s="105"/>
      <c r="M102" s="72" t="b">
        <f>IF(AND(NOT(I102),AND(I$4:I101)),TRUE,I102)</f>
        <v>0</v>
      </c>
      <c r="N102" s="172" t="e">
        <f>IF(AND(NOT(ISBLANK(Jumpoverwrite1)),AND(NOT(M102),AND(M$4:M101))),($J102*$G102-LN(1+Jumpoverwrite1*O$2))/$G102,_xll.qlInterpolationInterpolate(M$3,$F102,TRUE))</f>
        <v>#NUM!</v>
      </c>
      <c r="O102" s="34" t="str">
        <f>IF(AND(NOT(M102),AND(M$4:M101)),IF($N102&lt;0,IF($N102&lt;$J102,EXP(($N102-$J102)*$G102),EXP(($J102-$N102)*$G102)),EXP(($N102-$J102)*$G102)),"")</f>
        <v/>
      </c>
      <c r="P102" s="107"/>
      <c r="Q102" s="72" t="b">
        <f>IF(AND(NOT(M102),AND(M$4:M101)),TRUE,M102)</f>
        <v>0</v>
      </c>
      <c r="R102" s="172" t="e">
        <f>IF(AND(NOT(ISBLANK(Jumpoverwrite2)),AND(NOT(Q102),AND(Q$4:Q101))),($J102*$G102-LN(1+Jumpoverwrite2*S$2))/$G102,_xll.qlInterpolationInterpolate(Q$3,$F102,TRUE))</f>
        <v>#NUM!</v>
      </c>
      <c r="S102" s="176" t="str">
        <f>IF(AND(NOT(Q102),AND(Q$4:Q101)),IF($R102&lt;0,IF($R102&lt;$J102,EXP(($R102-$J102)*$G102),EXP(($J102-$R102)*$G102)),EXP(($R102-$J102)*$G102)),"")</f>
        <v/>
      </c>
      <c r="T102" s="107"/>
      <c r="U102" s="72" t="b">
        <f>IF(AND(NOT(Q102),AND(Q$4:Q101)),TRUE,Q102)</f>
        <v>0</v>
      </c>
      <c r="V102" s="172" t="e">
        <f>IF(AND(NOT(ISBLANK(Jumpoverwrite3)),AND(NOT(U102),AND(U$4:U101))),($J102*$G102-LN(1+Jumpoverwrite3*W$2))/$G102,_xll.qlInterpolationInterpolate(U$3,$F102,TRUE))</f>
        <v>#NUM!</v>
      </c>
      <c r="W102" s="176" t="str">
        <f>IF(AND(NOT(U102),AND(U$4:U101)),IF($V102&lt;0,IF($V102&lt;$J102,EXP(($V102-$J102)*$G102),EXP(($J102-$V102)*$G102)),EXP(($V102-$J102)*$G102)),"")</f>
        <v/>
      </c>
      <c r="X102" s="107"/>
      <c r="Y102" s="72" t="b">
        <f>IF(AND(NOT(U102),AND(U$4:U101)),TRUE,U102)</f>
        <v>0</v>
      </c>
      <c r="Z102" s="172" t="e">
        <f>IF(AND(NOT(ISBLANK(Jumpoverwrite4)),AND(NOT(Y102),AND(Y$4:Y101))),($J102*$G102-LN(1+Jumpoverwrite4*AA$2))/$G102,_xll.qlInterpolationInterpolate(Y$3,$F102,TRUE))</f>
        <v>#NUM!</v>
      </c>
      <c r="AA102" s="176" t="str">
        <f>IF(AND(NOT(Y102),AND(Y$4:Y101)),IF($Z102&lt;0,IF($Z102&lt;$J102,EXP(($Z102-$J102)*$G102),EXP(($J102-$Z102)*$G102)),EXP(($Z102-$J102)*$G102)),"")</f>
        <v/>
      </c>
      <c r="AB102" s="107"/>
      <c r="AC102" s="72" t="b">
        <f>IF(AND(NOT(Y102),AND(Y$4:Y101)),TRUE,Y102)</f>
        <v>0</v>
      </c>
      <c r="AD102" s="172" t="e">
        <f>IF(AND(NOT(ISBLANK(Jumpoverwrite5)),AND(NOT(AC102),AND(AC$4:AC101))),($J102*$G102-LN(1+Jumpoverwrite5*AE$2))/$G102,_xll.qlInterpolationInterpolate(AC$3,$F102,TRUE))</f>
        <v>#NUM!</v>
      </c>
      <c r="AE102" s="176" t="str">
        <f>IF(AND(NOT(AC102),AND(AC$4:AC101)),IF($AD102&lt;0,IF($AD102&lt;$J102,EXP(($AD102-$J102)*$G102),EXP(($J102-$AD102)*$G102)),EXP(($AD102-$J102)*$G102)),"")</f>
        <v/>
      </c>
      <c r="AF102" s="107"/>
      <c r="AG102" s="72" t="b">
        <f>IF(AND(NOT(AC102),AND(AC$4:AC101)),TRUE,AC102)</f>
        <v>0</v>
      </c>
      <c r="AH102" s="172" t="e">
        <f>IF(AND(NOT(ISBLANK(Jumpoverwrite6)),AND(NOT(AG102),AND(AG$4:AG101))),($J102*$G102-LN(1+Jumpoverwrite6*AI$2))/$G102,_xll.qlInterpolationInterpolate(AG$3,$F102,TRUE))</f>
        <v>#NUM!</v>
      </c>
      <c r="AI102" s="176" t="str">
        <f>IF(AND(NOT(AG102),AND(AG$4:AG101)),IF($AH102&lt;0,IF($AH102&lt;$J102,EXP(($AH102-$J102)*$G102),EXP(($J102-$AH102)*$G102)),EXP(($AH102-$J102)*$G102)),"")</f>
        <v/>
      </c>
      <c r="AJ102" s="107"/>
      <c r="AK102" s="72" t="b">
        <f>IF(AND(NOT(AG102),AND(AG$4:AG101)),TRUE,AG102)</f>
        <v>0</v>
      </c>
      <c r="AL102" s="172" t="e">
        <f>IF(AND(NOT(ISBLANK(Jumpoverwrite7)),AND(NOT(AK102),AND(AK$4:AK101))),($J102*$G102-LN(1+Jumpoverwrite7*AM$2))/$G102,_xll.qlInterpolationInterpolate(AK$3,$F102,TRUE))</f>
        <v>#NUM!</v>
      </c>
      <c r="AM102" s="176" t="str">
        <f>IF(AND(NOT(AK102),AND(AK$4:AK101)),IF($AL102&lt;0,IF($AL102&lt;$J102,EXP(($AL102-$J102)*$G102),EXP(($J102-$AL102)*$G102)),EXP(($AL102-$J102)*$G102)),"")</f>
        <v/>
      </c>
      <c r="AO102" s="72" t="b">
        <f>IF(AND(NOT(AK102),AND(AK$4:AK101)),TRUE,AK102)</f>
        <v>0</v>
      </c>
      <c r="AP102" s="172" t="e">
        <f>IF(AND(NOT(ISBLANK(Jumpoverwrite8)),AND(NOT(AO102),AND(AO$4:AO101))),($J102*$G102-LN(1+Jumpoverwrite8*AQ$2))/$G102,_xll.qlInterpolationInterpolate(AO$3,$F102,TRUE))</f>
        <v>#NUM!</v>
      </c>
      <c r="AQ102" s="176" t="str">
        <f>IF(AND(NOT(AO102),AND(AO$4:AO101)),IF($AP102&lt;0,IF($AP102&lt;$J102,EXP(($AP102-$J102)*$G102),EXP(($J102-$AP102)*$G102)),EXP(($AP102-$J102)*$G102)),"")</f>
        <v/>
      </c>
      <c r="AS102" s="72" t="b">
        <f>IF(AND(NOT(AO102),AND(AO$4:AO101)),TRUE,AO102)</f>
        <v>0</v>
      </c>
      <c r="AT102" s="172" t="e">
        <f>IF(AND(NOT(ISBLANK(Jumpoverwrite9)),AND(NOT(AS102),AND(AS$4:AS101))),($J102*$G102-LN(1+Jumpoverwrite9*AU$2))/$G102,_xll.qlInterpolationInterpolate(AS$3,$F102,TRUE))</f>
        <v>#NUM!</v>
      </c>
      <c r="AU102" s="176" t="str">
        <f>IF(AND(NOT(AS102),AND(AS$4:AS101)),IF($AT102&lt;0,IF($AT102&lt;$J102,EXP(($AT102-$J102)*$G102),EXP(($J102-$AT102)*$G102)),EXP(($AT102-$J102)*$G102)),"")</f>
        <v/>
      </c>
      <c r="AW102" s="72" t="b">
        <f>IF(AND(NOT(AS102),AND(AS$4:AS101)),TRUE,AS102)</f>
        <v>0</v>
      </c>
      <c r="AX102" s="172" t="e">
        <f>IF(AND(NOT(ISBLANK(Jumpoverwrite10)),AND(NOT(AW102),AND(AW$4:AW101))),($J102*$G102-LN(1+Jumpoverwrite10*AY$2))/$G102,_xll.qlInterpolationInterpolate(AW$3,$F102,TRUE))</f>
        <v>#NUM!</v>
      </c>
      <c r="AY102" s="176" t="str">
        <f>IF(AND(NOT(AW102),AND(AW$4:AW101)),IF($AX102&lt;0,IF($AX102&lt;$J102,EXP(($AX102-$J102)*$G102),EXP(($J102-$AX102)*$G102)),EXP(($AX102-$J102)*$G102)),"")</f>
        <v/>
      </c>
      <c r="BA102" s="72" t="b">
        <f>IF(AND(NOT(AW102),AND(AW$4:AW101)),TRUE,AW102)</f>
        <v>0</v>
      </c>
      <c r="BB102" s="172" t="e">
        <f>IF(AND(NOT(ISBLANK(Jumpoverwrite11)),AND(NOT(BA102),AND(BA$4:BA101))),($J102*$G102-LN(1+Jumpoverwrite11*BC$2))/$G102,_xll.qlInterpolationInterpolate(BA$3,$F102,TRUE))</f>
        <v>#NUM!</v>
      </c>
      <c r="BC102" s="176" t="str">
        <f>IF(AND(NOT(BA102),AND(BA$4:BA101)),IF($BB102&lt;0,IF($BB102&lt;$J102,EXP(($BB102-$J102)*$G102),EXP(($J102-$BB102)*$G102)),EXP(($BB102-$J102)*$G102)),"")</f>
        <v/>
      </c>
      <c r="BE102" s="72" t="b">
        <f>IF(AND(NOT(BA102),AND(BA$4:BA101)),TRUE,BA102)</f>
        <v>0</v>
      </c>
      <c r="BF102" s="172" t="e">
        <f>IF(AND(NOT(ISBLANK(Jumpoverwrite12)),AND(NOT(BE102),AND(BE$4:BE101))),($J102*$G102-LN(1+Jumpoverwrite12*BG$2))/$G102,_xll.qlInterpolationInterpolate(BE$3,$F102,TRUE))</f>
        <v>#NUM!</v>
      </c>
      <c r="BG102" s="176" t="str">
        <f>IF(AND(NOT(BE102),AND(BE$4:BE101)),IF($BF102&lt;0,IF($BF102&lt;$J102,EXP(($BF102-$J102)*$G102),EXP(($J102-$BF102)*$G102)),EXP(($BF102-$J102)*$G102)),"")</f>
        <v/>
      </c>
      <c r="BI102" s="72" t="b">
        <f t="shared" si="10"/>
        <v>0</v>
      </c>
      <c r="BJ102" s="172" t="e">
        <f>IF(AND(NOT(ISBLANK(jumpoverwrite13)),AND(NOT(BI102),AND(BI$4:BI101))),($J102*$G102-LN(1+jumpoverwrite13*BK$2))/$G102,_xll.qlInterpolationInterpolate(BI$3,$F102,TRUE))</f>
        <v>#NUM!</v>
      </c>
      <c r="BK102" s="176" t="str">
        <f>IF(AND(NOT(BI102),AND(BI$4:BI101)),IF($BJ102&lt;0,IF($BJ102&lt;$J102,EXP(($BJ102-$J102)*$G102),EXP(($J102-$BJ102)*$G102)),EXP(($BJ102-$J102)*$G102)),"")</f>
        <v/>
      </c>
      <c r="BM102" s="72" t="b">
        <f>IF(AND(NOT(BI102),AND(BI$4:BI101)),TRUE,BI102)</f>
        <v>0</v>
      </c>
      <c r="BN102" s="172" t="e">
        <f>IF(AND(NOT(ISBLANK(Jumpoverwrite14)),AND(NOT(BM102),AND(BM$4:BM101))),($J102*$G102-LN(1+Jumpoverwrite14*BO$2))/$G102,_xll.qlInterpolationInterpolate(BM$3,$F102,TRUE))</f>
        <v>#NUM!</v>
      </c>
      <c r="BO102" s="176" t="str">
        <f>IF(AND(NOT(BM102),AND(BM$4:BM101)),IF($BN102&lt;0,IF($BN102&lt;$J102,EXP(($BN102-$J102)*$G102),EXP(($J102-$BN102)*$G102)),EXP(($BN102-$J102)*$G102)),"")</f>
        <v/>
      </c>
      <c r="BQ102" s="72" t="b">
        <f>IF(AND(NOT(BM102),AND(BM$4:BM101)),TRUE,BM102)</f>
        <v>0</v>
      </c>
      <c r="BR102" s="172" t="e">
        <f>IF(AND(NOT(ISBLANK(Jumpoverwrite15)),AND(NOT(BQ102),AND(BQ$4:BQ101))),($J102*$G102-LN(1+Jumpoverwrite15*BS$2))/$G102,_xll.qlInterpolationInterpolate(BQ$3,$F102,TRUE))</f>
        <v>#NUM!</v>
      </c>
      <c r="BS102" s="176" t="str">
        <f>IF(AND(NOT(BQ102),AND(BQ$4:BQ101)),IF($BN102&lt;0,IF($BN102&lt;$J102,EXP(($BN102-$J102)*$G102),EXP(($J102-$BN102)*$G102)),EXP(($BN102-$J102)*$G102)),"")</f>
        <v/>
      </c>
    </row>
    <row r="103" spans="1:71" x14ac:dyDescent="0.2">
      <c r="A103" s="33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84" t="e">
        <f t="shared" si="9"/>
        <v>#N/A</v>
      </c>
      <c r="G103" s="85" t="e">
        <f>_xll.qlDayCounterYearFraction(DayCounter,D102,D103)</f>
        <v>#NUM!</v>
      </c>
      <c r="I103" s="93" t="b">
        <f t="shared" si="7"/>
        <v>0</v>
      </c>
      <c r="J103" s="37" t="e">
        <v>#N/A</v>
      </c>
      <c r="K103" s="94" t="e">
        <f t="shared" si="8"/>
        <v>#VALUE!</v>
      </c>
      <c r="L103" s="105"/>
      <c r="M103" s="72" t="b">
        <f>IF(AND(NOT(I103),AND(I$4:I102)),TRUE,I103)</f>
        <v>0</v>
      </c>
      <c r="N103" s="172" t="e">
        <f>IF(AND(NOT(ISBLANK(Jumpoverwrite1)),AND(NOT(M103),AND(M$4:M102))),($J103*$G103-LN(1+Jumpoverwrite1*O$2))/$G103,_xll.qlInterpolationInterpolate(M$3,$F103,TRUE))</f>
        <v>#NUM!</v>
      </c>
      <c r="O103" s="34" t="str">
        <f>IF(AND(NOT(M103),AND(M$4:M102)),IF($N103&lt;0,IF($N103&lt;$J103,EXP(($N103-$J103)*$G103),EXP(($J103-$N103)*$G103)),EXP(($N103-$J103)*$G103)),"")</f>
        <v/>
      </c>
      <c r="P103" s="107"/>
      <c r="Q103" s="72" t="b">
        <f>IF(AND(NOT(M103),AND(M$4:M102)),TRUE,M103)</f>
        <v>0</v>
      </c>
      <c r="R103" s="172" t="e">
        <f>IF(AND(NOT(ISBLANK(Jumpoverwrite2)),AND(NOT(Q103),AND(Q$4:Q102))),($J103*$G103-LN(1+Jumpoverwrite2*S$2))/$G103,_xll.qlInterpolationInterpolate(Q$3,$F103,TRUE))</f>
        <v>#NUM!</v>
      </c>
      <c r="S103" s="176" t="str">
        <f>IF(AND(NOT(Q103),AND(Q$4:Q102)),IF($R103&lt;0,IF($R103&lt;$J103,EXP(($R103-$J103)*$G103),EXP(($J103-$R103)*$G103)),EXP(($R103-$J103)*$G103)),"")</f>
        <v/>
      </c>
      <c r="T103" s="107"/>
      <c r="U103" s="72" t="b">
        <f>IF(AND(NOT(Q103),AND(Q$4:Q102)),TRUE,Q103)</f>
        <v>0</v>
      </c>
      <c r="V103" s="172" t="e">
        <f>IF(AND(NOT(ISBLANK(Jumpoverwrite3)),AND(NOT(U103),AND(U$4:U102))),($J103*$G103-LN(1+Jumpoverwrite3*W$2))/$G103,_xll.qlInterpolationInterpolate(U$3,$F103,TRUE))</f>
        <v>#NUM!</v>
      </c>
      <c r="W103" s="176" t="str">
        <f>IF(AND(NOT(U103),AND(U$4:U102)),IF($V103&lt;0,IF($V103&lt;$J103,EXP(($V103-$J103)*$G103),EXP(($J103-$V103)*$G103)),EXP(($V103-$J103)*$G103)),"")</f>
        <v/>
      </c>
      <c r="X103" s="107"/>
      <c r="Y103" s="72" t="b">
        <f>IF(AND(NOT(U103),AND(U$4:U102)),TRUE,U103)</f>
        <v>0</v>
      </c>
      <c r="Z103" s="172" t="e">
        <f>IF(AND(NOT(ISBLANK(Jumpoverwrite4)),AND(NOT(Y103),AND(Y$4:Y102))),($J103*$G103-LN(1+Jumpoverwrite4*AA$2))/$G103,_xll.qlInterpolationInterpolate(Y$3,$F103,TRUE))</f>
        <v>#NUM!</v>
      </c>
      <c r="AA103" s="176" t="str">
        <f>IF(AND(NOT(Y103),AND(Y$4:Y102)),IF($Z103&lt;0,IF($Z103&lt;$J103,EXP(($Z103-$J103)*$G103),EXP(($J103-$Z103)*$G103)),EXP(($Z103-$J103)*$G103)),"")</f>
        <v/>
      </c>
      <c r="AB103" s="107"/>
      <c r="AC103" s="72" t="b">
        <f>IF(AND(NOT(Y103),AND(Y$4:Y102)),TRUE,Y103)</f>
        <v>0</v>
      </c>
      <c r="AD103" s="172" t="e">
        <f>IF(AND(NOT(ISBLANK(Jumpoverwrite5)),AND(NOT(AC103),AND(AC$4:AC102))),($J103*$G103-LN(1+Jumpoverwrite5*AE$2))/$G103,_xll.qlInterpolationInterpolate(AC$3,$F103,TRUE))</f>
        <v>#NUM!</v>
      </c>
      <c r="AE103" s="176" t="str">
        <f>IF(AND(NOT(AC103),AND(AC$4:AC102)),IF($AD103&lt;0,IF($AD103&lt;$J103,EXP(($AD103-$J103)*$G103),EXP(($J103-$AD103)*$G103)),EXP(($AD103-$J103)*$G103)),"")</f>
        <v/>
      </c>
      <c r="AF103" s="107"/>
      <c r="AG103" s="72" t="b">
        <f>IF(AND(NOT(AC103),AND(AC$4:AC102)),TRUE,AC103)</f>
        <v>0</v>
      </c>
      <c r="AH103" s="172" t="e">
        <f>IF(AND(NOT(ISBLANK(Jumpoverwrite6)),AND(NOT(AG103),AND(AG$4:AG102))),($J103*$G103-LN(1+Jumpoverwrite6*AI$2))/$G103,_xll.qlInterpolationInterpolate(AG$3,$F103,TRUE))</f>
        <v>#NUM!</v>
      </c>
      <c r="AI103" s="176" t="str">
        <f>IF(AND(NOT(AG103),AND(AG$4:AG102)),IF($AH103&lt;0,IF($AH103&lt;$J103,EXP(($AH103-$J103)*$G103),EXP(($J103-$AH103)*$G103)),EXP(($AH103-$J103)*$G103)),"")</f>
        <v/>
      </c>
      <c r="AJ103" s="107"/>
      <c r="AK103" s="72" t="b">
        <f>IF(AND(NOT(AG103),AND(AG$4:AG102)),TRUE,AG103)</f>
        <v>0</v>
      </c>
      <c r="AL103" s="172" t="e">
        <f>IF(AND(NOT(ISBLANK(Jumpoverwrite7)),AND(NOT(AK103),AND(AK$4:AK102))),($J103*$G103-LN(1+Jumpoverwrite7*AM$2))/$G103,_xll.qlInterpolationInterpolate(AK$3,$F103,TRUE))</f>
        <v>#NUM!</v>
      </c>
      <c r="AM103" s="176" t="str">
        <f>IF(AND(NOT(AK103),AND(AK$4:AK102)),IF($AL103&lt;0,IF($AL103&lt;$J103,EXP(($AL103-$J103)*$G103),EXP(($J103-$AL103)*$G103)),EXP(($AL103-$J103)*$G103)),"")</f>
        <v/>
      </c>
      <c r="AO103" s="72" t="b">
        <f>IF(AND(NOT(AK103),AND(AK$4:AK102)),TRUE,AK103)</f>
        <v>0</v>
      </c>
      <c r="AP103" s="172" t="e">
        <f>IF(AND(NOT(ISBLANK(Jumpoverwrite8)),AND(NOT(AO103),AND(AO$4:AO102))),($J103*$G103-LN(1+Jumpoverwrite8*AQ$2))/$G103,_xll.qlInterpolationInterpolate(AO$3,$F103,TRUE))</f>
        <v>#NUM!</v>
      </c>
      <c r="AQ103" s="176" t="str">
        <f>IF(AND(NOT(AO103),AND(AO$4:AO102)),IF($AP103&lt;0,IF($AP103&lt;$J103,EXP(($AP103-$J103)*$G103),EXP(($J103-$AP103)*$G103)),EXP(($AP103-$J103)*$G103)),"")</f>
        <v/>
      </c>
      <c r="AS103" s="72" t="b">
        <f>IF(AND(NOT(AO103),AND(AO$4:AO102)),TRUE,AO103)</f>
        <v>0</v>
      </c>
      <c r="AT103" s="172" t="e">
        <f>IF(AND(NOT(ISBLANK(Jumpoverwrite9)),AND(NOT(AS103),AND(AS$4:AS102))),($J103*$G103-LN(1+Jumpoverwrite9*AU$2))/$G103,_xll.qlInterpolationInterpolate(AS$3,$F103,TRUE))</f>
        <v>#NUM!</v>
      </c>
      <c r="AU103" s="176" t="str">
        <f>IF(AND(NOT(AS103),AND(AS$4:AS102)),IF($AT103&lt;0,IF($AT103&lt;$J103,EXP(($AT103-$J103)*$G103),EXP(($J103-$AT103)*$G103)),EXP(($AT103-$J103)*$G103)),"")</f>
        <v/>
      </c>
      <c r="AW103" s="72" t="b">
        <f>IF(AND(NOT(AS103),AND(AS$4:AS102)),TRUE,AS103)</f>
        <v>0</v>
      </c>
      <c r="AX103" s="172" t="e">
        <f>IF(AND(NOT(ISBLANK(Jumpoverwrite10)),AND(NOT(AW103),AND(AW$4:AW102))),($J103*$G103-LN(1+Jumpoverwrite10*AY$2))/$G103,_xll.qlInterpolationInterpolate(AW$3,$F103,TRUE))</f>
        <v>#NUM!</v>
      </c>
      <c r="AY103" s="176" t="str">
        <f>IF(AND(NOT(AW103),AND(AW$4:AW102)),IF($AX103&lt;0,IF($AX103&lt;$J103,EXP(($AX103-$J103)*$G103),EXP(($J103-$AX103)*$G103)),EXP(($AX103-$J103)*$G103)),"")</f>
        <v/>
      </c>
      <c r="BA103" s="72" t="b">
        <f>IF(AND(NOT(AW103),AND(AW$4:AW102)),TRUE,AW103)</f>
        <v>0</v>
      </c>
      <c r="BB103" s="172" t="e">
        <f>IF(AND(NOT(ISBLANK(Jumpoverwrite11)),AND(NOT(BA103),AND(BA$4:BA102))),($J103*$G103-LN(1+Jumpoverwrite11*BC$2))/$G103,_xll.qlInterpolationInterpolate(BA$3,$F103,TRUE))</f>
        <v>#NUM!</v>
      </c>
      <c r="BC103" s="176" t="str">
        <f>IF(AND(NOT(BA103),AND(BA$4:BA102)),IF($BB103&lt;0,IF($BB103&lt;$J103,EXP(($BB103-$J103)*$G103),EXP(($J103-$BB103)*$G103)),EXP(($BB103-$J103)*$G103)),"")</f>
        <v/>
      </c>
      <c r="BE103" s="72" t="b">
        <f>IF(AND(NOT(BA103),AND(BA$4:BA102)),TRUE,BA103)</f>
        <v>0</v>
      </c>
      <c r="BF103" s="172" t="e">
        <f>IF(AND(NOT(ISBLANK(Jumpoverwrite12)),AND(NOT(BE103),AND(BE$4:BE102))),($J103*$G103-LN(1+Jumpoverwrite12*BG$2))/$G103,_xll.qlInterpolationInterpolate(BE$3,$F103,TRUE))</f>
        <v>#NUM!</v>
      </c>
      <c r="BG103" s="176" t="str">
        <f>IF(AND(NOT(BE103),AND(BE$4:BE102)),IF($BF103&lt;0,IF($BF103&lt;$J103,EXP(($BF103-$J103)*$G103),EXP(($J103-$BF103)*$G103)),EXP(($BF103-$J103)*$G103)),"")</f>
        <v/>
      </c>
      <c r="BI103" s="72" t="b">
        <f t="shared" si="10"/>
        <v>0</v>
      </c>
      <c r="BJ103" s="172" t="e">
        <f>IF(AND(NOT(ISBLANK(jumpoverwrite13)),AND(NOT(BI103),AND(BI$4:BI102))),($J103*$G103-LN(1+jumpoverwrite13*BK$2))/$G103,_xll.qlInterpolationInterpolate(BI$3,$F103,TRUE))</f>
        <v>#NUM!</v>
      </c>
      <c r="BK103" s="176" t="str">
        <f>IF(AND(NOT(BI103),AND(BI$4:BI102)),IF($BJ103&lt;0,IF($BJ103&lt;$J103,EXP(($BJ103-$J103)*$G103),EXP(($J103-$BJ103)*$G103)),EXP(($BJ103-$J103)*$G103)),"")</f>
        <v/>
      </c>
      <c r="BM103" s="72" t="b">
        <f>IF(AND(NOT(BI103),AND(BI$4:BI102)),TRUE,BI103)</f>
        <v>0</v>
      </c>
      <c r="BN103" s="172" t="e">
        <f>IF(AND(NOT(ISBLANK(Jumpoverwrite14)),AND(NOT(BM103),AND(BM$4:BM102))),($J103*$G103-LN(1+Jumpoverwrite14*BO$2))/$G103,_xll.qlInterpolationInterpolate(BM$3,$F103,TRUE))</f>
        <v>#NUM!</v>
      </c>
      <c r="BO103" s="176" t="str">
        <f>IF(AND(NOT(BM103),AND(BM$4:BM102)),IF($BN103&lt;0,IF($BN103&lt;$J103,EXP(($BN103-$J103)*$G103),EXP(($J103-$BN103)*$G103)),EXP(($BN103-$J103)*$G103)),"")</f>
        <v/>
      </c>
      <c r="BQ103" s="72" t="b">
        <f>IF(AND(NOT(BM103),AND(BM$4:BM102)),TRUE,BM103)</f>
        <v>0</v>
      </c>
      <c r="BR103" s="172" t="e">
        <f>IF(AND(NOT(ISBLANK(Jumpoverwrite15)),AND(NOT(BQ103),AND(BQ$4:BQ102))),($J103*$G103-LN(1+Jumpoverwrite15*BS$2))/$G103,_xll.qlInterpolationInterpolate(BQ$3,$F103,TRUE))</f>
        <v>#NUM!</v>
      </c>
      <c r="BS103" s="176" t="str">
        <f>IF(AND(NOT(BQ103),AND(BQ$4:BQ102)),IF($BN103&lt;0,IF($BN103&lt;$J103,EXP(($BN103-$J103)*$G103),EXP(($J103-$BN103)*$G103)),EXP(($BN103-$J103)*$G103)),"")</f>
        <v/>
      </c>
    </row>
    <row r="104" spans="1:71" x14ac:dyDescent="0.2">
      <c r="A104" s="33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84" t="e">
        <f t="shared" si="9"/>
        <v>#N/A</v>
      </c>
      <c r="G104" s="85" t="e">
        <f>_xll.qlDayCounterYearFraction(DayCounter,D103,D104)</f>
        <v>#NUM!</v>
      </c>
      <c r="I104" s="93" t="b">
        <f t="shared" si="7"/>
        <v>0</v>
      </c>
      <c r="J104" s="37" t="e">
        <v>#N/A</v>
      </c>
      <c r="K104" s="94" t="e">
        <f t="shared" si="8"/>
        <v>#VALUE!</v>
      </c>
      <c r="L104" s="105"/>
      <c r="M104" s="72" t="b">
        <f>IF(AND(NOT(I104),AND(I$4:I103)),TRUE,I104)</f>
        <v>0</v>
      </c>
      <c r="N104" s="172" t="e">
        <f>IF(AND(NOT(ISBLANK(Jumpoverwrite1)),AND(NOT(M104),AND(M$4:M103))),($J104*$G104-LN(1+Jumpoverwrite1*O$2))/$G104,_xll.qlInterpolationInterpolate(M$3,$F104,TRUE))</f>
        <v>#NUM!</v>
      </c>
      <c r="O104" s="34" t="str">
        <f>IF(AND(NOT(M104),AND(M$4:M103)),IF($N104&lt;0,IF($N104&lt;$J104,EXP(($N104-$J104)*$G104),EXP(($J104-$N104)*$G104)),EXP(($N104-$J104)*$G104)),"")</f>
        <v/>
      </c>
      <c r="P104" s="107"/>
      <c r="Q104" s="72" t="b">
        <f>IF(AND(NOT(M104),AND(M$4:M103)),TRUE,M104)</f>
        <v>0</v>
      </c>
      <c r="R104" s="172" t="e">
        <f>IF(AND(NOT(ISBLANK(Jumpoverwrite2)),AND(NOT(Q104),AND(Q$4:Q103))),($J104*$G104-LN(1+Jumpoverwrite2*S$2))/$G104,_xll.qlInterpolationInterpolate(Q$3,$F104,TRUE))</f>
        <v>#NUM!</v>
      </c>
      <c r="S104" s="176" t="str">
        <f>IF(AND(NOT(Q104),AND(Q$4:Q103)),IF($R104&lt;0,IF($R104&lt;$J104,EXP(($R104-$J104)*$G104),EXP(($J104-$R104)*$G104)),EXP(($R104-$J104)*$G104)),"")</f>
        <v/>
      </c>
      <c r="T104" s="107"/>
      <c r="U104" s="72" t="b">
        <f>IF(AND(NOT(Q104),AND(Q$4:Q103)),TRUE,Q104)</f>
        <v>0</v>
      </c>
      <c r="V104" s="172" t="e">
        <f>IF(AND(NOT(ISBLANK(Jumpoverwrite3)),AND(NOT(U104),AND(U$4:U103))),($J104*$G104-LN(1+Jumpoverwrite3*W$2))/$G104,_xll.qlInterpolationInterpolate(U$3,$F104,TRUE))</f>
        <v>#NUM!</v>
      </c>
      <c r="W104" s="176" t="str">
        <f>IF(AND(NOT(U104),AND(U$4:U103)),IF($V104&lt;0,IF($V104&lt;$J104,EXP(($V104-$J104)*$G104),EXP(($J104-$V104)*$G104)),EXP(($V104-$J104)*$G104)),"")</f>
        <v/>
      </c>
      <c r="X104" s="107"/>
      <c r="Y104" s="72" t="b">
        <f>IF(AND(NOT(U104),AND(U$4:U103)),TRUE,U104)</f>
        <v>0</v>
      </c>
      <c r="Z104" s="172" t="e">
        <f>IF(AND(NOT(ISBLANK(Jumpoverwrite4)),AND(NOT(Y104),AND(Y$4:Y103))),($J104*$G104-LN(1+Jumpoverwrite4*AA$2))/$G104,_xll.qlInterpolationInterpolate(Y$3,$F104,TRUE))</f>
        <v>#NUM!</v>
      </c>
      <c r="AA104" s="176" t="str">
        <f>IF(AND(NOT(Y104),AND(Y$4:Y103)),IF($Z104&lt;0,IF($Z104&lt;$J104,EXP(($Z104-$J104)*$G104),EXP(($J104-$Z104)*$G104)),EXP(($Z104-$J104)*$G104)),"")</f>
        <v/>
      </c>
      <c r="AB104" s="107"/>
      <c r="AC104" s="72" t="b">
        <f>IF(AND(NOT(Y104),AND(Y$4:Y103)),TRUE,Y104)</f>
        <v>0</v>
      </c>
      <c r="AD104" s="172" t="e">
        <f>IF(AND(NOT(ISBLANK(Jumpoverwrite5)),AND(NOT(AC104),AND(AC$4:AC103))),($J104*$G104-LN(1+Jumpoverwrite5*AE$2))/$G104,_xll.qlInterpolationInterpolate(AC$3,$F104,TRUE))</f>
        <v>#NUM!</v>
      </c>
      <c r="AE104" s="176" t="str">
        <f>IF(AND(NOT(AC104),AND(AC$4:AC103)),IF($AD104&lt;0,IF($AD104&lt;$J104,EXP(($AD104-$J104)*$G104),EXP(($J104-$AD104)*$G104)),EXP(($AD104-$J104)*$G104)),"")</f>
        <v/>
      </c>
      <c r="AF104" s="107"/>
      <c r="AG104" s="72" t="b">
        <f>IF(AND(NOT(AC104),AND(AC$4:AC103)),TRUE,AC104)</f>
        <v>0</v>
      </c>
      <c r="AH104" s="172" t="e">
        <f>IF(AND(NOT(ISBLANK(Jumpoverwrite6)),AND(NOT(AG104),AND(AG$4:AG103))),($J104*$G104-LN(1+Jumpoverwrite6*AI$2))/$G104,_xll.qlInterpolationInterpolate(AG$3,$F104,TRUE))</f>
        <v>#NUM!</v>
      </c>
      <c r="AI104" s="176" t="str">
        <f>IF(AND(NOT(AG104),AND(AG$4:AG103)),IF($AH104&lt;0,IF($AH104&lt;$J104,EXP(($AH104-$J104)*$G104),EXP(($J104-$AH104)*$G104)),EXP(($AH104-$J104)*$G104)),"")</f>
        <v/>
      </c>
      <c r="AJ104" s="107"/>
      <c r="AK104" s="72" t="b">
        <f>IF(AND(NOT(AG104),AND(AG$4:AG103)),TRUE,AG104)</f>
        <v>0</v>
      </c>
      <c r="AL104" s="172" t="e">
        <f>IF(AND(NOT(ISBLANK(Jumpoverwrite7)),AND(NOT(AK104),AND(AK$4:AK103))),($J104*$G104-LN(1+Jumpoverwrite7*AM$2))/$G104,_xll.qlInterpolationInterpolate(AK$3,$F104,TRUE))</f>
        <v>#NUM!</v>
      </c>
      <c r="AM104" s="176" t="str">
        <f>IF(AND(NOT(AK104),AND(AK$4:AK103)),IF($AL104&lt;0,IF($AL104&lt;$J104,EXP(($AL104-$J104)*$G104),EXP(($J104-$AL104)*$G104)),EXP(($AL104-$J104)*$G104)),"")</f>
        <v/>
      </c>
      <c r="AO104" s="72" t="b">
        <f>IF(AND(NOT(AK104),AND(AK$4:AK103)),TRUE,AK104)</f>
        <v>0</v>
      </c>
      <c r="AP104" s="172" t="e">
        <f>IF(AND(NOT(ISBLANK(Jumpoverwrite8)),AND(NOT(AO104),AND(AO$4:AO103))),($J104*$G104-LN(1+Jumpoverwrite8*AQ$2))/$G104,_xll.qlInterpolationInterpolate(AO$3,$F104,TRUE))</f>
        <v>#NUM!</v>
      </c>
      <c r="AQ104" s="176" t="str">
        <f>IF(AND(NOT(AO104),AND(AO$4:AO103)),IF($AP104&lt;0,IF($AP104&lt;$J104,EXP(($AP104-$J104)*$G104),EXP(($J104-$AP104)*$G104)),EXP(($AP104-$J104)*$G104)),"")</f>
        <v/>
      </c>
      <c r="AS104" s="72" t="b">
        <f>IF(AND(NOT(AO104),AND(AO$4:AO103)),TRUE,AO104)</f>
        <v>0</v>
      </c>
      <c r="AT104" s="172" t="e">
        <f>IF(AND(NOT(ISBLANK(Jumpoverwrite9)),AND(NOT(AS104),AND(AS$4:AS103))),($J104*$G104-LN(1+Jumpoverwrite9*AU$2))/$G104,_xll.qlInterpolationInterpolate(AS$3,$F104,TRUE))</f>
        <v>#NUM!</v>
      </c>
      <c r="AU104" s="176" t="str">
        <f>IF(AND(NOT(AS104),AND(AS$4:AS103)),IF($AT104&lt;0,IF($AT104&lt;$J104,EXP(($AT104-$J104)*$G104),EXP(($J104-$AT104)*$G104)),EXP(($AT104-$J104)*$G104)),"")</f>
        <v/>
      </c>
      <c r="AW104" s="72" t="b">
        <f>IF(AND(NOT(AS104),AND(AS$4:AS103)),TRUE,AS104)</f>
        <v>0</v>
      </c>
      <c r="AX104" s="172" t="e">
        <f>IF(AND(NOT(ISBLANK(Jumpoverwrite10)),AND(NOT(AW104),AND(AW$4:AW103))),($J104*$G104-LN(1+Jumpoverwrite10*AY$2))/$G104,_xll.qlInterpolationInterpolate(AW$3,$F104,TRUE))</f>
        <v>#NUM!</v>
      </c>
      <c r="AY104" s="176" t="str">
        <f>IF(AND(NOT(AW104),AND(AW$4:AW103)),IF($AX104&lt;0,IF($AX104&lt;$J104,EXP(($AX104-$J104)*$G104),EXP(($J104-$AX104)*$G104)),EXP(($AX104-$J104)*$G104)),"")</f>
        <v/>
      </c>
      <c r="BA104" s="72" t="b">
        <f>IF(AND(NOT(AW104),AND(AW$4:AW103)),TRUE,AW104)</f>
        <v>0</v>
      </c>
      <c r="BB104" s="172" t="e">
        <f>IF(AND(NOT(ISBLANK(Jumpoverwrite11)),AND(NOT(BA104),AND(BA$4:BA103))),($J104*$G104-LN(1+Jumpoverwrite11*BC$2))/$G104,_xll.qlInterpolationInterpolate(BA$3,$F104,TRUE))</f>
        <v>#NUM!</v>
      </c>
      <c r="BC104" s="176" t="str">
        <f>IF(AND(NOT(BA104),AND(BA$4:BA103)),IF($BB104&lt;0,IF($BB104&lt;$J104,EXP(($BB104-$J104)*$G104),EXP(($J104-$BB104)*$G104)),EXP(($BB104-$J104)*$G104)),"")</f>
        <v/>
      </c>
      <c r="BE104" s="72" t="b">
        <f>IF(AND(NOT(BA104),AND(BA$4:BA103)),TRUE,BA104)</f>
        <v>0</v>
      </c>
      <c r="BF104" s="172" t="e">
        <f>IF(AND(NOT(ISBLANK(Jumpoverwrite12)),AND(NOT(BE104),AND(BE$4:BE103))),($J104*$G104-LN(1+Jumpoverwrite12*BG$2))/$G104,_xll.qlInterpolationInterpolate(BE$3,$F104,TRUE))</f>
        <v>#NUM!</v>
      </c>
      <c r="BG104" s="176" t="str">
        <f>IF(AND(NOT(BE104),AND(BE$4:BE103)),IF($BF104&lt;0,IF($BF104&lt;$J104,EXP(($BF104-$J104)*$G104),EXP(($J104-$BF104)*$G104)),EXP(($BF104-$J104)*$G104)),"")</f>
        <v/>
      </c>
      <c r="BI104" s="72" t="b">
        <f t="shared" si="10"/>
        <v>0</v>
      </c>
      <c r="BJ104" s="172" t="e">
        <f>IF(AND(NOT(ISBLANK(jumpoverwrite13)),AND(NOT(BI104),AND(BI$4:BI103))),($J104*$G104-LN(1+jumpoverwrite13*BK$2))/$G104,_xll.qlInterpolationInterpolate(BI$3,$F104,TRUE))</f>
        <v>#NUM!</v>
      </c>
      <c r="BK104" s="176" t="str">
        <f>IF(AND(NOT(BI104),AND(BI$4:BI103)),IF($BJ104&lt;0,IF($BJ104&lt;$J104,EXP(($BJ104-$J104)*$G104),EXP(($J104-$BJ104)*$G104)),EXP(($BJ104-$J104)*$G104)),"")</f>
        <v/>
      </c>
      <c r="BM104" s="72" t="b">
        <f>IF(AND(NOT(BI104),AND(BI$4:BI103)),TRUE,BI104)</f>
        <v>0</v>
      </c>
      <c r="BN104" s="172" t="e">
        <f>IF(AND(NOT(ISBLANK(Jumpoverwrite14)),AND(NOT(BM104),AND(BM$4:BM103))),($J104*$G104-LN(1+Jumpoverwrite14*BO$2))/$G104,_xll.qlInterpolationInterpolate(BM$3,$F104,TRUE))</f>
        <v>#NUM!</v>
      </c>
      <c r="BO104" s="176" t="str">
        <f>IF(AND(NOT(BM104),AND(BM$4:BM103)),IF($BN104&lt;0,IF($BN104&lt;$J104,EXP(($BN104-$J104)*$G104),EXP(($J104-$BN104)*$G104)),EXP(($BN104-$J104)*$G104)),"")</f>
        <v/>
      </c>
      <c r="BQ104" s="72" t="b">
        <f>IF(AND(NOT(BM104),AND(BM$4:BM103)),TRUE,BM104)</f>
        <v>0</v>
      </c>
      <c r="BR104" s="172" t="e">
        <f>IF(AND(NOT(ISBLANK(Jumpoverwrite15)),AND(NOT(BQ104),AND(BQ$4:BQ103))),($J104*$G104-LN(1+Jumpoverwrite15*BS$2))/$G104,_xll.qlInterpolationInterpolate(BQ$3,$F104,TRUE))</f>
        <v>#NUM!</v>
      </c>
      <c r="BS104" s="176" t="str">
        <f>IF(AND(NOT(BQ104),AND(BQ$4:BQ103)),IF($BN104&lt;0,IF($BN104&lt;$J104,EXP(($BN104-$J104)*$G104),EXP(($J104-$BN104)*$G104)),EXP(($BN104-$J104)*$G104)),"")</f>
        <v/>
      </c>
    </row>
    <row r="105" spans="1:71" x14ac:dyDescent="0.2">
      <c r="A105" s="33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84" t="e">
        <f t="shared" si="9"/>
        <v>#N/A</v>
      </c>
      <c r="G105" s="85" t="e">
        <f>_xll.qlDayCounterYearFraction(DayCounter,D104,D105)</f>
        <v>#NUM!</v>
      </c>
      <c r="I105" s="93" t="b">
        <f t="shared" si="7"/>
        <v>0</v>
      </c>
      <c r="J105" s="37" t="e">
        <v>#N/A</v>
      </c>
      <c r="K105" s="94" t="e">
        <f t="shared" si="8"/>
        <v>#VALUE!</v>
      </c>
      <c r="L105" s="105"/>
      <c r="M105" s="72" t="b">
        <f>IF(AND(NOT(I105),AND(I$4:I104)),TRUE,I105)</f>
        <v>0</v>
      </c>
      <c r="N105" s="172" t="e">
        <f>IF(AND(NOT(ISBLANK(Jumpoverwrite1)),AND(NOT(M105),AND(M$4:M104))),($J105*$G105-LN(1+Jumpoverwrite1*O$2))/$G105,_xll.qlInterpolationInterpolate(M$3,$F105,TRUE))</f>
        <v>#NUM!</v>
      </c>
      <c r="O105" s="34" t="str">
        <f>IF(AND(NOT(M105),AND(M$4:M104)),IF($N105&lt;0,IF($N105&lt;$J105,EXP(($N105-$J105)*$G105),EXP(($J105-$N105)*$G105)),EXP(($N105-$J105)*$G105)),"")</f>
        <v/>
      </c>
      <c r="P105" s="107"/>
      <c r="Q105" s="72" t="b">
        <f>IF(AND(NOT(M105),AND(M$4:M104)),TRUE,M105)</f>
        <v>0</v>
      </c>
      <c r="R105" s="172" t="e">
        <f>IF(AND(NOT(ISBLANK(Jumpoverwrite2)),AND(NOT(Q105),AND(Q$4:Q104))),($J105*$G105-LN(1+Jumpoverwrite2*S$2))/$G105,_xll.qlInterpolationInterpolate(Q$3,$F105,TRUE))</f>
        <v>#NUM!</v>
      </c>
      <c r="S105" s="176" t="str">
        <f>IF(AND(NOT(Q105),AND(Q$4:Q104)),IF($R105&lt;0,IF($R105&lt;$J105,EXP(($R105-$J105)*$G105),EXP(($J105-$R105)*$G105)),EXP(($R105-$J105)*$G105)),"")</f>
        <v/>
      </c>
      <c r="T105" s="107"/>
      <c r="U105" s="72" t="b">
        <f>IF(AND(NOT(Q105),AND(Q$4:Q104)),TRUE,Q105)</f>
        <v>0</v>
      </c>
      <c r="V105" s="172" t="e">
        <f>IF(AND(NOT(ISBLANK(Jumpoverwrite3)),AND(NOT(U105),AND(U$4:U104))),($J105*$G105-LN(1+Jumpoverwrite3*W$2))/$G105,_xll.qlInterpolationInterpolate(U$3,$F105,TRUE))</f>
        <v>#NUM!</v>
      </c>
      <c r="W105" s="176" t="str">
        <f>IF(AND(NOT(U105),AND(U$4:U104)),IF($V105&lt;0,IF($V105&lt;$J105,EXP(($V105-$J105)*$G105),EXP(($J105-$V105)*$G105)),EXP(($V105-$J105)*$G105)),"")</f>
        <v/>
      </c>
      <c r="X105" s="107"/>
      <c r="Y105" s="72" t="b">
        <f>IF(AND(NOT(U105),AND(U$4:U104)),TRUE,U105)</f>
        <v>0</v>
      </c>
      <c r="Z105" s="172" t="e">
        <f>IF(AND(NOT(ISBLANK(Jumpoverwrite4)),AND(NOT(Y105),AND(Y$4:Y104))),($J105*$G105-LN(1+Jumpoverwrite4*AA$2))/$G105,_xll.qlInterpolationInterpolate(Y$3,$F105,TRUE))</f>
        <v>#NUM!</v>
      </c>
      <c r="AA105" s="176" t="str">
        <f>IF(AND(NOT(Y105),AND(Y$4:Y104)),IF($Z105&lt;0,IF($Z105&lt;$J105,EXP(($Z105-$J105)*$G105),EXP(($J105-$Z105)*$G105)),EXP(($Z105-$J105)*$G105)),"")</f>
        <v/>
      </c>
      <c r="AB105" s="107"/>
      <c r="AC105" s="72" t="b">
        <f>IF(AND(NOT(Y105),AND(Y$4:Y104)),TRUE,Y105)</f>
        <v>0</v>
      </c>
      <c r="AD105" s="172" t="e">
        <f>IF(AND(NOT(ISBLANK(Jumpoverwrite5)),AND(NOT(AC105),AND(AC$4:AC104))),($J105*$G105-LN(1+Jumpoverwrite5*AE$2))/$G105,_xll.qlInterpolationInterpolate(AC$3,$F105,TRUE))</f>
        <v>#NUM!</v>
      </c>
      <c r="AE105" s="176" t="str">
        <f>IF(AND(NOT(AC105),AND(AC$4:AC104)),IF($AD105&lt;0,IF($AD105&lt;$J105,EXP(($AD105-$J105)*$G105),EXP(($J105-$AD105)*$G105)),EXP(($AD105-$J105)*$G105)),"")</f>
        <v/>
      </c>
      <c r="AF105" s="107"/>
      <c r="AG105" s="72" t="b">
        <f>IF(AND(NOT(AC105),AND(AC$4:AC104)),TRUE,AC105)</f>
        <v>0</v>
      </c>
      <c r="AH105" s="172" t="e">
        <f>IF(AND(NOT(ISBLANK(Jumpoverwrite6)),AND(NOT(AG105),AND(AG$4:AG104))),($J105*$G105-LN(1+Jumpoverwrite6*AI$2))/$G105,_xll.qlInterpolationInterpolate(AG$3,$F105,TRUE))</f>
        <v>#NUM!</v>
      </c>
      <c r="AI105" s="176" t="str">
        <f>IF(AND(NOT(AG105),AND(AG$4:AG104)),IF($AH105&lt;0,IF($AH105&lt;$J105,EXP(($AH105-$J105)*$G105),EXP(($J105-$AH105)*$G105)),EXP(($AH105-$J105)*$G105)),"")</f>
        <v/>
      </c>
      <c r="AJ105" s="107"/>
      <c r="AK105" s="72" t="b">
        <f>IF(AND(NOT(AG105),AND(AG$4:AG104)),TRUE,AG105)</f>
        <v>0</v>
      </c>
      <c r="AL105" s="172" t="e">
        <f>IF(AND(NOT(ISBLANK(Jumpoverwrite7)),AND(NOT(AK105),AND(AK$4:AK104))),($J105*$G105-LN(1+Jumpoverwrite7*AM$2))/$G105,_xll.qlInterpolationInterpolate(AK$3,$F105,TRUE))</f>
        <v>#NUM!</v>
      </c>
      <c r="AM105" s="176" t="str">
        <f>IF(AND(NOT(AK105),AND(AK$4:AK104)),IF($AL105&lt;0,IF($AL105&lt;$J105,EXP(($AL105-$J105)*$G105),EXP(($J105-$AL105)*$G105)),EXP(($AL105-$J105)*$G105)),"")</f>
        <v/>
      </c>
      <c r="AO105" s="72" t="b">
        <f>IF(AND(NOT(AK105),AND(AK$4:AK104)),TRUE,AK105)</f>
        <v>0</v>
      </c>
      <c r="AP105" s="172" t="e">
        <f>IF(AND(NOT(ISBLANK(Jumpoverwrite8)),AND(NOT(AO105),AND(AO$4:AO104))),($J105*$G105-LN(1+Jumpoverwrite8*AQ$2))/$G105,_xll.qlInterpolationInterpolate(AO$3,$F105,TRUE))</f>
        <v>#NUM!</v>
      </c>
      <c r="AQ105" s="176" t="str">
        <f>IF(AND(NOT(AO105),AND(AO$4:AO104)),IF($AP105&lt;0,IF($AP105&lt;$J105,EXP(($AP105-$J105)*$G105),EXP(($J105-$AP105)*$G105)),EXP(($AP105-$J105)*$G105)),"")</f>
        <v/>
      </c>
      <c r="AS105" s="72" t="b">
        <f>IF(AND(NOT(AO105),AND(AO$4:AO104)),TRUE,AO105)</f>
        <v>0</v>
      </c>
      <c r="AT105" s="172" t="e">
        <f>IF(AND(NOT(ISBLANK(Jumpoverwrite9)),AND(NOT(AS105),AND(AS$4:AS104))),($J105*$G105-LN(1+Jumpoverwrite9*AU$2))/$G105,_xll.qlInterpolationInterpolate(AS$3,$F105,TRUE))</f>
        <v>#NUM!</v>
      </c>
      <c r="AU105" s="176" t="str">
        <f>IF(AND(NOT(AS105),AND(AS$4:AS104)),IF($AT105&lt;0,IF($AT105&lt;$J105,EXP(($AT105-$J105)*$G105),EXP(($J105-$AT105)*$G105)),EXP(($AT105-$J105)*$G105)),"")</f>
        <v/>
      </c>
      <c r="AW105" s="72" t="b">
        <f>IF(AND(NOT(AS105),AND(AS$4:AS104)),TRUE,AS105)</f>
        <v>0</v>
      </c>
      <c r="AX105" s="172" t="e">
        <f>IF(AND(NOT(ISBLANK(Jumpoverwrite10)),AND(NOT(AW105),AND(AW$4:AW104))),($J105*$G105-LN(1+Jumpoverwrite10*AY$2))/$G105,_xll.qlInterpolationInterpolate(AW$3,$F105,TRUE))</f>
        <v>#NUM!</v>
      </c>
      <c r="AY105" s="176" t="str">
        <f>IF(AND(NOT(AW105),AND(AW$4:AW104)),IF($AX105&lt;0,IF($AX105&lt;$J105,EXP(($AX105-$J105)*$G105),EXP(($J105-$AX105)*$G105)),EXP(($AX105-$J105)*$G105)),"")</f>
        <v/>
      </c>
      <c r="BA105" s="72" t="b">
        <f>IF(AND(NOT(AW105),AND(AW$4:AW104)),TRUE,AW105)</f>
        <v>0</v>
      </c>
      <c r="BB105" s="172" t="e">
        <f>IF(AND(NOT(ISBLANK(Jumpoverwrite11)),AND(NOT(BA105),AND(BA$4:BA104))),($J105*$G105-LN(1+Jumpoverwrite11*BC$2))/$G105,_xll.qlInterpolationInterpolate(BA$3,$F105,TRUE))</f>
        <v>#NUM!</v>
      </c>
      <c r="BC105" s="176" t="str">
        <f>IF(AND(NOT(BA105),AND(BA$4:BA104)),IF($BB105&lt;0,IF($BB105&lt;$J105,EXP(($BB105-$J105)*$G105),EXP(($J105-$BB105)*$G105)),EXP(($BB105-$J105)*$G105)),"")</f>
        <v/>
      </c>
      <c r="BE105" s="72" t="b">
        <f>IF(AND(NOT(BA105),AND(BA$4:BA104)),TRUE,BA105)</f>
        <v>0</v>
      </c>
      <c r="BF105" s="172" t="e">
        <f>IF(AND(NOT(ISBLANK(Jumpoverwrite12)),AND(NOT(BE105),AND(BE$4:BE104))),($J105*$G105-LN(1+Jumpoverwrite12*BG$2))/$G105,_xll.qlInterpolationInterpolate(BE$3,$F105,TRUE))</f>
        <v>#NUM!</v>
      </c>
      <c r="BG105" s="176" t="str">
        <f>IF(AND(NOT(BE105),AND(BE$4:BE104)),IF($BF105&lt;0,IF($BF105&lt;$J105,EXP(($BF105-$J105)*$G105),EXP(($J105-$BF105)*$G105)),EXP(($BF105-$J105)*$G105)),"")</f>
        <v/>
      </c>
      <c r="BI105" s="72" t="b">
        <f t="shared" si="10"/>
        <v>0</v>
      </c>
      <c r="BJ105" s="172" t="e">
        <f>IF(AND(NOT(ISBLANK(jumpoverwrite13)),AND(NOT(BI105),AND(BI$4:BI104))),($J105*$G105-LN(1+jumpoverwrite13*BK$2))/$G105,_xll.qlInterpolationInterpolate(BI$3,$F105,TRUE))</f>
        <v>#NUM!</v>
      </c>
      <c r="BK105" s="176" t="str">
        <f>IF(AND(NOT(BI105),AND(BI$4:BI104)),IF($BJ105&lt;0,IF($BJ105&lt;$J105,EXP(($BJ105-$J105)*$G105),EXP(($J105-$BJ105)*$G105)),EXP(($BJ105-$J105)*$G105)),"")</f>
        <v/>
      </c>
      <c r="BM105" s="72" t="b">
        <f>IF(AND(NOT(BI105),AND(BI$4:BI104)),TRUE,BI105)</f>
        <v>0</v>
      </c>
      <c r="BN105" s="172" t="e">
        <f>IF(AND(NOT(ISBLANK(Jumpoverwrite14)),AND(NOT(BM105),AND(BM$4:BM104))),($J105*$G105-LN(1+Jumpoverwrite14*BO$2))/$G105,_xll.qlInterpolationInterpolate(BM$3,$F105,TRUE))</f>
        <v>#NUM!</v>
      </c>
      <c r="BO105" s="176" t="str">
        <f>IF(AND(NOT(BM105),AND(BM$4:BM104)),IF($BN105&lt;0,IF($BN105&lt;$J105,EXP(($BN105-$J105)*$G105),EXP(($J105-$BN105)*$G105)),EXP(($BN105-$J105)*$G105)),"")</f>
        <v/>
      </c>
      <c r="BQ105" s="72" t="b">
        <f>IF(AND(NOT(BM105),AND(BM$4:BM104)),TRUE,BM105)</f>
        <v>0</v>
      </c>
      <c r="BR105" s="172" t="e">
        <f>IF(AND(NOT(ISBLANK(Jumpoverwrite15)),AND(NOT(BQ105),AND(BQ$4:BQ104))),($J105*$G105-LN(1+Jumpoverwrite15*BS$2))/$G105,_xll.qlInterpolationInterpolate(BQ$3,$F105,TRUE))</f>
        <v>#NUM!</v>
      </c>
      <c r="BS105" s="176" t="str">
        <f>IF(AND(NOT(BQ105),AND(BQ$4:BQ104)),IF($BN105&lt;0,IF($BN105&lt;$J105,EXP(($BN105-$J105)*$G105),EXP(($J105-$BN105)*$G105)),EXP(($BN105-$J105)*$G105)),"")</f>
        <v/>
      </c>
    </row>
    <row r="106" spans="1:71" x14ac:dyDescent="0.2">
      <c r="A106" s="33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84" t="e">
        <f t="shared" si="9"/>
        <v>#N/A</v>
      </c>
      <c r="G106" s="85" t="e">
        <f>_xll.qlDayCounterYearFraction(DayCounter,D105,D106)</f>
        <v>#NUM!</v>
      </c>
      <c r="I106" s="93" t="b">
        <f t="shared" si="7"/>
        <v>0</v>
      </c>
      <c r="J106" s="37" t="e">
        <v>#N/A</v>
      </c>
      <c r="K106" s="94" t="e">
        <f t="shared" si="8"/>
        <v>#VALUE!</v>
      </c>
      <c r="L106" s="105"/>
      <c r="M106" s="72" t="b">
        <f>IF(AND(NOT(I106),AND(I$4:I105)),TRUE,I106)</f>
        <v>0</v>
      </c>
      <c r="N106" s="172" t="e">
        <f>IF(AND(NOT(ISBLANK(Jumpoverwrite1)),AND(NOT(M106),AND(M$4:M105))),($J106*$G106-LN(1+Jumpoverwrite1*O$2))/$G106,_xll.qlInterpolationInterpolate(M$3,$F106,TRUE))</f>
        <v>#NUM!</v>
      </c>
      <c r="O106" s="34" t="str">
        <f>IF(AND(NOT(M106),AND(M$4:M105)),IF($N106&lt;0,IF($N106&lt;$J106,EXP(($N106-$J106)*$G106),EXP(($J106-$N106)*$G106)),EXP(($N106-$J106)*$G106)),"")</f>
        <v/>
      </c>
      <c r="P106" s="107"/>
      <c r="Q106" s="72" t="b">
        <f>IF(AND(NOT(M106),AND(M$4:M105)),TRUE,M106)</f>
        <v>0</v>
      </c>
      <c r="R106" s="172" t="e">
        <f>IF(AND(NOT(ISBLANK(Jumpoverwrite2)),AND(NOT(Q106),AND(Q$4:Q105))),($J106*$G106-LN(1+Jumpoverwrite2*S$2))/$G106,_xll.qlInterpolationInterpolate(Q$3,$F106,TRUE))</f>
        <v>#NUM!</v>
      </c>
      <c r="S106" s="176" t="str">
        <f>IF(AND(NOT(Q106),AND(Q$4:Q105)),IF($R106&lt;0,IF($R106&lt;$J106,EXP(($R106-$J106)*$G106),EXP(($J106-$R106)*$G106)),EXP(($R106-$J106)*$G106)),"")</f>
        <v/>
      </c>
      <c r="T106" s="107"/>
      <c r="U106" s="72" t="b">
        <f>IF(AND(NOT(Q106),AND(Q$4:Q105)),TRUE,Q106)</f>
        <v>0</v>
      </c>
      <c r="V106" s="172" t="e">
        <f>IF(AND(NOT(ISBLANK(Jumpoverwrite3)),AND(NOT(U106),AND(U$4:U105))),($J106*$G106-LN(1+Jumpoverwrite3*W$2))/$G106,_xll.qlInterpolationInterpolate(U$3,$F106,TRUE))</f>
        <v>#NUM!</v>
      </c>
      <c r="W106" s="176" t="str">
        <f>IF(AND(NOT(U106),AND(U$4:U105)),IF($V106&lt;0,IF($V106&lt;$J106,EXP(($V106-$J106)*$G106),EXP(($J106-$V106)*$G106)),EXP(($V106-$J106)*$G106)),"")</f>
        <v/>
      </c>
      <c r="X106" s="107"/>
      <c r="Y106" s="72" t="b">
        <f>IF(AND(NOT(U106),AND(U$4:U105)),TRUE,U106)</f>
        <v>0</v>
      </c>
      <c r="Z106" s="172" t="e">
        <f>IF(AND(NOT(ISBLANK(Jumpoverwrite4)),AND(NOT(Y106),AND(Y$4:Y105))),($J106*$G106-LN(1+Jumpoverwrite4*AA$2))/$G106,_xll.qlInterpolationInterpolate(Y$3,$F106,TRUE))</f>
        <v>#NUM!</v>
      </c>
      <c r="AA106" s="176" t="str">
        <f>IF(AND(NOT(Y106),AND(Y$4:Y105)),IF($Z106&lt;0,IF($Z106&lt;$J106,EXP(($Z106-$J106)*$G106),EXP(($J106-$Z106)*$G106)),EXP(($Z106-$J106)*$G106)),"")</f>
        <v/>
      </c>
      <c r="AB106" s="107"/>
      <c r="AC106" s="72" t="b">
        <f>IF(AND(NOT(Y106),AND(Y$4:Y105)),TRUE,Y106)</f>
        <v>0</v>
      </c>
      <c r="AD106" s="172" t="e">
        <f>IF(AND(NOT(ISBLANK(Jumpoverwrite5)),AND(NOT(AC106),AND(AC$4:AC105))),($J106*$G106-LN(1+Jumpoverwrite5*AE$2))/$G106,_xll.qlInterpolationInterpolate(AC$3,$F106,TRUE))</f>
        <v>#NUM!</v>
      </c>
      <c r="AE106" s="176" t="str">
        <f>IF(AND(NOT(AC106),AND(AC$4:AC105)),IF($AD106&lt;0,IF($AD106&lt;$J106,EXP(($AD106-$J106)*$G106),EXP(($J106-$AD106)*$G106)),EXP(($AD106-$J106)*$G106)),"")</f>
        <v/>
      </c>
      <c r="AF106" s="107"/>
      <c r="AG106" s="72" t="b">
        <f>IF(AND(NOT(AC106),AND(AC$4:AC105)),TRUE,AC106)</f>
        <v>0</v>
      </c>
      <c r="AH106" s="172" t="e">
        <f>IF(AND(NOT(ISBLANK(Jumpoverwrite6)),AND(NOT(AG106),AND(AG$4:AG105))),($J106*$G106-LN(1+Jumpoverwrite6*AI$2))/$G106,_xll.qlInterpolationInterpolate(AG$3,$F106,TRUE))</f>
        <v>#NUM!</v>
      </c>
      <c r="AI106" s="176" t="str">
        <f>IF(AND(NOT(AG106),AND(AG$4:AG105)),IF($AH106&lt;0,IF($AH106&lt;$J106,EXP(($AH106-$J106)*$G106),EXP(($J106-$AH106)*$G106)),EXP(($AH106-$J106)*$G106)),"")</f>
        <v/>
      </c>
      <c r="AJ106" s="107"/>
      <c r="AK106" s="72" t="b">
        <f>IF(AND(NOT(AG106),AND(AG$4:AG105)),TRUE,AG106)</f>
        <v>0</v>
      </c>
      <c r="AL106" s="172" t="e">
        <f>IF(AND(NOT(ISBLANK(Jumpoverwrite7)),AND(NOT(AK106),AND(AK$4:AK105))),($J106*$G106-LN(1+Jumpoverwrite7*AM$2))/$G106,_xll.qlInterpolationInterpolate(AK$3,$F106,TRUE))</f>
        <v>#NUM!</v>
      </c>
      <c r="AM106" s="176" t="str">
        <f>IF(AND(NOT(AK106),AND(AK$4:AK105)),IF($AL106&lt;0,IF($AL106&lt;$J106,EXP(($AL106-$J106)*$G106),EXP(($J106-$AL106)*$G106)),EXP(($AL106-$J106)*$G106)),"")</f>
        <v/>
      </c>
      <c r="AO106" s="72" t="b">
        <f>IF(AND(NOT(AK106),AND(AK$4:AK105)),TRUE,AK106)</f>
        <v>0</v>
      </c>
      <c r="AP106" s="172" t="e">
        <f>IF(AND(NOT(ISBLANK(Jumpoverwrite8)),AND(NOT(AO106),AND(AO$4:AO105))),($J106*$G106-LN(1+Jumpoverwrite8*AQ$2))/$G106,_xll.qlInterpolationInterpolate(AO$3,$F106,TRUE))</f>
        <v>#NUM!</v>
      </c>
      <c r="AQ106" s="176" t="str">
        <f>IF(AND(NOT(AO106),AND(AO$4:AO105)),IF($AP106&lt;0,IF($AP106&lt;$J106,EXP(($AP106-$J106)*$G106),EXP(($J106-$AP106)*$G106)),EXP(($AP106-$J106)*$G106)),"")</f>
        <v/>
      </c>
      <c r="AS106" s="72" t="b">
        <f>IF(AND(NOT(AO106),AND(AO$4:AO105)),TRUE,AO106)</f>
        <v>0</v>
      </c>
      <c r="AT106" s="172" t="e">
        <f>IF(AND(NOT(ISBLANK(Jumpoverwrite9)),AND(NOT(AS106),AND(AS$4:AS105))),($J106*$G106-LN(1+Jumpoverwrite9*AU$2))/$G106,_xll.qlInterpolationInterpolate(AS$3,$F106,TRUE))</f>
        <v>#NUM!</v>
      </c>
      <c r="AU106" s="176" t="str">
        <f>IF(AND(NOT(AS106),AND(AS$4:AS105)),IF($AT106&lt;0,IF($AT106&lt;$J106,EXP(($AT106-$J106)*$G106),EXP(($J106-$AT106)*$G106)),EXP(($AT106-$J106)*$G106)),"")</f>
        <v/>
      </c>
      <c r="AW106" s="72" t="b">
        <f>IF(AND(NOT(AS106),AND(AS$4:AS105)),TRUE,AS106)</f>
        <v>0</v>
      </c>
      <c r="AX106" s="172" t="e">
        <f>IF(AND(NOT(ISBLANK(Jumpoverwrite10)),AND(NOT(AW106),AND(AW$4:AW105))),($J106*$G106-LN(1+Jumpoverwrite10*AY$2))/$G106,_xll.qlInterpolationInterpolate(AW$3,$F106,TRUE))</f>
        <v>#NUM!</v>
      </c>
      <c r="AY106" s="176" t="str">
        <f>IF(AND(NOT(AW106),AND(AW$4:AW105)),IF($AX106&lt;0,IF($AX106&lt;$J106,EXP(($AX106-$J106)*$G106),EXP(($J106-$AX106)*$G106)),EXP(($AX106-$J106)*$G106)),"")</f>
        <v/>
      </c>
      <c r="BA106" s="72" t="b">
        <f>IF(AND(NOT(AW106),AND(AW$4:AW105)),TRUE,AW106)</f>
        <v>0</v>
      </c>
      <c r="BB106" s="172" t="e">
        <f>IF(AND(NOT(ISBLANK(Jumpoverwrite11)),AND(NOT(BA106),AND(BA$4:BA105))),($J106*$G106-LN(1+Jumpoverwrite11*BC$2))/$G106,_xll.qlInterpolationInterpolate(BA$3,$F106,TRUE))</f>
        <v>#NUM!</v>
      </c>
      <c r="BC106" s="176" t="str">
        <f>IF(AND(NOT(BA106),AND(BA$4:BA105)),IF($BB106&lt;0,IF($BB106&lt;$J106,EXP(($BB106-$J106)*$G106),EXP(($J106-$BB106)*$G106)),EXP(($BB106-$J106)*$G106)),"")</f>
        <v/>
      </c>
      <c r="BE106" s="72" t="b">
        <f>IF(AND(NOT(BA106),AND(BA$4:BA105)),TRUE,BA106)</f>
        <v>0</v>
      </c>
      <c r="BF106" s="172" t="e">
        <f>IF(AND(NOT(ISBLANK(Jumpoverwrite12)),AND(NOT(BE106),AND(BE$4:BE105))),($J106*$G106-LN(1+Jumpoverwrite12*BG$2))/$G106,_xll.qlInterpolationInterpolate(BE$3,$F106,TRUE))</f>
        <v>#NUM!</v>
      </c>
      <c r="BG106" s="176" t="str">
        <f>IF(AND(NOT(BE106),AND(BE$4:BE105)),IF($BF106&lt;0,IF($BF106&lt;$J106,EXP(($BF106-$J106)*$G106),EXP(($J106-$BF106)*$G106)),EXP(($BF106-$J106)*$G106)),"")</f>
        <v/>
      </c>
      <c r="BI106" s="72" t="b">
        <f t="shared" si="10"/>
        <v>0</v>
      </c>
      <c r="BJ106" s="172" t="e">
        <f>IF(AND(NOT(ISBLANK(jumpoverwrite13)),AND(NOT(BI106),AND(BI$4:BI105))),($J106*$G106-LN(1+jumpoverwrite13*BK$2))/$G106,_xll.qlInterpolationInterpolate(BI$3,$F106,TRUE))</f>
        <v>#NUM!</v>
      </c>
      <c r="BK106" s="176" t="str">
        <f>IF(AND(NOT(BI106),AND(BI$4:BI105)),IF($BJ106&lt;0,IF($BJ106&lt;$J106,EXP(($BJ106-$J106)*$G106),EXP(($J106-$BJ106)*$G106)),EXP(($BJ106-$J106)*$G106)),"")</f>
        <v/>
      </c>
      <c r="BM106" s="72" t="b">
        <f>IF(AND(NOT(BI106),AND(BI$4:BI105)),TRUE,BI106)</f>
        <v>0</v>
      </c>
      <c r="BN106" s="172" t="e">
        <f>IF(AND(NOT(ISBLANK(Jumpoverwrite14)),AND(NOT(BM106),AND(BM$4:BM105))),($J106*$G106-LN(1+Jumpoverwrite14*BO$2))/$G106,_xll.qlInterpolationInterpolate(BM$3,$F106,TRUE))</f>
        <v>#NUM!</v>
      </c>
      <c r="BO106" s="176" t="str">
        <f>IF(AND(NOT(BM106),AND(BM$4:BM105)),IF($BN106&lt;0,IF($BN106&lt;$J106,EXP(($BN106-$J106)*$G106),EXP(($J106-$BN106)*$G106)),EXP(($BN106-$J106)*$G106)),"")</f>
        <v/>
      </c>
      <c r="BQ106" s="72" t="b">
        <f>IF(AND(NOT(BM106),AND(BM$4:BM105)),TRUE,BM106)</f>
        <v>0</v>
      </c>
      <c r="BR106" s="172" t="e">
        <f>IF(AND(NOT(ISBLANK(Jumpoverwrite15)),AND(NOT(BQ106),AND(BQ$4:BQ105))),($J106*$G106-LN(1+Jumpoverwrite15*BS$2))/$G106,_xll.qlInterpolationInterpolate(BQ$3,$F106,TRUE))</f>
        <v>#NUM!</v>
      </c>
      <c r="BS106" s="176" t="str">
        <f>IF(AND(NOT(BQ106),AND(BQ$4:BQ105)),IF($BN106&lt;0,IF($BN106&lt;$J106,EXP(($BN106-$J106)*$G106),EXP(($J106-$BN106)*$G106)),EXP(($BN106-$J106)*$G106)),"")</f>
        <v/>
      </c>
    </row>
    <row r="107" spans="1:71" x14ac:dyDescent="0.2">
      <c r="A107" s="33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84" t="e">
        <f t="shared" si="9"/>
        <v>#N/A</v>
      </c>
      <c r="G107" s="85" t="e">
        <f>_xll.qlDayCounterYearFraction(DayCounter,D106,D107)</f>
        <v>#NUM!</v>
      </c>
      <c r="I107" s="93" t="b">
        <f t="shared" si="7"/>
        <v>0</v>
      </c>
      <c r="J107" s="37" t="e">
        <v>#N/A</v>
      </c>
      <c r="K107" s="94" t="e">
        <f t="shared" si="8"/>
        <v>#VALUE!</v>
      </c>
      <c r="L107" s="105"/>
      <c r="M107" s="72" t="b">
        <f>IF(AND(NOT(I107),AND(I$4:I106)),TRUE,I107)</f>
        <v>0</v>
      </c>
      <c r="N107" s="172" t="e">
        <f>IF(AND(NOT(ISBLANK(Jumpoverwrite1)),AND(NOT(M107),AND(M$4:M106))),($J107*$G107-LN(1+Jumpoverwrite1*O$2))/$G107,_xll.qlInterpolationInterpolate(M$3,$F107,TRUE))</f>
        <v>#NUM!</v>
      </c>
      <c r="O107" s="34" t="str">
        <f>IF(AND(NOT(M107),AND(M$4:M106)),IF($N107&lt;0,IF($N107&lt;$J107,EXP(($N107-$J107)*$G107),EXP(($J107-$N107)*$G107)),EXP(($N107-$J107)*$G107)),"")</f>
        <v/>
      </c>
      <c r="P107" s="107"/>
      <c r="Q107" s="72" t="b">
        <f>IF(AND(NOT(M107),AND(M$4:M106)),TRUE,M107)</f>
        <v>0</v>
      </c>
      <c r="R107" s="172" t="e">
        <f>IF(AND(NOT(ISBLANK(Jumpoverwrite2)),AND(NOT(Q107),AND(Q$4:Q106))),($J107*$G107-LN(1+Jumpoverwrite2*S$2))/$G107,_xll.qlInterpolationInterpolate(Q$3,$F107,TRUE))</f>
        <v>#NUM!</v>
      </c>
      <c r="S107" s="176" t="str">
        <f>IF(AND(NOT(Q107),AND(Q$4:Q106)),IF($R107&lt;0,IF($R107&lt;$J107,EXP(($R107-$J107)*$G107),EXP(($J107-$R107)*$G107)),EXP(($R107-$J107)*$G107)),"")</f>
        <v/>
      </c>
      <c r="T107" s="107"/>
      <c r="U107" s="72" t="b">
        <f>IF(AND(NOT(Q107),AND(Q$4:Q106)),TRUE,Q107)</f>
        <v>0</v>
      </c>
      <c r="V107" s="172" t="e">
        <f>IF(AND(NOT(ISBLANK(Jumpoverwrite3)),AND(NOT(U107),AND(U$4:U106))),($J107*$G107-LN(1+Jumpoverwrite3*W$2))/$G107,_xll.qlInterpolationInterpolate(U$3,$F107,TRUE))</f>
        <v>#NUM!</v>
      </c>
      <c r="W107" s="176" t="str">
        <f>IF(AND(NOT(U107),AND(U$4:U106)),IF($V107&lt;0,IF($V107&lt;$J107,EXP(($V107-$J107)*$G107),EXP(($J107-$V107)*$G107)),EXP(($V107-$J107)*$G107)),"")</f>
        <v/>
      </c>
      <c r="X107" s="107"/>
      <c r="Y107" s="72" t="b">
        <f>IF(AND(NOT(U107),AND(U$4:U106)),TRUE,U107)</f>
        <v>0</v>
      </c>
      <c r="Z107" s="172" t="e">
        <f>IF(AND(NOT(ISBLANK(Jumpoverwrite4)),AND(NOT(Y107),AND(Y$4:Y106))),($J107*$G107-LN(1+Jumpoverwrite4*AA$2))/$G107,_xll.qlInterpolationInterpolate(Y$3,$F107,TRUE))</f>
        <v>#NUM!</v>
      </c>
      <c r="AA107" s="176" t="str">
        <f>IF(AND(NOT(Y107),AND(Y$4:Y106)),IF($Z107&lt;0,IF($Z107&lt;$J107,EXP(($Z107-$J107)*$G107),EXP(($J107-$Z107)*$G107)),EXP(($Z107-$J107)*$G107)),"")</f>
        <v/>
      </c>
      <c r="AB107" s="107"/>
      <c r="AC107" s="72" t="b">
        <f>IF(AND(NOT(Y107),AND(Y$4:Y106)),TRUE,Y107)</f>
        <v>0</v>
      </c>
      <c r="AD107" s="172" t="e">
        <f>IF(AND(NOT(ISBLANK(Jumpoverwrite5)),AND(NOT(AC107),AND(AC$4:AC106))),($J107*$G107-LN(1+Jumpoverwrite5*AE$2))/$G107,_xll.qlInterpolationInterpolate(AC$3,$F107,TRUE))</f>
        <v>#NUM!</v>
      </c>
      <c r="AE107" s="176" t="str">
        <f>IF(AND(NOT(AC107),AND(AC$4:AC106)),IF($AD107&lt;0,IF($AD107&lt;$J107,EXP(($AD107-$J107)*$G107),EXP(($J107-$AD107)*$G107)),EXP(($AD107-$J107)*$G107)),"")</f>
        <v/>
      </c>
      <c r="AF107" s="107"/>
      <c r="AG107" s="72" t="b">
        <f>IF(AND(NOT(AC107),AND(AC$4:AC106)),TRUE,AC107)</f>
        <v>0</v>
      </c>
      <c r="AH107" s="172" t="e">
        <f>IF(AND(NOT(ISBLANK(Jumpoverwrite6)),AND(NOT(AG107),AND(AG$4:AG106))),($J107*$G107-LN(1+Jumpoverwrite6*AI$2))/$G107,_xll.qlInterpolationInterpolate(AG$3,$F107,TRUE))</f>
        <v>#NUM!</v>
      </c>
      <c r="AI107" s="176" t="str">
        <f>IF(AND(NOT(AG107),AND(AG$4:AG106)),IF($AH107&lt;0,IF($AH107&lt;$J107,EXP(($AH107-$J107)*$G107),EXP(($J107-$AH107)*$G107)),EXP(($AH107-$J107)*$G107)),"")</f>
        <v/>
      </c>
      <c r="AJ107" s="107"/>
      <c r="AK107" s="72" t="b">
        <f>IF(AND(NOT(AG107),AND(AG$4:AG106)),TRUE,AG107)</f>
        <v>0</v>
      </c>
      <c r="AL107" s="172" t="e">
        <f>IF(AND(NOT(ISBLANK(Jumpoverwrite7)),AND(NOT(AK107),AND(AK$4:AK106))),($J107*$G107-LN(1+Jumpoverwrite7*AM$2))/$G107,_xll.qlInterpolationInterpolate(AK$3,$F107,TRUE))</f>
        <v>#NUM!</v>
      </c>
      <c r="AM107" s="176" t="str">
        <f>IF(AND(NOT(AK107),AND(AK$4:AK106)),IF($AL107&lt;0,IF($AL107&lt;$J107,EXP(($AL107-$J107)*$G107),EXP(($J107-$AL107)*$G107)),EXP(($AL107-$J107)*$G107)),"")</f>
        <v/>
      </c>
      <c r="AO107" s="72" t="b">
        <f>IF(AND(NOT(AK107),AND(AK$4:AK106)),TRUE,AK107)</f>
        <v>0</v>
      </c>
      <c r="AP107" s="172" t="e">
        <f>IF(AND(NOT(ISBLANK(Jumpoverwrite8)),AND(NOT(AO107),AND(AO$4:AO106))),($J107*$G107-LN(1+Jumpoverwrite8*AQ$2))/$G107,_xll.qlInterpolationInterpolate(AO$3,$F107,TRUE))</f>
        <v>#NUM!</v>
      </c>
      <c r="AQ107" s="176" t="str">
        <f>IF(AND(NOT(AO107),AND(AO$4:AO106)),IF($AP107&lt;0,IF($AP107&lt;$J107,EXP(($AP107-$J107)*$G107),EXP(($J107-$AP107)*$G107)),EXP(($AP107-$J107)*$G107)),"")</f>
        <v/>
      </c>
      <c r="AS107" s="72" t="b">
        <f>IF(AND(NOT(AO107),AND(AO$4:AO106)),TRUE,AO107)</f>
        <v>0</v>
      </c>
      <c r="AT107" s="172" t="e">
        <f>IF(AND(NOT(ISBLANK(Jumpoverwrite9)),AND(NOT(AS107),AND(AS$4:AS106))),($J107*$G107-LN(1+Jumpoverwrite9*AU$2))/$G107,_xll.qlInterpolationInterpolate(AS$3,$F107,TRUE))</f>
        <v>#NUM!</v>
      </c>
      <c r="AU107" s="176" t="str">
        <f>IF(AND(NOT(AS107),AND(AS$4:AS106)),IF($AT107&lt;0,IF($AT107&lt;$J107,EXP(($AT107-$J107)*$G107),EXP(($J107-$AT107)*$G107)),EXP(($AT107-$J107)*$G107)),"")</f>
        <v/>
      </c>
      <c r="AW107" s="72" t="b">
        <f>IF(AND(NOT(AS107),AND(AS$4:AS106)),TRUE,AS107)</f>
        <v>0</v>
      </c>
      <c r="AX107" s="172" t="e">
        <f>IF(AND(NOT(ISBLANK(Jumpoverwrite10)),AND(NOT(AW107),AND(AW$4:AW106))),($J107*$G107-LN(1+Jumpoverwrite10*AY$2))/$G107,_xll.qlInterpolationInterpolate(AW$3,$F107,TRUE))</f>
        <v>#NUM!</v>
      </c>
      <c r="AY107" s="176" t="str">
        <f>IF(AND(NOT(AW107),AND(AW$4:AW106)),IF($AX107&lt;0,IF($AX107&lt;$J107,EXP(($AX107-$J107)*$G107),EXP(($J107-$AX107)*$G107)),EXP(($AX107-$J107)*$G107)),"")</f>
        <v/>
      </c>
      <c r="BA107" s="72" t="b">
        <f>IF(AND(NOT(AW107),AND(AW$4:AW106)),TRUE,AW107)</f>
        <v>0</v>
      </c>
      <c r="BB107" s="172" t="e">
        <f>IF(AND(NOT(ISBLANK(Jumpoverwrite11)),AND(NOT(BA107),AND(BA$4:BA106))),($J107*$G107-LN(1+Jumpoverwrite11*BC$2))/$G107,_xll.qlInterpolationInterpolate(BA$3,$F107,TRUE))</f>
        <v>#NUM!</v>
      </c>
      <c r="BC107" s="176" t="str">
        <f>IF(AND(NOT(BA107),AND(BA$4:BA106)),IF($BB107&lt;0,IF($BB107&lt;$J107,EXP(($BB107-$J107)*$G107),EXP(($J107-$BB107)*$G107)),EXP(($BB107-$J107)*$G107)),"")</f>
        <v/>
      </c>
      <c r="BE107" s="72" t="b">
        <f>IF(AND(NOT(BA107),AND(BA$4:BA106)),TRUE,BA107)</f>
        <v>0</v>
      </c>
      <c r="BF107" s="172" t="e">
        <f>IF(AND(NOT(ISBLANK(Jumpoverwrite12)),AND(NOT(BE107),AND(BE$4:BE106))),($J107*$G107-LN(1+Jumpoverwrite12*BG$2))/$G107,_xll.qlInterpolationInterpolate(BE$3,$F107,TRUE))</f>
        <v>#NUM!</v>
      </c>
      <c r="BG107" s="176" t="str">
        <f>IF(AND(NOT(BE107),AND(BE$4:BE106)),IF($BF107&lt;0,IF($BF107&lt;$J107,EXP(($BF107-$J107)*$G107),EXP(($J107-$BF107)*$G107)),EXP(($BF107-$J107)*$G107)),"")</f>
        <v/>
      </c>
      <c r="BI107" s="72" t="b">
        <f t="shared" si="10"/>
        <v>0</v>
      </c>
      <c r="BJ107" s="172" t="e">
        <f>IF(AND(NOT(ISBLANK(jumpoverwrite13)),AND(NOT(BI107),AND(BI$4:BI106))),($J107*$G107-LN(1+jumpoverwrite13*BK$2))/$G107,_xll.qlInterpolationInterpolate(BI$3,$F107,TRUE))</f>
        <v>#NUM!</v>
      </c>
      <c r="BK107" s="176" t="str">
        <f>IF(AND(NOT(BI107),AND(BI$4:BI106)),IF($BJ107&lt;0,IF($BJ107&lt;$J107,EXP(($BJ107-$J107)*$G107),EXP(($J107-$BJ107)*$G107)),EXP(($BJ107-$J107)*$G107)),"")</f>
        <v/>
      </c>
      <c r="BM107" s="72" t="b">
        <f>IF(AND(NOT(BI107),AND(BI$4:BI106)),TRUE,BI107)</f>
        <v>0</v>
      </c>
      <c r="BN107" s="172" t="e">
        <f>IF(AND(NOT(ISBLANK(Jumpoverwrite14)),AND(NOT(BM107),AND(BM$4:BM106))),($J107*$G107-LN(1+Jumpoverwrite14*BO$2))/$G107,_xll.qlInterpolationInterpolate(BM$3,$F107,TRUE))</f>
        <v>#NUM!</v>
      </c>
      <c r="BO107" s="176" t="str">
        <f>IF(AND(NOT(BM107),AND(BM$4:BM106)),IF($BN107&lt;0,IF($BN107&lt;$J107,EXP(($BN107-$J107)*$G107),EXP(($J107-$BN107)*$G107)),EXP(($BN107-$J107)*$G107)),"")</f>
        <v/>
      </c>
      <c r="BQ107" s="72" t="b">
        <f>IF(AND(NOT(BM107),AND(BM$4:BM106)),TRUE,BM107)</f>
        <v>0</v>
      </c>
      <c r="BR107" s="172" t="e">
        <f>IF(AND(NOT(ISBLANK(Jumpoverwrite15)),AND(NOT(BQ107),AND(BQ$4:BQ106))),($J107*$G107-LN(1+Jumpoverwrite15*BS$2))/$G107,_xll.qlInterpolationInterpolate(BQ$3,$F107,TRUE))</f>
        <v>#NUM!</v>
      </c>
      <c r="BS107" s="176" t="str">
        <f>IF(AND(NOT(BQ107),AND(BQ$4:BQ106)),IF($BN107&lt;0,IF($BN107&lt;$J107,EXP(($BN107-$J107)*$G107),EXP(($J107-$BN107)*$G107)),EXP(($BN107-$J107)*$G107)),"")</f>
        <v/>
      </c>
    </row>
    <row r="108" spans="1:71" x14ac:dyDescent="0.2">
      <c r="A108" s="33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84" t="e">
        <f t="shared" si="9"/>
        <v>#N/A</v>
      </c>
      <c r="G108" s="85" t="e">
        <f>_xll.qlDayCounterYearFraction(DayCounter,D107,D108)</f>
        <v>#NUM!</v>
      </c>
      <c r="I108" s="93" t="b">
        <f t="shared" si="7"/>
        <v>0</v>
      </c>
      <c r="J108" s="37" t="e">
        <v>#N/A</v>
      </c>
      <c r="K108" s="94" t="e">
        <f t="shared" si="8"/>
        <v>#VALUE!</v>
      </c>
      <c r="L108" s="105"/>
      <c r="M108" s="72" t="b">
        <f>IF(AND(NOT(I108),AND(I$4:I107)),TRUE,I108)</f>
        <v>0</v>
      </c>
      <c r="N108" s="172" t="e">
        <f>IF(AND(NOT(ISBLANK(Jumpoverwrite1)),AND(NOT(M108),AND(M$4:M107))),($J108*$G108-LN(1+Jumpoverwrite1*O$2))/$G108,_xll.qlInterpolationInterpolate(M$3,$F108,TRUE))</f>
        <v>#NUM!</v>
      </c>
      <c r="O108" s="34" t="str">
        <f>IF(AND(NOT(M108),AND(M$4:M107)),IF($N108&lt;0,IF($N108&lt;$J108,EXP(($N108-$J108)*$G108),EXP(($J108-$N108)*$G108)),EXP(($N108-$J108)*$G108)),"")</f>
        <v/>
      </c>
      <c r="P108" s="107"/>
      <c r="Q108" s="72" t="b">
        <f>IF(AND(NOT(M108),AND(M$4:M107)),TRUE,M108)</f>
        <v>0</v>
      </c>
      <c r="R108" s="172" t="e">
        <f>IF(AND(NOT(ISBLANK(Jumpoverwrite2)),AND(NOT(Q108),AND(Q$4:Q107))),($J108*$G108-LN(1+Jumpoverwrite2*S$2))/$G108,_xll.qlInterpolationInterpolate(Q$3,$F108,TRUE))</f>
        <v>#NUM!</v>
      </c>
      <c r="S108" s="176" t="str">
        <f>IF(AND(NOT(Q108),AND(Q$4:Q107)),IF($R108&lt;0,IF($R108&lt;$J108,EXP(($R108-$J108)*$G108),EXP(($J108-$R108)*$G108)),EXP(($R108-$J108)*$G108)),"")</f>
        <v/>
      </c>
      <c r="T108" s="107"/>
      <c r="U108" s="72" t="b">
        <f>IF(AND(NOT(Q108),AND(Q$4:Q107)),TRUE,Q108)</f>
        <v>0</v>
      </c>
      <c r="V108" s="172" t="e">
        <f>IF(AND(NOT(ISBLANK(Jumpoverwrite3)),AND(NOT(U108),AND(U$4:U107))),($J108*$G108-LN(1+Jumpoverwrite3*W$2))/$G108,_xll.qlInterpolationInterpolate(U$3,$F108,TRUE))</f>
        <v>#NUM!</v>
      </c>
      <c r="W108" s="176" t="str">
        <f>IF(AND(NOT(U108),AND(U$4:U107)),IF($V108&lt;0,IF($V108&lt;$J108,EXP(($V108-$J108)*$G108),EXP(($J108-$V108)*$G108)),EXP(($V108-$J108)*$G108)),"")</f>
        <v/>
      </c>
      <c r="X108" s="107"/>
      <c r="Y108" s="72" t="b">
        <f>IF(AND(NOT(U108),AND(U$4:U107)),TRUE,U108)</f>
        <v>0</v>
      </c>
      <c r="Z108" s="172" t="e">
        <f>IF(AND(NOT(ISBLANK(Jumpoverwrite4)),AND(NOT(Y108),AND(Y$4:Y107))),($J108*$G108-LN(1+Jumpoverwrite4*AA$2))/$G108,_xll.qlInterpolationInterpolate(Y$3,$F108,TRUE))</f>
        <v>#NUM!</v>
      </c>
      <c r="AA108" s="176" t="str">
        <f>IF(AND(NOT(Y108),AND(Y$4:Y107)),IF($Z108&lt;0,IF($Z108&lt;$J108,EXP(($Z108-$J108)*$G108),EXP(($J108-$Z108)*$G108)),EXP(($Z108-$J108)*$G108)),"")</f>
        <v/>
      </c>
      <c r="AB108" s="107"/>
      <c r="AC108" s="72" t="b">
        <f>IF(AND(NOT(Y108),AND(Y$4:Y107)),TRUE,Y108)</f>
        <v>0</v>
      </c>
      <c r="AD108" s="172" t="e">
        <f>IF(AND(NOT(ISBLANK(Jumpoverwrite5)),AND(NOT(AC108),AND(AC$4:AC107))),($J108*$G108-LN(1+Jumpoverwrite5*AE$2))/$G108,_xll.qlInterpolationInterpolate(AC$3,$F108,TRUE))</f>
        <v>#NUM!</v>
      </c>
      <c r="AE108" s="176" t="str">
        <f>IF(AND(NOT(AC108),AND(AC$4:AC107)),IF($AD108&lt;0,IF($AD108&lt;$J108,EXP(($AD108-$J108)*$G108),EXP(($J108-$AD108)*$G108)),EXP(($AD108-$J108)*$G108)),"")</f>
        <v/>
      </c>
      <c r="AF108" s="107"/>
      <c r="AG108" s="72" t="b">
        <f>IF(AND(NOT(AC108),AND(AC$4:AC107)),TRUE,AC108)</f>
        <v>0</v>
      </c>
      <c r="AH108" s="172" t="e">
        <f>IF(AND(NOT(ISBLANK(Jumpoverwrite6)),AND(NOT(AG108),AND(AG$4:AG107))),($J108*$G108-LN(1+Jumpoverwrite6*AI$2))/$G108,_xll.qlInterpolationInterpolate(AG$3,$F108,TRUE))</f>
        <v>#NUM!</v>
      </c>
      <c r="AI108" s="176" t="str">
        <f>IF(AND(NOT(AG108),AND(AG$4:AG107)),IF($AH108&lt;0,IF($AH108&lt;$J108,EXP(($AH108-$J108)*$G108),EXP(($J108-$AH108)*$G108)),EXP(($AH108-$J108)*$G108)),"")</f>
        <v/>
      </c>
      <c r="AJ108" s="107"/>
      <c r="AK108" s="72" t="b">
        <f>IF(AND(NOT(AG108),AND(AG$4:AG107)),TRUE,AG108)</f>
        <v>0</v>
      </c>
      <c r="AL108" s="172" t="e">
        <f>IF(AND(NOT(ISBLANK(Jumpoverwrite7)),AND(NOT(AK108),AND(AK$4:AK107))),($J108*$G108-LN(1+Jumpoverwrite7*AM$2))/$G108,_xll.qlInterpolationInterpolate(AK$3,$F108,TRUE))</f>
        <v>#NUM!</v>
      </c>
      <c r="AM108" s="176" t="str">
        <f>IF(AND(NOT(AK108),AND(AK$4:AK107)),IF($AL108&lt;0,IF($AL108&lt;$J108,EXP(($AL108-$J108)*$G108),EXP(($J108-$AL108)*$G108)),EXP(($AL108-$J108)*$G108)),"")</f>
        <v/>
      </c>
      <c r="AO108" s="72" t="b">
        <f>IF(AND(NOT(AK108),AND(AK$4:AK107)),TRUE,AK108)</f>
        <v>0</v>
      </c>
      <c r="AP108" s="172" t="e">
        <f>IF(AND(NOT(ISBLANK(Jumpoverwrite8)),AND(NOT(AO108),AND(AO$4:AO107))),($J108*$G108-LN(1+Jumpoverwrite8*AQ$2))/$G108,_xll.qlInterpolationInterpolate(AO$3,$F108,TRUE))</f>
        <v>#NUM!</v>
      </c>
      <c r="AQ108" s="176" t="str">
        <f>IF(AND(NOT(AO108),AND(AO$4:AO107)),IF($AP108&lt;0,IF($AP108&lt;$J108,EXP(($AP108-$J108)*$G108),EXP(($J108-$AP108)*$G108)),EXP(($AP108-$J108)*$G108)),"")</f>
        <v/>
      </c>
      <c r="AS108" s="72" t="b">
        <f>IF(AND(NOT(AO108),AND(AO$4:AO107)),TRUE,AO108)</f>
        <v>0</v>
      </c>
      <c r="AT108" s="172" t="e">
        <f>IF(AND(NOT(ISBLANK(Jumpoverwrite9)),AND(NOT(AS108),AND(AS$4:AS107))),($J108*$G108-LN(1+Jumpoverwrite9*AU$2))/$G108,_xll.qlInterpolationInterpolate(AS$3,$F108,TRUE))</f>
        <v>#NUM!</v>
      </c>
      <c r="AU108" s="176" t="str">
        <f>IF(AND(NOT(AS108),AND(AS$4:AS107)),IF($AT108&lt;0,IF($AT108&lt;$J108,EXP(($AT108-$J108)*$G108),EXP(($J108-$AT108)*$G108)),EXP(($AT108-$J108)*$G108)),"")</f>
        <v/>
      </c>
      <c r="AW108" s="72" t="b">
        <f>IF(AND(NOT(AS108),AND(AS$4:AS107)),TRUE,AS108)</f>
        <v>0</v>
      </c>
      <c r="AX108" s="172" t="e">
        <f>IF(AND(NOT(ISBLANK(Jumpoverwrite10)),AND(NOT(AW108),AND(AW$4:AW107))),($J108*$G108-LN(1+Jumpoverwrite10*AY$2))/$G108,_xll.qlInterpolationInterpolate(AW$3,$F108,TRUE))</f>
        <v>#NUM!</v>
      </c>
      <c r="AY108" s="176" t="str">
        <f>IF(AND(NOT(AW108),AND(AW$4:AW107)),IF($AX108&lt;0,IF($AX108&lt;$J108,EXP(($AX108-$J108)*$G108),EXP(($J108-$AX108)*$G108)),EXP(($AX108-$J108)*$G108)),"")</f>
        <v/>
      </c>
      <c r="BA108" s="72" t="b">
        <f>IF(AND(NOT(AW108),AND(AW$4:AW107)),TRUE,AW108)</f>
        <v>0</v>
      </c>
      <c r="BB108" s="172" t="e">
        <f>IF(AND(NOT(ISBLANK(Jumpoverwrite11)),AND(NOT(BA108),AND(BA$4:BA107))),($J108*$G108-LN(1+Jumpoverwrite11*BC$2))/$G108,_xll.qlInterpolationInterpolate(BA$3,$F108,TRUE))</f>
        <v>#NUM!</v>
      </c>
      <c r="BC108" s="176" t="str">
        <f>IF(AND(NOT(BA108),AND(BA$4:BA107)),IF($BB108&lt;0,IF($BB108&lt;$J108,EXP(($BB108-$J108)*$G108),EXP(($J108-$BB108)*$G108)),EXP(($BB108-$J108)*$G108)),"")</f>
        <v/>
      </c>
      <c r="BE108" s="72" t="b">
        <f>IF(AND(NOT(BA108),AND(BA$4:BA107)),TRUE,BA108)</f>
        <v>0</v>
      </c>
      <c r="BF108" s="172" t="e">
        <f>IF(AND(NOT(ISBLANK(Jumpoverwrite12)),AND(NOT(BE108),AND(BE$4:BE107))),($J108*$G108-LN(1+Jumpoverwrite12*BG$2))/$G108,_xll.qlInterpolationInterpolate(BE$3,$F108,TRUE))</f>
        <v>#NUM!</v>
      </c>
      <c r="BG108" s="176" t="str">
        <f>IF(AND(NOT(BE108),AND(BE$4:BE107)),IF($BF108&lt;0,IF($BF108&lt;$J108,EXP(($BF108-$J108)*$G108),EXP(($J108-$BF108)*$G108)),EXP(($BF108-$J108)*$G108)),"")</f>
        <v/>
      </c>
      <c r="BI108" s="72" t="b">
        <f t="shared" si="10"/>
        <v>0</v>
      </c>
      <c r="BJ108" s="172" t="e">
        <f>IF(AND(NOT(ISBLANK(jumpoverwrite13)),AND(NOT(BI108),AND(BI$4:BI107))),($J108*$G108-LN(1+jumpoverwrite13*BK$2))/$G108,_xll.qlInterpolationInterpolate(BI$3,$F108,TRUE))</f>
        <v>#NUM!</v>
      </c>
      <c r="BK108" s="176" t="str">
        <f>IF(AND(NOT(BI108),AND(BI$4:BI107)),IF($BJ108&lt;0,IF($BJ108&lt;$J108,EXP(($BJ108-$J108)*$G108),EXP(($J108-$BJ108)*$G108)),EXP(($BJ108-$J108)*$G108)),"")</f>
        <v/>
      </c>
      <c r="BM108" s="72" t="b">
        <f>IF(AND(NOT(BI108),AND(BI$4:BI107)),TRUE,BI108)</f>
        <v>0</v>
      </c>
      <c r="BN108" s="172" t="e">
        <f>IF(AND(NOT(ISBLANK(Jumpoverwrite14)),AND(NOT(BM108),AND(BM$4:BM107))),($J108*$G108-LN(1+Jumpoverwrite14*BO$2))/$G108,_xll.qlInterpolationInterpolate(BM$3,$F108,TRUE))</f>
        <v>#NUM!</v>
      </c>
      <c r="BO108" s="176" t="str">
        <f>IF(AND(NOT(BM108),AND(BM$4:BM107)),IF($BN108&lt;0,IF($BN108&lt;$J108,EXP(($BN108-$J108)*$G108),EXP(($J108-$BN108)*$G108)),EXP(($BN108-$J108)*$G108)),"")</f>
        <v/>
      </c>
      <c r="BQ108" s="72" t="b">
        <f>IF(AND(NOT(BM108),AND(BM$4:BM107)),TRUE,BM108)</f>
        <v>0</v>
      </c>
      <c r="BR108" s="172" t="e">
        <f>IF(AND(NOT(ISBLANK(Jumpoverwrite15)),AND(NOT(BQ108),AND(BQ$4:BQ107))),($J108*$G108-LN(1+Jumpoverwrite15*BS$2))/$G108,_xll.qlInterpolationInterpolate(BQ$3,$F108,TRUE))</f>
        <v>#NUM!</v>
      </c>
      <c r="BS108" s="176" t="str">
        <f>IF(AND(NOT(BQ108),AND(BQ$4:BQ107)),IF($BN108&lt;0,IF($BN108&lt;$J108,EXP(($BN108-$J108)*$G108),EXP(($J108-$BN108)*$G108)),EXP(($BN108-$J108)*$G108)),"")</f>
        <v/>
      </c>
    </row>
    <row r="109" spans="1:71" x14ac:dyDescent="0.2">
      <c r="A109" s="33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84" t="e">
        <f t="shared" si="9"/>
        <v>#N/A</v>
      </c>
      <c r="G109" s="85" t="e">
        <f>_xll.qlDayCounterYearFraction(DayCounter,D108,D109)</f>
        <v>#NUM!</v>
      </c>
      <c r="I109" s="93" t="b">
        <f t="shared" si="7"/>
        <v>0</v>
      </c>
      <c r="J109" s="37" t="e">
        <v>#N/A</v>
      </c>
      <c r="K109" s="94" t="e">
        <f t="shared" si="8"/>
        <v>#VALUE!</v>
      </c>
      <c r="L109" s="105"/>
      <c r="M109" s="72" t="b">
        <f>IF(AND(NOT(I109),AND(I$4:I108)),TRUE,I109)</f>
        <v>0</v>
      </c>
      <c r="N109" s="172" t="e">
        <f>IF(AND(NOT(ISBLANK(Jumpoverwrite1)),AND(NOT(M109),AND(M$4:M108))),($J109*$G109-LN(1+Jumpoverwrite1*O$2))/$G109,_xll.qlInterpolationInterpolate(M$3,$F109,TRUE))</f>
        <v>#NUM!</v>
      </c>
      <c r="O109" s="34" t="str">
        <f>IF(AND(NOT(M109),AND(M$4:M108)),IF($N109&lt;0,IF($N109&lt;$J109,EXP(($N109-$J109)*$G109),EXP(($J109-$N109)*$G109)),EXP(($N109-$J109)*$G109)),"")</f>
        <v/>
      </c>
      <c r="P109" s="107"/>
      <c r="Q109" s="72" t="b">
        <f>IF(AND(NOT(M109),AND(M$4:M108)),TRUE,M109)</f>
        <v>0</v>
      </c>
      <c r="R109" s="172" t="e">
        <f>IF(AND(NOT(ISBLANK(Jumpoverwrite2)),AND(NOT(Q109),AND(Q$4:Q108))),($J109*$G109-LN(1+Jumpoverwrite2*S$2))/$G109,_xll.qlInterpolationInterpolate(Q$3,$F109,TRUE))</f>
        <v>#NUM!</v>
      </c>
      <c r="S109" s="176" t="str">
        <f>IF(AND(NOT(Q109),AND(Q$4:Q108)),IF($R109&lt;0,IF($R109&lt;$J109,EXP(($R109-$J109)*$G109),EXP(($J109-$R109)*$G109)),EXP(($R109-$J109)*$G109)),"")</f>
        <v/>
      </c>
      <c r="T109" s="107"/>
      <c r="U109" s="72" t="b">
        <f>IF(AND(NOT(Q109),AND(Q$4:Q108)),TRUE,Q109)</f>
        <v>0</v>
      </c>
      <c r="V109" s="172" t="e">
        <f>IF(AND(NOT(ISBLANK(Jumpoverwrite3)),AND(NOT(U109),AND(U$4:U108))),($J109*$G109-LN(1+Jumpoverwrite3*W$2))/$G109,_xll.qlInterpolationInterpolate(U$3,$F109,TRUE))</f>
        <v>#NUM!</v>
      </c>
      <c r="W109" s="176" t="str">
        <f>IF(AND(NOT(U109),AND(U$4:U108)),IF($V109&lt;0,IF($V109&lt;$J109,EXP(($V109-$J109)*$G109),EXP(($J109-$V109)*$G109)),EXP(($V109-$J109)*$G109)),"")</f>
        <v/>
      </c>
      <c r="X109" s="107"/>
      <c r="Y109" s="72" t="b">
        <f>IF(AND(NOT(U109),AND(U$4:U108)),TRUE,U109)</f>
        <v>0</v>
      </c>
      <c r="Z109" s="172" t="e">
        <f>IF(AND(NOT(ISBLANK(Jumpoverwrite4)),AND(NOT(Y109),AND(Y$4:Y108))),($J109*$G109-LN(1+Jumpoverwrite4*AA$2))/$G109,_xll.qlInterpolationInterpolate(Y$3,$F109,TRUE))</f>
        <v>#NUM!</v>
      </c>
      <c r="AA109" s="176" t="str">
        <f>IF(AND(NOT(Y109),AND(Y$4:Y108)),IF($Z109&lt;0,IF($Z109&lt;$J109,EXP(($Z109-$J109)*$G109),EXP(($J109-$Z109)*$G109)),EXP(($Z109-$J109)*$G109)),"")</f>
        <v/>
      </c>
      <c r="AB109" s="107"/>
      <c r="AC109" s="72" t="b">
        <f>IF(AND(NOT(Y109),AND(Y$4:Y108)),TRUE,Y109)</f>
        <v>0</v>
      </c>
      <c r="AD109" s="172" t="e">
        <f>IF(AND(NOT(ISBLANK(Jumpoverwrite5)),AND(NOT(AC109),AND(AC$4:AC108))),($J109*$G109-LN(1+Jumpoverwrite5*AE$2))/$G109,_xll.qlInterpolationInterpolate(AC$3,$F109,TRUE))</f>
        <v>#NUM!</v>
      </c>
      <c r="AE109" s="176" t="str">
        <f>IF(AND(NOT(AC109),AND(AC$4:AC108)),IF($AD109&lt;0,IF($AD109&lt;$J109,EXP(($AD109-$J109)*$G109),EXP(($J109-$AD109)*$G109)),EXP(($AD109-$J109)*$G109)),"")</f>
        <v/>
      </c>
      <c r="AF109" s="107"/>
      <c r="AG109" s="72" t="b">
        <f>IF(AND(NOT(AC109),AND(AC$4:AC108)),TRUE,AC109)</f>
        <v>0</v>
      </c>
      <c r="AH109" s="172" t="e">
        <f>IF(AND(NOT(ISBLANK(Jumpoverwrite6)),AND(NOT(AG109),AND(AG$4:AG108))),($J109*$G109-LN(1+Jumpoverwrite6*AI$2))/$G109,_xll.qlInterpolationInterpolate(AG$3,$F109,TRUE))</f>
        <v>#NUM!</v>
      </c>
      <c r="AI109" s="176" t="str">
        <f>IF(AND(NOT(AG109),AND(AG$4:AG108)),IF($AH109&lt;0,IF($AH109&lt;$J109,EXP(($AH109-$J109)*$G109),EXP(($J109-$AH109)*$G109)),EXP(($AH109-$J109)*$G109)),"")</f>
        <v/>
      </c>
      <c r="AJ109" s="107"/>
      <c r="AK109" s="72" t="b">
        <f>IF(AND(NOT(AG109),AND(AG$4:AG108)),TRUE,AG109)</f>
        <v>0</v>
      </c>
      <c r="AL109" s="172" t="e">
        <f>IF(AND(NOT(ISBLANK(Jumpoverwrite7)),AND(NOT(AK109),AND(AK$4:AK108))),($J109*$G109-LN(1+Jumpoverwrite7*AM$2))/$G109,_xll.qlInterpolationInterpolate(AK$3,$F109,TRUE))</f>
        <v>#NUM!</v>
      </c>
      <c r="AM109" s="176" t="str">
        <f>IF(AND(NOT(AK109),AND(AK$4:AK108)),IF($AL109&lt;0,IF($AL109&lt;$J109,EXP(($AL109-$J109)*$G109),EXP(($J109-$AL109)*$G109)),EXP(($AL109-$J109)*$G109)),"")</f>
        <v/>
      </c>
      <c r="AO109" s="72" t="b">
        <f>IF(AND(NOT(AK109),AND(AK$4:AK108)),TRUE,AK109)</f>
        <v>0</v>
      </c>
      <c r="AP109" s="172" t="e">
        <f>IF(AND(NOT(ISBLANK(Jumpoverwrite8)),AND(NOT(AO109),AND(AO$4:AO108))),($J109*$G109-LN(1+Jumpoverwrite8*AQ$2))/$G109,_xll.qlInterpolationInterpolate(AO$3,$F109,TRUE))</f>
        <v>#NUM!</v>
      </c>
      <c r="AQ109" s="176" t="str">
        <f>IF(AND(NOT(AO109),AND(AO$4:AO108)),IF($AP109&lt;0,IF($AP109&lt;$J109,EXP(($AP109-$J109)*$G109),EXP(($J109-$AP109)*$G109)),EXP(($AP109-$J109)*$G109)),"")</f>
        <v/>
      </c>
      <c r="AS109" s="72" t="b">
        <f>IF(AND(NOT(AO109),AND(AO$4:AO108)),TRUE,AO109)</f>
        <v>0</v>
      </c>
      <c r="AT109" s="172" t="e">
        <f>IF(AND(NOT(ISBLANK(Jumpoverwrite9)),AND(NOT(AS109),AND(AS$4:AS108))),($J109*$G109-LN(1+Jumpoverwrite9*AU$2))/$G109,_xll.qlInterpolationInterpolate(AS$3,$F109,TRUE))</f>
        <v>#NUM!</v>
      </c>
      <c r="AU109" s="176" t="str">
        <f>IF(AND(NOT(AS109),AND(AS$4:AS108)),IF($AT109&lt;0,IF($AT109&lt;$J109,EXP(($AT109-$J109)*$G109),EXP(($J109-$AT109)*$G109)),EXP(($AT109-$J109)*$G109)),"")</f>
        <v/>
      </c>
      <c r="AW109" s="72" t="b">
        <f>IF(AND(NOT(AS109),AND(AS$4:AS108)),TRUE,AS109)</f>
        <v>0</v>
      </c>
      <c r="AX109" s="172" t="e">
        <f>IF(AND(NOT(ISBLANK(Jumpoverwrite10)),AND(NOT(AW109),AND(AW$4:AW108))),($J109*$G109-LN(1+Jumpoverwrite10*AY$2))/$G109,_xll.qlInterpolationInterpolate(AW$3,$F109,TRUE))</f>
        <v>#NUM!</v>
      </c>
      <c r="AY109" s="176" t="str">
        <f>IF(AND(NOT(AW109),AND(AW$4:AW108)),IF($AX109&lt;0,IF($AX109&lt;$J109,EXP(($AX109-$J109)*$G109),EXP(($J109-$AX109)*$G109)),EXP(($AX109-$J109)*$G109)),"")</f>
        <v/>
      </c>
      <c r="BA109" s="72" t="b">
        <f>IF(AND(NOT(AW109),AND(AW$4:AW108)),TRUE,AW109)</f>
        <v>0</v>
      </c>
      <c r="BB109" s="172" t="e">
        <f>IF(AND(NOT(ISBLANK(Jumpoverwrite11)),AND(NOT(BA109),AND(BA$4:BA108))),($J109*$G109-LN(1+Jumpoverwrite11*BC$2))/$G109,_xll.qlInterpolationInterpolate(BA$3,$F109,TRUE))</f>
        <v>#NUM!</v>
      </c>
      <c r="BC109" s="176" t="str">
        <f>IF(AND(NOT(BA109),AND(BA$4:BA108)),IF($BB109&lt;0,IF($BB109&lt;$J109,EXP(($BB109-$J109)*$G109),EXP(($J109-$BB109)*$G109)),EXP(($BB109-$J109)*$G109)),"")</f>
        <v/>
      </c>
      <c r="BE109" s="72" t="b">
        <f>IF(AND(NOT(BA109),AND(BA$4:BA108)),TRUE,BA109)</f>
        <v>0</v>
      </c>
      <c r="BF109" s="172" t="e">
        <f>IF(AND(NOT(ISBLANK(Jumpoverwrite12)),AND(NOT(BE109),AND(BE$4:BE108))),($J109*$G109-LN(1+Jumpoverwrite12*BG$2))/$G109,_xll.qlInterpolationInterpolate(BE$3,$F109,TRUE))</f>
        <v>#NUM!</v>
      </c>
      <c r="BG109" s="176" t="str">
        <f>IF(AND(NOT(BE109),AND(BE$4:BE108)),IF($BF109&lt;0,IF($BF109&lt;$J109,EXP(($BF109-$J109)*$G109),EXP(($J109-$BF109)*$G109)),EXP(($BF109-$J109)*$G109)),"")</f>
        <v/>
      </c>
      <c r="BI109" s="72" t="b">
        <f t="shared" si="10"/>
        <v>0</v>
      </c>
      <c r="BJ109" s="172" t="e">
        <f>IF(AND(NOT(ISBLANK(jumpoverwrite13)),AND(NOT(BI109),AND(BI$4:BI108))),($J109*$G109-LN(1+jumpoverwrite13*BK$2))/$G109,_xll.qlInterpolationInterpolate(BI$3,$F109,TRUE))</f>
        <v>#NUM!</v>
      </c>
      <c r="BK109" s="176" t="str">
        <f>IF(AND(NOT(BI109),AND(BI$4:BI108)),IF($BJ109&lt;0,IF($BJ109&lt;$J109,EXP(($BJ109-$J109)*$G109),EXP(($J109-$BJ109)*$G109)),EXP(($BJ109-$J109)*$G109)),"")</f>
        <v/>
      </c>
      <c r="BM109" s="72" t="b">
        <f>IF(AND(NOT(BI109),AND(BI$4:BI108)),TRUE,BI109)</f>
        <v>0</v>
      </c>
      <c r="BN109" s="172" t="e">
        <f>IF(AND(NOT(ISBLANK(Jumpoverwrite14)),AND(NOT(BM109),AND(BM$4:BM108))),($J109*$G109-LN(1+Jumpoverwrite14*BO$2))/$G109,_xll.qlInterpolationInterpolate(BM$3,$F109,TRUE))</f>
        <v>#NUM!</v>
      </c>
      <c r="BO109" s="176" t="str">
        <f>IF(AND(NOT(BM109),AND(BM$4:BM108)),IF($BN109&lt;0,IF($BN109&lt;$J109,EXP(($BN109-$J109)*$G109),EXP(($J109-$BN109)*$G109)),EXP(($BN109-$J109)*$G109)),"")</f>
        <v/>
      </c>
      <c r="BQ109" s="72" t="b">
        <f>IF(AND(NOT(BM109),AND(BM$4:BM108)),TRUE,BM109)</f>
        <v>0</v>
      </c>
      <c r="BR109" s="172" t="e">
        <f>IF(AND(NOT(ISBLANK(Jumpoverwrite15)),AND(NOT(BQ109),AND(BQ$4:BQ108))),($J109*$G109-LN(1+Jumpoverwrite15*BS$2))/$G109,_xll.qlInterpolationInterpolate(BQ$3,$F109,TRUE))</f>
        <v>#NUM!</v>
      </c>
      <c r="BS109" s="176" t="str">
        <f>IF(AND(NOT(BQ109),AND(BQ$4:BQ108)),IF($BN109&lt;0,IF($BN109&lt;$J109,EXP(($BN109-$J109)*$G109),EXP(($J109-$BN109)*$G109)),EXP(($BN109-$J109)*$G109)),"")</f>
        <v/>
      </c>
    </row>
    <row r="110" spans="1:71" x14ac:dyDescent="0.2">
      <c r="A110" s="33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84" t="e">
        <f t="shared" si="9"/>
        <v>#N/A</v>
      </c>
      <c r="G110" s="85" t="e">
        <f>_xll.qlDayCounterYearFraction(DayCounter,D109,D110)</f>
        <v>#NUM!</v>
      </c>
      <c r="I110" s="93" t="b">
        <f t="shared" si="7"/>
        <v>0</v>
      </c>
      <c r="J110" s="37" t="e">
        <v>#N/A</v>
      </c>
      <c r="K110" s="94" t="e">
        <f t="shared" si="8"/>
        <v>#VALUE!</v>
      </c>
      <c r="L110" s="105"/>
      <c r="M110" s="72" t="b">
        <f>IF(AND(NOT(I110),AND(I$4:I109)),TRUE,I110)</f>
        <v>0</v>
      </c>
      <c r="N110" s="172" t="e">
        <f>IF(AND(NOT(ISBLANK(Jumpoverwrite1)),AND(NOT(M110),AND(M$4:M109))),($J110*$G110-LN(1+Jumpoverwrite1*O$2))/$G110,_xll.qlInterpolationInterpolate(M$3,$F110,TRUE))</f>
        <v>#NUM!</v>
      </c>
      <c r="O110" s="34" t="str">
        <f>IF(AND(NOT(M110),AND(M$4:M109)),IF($N110&lt;0,IF($N110&lt;$J110,EXP(($N110-$J110)*$G110),EXP(($J110-$N110)*$G110)),EXP(($N110-$J110)*$G110)),"")</f>
        <v/>
      </c>
      <c r="P110" s="107"/>
      <c r="Q110" s="72" t="b">
        <f>IF(AND(NOT(M110),AND(M$4:M109)),TRUE,M110)</f>
        <v>0</v>
      </c>
      <c r="R110" s="172" t="e">
        <f>IF(AND(NOT(ISBLANK(Jumpoverwrite2)),AND(NOT(Q110),AND(Q$4:Q109))),($J110*$G110-LN(1+Jumpoverwrite2*S$2))/$G110,_xll.qlInterpolationInterpolate(Q$3,$F110,TRUE))</f>
        <v>#NUM!</v>
      </c>
      <c r="S110" s="176" t="str">
        <f>IF(AND(NOT(Q110),AND(Q$4:Q109)),IF($R110&lt;0,IF($R110&lt;$J110,EXP(($R110-$J110)*$G110),EXP(($J110-$R110)*$G110)),EXP(($R110-$J110)*$G110)),"")</f>
        <v/>
      </c>
      <c r="T110" s="107"/>
      <c r="U110" s="72" t="b">
        <f>IF(AND(NOT(Q110),AND(Q$4:Q109)),TRUE,Q110)</f>
        <v>0</v>
      </c>
      <c r="V110" s="172" t="e">
        <f>IF(AND(NOT(ISBLANK(Jumpoverwrite3)),AND(NOT(U110),AND(U$4:U109))),($J110*$G110-LN(1+Jumpoverwrite3*W$2))/$G110,_xll.qlInterpolationInterpolate(U$3,$F110,TRUE))</f>
        <v>#NUM!</v>
      </c>
      <c r="W110" s="176" t="str">
        <f>IF(AND(NOT(U110),AND(U$4:U109)),IF($V110&lt;0,IF($V110&lt;$J110,EXP(($V110-$J110)*$G110),EXP(($J110-$V110)*$G110)),EXP(($V110-$J110)*$G110)),"")</f>
        <v/>
      </c>
      <c r="X110" s="107"/>
      <c r="Y110" s="72" t="b">
        <f>IF(AND(NOT(U110),AND(U$4:U109)),TRUE,U110)</f>
        <v>0</v>
      </c>
      <c r="Z110" s="172" t="e">
        <f>IF(AND(NOT(ISBLANK(Jumpoverwrite4)),AND(NOT(Y110),AND(Y$4:Y109))),($J110*$G110-LN(1+Jumpoverwrite4*AA$2))/$G110,_xll.qlInterpolationInterpolate(Y$3,$F110,TRUE))</f>
        <v>#NUM!</v>
      </c>
      <c r="AA110" s="176" t="str">
        <f>IF(AND(NOT(Y110),AND(Y$4:Y109)),IF($Z110&lt;0,IF($Z110&lt;$J110,EXP(($Z110-$J110)*$G110),EXP(($J110-$Z110)*$G110)),EXP(($Z110-$J110)*$G110)),"")</f>
        <v/>
      </c>
      <c r="AB110" s="107"/>
      <c r="AC110" s="72" t="b">
        <f>IF(AND(NOT(Y110),AND(Y$4:Y109)),TRUE,Y110)</f>
        <v>0</v>
      </c>
      <c r="AD110" s="172" t="e">
        <f>IF(AND(NOT(ISBLANK(Jumpoverwrite5)),AND(NOT(AC110),AND(AC$4:AC109))),($J110*$G110-LN(1+Jumpoverwrite5*AE$2))/$G110,_xll.qlInterpolationInterpolate(AC$3,$F110,TRUE))</f>
        <v>#NUM!</v>
      </c>
      <c r="AE110" s="176" t="str">
        <f>IF(AND(NOT(AC110),AND(AC$4:AC109)),IF($AD110&lt;0,IF($AD110&lt;$J110,EXP(($AD110-$J110)*$G110),EXP(($J110-$AD110)*$G110)),EXP(($AD110-$J110)*$G110)),"")</f>
        <v/>
      </c>
      <c r="AF110" s="107"/>
      <c r="AG110" s="72" t="b">
        <f>IF(AND(NOT(AC110),AND(AC$4:AC109)),TRUE,AC110)</f>
        <v>0</v>
      </c>
      <c r="AH110" s="172" t="e">
        <f>IF(AND(NOT(ISBLANK(Jumpoverwrite6)),AND(NOT(AG110),AND(AG$4:AG109))),($J110*$G110-LN(1+Jumpoverwrite6*AI$2))/$G110,_xll.qlInterpolationInterpolate(AG$3,$F110,TRUE))</f>
        <v>#NUM!</v>
      </c>
      <c r="AI110" s="176" t="str">
        <f>IF(AND(NOT(AG110),AND(AG$4:AG109)),IF($AH110&lt;0,IF($AH110&lt;$J110,EXP(($AH110-$J110)*$G110),EXP(($J110-$AH110)*$G110)),EXP(($AH110-$J110)*$G110)),"")</f>
        <v/>
      </c>
      <c r="AJ110" s="107"/>
      <c r="AK110" s="72" t="b">
        <f>IF(AND(NOT(AG110),AND(AG$4:AG109)),TRUE,AG110)</f>
        <v>0</v>
      </c>
      <c r="AL110" s="172" t="e">
        <f>IF(AND(NOT(ISBLANK(Jumpoverwrite7)),AND(NOT(AK110),AND(AK$4:AK109))),($J110*$G110-LN(1+Jumpoverwrite7*AM$2))/$G110,_xll.qlInterpolationInterpolate(AK$3,$F110,TRUE))</f>
        <v>#NUM!</v>
      </c>
      <c r="AM110" s="176" t="str">
        <f>IF(AND(NOT(AK110),AND(AK$4:AK109)),IF($AL110&lt;0,IF($AL110&lt;$J110,EXP(($AL110-$J110)*$G110),EXP(($J110-$AL110)*$G110)),EXP(($AL110-$J110)*$G110)),"")</f>
        <v/>
      </c>
      <c r="AO110" s="72" t="b">
        <f>IF(AND(NOT(AK110),AND(AK$4:AK109)),TRUE,AK110)</f>
        <v>0</v>
      </c>
      <c r="AP110" s="172" t="e">
        <f>IF(AND(NOT(ISBLANK(Jumpoverwrite8)),AND(NOT(AO110),AND(AO$4:AO109))),($J110*$G110-LN(1+Jumpoverwrite8*AQ$2))/$G110,_xll.qlInterpolationInterpolate(AO$3,$F110,TRUE))</f>
        <v>#NUM!</v>
      </c>
      <c r="AQ110" s="176" t="str">
        <f>IF(AND(NOT(AO110),AND(AO$4:AO109)),IF($AP110&lt;0,IF($AP110&lt;$J110,EXP(($AP110-$J110)*$G110),EXP(($J110-$AP110)*$G110)),EXP(($AP110-$J110)*$G110)),"")</f>
        <v/>
      </c>
      <c r="AS110" s="72" t="b">
        <f>IF(AND(NOT(AO110),AND(AO$4:AO109)),TRUE,AO110)</f>
        <v>0</v>
      </c>
      <c r="AT110" s="172" t="e">
        <f>IF(AND(NOT(ISBLANK(Jumpoverwrite9)),AND(NOT(AS110),AND(AS$4:AS109))),($J110*$G110-LN(1+Jumpoverwrite9*AU$2))/$G110,_xll.qlInterpolationInterpolate(AS$3,$F110,TRUE))</f>
        <v>#NUM!</v>
      </c>
      <c r="AU110" s="176" t="str">
        <f>IF(AND(NOT(AS110),AND(AS$4:AS109)),IF($AT110&lt;0,IF($AT110&lt;$J110,EXP(($AT110-$J110)*$G110),EXP(($J110-$AT110)*$G110)),EXP(($AT110-$J110)*$G110)),"")</f>
        <v/>
      </c>
      <c r="AW110" s="72" t="b">
        <f>IF(AND(NOT(AS110),AND(AS$4:AS109)),TRUE,AS110)</f>
        <v>0</v>
      </c>
      <c r="AX110" s="172" t="e">
        <f>IF(AND(NOT(ISBLANK(Jumpoverwrite10)),AND(NOT(AW110),AND(AW$4:AW109))),($J110*$G110-LN(1+Jumpoverwrite10*AY$2))/$G110,_xll.qlInterpolationInterpolate(AW$3,$F110,TRUE))</f>
        <v>#NUM!</v>
      </c>
      <c r="AY110" s="176" t="str">
        <f>IF(AND(NOT(AW110),AND(AW$4:AW109)),IF($AX110&lt;0,IF($AX110&lt;$J110,EXP(($AX110-$J110)*$G110),EXP(($J110-$AX110)*$G110)),EXP(($AX110-$J110)*$G110)),"")</f>
        <v/>
      </c>
      <c r="BA110" s="72" t="b">
        <f>IF(AND(NOT(AW110),AND(AW$4:AW109)),TRUE,AW110)</f>
        <v>0</v>
      </c>
      <c r="BB110" s="172" t="e">
        <f>IF(AND(NOT(ISBLANK(Jumpoverwrite11)),AND(NOT(BA110),AND(BA$4:BA109))),($J110*$G110-LN(1+Jumpoverwrite11*BC$2))/$G110,_xll.qlInterpolationInterpolate(BA$3,$F110,TRUE))</f>
        <v>#NUM!</v>
      </c>
      <c r="BC110" s="176" t="str">
        <f>IF(AND(NOT(BA110),AND(BA$4:BA109)),IF($BB110&lt;0,IF($BB110&lt;$J110,EXP(($BB110-$J110)*$G110),EXP(($J110-$BB110)*$G110)),EXP(($BB110-$J110)*$G110)),"")</f>
        <v/>
      </c>
      <c r="BE110" s="72" t="b">
        <f>IF(AND(NOT(BA110),AND(BA$4:BA109)),TRUE,BA110)</f>
        <v>0</v>
      </c>
      <c r="BF110" s="172" t="e">
        <f>IF(AND(NOT(ISBLANK(Jumpoverwrite12)),AND(NOT(BE110),AND(BE$4:BE109))),($J110*$G110-LN(1+Jumpoverwrite12*BG$2))/$G110,_xll.qlInterpolationInterpolate(BE$3,$F110,TRUE))</f>
        <v>#NUM!</v>
      </c>
      <c r="BG110" s="176" t="str">
        <f>IF(AND(NOT(BE110),AND(BE$4:BE109)),IF($BF110&lt;0,IF($BF110&lt;$J110,EXP(($BF110-$J110)*$G110),EXP(($J110-$BF110)*$G110)),EXP(($BF110-$J110)*$G110)),"")</f>
        <v/>
      </c>
      <c r="BI110" s="72" t="b">
        <f t="shared" si="10"/>
        <v>0</v>
      </c>
      <c r="BJ110" s="172" t="e">
        <f>IF(AND(NOT(ISBLANK(jumpoverwrite13)),AND(NOT(BI110),AND(BI$4:BI109))),($J110*$G110-LN(1+jumpoverwrite13*BK$2))/$G110,_xll.qlInterpolationInterpolate(BI$3,$F110,TRUE))</f>
        <v>#NUM!</v>
      </c>
      <c r="BK110" s="176" t="str">
        <f>IF(AND(NOT(BI110),AND(BI$4:BI109)),IF($BJ110&lt;0,IF($BJ110&lt;$J110,EXP(($BJ110-$J110)*$G110),EXP(($J110-$BJ110)*$G110)),EXP(($BJ110-$J110)*$G110)),"")</f>
        <v/>
      </c>
      <c r="BM110" s="72" t="b">
        <f>IF(AND(NOT(BI110),AND(BI$4:BI109)),TRUE,BI110)</f>
        <v>0</v>
      </c>
      <c r="BN110" s="172" t="e">
        <f>IF(AND(NOT(ISBLANK(Jumpoverwrite14)),AND(NOT(BM110),AND(BM$4:BM109))),($J110*$G110-LN(1+Jumpoverwrite14*BO$2))/$G110,_xll.qlInterpolationInterpolate(BM$3,$F110,TRUE))</f>
        <v>#NUM!</v>
      </c>
      <c r="BO110" s="176" t="str">
        <f>IF(AND(NOT(BM110),AND(BM$4:BM109)),IF($BN110&lt;0,IF($BN110&lt;$J110,EXP(($BN110-$J110)*$G110),EXP(($J110-$BN110)*$G110)),EXP(($BN110-$J110)*$G110)),"")</f>
        <v/>
      </c>
      <c r="BQ110" s="72" t="b">
        <f>IF(AND(NOT(BM110),AND(BM$4:BM109)),TRUE,BM110)</f>
        <v>0</v>
      </c>
      <c r="BR110" s="172" t="e">
        <f>IF(AND(NOT(ISBLANK(Jumpoverwrite15)),AND(NOT(BQ110),AND(BQ$4:BQ109))),($J110*$G110-LN(1+Jumpoverwrite15*BS$2))/$G110,_xll.qlInterpolationInterpolate(BQ$3,$F110,TRUE))</f>
        <v>#NUM!</v>
      </c>
      <c r="BS110" s="176" t="str">
        <f>IF(AND(NOT(BQ110),AND(BQ$4:BQ109)),IF($BN110&lt;0,IF($BN110&lt;$J110,EXP(($BN110-$J110)*$G110),EXP(($J110-$BN110)*$G110)),EXP(($BN110-$J110)*$G110)),"")</f>
        <v/>
      </c>
    </row>
    <row r="111" spans="1:71" x14ac:dyDescent="0.2">
      <c r="A111" s="33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84" t="e">
        <f t="shared" si="9"/>
        <v>#N/A</v>
      </c>
      <c r="G111" s="85" t="e">
        <f>_xll.qlDayCounterYearFraction(DayCounter,D110,D111)</f>
        <v>#NUM!</v>
      </c>
      <c r="I111" s="93" t="b">
        <f t="shared" si="7"/>
        <v>0</v>
      </c>
      <c r="J111" s="37" t="e">
        <v>#N/A</v>
      </c>
      <c r="K111" s="94" t="e">
        <f t="shared" si="8"/>
        <v>#VALUE!</v>
      </c>
      <c r="L111" s="105"/>
      <c r="M111" s="72" t="b">
        <f>IF(AND(NOT(I111),AND(I$4:I110)),TRUE,I111)</f>
        <v>0</v>
      </c>
      <c r="N111" s="172" t="e">
        <f>IF(AND(NOT(ISBLANK(Jumpoverwrite1)),AND(NOT(M111),AND(M$4:M110))),($J111*$G111-LN(1+Jumpoverwrite1*O$2))/$G111,_xll.qlInterpolationInterpolate(M$3,$F111,TRUE))</f>
        <v>#NUM!</v>
      </c>
      <c r="O111" s="34" t="str">
        <f>IF(AND(NOT(M111),AND(M$4:M110)),IF($N111&lt;0,IF($N111&lt;$J111,EXP(($N111-$J111)*$G111),EXP(($J111-$N111)*$G111)),EXP(($N111-$J111)*$G111)),"")</f>
        <v/>
      </c>
      <c r="P111" s="107"/>
      <c r="Q111" s="72" t="b">
        <f>IF(AND(NOT(M111),AND(M$4:M110)),TRUE,M111)</f>
        <v>0</v>
      </c>
      <c r="R111" s="172" t="e">
        <f>IF(AND(NOT(ISBLANK(Jumpoverwrite2)),AND(NOT(Q111),AND(Q$4:Q110))),($J111*$G111-LN(1+Jumpoverwrite2*S$2))/$G111,_xll.qlInterpolationInterpolate(Q$3,$F111,TRUE))</f>
        <v>#NUM!</v>
      </c>
      <c r="S111" s="176" t="str">
        <f>IF(AND(NOT(Q111),AND(Q$4:Q110)),IF($R111&lt;0,IF($R111&lt;$J111,EXP(($R111-$J111)*$G111),EXP(($J111-$R111)*$G111)),EXP(($R111-$J111)*$G111)),"")</f>
        <v/>
      </c>
      <c r="T111" s="107"/>
      <c r="U111" s="72" t="b">
        <f>IF(AND(NOT(Q111),AND(Q$4:Q110)),TRUE,Q111)</f>
        <v>0</v>
      </c>
      <c r="V111" s="172" t="e">
        <f>IF(AND(NOT(ISBLANK(Jumpoverwrite3)),AND(NOT(U111),AND(U$4:U110))),($J111*$G111-LN(1+Jumpoverwrite3*W$2))/$G111,_xll.qlInterpolationInterpolate(U$3,$F111,TRUE))</f>
        <v>#NUM!</v>
      </c>
      <c r="W111" s="176" t="str">
        <f>IF(AND(NOT(U111),AND(U$4:U110)),IF($V111&lt;0,IF($V111&lt;$J111,EXP(($V111-$J111)*$G111),EXP(($J111-$V111)*$G111)),EXP(($V111-$J111)*$G111)),"")</f>
        <v/>
      </c>
      <c r="X111" s="107"/>
      <c r="Y111" s="72" t="b">
        <f>IF(AND(NOT(U111),AND(U$4:U110)),TRUE,U111)</f>
        <v>0</v>
      </c>
      <c r="Z111" s="172" t="e">
        <f>IF(AND(NOT(ISBLANK(Jumpoverwrite4)),AND(NOT(Y111),AND(Y$4:Y110))),($J111*$G111-LN(1+Jumpoverwrite4*AA$2))/$G111,_xll.qlInterpolationInterpolate(Y$3,$F111,TRUE))</f>
        <v>#NUM!</v>
      </c>
      <c r="AA111" s="176" t="str">
        <f>IF(AND(NOT(Y111),AND(Y$4:Y110)),IF($Z111&lt;0,IF($Z111&lt;$J111,EXP(($Z111-$J111)*$G111),EXP(($J111-$Z111)*$G111)),EXP(($Z111-$J111)*$G111)),"")</f>
        <v/>
      </c>
      <c r="AB111" s="107"/>
      <c r="AC111" s="72" t="b">
        <f>IF(AND(NOT(Y111),AND(Y$4:Y110)),TRUE,Y111)</f>
        <v>0</v>
      </c>
      <c r="AD111" s="172" t="e">
        <f>IF(AND(NOT(ISBLANK(Jumpoverwrite5)),AND(NOT(AC111),AND(AC$4:AC110))),($J111*$G111-LN(1+Jumpoverwrite5*AE$2))/$G111,_xll.qlInterpolationInterpolate(AC$3,$F111,TRUE))</f>
        <v>#NUM!</v>
      </c>
      <c r="AE111" s="176" t="str">
        <f>IF(AND(NOT(AC111),AND(AC$4:AC110)),IF($AD111&lt;0,IF($AD111&lt;$J111,EXP(($AD111-$J111)*$G111),EXP(($J111-$AD111)*$G111)),EXP(($AD111-$J111)*$G111)),"")</f>
        <v/>
      </c>
      <c r="AF111" s="107"/>
      <c r="AG111" s="72" t="b">
        <f>IF(AND(NOT(AC111),AND(AC$4:AC110)),TRUE,AC111)</f>
        <v>0</v>
      </c>
      <c r="AH111" s="172" t="e">
        <f>IF(AND(NOT(ISBLANK(Jumpoverwrite6)),AND(NOT(AG111),AND(AG$4:AG110))),($J111*$G111-LN(1+Jumpoverwrite6*AI$2))/$G111,_xll.qlInterpolationInterpolate(AG$3,$F111,TRUE))</f>
        <v>#NUM!</v>
      </c>
      <c r="AI111" s="176" t="str">
        <f>IF(AND(NOT(AG111),AND(AG$4:AG110)),IF($AH111&lt;0,IF($AH111&lt;$J111,EXP(($AH111-$J111)*$G111),EXP(($J111-$AH111)*$G111)),EXP(($AH111-$J111)*$G111)),"")</f>
        <v/>
      </c>
      <c r="AJ111" s="107"/>
      <c r="AK111" s="72" t="b">
        <f>IF(AND(NOT(AG111),AND(AG$4:AG110)),TRUE,AG111)</f>
        <v>0</v>
      </c>
      <c r="AL111" s="172" t="e">
        <f>IF(AND(NOT(ISBLANK(Jumpoverwrite7)),AND(NOT(AK111),AND(AK$4:AK110))),($J111*$G111-LN(1+Jumpoverwrite7*AM$2))/$G111,_xll.qlInterpolationInterpolate(AK$3,$F111,TRUE))</f>
        <v>#NUM!</v>
      </c>
      <c r="AM111" s="176" t="str">
        <f>IF(AND(NOT(AK111),AND(AK$4:AK110)),IF($AL111&lt;0,IF($AL111&lt;$J111,EXP(($AL111-$J111)*$G111),EXP(($J111-$AL111)*$G111)),EXP(($AL111-$J111)*$G111)),"")</f>
        <v/>
      </c>
      <c r="AO111" s="72" t="b">
        <f>IF(AND(NOT(AK111),AND(AK$4:AK110)),TRUE,AK111)</f>
        <v>0</v>
      </c>
      <c r="AP111" s="172" t="e">
        <f>IF(AND(NOT(ISBLANK(Jumpoverwrite8)),AND(NOT(AO111),AND(AO$4:AO110))),($J111*$G111-LN(1+Jumpoverwrite8*AQ$2))/$G111,_xll.qlInterpolationInterpolate(AO$3,$F111,TRUE))</f>
        <v>#NUM!</v>
      </c>
      <c r="AQ111" s="176" t="str">
        <f>IF(AND(NOT(AO111),AND(AO$4:AO110)),IF($AP111&lt;0,IF($AP111&lt;$J111,EXP(($AP111-$J111)*$G111),EXP(($J111-$AP111)*$G111)),EXP(($AP111-$J111)*$G111)),"")</f>
        <v/>
      </c>
      <c r="AS111" s="72" t="b">
        <f>IF(AND(NOT(AO111),AND(AO$4:AO110)),TRUE,AO111)</f>
        <v>0</v>
      </c>
      <c r="AT111" s="172" t="e">
        <f>IF(AND(NOT(ISBLANK(Jumpoverwrite9)),AND(NOT(AS111),AND(AS$4:AS110))),($J111*$G111-LN(1+Jumpoverwrite9*AU$2))/$G111,_xll.qlInterpolationInterpolate(AS$3,$F111,TRUE))</f>
        <v>#NUM!</v>
      </c>
      <c r="AU111" s="176" t="str">
        <f>IF(AND(NOT(AS111),AND(AS$4:AS110)),IF($AT111&lt;0,IF($AT111&lt;$J111,EXP(($AT111-$J111)*$G111),EXP(($J111-$AT111)*$G111)),EXP(($AT111-$J111)*$G111)),"")</f>
        <v/>
      </c>
      <c r="AW111" s="72" t="b">
        <f>IF(AND(NOT(AS111),AND(AS$4:AS110)),TRUE,AS111)</f>
        <v>0</v>
      </c>
      <c r="AX111" s="172" t="e">
        <f>IF(AND(NOT(ISBLANK(Jumpoverwrite10)),AND(NOT(AW111),AND(AW$4:AW110))),($J111*$G111-LN(1+Jumpoverwrite10*AY$2))/$G111,_xll.qlInterpolationInterpolate(AW$3,$F111,TRUE))</f>
        <v>#NUM!</v>
      </c>
      <c r="AY111" s="176" t="str">
        <f>IF(AND(NOT(AW111),AND(AW$4:AW110)),IF($AX111&lt;0,IF($AX111&lt;$J111,EXP(($AX111-$J111)*$G111),EXP(($J111-$AX111)*$G111)),EXP(($AX111-$J111)*$G111)),"")</f>
        <v/>
      </c>
      <c r="BA111" s="72" t="b">
        <f>IF(AND(NOT(AW111),AND(AW$4:AW110)),TRUE,AW111)</f>
        <v>0</v>
      </c>
      <c r="BB111" s="172" t="e">
        <f>IF(AND(NOT(ISBLANK(Jumpoverwrite11)),AND(NOT(BA111),AND(BA$4:BA110))),($J111*$G111-LN(1+Jumpoverwrite11*BC$2))/$G111,_xll.qlInterpolationInterpolate(BA$3,$F111,TRUE))</f>
        <v>#NUM!</v>
      </c>
      <c r="BC111" s="176" t="str">
        <f>IF(AND(NOT(BA111),AND(BA$4:BA110)),IF($BB111&lt;0,IF($BB111&lt;$J111,EXP(($BB111-$J111)*$G111),EXP(($J111-$BB111)*$G111)),EXP(($BB111-$J111)*$G111)),"")</f>
        <v/>
      </c>
      <c r="BE111" s="72" t="b">
        <f>IF(AND(NOT(BA111),AND(BA$4:BA110)),TRUE,BA111)</f>
        <v>0</v>
      </c>
      <c r="BF111" s="172" t="e">
        <f>IF(AND(NOT(ISBLANK(Jumpoverwrite12)),AND(NOT(BE111),AND(BE$4:BE110))),($J111*$G111-LN(1+Jumpoverwrite12*BG$2))/$G111,_xll.qlInterpolationInterpolate(BE$3,$F111,TRUE))</f>
        <v>#NUM!</v>
      </c>
      <c r="BG111" s="176" t="str">
        <f>IF(AND(NOT(BE111),AND(BE$4:BE110)),IF($BF111&lt;0,IF($BF111&lt;$J111,EXP(($BF111-$J111)*$G111),EXP(($J111-$BF111)*$G111)),EXP(($BF111-$J111)*$G111)),"")</f>
        <v/>
      </c>
      <c r="BI111" s="72" t="b">
        <f t="shared" si="10"/>
        <v>0</v>
      </c>
      <c r="BJ111" s="172" t="e">
        <f>IF(AND(NOT(ISBLANK(jumpoverwrite13)),AND(NOT(BI111),AND(BI$4:BI110))),($J111*$G111-LN(1+jumpoverwrite13*BK$2))/$G111,_xll.qlInterpolationInterpolate(BI$3,$F111,TRUE))</f>
        <v>#NUM!</v>
      </c>
      <c r="BK111" s="176" t="str">
        <f>IF(AND(NOT(BI111),AND(BI$4:BI110)),IF($BJ111&lt;0,IF($BJ111&lt;$J111,EXP(($BJ111-$J111)*$G111),EXP(($J111-$BJ111)*$G111)),EXP(($BJ111-$J111)*$G111)),"")</f>
        <v/>
      </c>
      <c r="BM111" s="72" t="b">
        <f>IF(AND(NOT(BI111),AND(BI$4:BI110)),TRUE,BI111)</f>
        <v>0</v>
      </c>
      <c r="BN111" s="172" t="e">
        <f>IF(AND(NOT(ISBLANK(Jumpoverwrite14)),AND(NOT(BM111),AND(BM$4:BM110))),($J111*$G111-LN(1+Jumpoverwrite14*BO$2))/$G111,_xll.qlInterpolationInterpolate(BM$3,$F111,TRUE))</f>
        <v>#NUM!</v>
      </c>
      <c r="BO111" s="176" t="str">
        <f>IF(AND(NOT(BM111),AND(BM$4:BM110)),IF($BN111&lt;0,IF($BN111&lt;$J111,EXP(($BN111-$J111)*$G111),EXP(($J111-$BN111)*$G111)),EXP(($BN111-$J111)*$G111)),"")</f>
        <v/>
      </c>
      <c r="BQ111" s="72" t="b">
        <f>IF(AND(NOT(BM111),AND(BM$4:BM110)),TRUE,BM111)</f>
        <v>0</v>
      </c>
      <c r="BR111" s="172" t="e">
        <f>IF(AND(NOT(ISBLANK(Jumpoverwrite15)),AND(NOT(BQ111),AND(BQ$4:BQ110))),($J111*$G111-LN(1+Jumpoverwrite15*BS$2))/$G111,_xll.qlInterpolationInterpolate(BQ$3,$F111,TRUE))</f>
        <v>#NUM!</v>
      </c>
      <c r="BS111" s="176" t="str">
        <f>IF(AND(NOT(BQ111),AND(BQ$4:BQ110)),IF($BN111&lt;0,IF($BN111&lt;$J111,EXP(($BN111-$J111)*$G111),EXP(($J111-$BN111)*$G111)),EXP(($BN111-$J111)*$G111)),"")</f>
        <v/>
      </c>
    </row>
    <row r="112" spans="1:71" x14ac:dyDescent="0.2">
      <c r="A112" s="33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84" t="e">
        <f t="shared" si="9"/>
        <v>#N/A</v>
      </c>
      <c r="G112" s="85" t="e">
        <f>_xll.qlDayCounterYearFraction(DayCounter,D111,D112)</f>
        <v>#NUM!</v>
      </c>
      <c r="I112" s="93" t="b">
        <f t="shared" si="7"/>
        <v>0</v>
      </c>
      <c r="J112" s="37" t="e">
        <v>#N/A</v>
      </c>
      <c r="K112" s="94" t="e">
        <f t="shared" si="8"/>
        <v>#VALUE!</v>
      </c>
      <c r="L112" s="105"/>
      <c r="M112" s="72" t="b">
        <f>IF(AND(NOT(I112),AND(I$4:I111)),TRUE,I112)</f>
        <v>0</v>
      </c>
      <c r="N112" s="172" t="e">
        <f>IF(AND(NOT(ISBLANK(Jumpoverwrite1)),AND(NOT(M112),AND(M$4:M111))),($J112*$G112-LN(1+Jumpoverwrite1*O$2))/$G112,_xll.qlInterpolationInterpolate(M$3,$F112,TRUE))</f>
        <v>#NUM!</v>
      </c>
      <c r="O112" s="34" t="str">
        <f>IF(AND(NOT(M112),AND(M$4:M111)),IF($N112&lt;0,IF($N112&lt;$J112,EXP(($N112-$J112)*$G112),EXP(($J112-$N112)*$G112)),EXP(($N112-$J112)*$G112)),"")</f>
        <v/>
      </c>
      <c r="P112" s="107"/>
      <c r="Q112" s="72" t="b">
        <f>IF(AND(NOT(M112),AND(M$4:M111)),TRUE,M112)</f>
        <v>0</v>
      </c>
      <c r="R112" s="172" t="e">
        <f>IF(AND(NOT(ISBLANK(Jumpoverwrite2)),AND(NOT(Q112),AND(Q$4:Q111))),($J112*$G112-LN(1+Jumpoverwrite2*S$2))/$G112,_xll.qlInterpolationInterpolate(Q$3,$F112,TRUE))</f>
        <v>#NUM!</v>
      </c>
      <c r="S112" s="176" t="str">
        <f>IF(AND(NOT(Q112),AND(Q$4:Q111)),IF($R112&lt;0,IF($R112&lt;$J112,EXP(($R112-$J112)*$G112),EXP(($J112-$R112)*$G112)),EXP(($R112-$J112)*$G112)),"")</f>
        <v/>
      </c>
      <c r="T112" s="107"/>
      <c r="U112" s="72" t="b">
        <f>IF(AND(NOT(Q112),AND(Q$4:Q111)),TRUE,Q112)</f>
        <v>0</v>
      </c>
      <c r="V112" s="172" t="e">
        <f>IF(AND(NOT(ISBLANK(Jumpoverwrite3)),AND(NOT(U112),AND(U$4:U111))),($J112*$G112-LN(1+Jumpoverwrite3*W$2))/$G112,_xll.qlInterpolationInterpolate(U$3,$F112,TRUE))</f>
        <v>#NUM!</v>
      </c>
      <c r="W112" s="176" t="str">
        <f>IF(AND(NOT(U112),AND(U$4:U111)),IF($V112&lt;0,IF($V112&lt;$J112,EXP(($V112-$J112)*$G112),EXP(($J112-$V112)*$G112)),EXP(($V112-$J112)*$G112)),"")</f>
        <v/>
      </c>
      <c r="X112" s="107"/>
      <c r="Y112" s="72" t="b">
        <f>IF(AND(NOT(U112),AND(U$4:U111)),TRUE,U112)</f>
        <v>0</v>
      </c>
      <c r="Z112" s="172" t="e">
        <f>IF(AND(NOT(ISBLANK(Jumpoverwrite4)),AND(NOT(Y112),AND(Y$4:Y111))),($J112*$G112-LN(1+Jumpoverwrite4*AA$2))/$G112,_xll.qlInterpolationInterpolate(Y$3,$F112,TRUE))</f>
        <v>#NUM!</v>
      </c>
      <c r="AA112" s="176" t="str">
        <f>IF(AND(NOT(Y112),AND(Y$4:Y111)),IF($Z112&lt;0,IF($Z112&lt;$J112,EXP(($Z112-$J112)*$G112),EXP(($J112-$Z112)*$G112)),EXP(($Z112-$J112)*$G112)),"")</f>
        <v/>
      </c>
      <c r="AB112" s="107"/>
      <c r="AC112" s="72" t="b">
        <f>IF(AND(NOT(Y112),AND(Y$4:Y111)),TRUE,Y112)</f>
        <v>0</v>
      </c>
      <c r="AD112" s="172" t="e">
        <f>IF(AND(NOT(ISBLANK(Jumpoverwrite5)),AND(NOT(AC112),AND(AC$4:AC111))),($J112*$G112-LN(1+Jumpoverwrite5*AE$2))/$G112,_xll.qlInterpolationInterpolate(AC$3,$F112,TRUE))</f>
        <v>#NUM!</v>
      </c>
      <c r="AE112" s="176" t="str">
        <f>IF(AND(NOT(AC112),AND(AC$4:AC111)),IF($AD112&lt;0,IF($AD112&lt;$J112,EXP(($AD112-$J112)*$G112),EXP(($J112-$AD112)*$G112)),EXP(($AD112-$J112)*$G112)),"")</f>
        <v/>
      </c>
      <c r="AF112" s="107"/>
      <c r="AG112" s="72" t="b">
        <f>IF(AND(NOT(AC112),AND(AC$4:AC111)),TRUE,AC112)</f>
        <v>0</v>
      </c>
      <c r="AH112" s="172" t="e">
        <f>IF(AND(NOT(ISBLANK(Jumpoverwrite6)),AND(NOT(AG112),AND(AG$4:AG111))),($J112*$G112-LN(1+Jumpoverwrite6*AI$2))/$G112,_xll.qlInterpolationInterpolate(AG$3,$F112,TRUE))</f>
        <v>#NUM!</v>
      </c>
      <c r="AI112" s="176" t="str">
        <f>IF(AND(NOT(AG112),AND(AG$4:AG111)),IF($AH112&lt;0,IF($AH112&lt;$J112,EXP(($AH112-$J112)*$G112),EXP(($J112-$AH112)*$G112)),EXP(($AH112-$J112)*$G112)),"")</f>
        <v/>
      </c>
      <c r="AJ112" s="107"/>
      <c r="AK112" s="72" t="b">
        <f>IF(AND(NOT(AG112),AND(AG$4:AG111)),TRUE,AG112)</f>
        <v>0</v>
      </c>
      <c r="AL112" s="172" t="e">
        <f>IF(AND(NOT(ISBLANK(Jumpoverwrite7)),AND(NOT(AK112),AND(AK$4:AK111))),($J112*$G112-LN(1+Jumpoverwrite7*AM$2))/$G112,_xll.qlInterpolationInterpolate(AK$3,$F112,TRUE))</f>
        <v>#NUM!</v>
      </c>
      <c r="AM112" s="176" t="str">
        <f>IF(AND(NOT(AK112),AND(AK$4:AK111)),IF($AL112&lt;0,IF($AL112&lt;$J112,EXP(($AL112-$J112)*$G112),EXP(($J112-$AL112)*$G112)),EXP(($AL112-$J112)*$G112)),"")</f>
        <v/>
      </c>
      <c r="AO112" s="72" t="b">
        <f>IF(AND(NOT(AK112),AND(AK$4:AK111)),TRUE,AK112)</f>
        <v>0</v>
      </c>
      <c r="AP112" s="172" t="e">
        <f>IF(AND(NOT(ISBLANK(Jumpoverwrite8)),AND(NOT(AO112),AND(AO$4:AO111))),($J112*$G112-LN(1+Jumpoverwrite8*AQ$2))/$G112,_xll.qlInterpolationInterpolate(AO$3,$F112,TRUE))</f>
        <v>#NUM!</v>
      </c>
      <c r="AQ112" s="176" t="str">
        <f>IF(AND(NOT(AO112),AND(AO$4:AO111)),IF($AP112&lt;0,IF($AP112&lt;$J112,EXP(($AP112-$J112)*$G112),EXP(($J112-$AP112)*$G112)),EXP(($AP112-$J112)*$G112)),"")</f>
        <v/>
      </c>
      <c r="AS112" s="72" t="b">
        <f>IF(AND(NOT(AO112),AND(AO$4:AO111)),TRUE,AO112)</f>
        <v>0</v>
      </c>
      <c r="AT112" s="172" t="e">
        <f>IF(AND(NOT(ISBLANK(Jumpoverwrite9)),AND(NOT(AS112),AND(AS$4:AS111))),($J112*$G112-LN(1+Jumpoverwrite9*AU$2))/$G112,_xll.qlInterpolationInterpolate(AS$3,$F112,TRUE))</f>
        <v>#NUM!</v>
      </c>
      <c r="AU112" s="176" t="str">
        <f>IF(AND(NOT(AS112),AND(AS$4:AS111)),IF($AT112&lt;0,IF($AT112&lt;$J112,EXP(($AT112-$J112)*$G112),EXP(($J112-$AT112)*$G112)),EXP(($AT112-$J112)*$G112)),"")</f>
        <v/>
      </c>
      <c r="AW112" s="72" t="b">
        <f>IF(AND(NOT(AS112),AND(AS$4:AS111)),TRUE,AS112)</f>
        <v>0</v>
      </c>
      <c r="AX112" s="172" t="e">
        <f>IF(AND(NOT(ISBLANK(Jumpoverwrite10)),AND(NOT(AW112),AND(AW$4:AW111))),($J112*$G112-LN(1+Jumpoverwrite10*AY$2))/$G112,_xll.qlInterpolationInterpolate(AW$3,$F112,TRUE))</f>
        <v>#NUM!</v>
      </c>
      <c r="AY112" s="176" t="str">
        <f>IF(AND(NOT(AW112),AND(AW$4:AW111)),IF($AX112&lt;0,IF($AX112&lt;$J112,EXP(($AX112-$J112)*$G112),EXP(($J112-$AX112)*$G112)),EXP(($AX112-$J112)*$G112)),"")</f>
        <v/>
      </c>
      <c r="BA112" s="72" t="b">
        <f>IF(AND(NOT(AW112),AND(AW$4:AW111)),TRUE,AW112)</f>
        <v>0</v>
      </c>
      <c r="BB112" s="172" t="e">
        <f>IF(AND(NOT(ISBLANK(Jumpoverwrite11)),AND(NOT(BA112),AND(BA$4:BA111))),($J112*$G112-LN(1+Jumpoverwrite11*BC$2))/$G112,_xll.qlInterpolationInterpolate(BA$3,$F112,TRUE))</f>
        <v>#NUM!</v>
      </c>
      <c r="BC112" s="176" t="str">
        <f>IF(AND(NOT(BA112),AND(BA$4:BA111)),IF($BB112&lt;0,IF($BB112&lt;$J112,EXP(($BB112-$J112)*$G112),EXP(($J112-$BB112)*$G112)),EXP(($BB112-$J112)*$G112)),"")</f>
        <v/>
      </c>
      <c r="BE112" s="72" t="b">
        <f>IF(AND(NOT(BA112),AND(BA$4:BA111)),TRUE,BA112)</f>
        <v>0</v>
      </c>
      <c r="BF112" s="172" t="e">
        <f>IF(AND(NOT(ISBLANK(Jumpoverwrite12)),AND(NOT(BE112),AND(BE$4:BE111))),($J112*$G112-LN(1+Jumpoverwrite12*BG$2))/$G112,_xll.qlInterpolationInterpolate(BE$3,$F112,TRUE))</f>
        <v>#NUM!</v>
      </c>
      <c r="BG112" s="176" t="str">
        <f>IF(AND(NOT(BE112),AND(BE$4:BE111)),IF($BF112&lt;0,IF($BF112&lt;$J112,EXP(($BF112-$J112)*$G112),EXP(($J112-$BF112)*$G112)),EXP(($BF112-$J112)*$G112)),"")</f>
        <v/>
      </c>
      <c r="BI112" s="72" t="b">
        <f t="shared" si="10"/>
        <v>0</v>
      </c>
      <c r="BJ112" s="172" t="e">
        <f>IF(AND(NOT(ISBLANK(jumpoverwrite13)),AND(NOT(BI112),AND(BI$4:BI111))),($J112*$G112-LN(1+jumpoverwrite13*BK$2))/$G112,_xll.qlInterpolationInterpolate(BI$3,$F112,TRUE))</f>
        <v>#NUM!</v>
      </c>
      <c r="BK112" s="176" t="str">
        <f>IF(AND(NOT(BI112),AND(BI$4:BI111)),IF($BJ112&lt;0,IF($BJ112&lt;$J112,EXP(($BJ112-$J112)*$G112),EXP(($J112-$BJ112)*$G112)),EXP(($BJ112-$J112)*$G112)),"")</f>
        <v/>
      </c>
      <c r="BM112" s="72" t="b">
        <f>IF(AND(NOT(BI112),AND(BI$4:BI111)),TRUE,BI112)</f>
        <v>0</v>
      </c>
      <c r="BN112" s="172" t="e">
        <f>IF(AND(NOT(ISBLANK(Jumpoverwrite14)),AND(NOT(BM112),AND(BM$4:BM111))),($J112*$G112-LN(1+Jumpoverwrite14*BO$2))/$G112,_xll.qlInterpolationInterpolate(BM$3,$F112,TRUE))</f>
        <v>#NUM!</v>
      </c>
      <c r="BO112" s="176" t="str">
        <f>IF(AND(NOT(BM112),AND(BM$4:BM111)),IF($BN112&lt;0,IF($BN112&lt;$J112,EXP(($BN112-$J112)*$G112),EXP(($J112-$BN112)*$G112)),EXP(($BN112-$J112)*$G112)),"")</f>
        <v/>
      </c>
      <c r="BQ112" s="72" t="b">
        <f>IF(AND(NOT(BM112),AND(BM$4:BM111)),TRUE,BM112)</f>
        <v>0</v>
      </c>
      <c r="BR112" s="172" t="e">
        <f>IF(AND(NOT(ISBLANK(Jumpoverwrite15)),AND(NOT(BQ112),AND(BQ$4:BQ111))),($J112*$G112-LN(1+Jumpoverwrite15*BS$2))/$G112,_xll.qlInterpolationInterpolate(BQ$3,$F112,TRUE))</f>
        <v>#NUM!</v>
      </c>
      <c r="BS112" s="176" t="str">
        <f>IF(AND(NOT(BQ112),AND(BQ$4:BQ111)),IF($BN112&lt;0,IF($BN112&lt;$J112,EXP(($BN112-$J112)*$G112),EXP(($J112-$BN112)*$G112)),EXP(($BN112-$J112)*$G112)),"")</f>
        <v/>
      </c>
    </row>
    <row r="113" spans="1:71" x14ac:dyDescent="0.2">
      <c r="A113" s="33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84" t="e">
        <f t="shared" si="9"/>
        <v>#N/A</v>
      </c>
      <c r="G113" s="85" t="e">
        <f>_xll.qlDayCounterYearFraction(DayCounter,D112,D113)</f>
        <v>#NUM!</v>
      </c>
      <c r="I113" s="93" t="b">
        <f t="shared" si="7"/>
        <v>0</v>
      </c>
      <c r="J113" s="37" t="e">
        <v>#N/A</v>
      </c>
      <c r="K113" s="94" t="e">
        <f t="shared" si="8"/>
        <v>#VALUE!</v>
      </c>
      <c r="L113" s="105"/>
      <c r="M113" s="72" t="b">
        <f>IF(AND(NOT(I113),AND(I$4:I112)),TRUE,I113)</f>
        <v>0</v>
      </c>
      <c r="N113" s="172" t="e">
        <f>IF(AND(NOT(ISBLANK(Jumpoverwrite1)),AND(NOT(M113),AND(M$4:M112))),($J113*$G113-LN(1+Jumpoverwrite1*O$2))/$G113,_xll.qlInterpolationInterpolate(M$3,$F113,TRUE))</f>
        <v>#NUM!</v>
      </c>
      <c r="O113" s="34" t="str">
        <f>IF(AND(NOT(M113),AND(M$4:M112)),IF($N113&lt;0,IF($N113&lt;$J113,EXP(($N113-$J113)*$G113),EXP(($J113-$N113)*$G113)),EXP(($N113-$J113)*$G113)),"")</f>
        <v/>
      </c>
      <c r="P113" s="107"/>
      <c r="Q113" s="72" t="b">
        <f>IF(AND(NOT(M113),AND(M$4:M112)),TRUE,M113)</f>
        <v>0</v>
      </c>
      <c r="R113" s="172" t="e">
        <f>IF(AND(NOT(ISBLANK(Jumpoverwrite2)),AND(NOT(Q113),AND(Q$4:Q112))),($J113*$G113-LN(1+Jumpoverwrite2*S$2))/$G113,_xll.qlInterpolationInterpolate(Q$3,$F113,TRUE))</f>
        <v>#NUM!</v>
      </c>
      <c r="S113" s="176" t="str">
        <f>IF(AND(NOT(Q113),AND(Q$4:Q112)),IF($R113&lt;0,IF($R113&lt;$J113,EXP(($R113-$J113)*$G113),EXP(($J113-$R113)*$G113)),EXP(($R113-$J113)*$G113)),"")</f>
        <v/>
      </c>
      <c r="T113" s="107"/>
      <c r="U113" s="72" t="b">
        <f>IF(AND(NOT(Q113),AND(Q$4:Q112)),TRUE,Q113)</f>
        <v>0</v>
      </c>
      <c r="V113" s="172" t="e">
        <f>IF(AND(NOT(ISBLANK(Jumpoverwrite3)),AND(NOT(U113),AND(U$4:U112))),($J113*$G113-LN(1+Jumpoverwrite3*W$2))/$G113,_xll.qlInterpolationInterpolate(U$3,$F113,TRUE))</f>
        <v>#NUM!</v>
      </c>
      <c r="W113" s="176" t="str">
        <f>IF(AND(NOT(U113),AND(U$4:U112)),IF($V113&lt;0,IF($V113&lt;$J113,EXP(($V113-$J113)*$G113),EXP(($J113-$V113)*$G113)),EXP(($V113-$J113)*$G113)),"")</f>
        <v/>
      </c>
      <c r="X113" s="107"/>
      <c r="Y113" s="72" t="b">
        <f>IF(AND(NOT(U113),AND(U$4:U112)),TRUE,U113)</f>
        <v>0</v>
      </c>
      <c r="Z113" s="172" t="e">
        <f>IF(AND(NOT(ISBLANK(Jumpoverwrite4)),AND(NOT(Y113),AND(Y$4:Y112))),($J113*$G113-LN(1+Jumpoverwrite4*AA$2))/$G113,_xll.qlInterpolationInterpolate(Y$3,$F113,TRUE))</f>
        <v>#NUM!</v>
      </c>
      <c r="AA113" s="176" t="str">
        <f>IF(AND(NOT(Y113),AND(Y$4:Y112)),IF($Z113&lt;0,IF($Z113&lt;$J113,EXP(($Z113-$J113)*$G113),EXP(($J113-$Z113)*$G113)),EXP(($Z113-$J113)*$G113)),"")</f>
        <v/>
      </c>
      <c r="AB113" s="107"/>
      <c r="AC113" s="72" t="b">
        <f>IF(AND(NOT(Y113),AND(Y$4:Y112)),TRUE,Y113)</f>
        <v>0</v>
      </c>
      <c r="AD113" s="172" t="e">
        <f>IF(AND(NOT(ISBLANK(Jumpoverwrite5)),AND(NOT(AC113),AND(AC$4:AC112))),($J113*$G113-LN(1+Jumpoverwrite5*AE$2))/$G113,_xll.qlInterpolationInterpolate(AC$3,$F113,TRUE))</f>
        <v>#NUM!</v>
      </c>
      <c r="AE113" s="176" t="str">
        <f>IF(AND(NOT(AC113),AND(AC$4:AC112)),IF($AD113&lt;0,IF($AD113&lt;$J113,EXP(($AD113-$J113)*$G113),EXP(($J113-$AD113)*$G113)),EXP(($AD113-$J113)*$G113)),"")</f>
        <v/>
      </c>
      <c r="AF113" s="107"/>
      <c r="AG113" s="72" t="b">
        <f>IF(AND(NOT(AC113),AND(AC$4:AC112)),TRUE,AC113)</f>
        <v>0</v>
      </c>
      <c r="AH113" s="172" t="e">
        <f>IF(AND(NOT(ISBLANK(Jumpoverwrite6)),AND(NOT(AG113),AND(AG$4:AG112))),($J113*$G113-LN(1+Jumpoverwrite6*AI$2))/$G113,_xll.qlInterpolationInterpolate(AG$3,$F113,TRUE))</f>
        <v>#NUM!</v>
      </c>
      <c r="AI113" s="176" t="str">
        <f>IF(AND(NOT(AG113),AND(AG$4:AG112)),IF($AH113&lt;0,IF($AH113&lt;$J113,EXP(($AH113-$J113)*$G113),EXP(($J113-$AH113)*$G113)),EXP(($AH113-$J113)*$G113)),"")</f>
        <v/>
      </c>
      <c r="AJ113" s="107"/>
      <c r="AK113" s="72" t="b">
        <f>IF(AND(NOT(AG113),AND(AG$4:AG112)),TRUE,AG113)</f>
        <v>0</v>
      </c>
      <c r="AL113" s="172" t="e">
        <f>IF(AND(NOT(ISBLANK(Jumpoverwrite7)),AND(NOT(AK113),AND(AK$4:AK112))),($J113*$G113-LN(1+Jumpoverwrite7*AM$2))/$G113,_xll.qlInterpolationInterpolate(AK$3,$F113,TRUE))</f>
        <v>#NUM!</v>
      </c>
      <c r="AM113" s="176" t="str">
        <f>IF(AND(NOT(AK113),AND(AK$4:AK112)),IF($AL113&lt;0,IF($AL113&lt;$J113,EXP(($AL113-$J113)*$G113),EXP(($J113-$AL113)*$G113)),EXP(($AL113-$J113)*$G113)),"")</f>
        <v/>
      </c>
      <c r="AO113" s="72" t="b">
        <f>IF(AND(NOT(AK113),AND(AK$4:AK112)),TRUE,AK113)</f>
        <v>0</v>
      </c>
      <c r="AP113" s="172" t="e">
        <f>IF(AND(NOT(ISBLANK(Jumpoverwrite8)),AND(NOT(AO113),AND(AO$4:AO112))),($J113*$G113-LN(1+Jumpoverwrite8*AQ$2))/$G113,_xll.qlInterpolationInterpolate(AO$3,$F113,TRUE))</f>
        <v>#NUM!</v>
      </c>
      <c r="AQ113" s="176" t="str">
        <f>IF(AND(NOT(AO113),AND(AO$4:AO112)),IF($AP113&lt;0,IF($AP113&lt;$J113,EXP(($AP113-$J113)*$G113),EXP(($J113-$AP113)*$G113)),EXP(($AP113-$J113)*$G113)),"")</f>
        <v/>
      </c>
      <c r="AS113" s="72" t="b">
        <f>IF(AND(NOT(AO113),AND(AO$4:AO112)),TRUE,AO113)</f>
        <v>0</v>
      </c>
      <c r="AT113" s="172" t="e">
        <f>IF(AND(NOT(ISBLANK(Jumpoverwrite9)),AND(NOT(AS113),AND(AS$4:AS112))),($J113*$G113-LN(1+Jumpoverwrite9*AU$2))/$G113,_xll.qlInterpolationInterpolate(AS$3,$F113,TRUE))</f>
        <v>#NUM!</v>
      </c>
      <c r="AU113" s="176" t="str">
        <f>IF(AND(NOT(AS113),AND(AS$4:AS112)),IF($AT113&lt;0,IF($AT113&lt;$J113,EXP(($AT113-$J113)*$G113),EXP(($J113-$AT113)*$G113)),EXP(($AT113-$J113)*$G113)),"")</f>
        <v/>
      </c>
      <c r="AW113" s="72" t="b">
        <f>IF(AND(NOT(AS113),AND(AS$4:AS112)),TRUE,AS113)</f>
        <v>0</v>
      </c>
      <c r="AX113" s="172" t="e">
        <f>IF(AND(NOT(ISBLANK(Jumpoverwrite10)),AND(NOT(AW113),AND(AW$4:AW112))),($J113*$G113-LN(1+Jumpoverwrite10*AY$2))/$G113,_xll.qlInterpolationInterpolate(AW$3,$F113,TRUE))</f>
        <v>#NUM!</v>
      </c>
      <c r="AY113" s="176" t="str">
        <f>IF(AND(NOT(AW113),AND(AW$4:AW112)),IF($AX113&lt;0,IF($AX113&lt;$J113,EXP(($AX113-$J113)*$G113),EXP(($J113-$AX113)*$G113)),EXP(($AX113-$J113)*$G113)),"")</f>
        <v/>
      </c>
      <c r="BA113" s="72" t="b">
        <f>IF(AND(NOT(AW113),AND(AW$4:AW112)),TRUE,AW113)</f>
        <v>0</v>
      </c>
      <c r="BB113" s="172" t="e">
        <f>IF(AND(NOT(ISBLANK(Jumpoverwrite11)),AND(NOT(BA113),AND(BA$4:BA112))),($J113*$G113-LN(1+Jumpoverwrite11*BC$2))/$G113,_xll.qlInterpolationInterpolate(BA$3,$F113,TRUE))</f>
        <v>#NUM!</v>
      </c>
      <c r="BC113" s="176" t="str">
        <f>IF(AND(NOT(BA113),AND(BA$4:BA112)),IF($BB113&lt;0,IF($BB113&lt;$J113,EXP(($BB113-$J113)*$G113),EXP(($J113-$BB113)*$G113)),EXP(($BB113-$J113)*$G113)),"")</f>
        <v/>
      </c>
      <c r="BE113" s="72" t="b">
        <f>IF(AND(NOT(BA113),AND(BA$4:BA112)),TRUE,BA113)</f>
        <v>0</v>
      </c>
      <c r="BF113" s="172" t="e">
        <f>IF(AND(NOT(ISBLANK(Jumpoverwrite12)),AND(NOT(BE113),AND(BE$4:BE112))),($J113*$G113-LN(1+Jumpoverwrite12*BG$2))/$G113,_xll.qlInterpolationInterpolate(BE$3,$F113,TRUE))</f>
        <v>#NUM!</v>
      </c>
      <c r="BG113" s="176" t="str">
        <f>IF(AND(NOT(BE113),AND(BE$4:BE112)),IF($BF113&lt;0,IF($BF113&lt;$J113,EXP(($BF113-$J113)*$G113),EXP(($J113-$BF113)*$G113)),EXP(($BF113-$J113)*$G113)),"")</f>
        <v/>
      </c>
      <c r="BI113" s="72" t="b">
        <f t="shared" si="10"/>
        <v>0</v>
      </c>
      <c r="BJ113" s="172" t="e">
        <f>IF(AND(NOT(ISBLANK(jumpoverwrite13)),AND(NOT(BI113),AND(BI$4:BI112))),($J113*$G113-LN(1+jumpoverwrite13*BK$2))/$G113,_xll.qlInterpolationInterpolate(BI$3,$F113,TRUE))</f>
        <v>#NUM!</v>
      </c>
      <c r="BK113" s="176" t="str">
        <f>IF(AND(NOT(BI113),AND(BI$4:BI112)),IF($BJ113&lt;0,IF($BJ113&lt;$J113,EXP(($BJ113-$J113)*$G113),EXP(($J113-$BJ113)*$G113)),EXP(($BJ113-$J113)*$G113)),"")</f>
        <v/>
      </c>
      <c r="BM113" s="72" t="b">
        <f>IF(AND(NOT(BI113),AND(BI$4:BI112)),TRUE,BI113)</f>
        <v>0</v>
      </c>
      <c r="BN113" s="172" t="e">
        <f>IF(AND(NOT(ISBLANK(Jumpoverwrite14)),AND(NOT(BM113),AND(BM$4:BM112))),($J113*$G113-LN(1+Jumpoverwrite14*BO$2))/$G113,_xll.qlInterpolationInterpolate(BM$3,$F113,TRUE))</f>
        <v>#NUM!</v>
      </c>
      <c r="BO113" s="176" t="str">
        <f>IF(AND(NOT(BM113),AND(BM$4:BM112)),IF($BN113&lt;0,IF($BN113&lt;$J113,EXP(($BN113-$J113)*$G113),EXP(($J113-$BN113)*$G113)),EXP(($BN113-$J113)*$G113)),"")</f>
        <v/>
      </c>
      <c r="BQ113" s="72" t="b">
        <f>IF(AND(NOT(BM113),AND(BM$4:BM112)),TRUE,BM113)</f>
        <v>0</v>
      </c>
      <c r="BR113" s="172" t="e">
        <f>IF(AND(NOT(ISBLANK(Jumpoverwrite15)),AND(NOT(BQ113),AND(BQ$4:BQ112))),($J113*$G113-LN(1+Jumpoverwrite15*BS$2))/$G113,_xll.qlInterpolationInterpolate(BQ$3,$F113,TRUE))</f>
        <v>#NUM!</v>
      </c>
      <c r="BS113" s="176" t="str">
        <f>IF(AND(NOT(BQ113),AND(BQ$4:BQ112)),IF($BN113&lt;0,IF($BN113&lt;$J113,EXP(($BN113-$J113)*$G113),EXP(($J113-$BN113)*$G113)),EXP(($BN113-$J113)*$G113)),"")</f>
        <v/>
      </c>
    </row>
    <row r="114" spans="1:71" x14ac:dyDescent="0.2">
      <c r="A114" s="33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84" t="e">
        <f t="shared" si="9"/>
        <v>#N/A</v>
      </c>
      <c r="G114" s="85" t="e">
        <f>_xll.qlDayCounterYearFraction(DayCounter,D113,D114)</f>
        <v>#NUM!</v>
      </c>
      <c r="I114" s="93" t="b">
        <f t="shared" si="7"/>
        <v>0</v>
      </c>
      <c r="J114" s="37" t="e">
        <v>#N/A</v>
      </c>
      <c r="K114" s="94" t="e">
        <f t="shared" si="8"/>
        <v>#VALUE!</v>
      </c>
      <c r="L114" s="105"/>
      <c r="M114" s="72" t="b">
        <f>IF(AND(NOT(I114),AND(I$4:I113)),TRUE,I114)</f>
        <v>0</v>
      </c>
      <c r="N114" s="172" t="e">
        <f>IF(AND(NOT(ISBLANK(Jumpoverwrite1)),AND(NOT(M114),AND(M$4:M113))),($J114*$G114-LN(1+Jumpoverwrite1*O$2))/$G114,_xll.qlInterpolationInterpolate(M$3,$F114,TRUE))</f>
        <v>#NUM!</v>
      </c>
      <c r="O114" s="34" t="str">
        <f>IF(AND(NOT(M114),AND(M$4:M113)),IF($N114&lt;0,IF($N114&lt;$J114,EXP(($N114-$J114)*$G114),EXP(($J114-$N114)*$G114)),EXP(($N114-$J114)*$G114)),"")</f>
        <v/>
      </c>
      <c r="P114" s="107"/>
      <c r="Q114" s="72" t="b">
        <f>IF(AND(NOT(M114),AND(M$4:M113)),TRUE,M114)</f>
        <v>0</v>
      </c>
      <c r="R114" s="172" t="e">
        <f>IF(AND(NOT(ISBLANK(Jumpoverwrite2)),AND(NOT(Q114),AND(Q$4:Q113))),($J114*$G114-LN(1+Jumpoverwrite2*S$2))/$G114,_xll.qlInterpolationInterpolate(Q$3,$F114,TRUE))</f>
        <v>#NUM!</v>
      </c>
      <c r="S114" s="176" t="str">
        <f>IF(AND(NOT(Q114),AND(Q$4:Q113)),IF($R114&lt;0,IF($R114&lt;$J114,EXP(($R114-$J114)*$G114),EXP(($J114-$R114)*$G114)),EXP(($R114-$J114)*$G114)),"")</f>
        <v/>
      </c>
      <c r="T114" s="107"/>
      <c r="U114" s="72" t="b">
        <f>IF(AND(NOT(Q114),AND(Q$4:Q113)),TRUE,Q114)</f>
        <v>0</v>
      </c>
      <c r="V114" s="172" t="e">
        <f>IF(AND(NOT(ISBLANK(Jumpoverwrite3)),AND(NOT(U114),AND(U$4:U113))),($J114*$G114-LN(1+Jumpoverwrite3*W$2))/$G114,_xll.qlInterpolationInterpolate(U$3,$F114,TRUE))</f>
        <v>#NUM!</v>
      </c>
      <c r="W114" s="176" t="str">
        <f>IF(AND(NOT(U114),AND(U$4:U113)),IF($V114&lt;0,IF($V114&lt;$J114,EXP(($V114-$J114)*$G114),EXP(($J114-$V114)*$G114)),EXP(($V114-$J114)*$G114)),"")</f>
        <v/>
      </c>
      <c r="X114" s="107"/>
      <c r="Y114" s="72" t="b">
        <f>IF(AND(NOT(U114),AND(U$4:U113)),TRUE,U114)</f>
        <v>0</v>
      </c>
      <c r="Z114" s="172" t="e">
        <f>IF(AND(NOT(ISBLANK(Jumpoverwrite4)),AND(NOT(Y114),AND(Y$4:Y113))),($J114*$G114-LN(1+Jumpoverwrite4*AA$2))/$G114,_xll.qlInterpolationInterpolate(Y$3,$F114,TRUE))</f>
        <v>#NUM!</v>
      </c>
      <c r="AA114" s="176" t="str">
        <f>IF(AND(NOT(Y114),AND(Y$4:Y113)),IF($Z114&lt;0,IF($Z114&lt;$J114,EXP(($Z114-$J114)*$G114),EXP(($J114-$Z114)*$G114)),EXP(($Z114-$J114)*$G114)),"")</f>
        <v/>
      </c>
      <c r="AB114" s="107"/>
      <c r="AC114" s="72" t="b">
        <f>IF(AND(NOT(Y114),AND(Y$4:Y113)),TRUE,Y114)</f>
        <v>0</v>
      </c>
      <c r="AD114" s="172" t="e">
        <f>IF(AND(NOT(ISBLANK(Jumpoverwrite5)),AND(NOT(AC114),AND(AC$4:AC113))),($J114*$G114-LN(1+Jumpoverwrite5*AE$2))/$G114,_xll.qlInterpolationInterpolate(AC$3,$F114,TRUE))</f>
        <v>#NUM!</v>
      </c>
      <c r="AE114" s="176" t="str">
        <f>IF(AND(NOT(AC114),AND(AC$4:AC113)),IF($AD114&lt;0,IF($AD114&lt;$J114,EXP(($AD114-$J114)*$G114),EXP(($J114-$AD114)*$G114)),EXP(($AD114-$J114)*$G114)),"")</f>
        <v/>
      </c>
      <c r="AF114" s="107"/>
      <c r="AG114" s="72" t="b">
        <f>IF(AND(NOT(AC114),AND(AC$4:AC113)),TRUE,AC114)</f>
        <v>0</v>
      </c>
      <c r="AH114" s="172" t="e">
        <f>IF(AND(NOT(ISBLANK(Jumpoverwrite6)),AND(NOT(AG114),AND(AG$4:AG113))),($J114*$G114-LN(1+Jumpoverwrite6*AI$2))/$G114,_xll.qlInterpolationInterpolate(AG$3,$F114,TRUE))</f>
        <v>#NUM!</v>
      </c>
      <c r="AI114" s="176" t="str">
        <f>IF(AND(NOT(AG114),AND(AG$4:AG113)),IF($AH114&lt;0,IF($AH114&lt;$J114,EXP(($AH114-$J114)*$G114),EXP(($J114-$AH114)*$G114)),EXP(($AH114-$J114)*$G114)),"")</f>
        <v/>
      </c>
      <c r="AJ114" s="107"/>
      <c r="AK114" s="72" t="b">
        <f>IF(AND(NOT(AG114),AND(AG$4:AG113)),TRUE,AG114)</f>
        <v>0</v>
      </c>
      <c r="AL114" s="172" t="e">
        <f>IF(AND(NOT(ISBLANK(Jumpoverwrite7)),AND(NOT(AK114),AND(AK$4:AK113))),($J114*$G114-LN(1+Jumpoverwrite7*AM$2))/$G114,_xll.qlInterpolationInterpolate(AK$3,$F114,TRUE))</f>
        <v>#NUM!</v>
      </c>
      <c r="AM114" s="176" t="str">
        <f>IF(AND(NOT(AK114),AND(AK$4:AK113)),IF($AL114&lt;0,IF($AL114&lt;$J114,EXP(($AL114-$J114)*$G114),EXP(($J114-$AL114)*$G114)),EXP(($AL114-$J114)*$G114)),"")</f>
        <v/>
      </c>
      <c r="AO114" s="72" t="b">
        <f>IF(AND(NOT(AK114),AND(AK$4:AK113)),TRUE,AK114)</f>
        <v>0</v>
      </c>
      <c r="AP114" s="172" t="e">
        <f>IF(AND(NOT(ISBLANK(Jumpoverwrite8)),AND(NOT(AO114),AND(AO$4:AO113))),($J114*$G114-LN(1+Jumpoverwrite8*AQ$2))/$G114,_xll.qlInterpolationInterpolate(AO$3,$F114,TRUE))</f>
        <v>#NUM!</v>
      </c>
      <c r="AQ114" s="176" t="str">
        <f>IF(AND(NOT(AO114),AND(AO$4:AO113)),IF($AP114&lt;0,IF($AP114&lt;$J114,EXP(($AP114-$J114)*$G114),EXP(($J114-$AP114)*$G114)),EXP(($AP114-$J114)*$G114)),"")</f>
        <v/>
      </c>
      <c r="AS114" s="72" t="b">
        <f>IF(AND(NOT(AO114),AND(AO$4:AO113)),TRUE,AO114)</f>
        <v>0</v>
      </c>
      <c r="AT114" s="172" t="e">
        <f>IF(AND(NOT(ISBLANK(Jumpoverwrite9)),AND(NOT(AS114),AND(AS$4:AS113))),($J114*$G114-LN(1+Jumpoverwrite9*AU$2))/$G114,_xll.qlInterpolationInterpolate(AS$3,$F114,TRUE))</f>
        <v>#NUM!</v>
      </c>
      <c r="AU114" s="176" t="str">
        <f>IF(AND(NOT(AS114),AND(AS$4:AS113)),IF($AT114&lt;0,IF($AT114&lt;$J114,EXP(($AT114-$J114)*$G114),EXP(($J114-$AT114)*$G114)),EXP(($AT114-$J114)*$G114)),"")</f>
        <v/>
      </c>
      <c r="AW114" s="72" t="b">
        <f>IF(AND(NOT(AS114),AND(AS$4:AS113)),TRUE,AS114)</f>
        <v>0</v>
      </c>
      <c r="AX114" s="172" t="e">
        <f>IF(AND(NOT(ISBLANK(Jumpoverwrite10)),AND(NOT(AW114),AND(AW$4:AW113))),($J114*$G114-LN(1+Jumpoverwrite10*AY$2))/$G114,_xll.qlInterpolationInterpolate(AW$3,$F114,TRUE))</f>
        <v>#NUM!</v>
      </c>
      <c r="AY114" s="176" t="str">
        <f>IF(AND(NOT(AW114),AND(AW$4:AW113)),IF($AX114&lt;0,IF($AX114&lt;$J114,EXP(($AX114-$J114)*$G114),EXP(($J114-$AX114)*$G114)),EXP(($AX114-$J114)*$G114)),"")</f>
        <v/>
      </c>
      <c r="BA114" s="72" t="b">
        <f>IF(AND(NOT(AW114),AND(AW$4:AW113)),TRUE,AW114)</f>
        <v>0</v>
      </c>
      <c r="BB114" s="172" t="e">
        <f>IF(AND(NOT(ISBLANK(Jumpoverwrite11)),AND(NOT(BA114),AND(BA$4:BA113))),($J114*$G114-LN(1+Jumpoverwrite11*BC$2))/$G114,_xll.qlInterpolationInterpolate(BA$3,$F114,TRUE))</f>
        <v>#NUM!</v>
      </c>
      <c r="BC114" s="176" t="str">
        <f>IF(AND(NOT(BA114),AND(BA$4:BA113)),IF($BB114&lt;0,IF($BB114&lt;$J114,EXP(($BB114-$J114)*$G114),EXP(($J114-$BB114)*$G114)),EXP(($BB114-$J114)*$G114)),"")</f>
        <v/>
      </c>
      <c r="BE114" s="72" t="b">
        <f>IF(AND(NOT(BA114),AND(BA$4:BA113)),TRUE,BA114)</f>
        <v>0</v>
      </c>
      <c r="BF114" s="172" t="e">
        <f>IF(AND(NOT(ISBLANK(Jumpoverwrite12)),AND(NOT(BE114),AND(BE$4:BE113))),($J114*$G114-LN(1+Jumpoverwrite12*BG$2))/$G114,_xll.qlInterpolationInterpolate(BE$3,$F114,TRUE))</f>
        <v>#NUM!</v>
      </c>
      <c r="BG114" s="176" t="str">
        <f>IF(AND(NOT(BE114),AND(BE$4:BE113)),IF($BF114&lt;0,IF($BF114&lt;$J114,EXP(($BF114-$J114)*$G114),EXP(($J114-$BF114)*$G114)),EXP(($BF114-$J114)*$G114)),"")</f>
        <v/>
      </c>
      <c r="BI114" s="72" t="b">
        <f t="shared" si="10"/>
        <v>0</v>
      </c>
      <c r="BJ114" s="172" t="e">
        <f>IF(AND(NOT(ISBLANK(jumpoverwrite13)),AND(NOT(BI114),AND(BI$4:BI113))),($J114*$G114-LN(1+jumpoverwrite13*BK$2))/$G114,_xll.qlInterpolationInterpolate(BI$3,$F114,TRUE))</f>
        <v>#NUM!</v>
      </c>
      <c r="BK114" s="176" t="str">
        <f>IF(AND(NOT(BI114),AND(BI$4:BI113)),IF($BJ114&lt;0,IF($BJ114&lt;$J114,EXP(($BJ114-$J114)*$G114),EXP(($J114-$BJ114)*$G114)),EXP(($BJ114-$J114)*$G114)),"")</f>
        <v/>
      </c>
      <c r="BM114" s="72" t="b">
        <f>IF(AND(NOT(BI114),AND(BI$4:BI113)),TRUE,BI114)</f>
        <v>0</v>
      </c>
      <c r="BN114" s="172" t="e">
        <f>IF(AND(NOT(ISBLANK(Jumpoverwrite14)),AND(NOT(BM114),AND(BM$4:BM113))),($J114*$G114-LN(1+Jumpoverwrite14*BO$2))/$G114,_xll.qlInterpolationInterpolate(BM$3,$F114,TRUE))</f>
        <v>#NUM!</v>
      </c>
      <c r="BO114" s="176" t="str">
        <f>IF(AND(NOT(BM114),AND(BM$4:BM113)),IF($BN114&lt;0,IF($BN114&lt;$J114,EXP(($BN114-$J114)*$G114),EXP(($J114-$BN114)*$G114)),EXP(($BN114-$J114)*$G114)),"")</f>
        <v/>
      </c>
      <c r="BQ114" s="72" t="b">
        <f>IF(AND(NOT(BM114),AND(BM$4:BM113)),TRUE,BM114)</f>
        <v>0</v>
      </c>
      <c r="BR114" s="172" t="e">
        <f>IF(AND(NOT(ISBLANK(Jumpoverwrite15)),AND(NOT(BQ114),AND(BQ$4:BQ113))),($J114*$G114-LN(1+Jumpoverwrite15*BS$2))/$G114,_xll.qlInterpolationInterpolate(BQ$3,$F114,TRUE))</f>
        <v>#NUM!</v>
      </c>
      <c r="BS114" s="176" t="str">
        <f>IF(AND(NOT(BQ114),AND(BQ$4:BQ113)),IF($BN114&lt;0,IF($BN114&lt;$J114,EXP(($BN114-$J114)*$G114),EXP(($J114-$BN114)*$G114)),EXP(($BN114-$J114)*$G114)),"")</f>
        <v/>
      </c>
    </row>
    <row r="115" spans="1:71" x14ac:dyDescent="0.2">
      <c r="A115" s="33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84" t="e">
        <f t="shared" si="9"/>
        <v>#N/A</v>
      </c>
      <c r="G115" s="85" t="e">
        <f>_xll.qlDayCounterYearFraction(DayCounter,D114,D115)</f>
        <v>#NUM!</v>
      </c>
      <c r="I115" s="93" t="b">
        <f t="shared" si="7"/>
        <v>0</v>
      </c>
      <c r="J115" s="37" t="e">
        <v>#N/A</v>
      </c>
      <c r="K115" s="94" t="e">
        <f t="shared" si="8"/>
        <v>#VALUE!</v>
      </c>
      <c r="L115" s="105"/>
      <c r="M115" s="72" t="b">
        <f>IF(AND(NOT(I115),AND(I$4:I114)),TRUE,I115)</f>
        <v>0</v>
      </c>
      <c r="N115" s="172" t="e">
        <f>IF(AND(NOT(ISBLANK(Jumpoverwrite1)),AND(NOT(M115),AND(M$4:M114))),($J115*$G115-LN(1+Jumpoverwrite1*O$2))/$G115,_xll.qlInterpolationInterpolate(M$3,$F115,TRUE))</f>
        <v>#NUM!</v>
      </c>
      <c r="O115" s="34" t="str">
        <f>IF(AND(NOT(M115),AND(M$4:M114)),IF($N115&lt;0,IF($N115&lt;$J115,EXP(($N115-$J115)*$G115),EXP(($J115-$N115)*$G115)),EXP(($N115-$J115)*$G115)),"")</f>
        <v/>
      </c>
      <c r="P115" s="107"/>
      <c r="Q115" s="72" t="b">
        <f>IF(AND(NOT(M115),AND(M$4:M114)),TRUE,M115)</f>
        <v>0</v>
      </c>
      <c r="R115" s="172" t="e">
        <f>IF(AND(NOT(ISBLANK(Jumpoverwrite2)),AND(NOT(Q115),AND(Q$4:Q114))),($J115*$G115-LN(1+Jumpoverwrite2*S$2))/$G115,_xll.qlInterpolationInterpolate(Q$3,$F115,TRUE))</f>
        <v>#NUM!</v>
      </c>
      <c r="S115" s="176" t="str">
        <f>IF(AND(NOT(Q115),AND(Q$4:Q114)),IF($R115&lt;0,IF($R115&lt;$J115,EXP(($R115-$J115)*$G115),EXP(($J115-$R115)*$G115)),EXP(($R115-$J115)*$G115)),"")</f>
        <v/>
      </c>
      <c r="T115" s="107"/>
      <c r="U115" s="72" t="b">
        <f>IF(AND(NOT(Q115),AND(Q$4:Q114)),TRUE,Q115)</f>
        <v>0</v>
      </c>
      <c r="V115" s="172" t="e">
        <f>IF(AND(NOT(ISBLANK(Jumpoverwrite3)),AND(NOT(U115),AND(U$4:U114))),($J115*$G115-LN(1+Jumpoverwrite3*W$2))/$G115,_xll.qlInterpolationInterpolate(U$3,$F115,TRUE))</f>
        <v>#NUM!</v>
      </c>
      <c r="W115" s="176" t="str">
        <f>IF(AND(NOT(U115),AND(U$4:U114)),IF($V115&lt;0,IF($V115&lt;$J115,EXP(($V115-$J115)*$G115),EXP(($J115-$V115)*$G115)),EXP(($V115-$J115)*$G115)),"")</f>
        <v/>
      </c>
      <c r="X115" s="107"/>
      <c r="Y115" s="72" t="b">
        <f>IF(AND(NOT(U115),AND(U$4:U114)),TRUE,U115)</f>
        <v>0</v>
      </c>
      <c r="Z115" s="172" t="e">
        <f>IF(AND(NOT(ISBLANK(Jumpoverwrite4)),AND(NOT(Y115),AND(Y$4:Y114))),($J115*$G115-LN(1+Jumpoverwrite4*AA$2))/$G115,_xll.qlInterpolationInterpolate(Y$3,$F115,TRUE))</f>
        <v>#NUM!</v>
      </c>
      <c r="AA115" s="176" t="str">
        <f>IF(AND(NOT(Y115),AND(Y$4:Y114)),IF($Z115&lt;0,IF($Z115&lt;$J115,EXP(($Z115-$J115)*$G115),EXP(($J115-$Z115)*$G115)),EXP(($Z115-$J115)*$G115)),"")</f>
        <v/>
      </c>
      <c r="AB115" s="107"/>
      <c r="AC115" s="72" t="b">
        <f>IF(AND(NOT(Y115),AND(Y$4:Y114)),TRUE,Y115)</f>
        <v>0</v>
      </c>
      <c r="AD115" s="172" t="e">
        <f>IF(AND(NOT(ISBLANK(Jumpoverwrite5)),AND(NOT(AC115),AND(AC$4:AC114))),($J115*$G115-LN(1+Jumpoverwrite5*AE$2))/$G115,_xll.qlInterpolationInterpolate(AC$3,$F115,TRUE))</f>
        <v>#NUM!</v>
      </c>
      <c r="AE115" s="176" t="str">
        <f>IF(AND(NOT(AC115),AND(AC$4:AC114)),IF($AD115&lt;0,IF($AD115&lt;$J115,EXP(($AD115-$J115)*$G115),EXP(($J115-$AD115)*$G115)),EXP(($AD115-$J115)*$G115)),"")</f>
        <v/>
      </c>
      <c r="AF115" s="107"/>
      <c r="AG115" s="72" t="b">
        <f>IF(AND(NOT(AC115),AND(AC$4:AC114)),TRUE,AC115)</f>
        <v>0</v>
      </c>
      <c r="AH115" s="172" t="e">
        <f>IF(AND(NOT(ISBLANK(Jumpoverwrite6)),AND(NOT(AG115),AND(AG$4:AG114))),($J115*$G115-LN(1+Jumpoverwrite6*AI$2))/$G115,_xll.qlInterpolationInterpolate(AG$3,$F115,TRUE))</f>
        <v>#NUM!</v>
      </c>
      <c r="AI115" s="176" t="str">
        <f>IF(AND(NOT(AG115),AND(AG$4:AG114)),IF($AH115&lt;0,IF($AH115&lt;$J115,EXP(($AH115-$J115)*$G115),EXP(($J115-$AH115)*$G115)),EXP(($AH115-$J115)*$G115)),"")</f>
        <v/>
      </c>
      <c r="AJ115" s="107"/>
      <c r="AK115" s="72" t="b">
        <f>IF(AND(NOT(AG115),AND(AG$4:AG114)),TRUE,AG115)</f>
        <v>0</v>
      </c>
      <c r="AL115" s="172" t="e">
        <f>IF(AND(NOT(ISBLANK(Jumpoverwrite7)),AND(NOT(AK115),AND(AK$4:AK114))),($J115*$G115-LN(1+Jumpoverwrite7*AM$2))/$G115,_xll.qlInterpolationInterpolate(AK$3,$F115,TRUE))</f>
        <v>#NUM!</v>
      </c>
      <c r="AM115" s="176" t="str">
        <f>IF(AND(NOT(AK115),AND(AK$4:AK114)),IF($AL115&lt;0,IF($AL115&lt;$J115,EXP(($AL115-$J115)*$G115),EXP(($J115-$AL115)*$G115)),EXP(($AL115-$J115)*$G115)),"")</f>
        <v/>
      </c>
      <c r="AO115" s="72" t="b">
        <f>IF(AND(NOT(AK115),AND(AK$4:AK114)),TRUE,AK115)</f>
        <v>0</v>
      </c>
      <c r="AP115" s="172" t="e">
        <f>IF(AND(NOT(ISBLANK(Jumpoverwrite8)),AND(NOT(AO115),AND(AO$4:AO114))),($J115*$G115-LN(1+Jumpoverwrite8*AQ$2))/$G115,_xll.qlInterpolationInterpolate(AO$3,$F115,TRUE))</f>
        <v>#NUM!</v>
      </c>
      <c r="AQ115" s="176" t="str">
        <f>IF(AND(NOT(AO115),AND(AO$4:AO114)),IF($AP115&lt;0,IF($AP115&lt;$J115,EXP(($AP115-$J115)*$G115),EXP(($J115-$AP115)*$G115)),EXP(($AP115-$J115)*$G115)),"")</f>
        <v/>
      </c>
      <c r="AS115" s="72" t="b">
        <f>IF(AND(NOT(AO115),AND(AO$4:AO114)),TRUE,AO115)</f>
        <v>0</v>
      </c>
      <c r="AT115" s="172" t="e">
        <f>IF(AND(NOT(ISBLANK(Jumpoverwrite9)),AND(NOT(AS115),AND(AS$4:AS114))),($J115*$G115-LN(1+Jumpoverwrite9*AU$2))/$G115,_xll.qlInterpolationInterpolate(AS$3,$F115,TRUE))</f>
        <v>#NUM!</v>
      </c>
      <c r="AU115" s="176" t="str">
        <f>IF(AND(NOT(AS115),AND(AS$4:AS114)),IF($AT115&lt;0,IF($AT115&lt;$J115,EXP(($AT115-$J115)*$G115),EXP(($J115-$AT115)*$G115)),EXP(($AT115-$J115)*$G115)),"")</f>
        <v/>
      </c>
      <c r="AW115" s="72" t="b">
        <f>IF(AND(NOT(AS115),AND(AS$4:AS114)),TRUE,AS115)</f>
        <v>0</v>
      </c>
      <c r="AX115" s="172" t="e">
        <f>IF(AND(NOT(ISBLANK(Jumpoverwrite10)),AND(NOT(AW115),AND(AW$4:AW114))),($J115*$G115-LN(1+Jumpoverwrite10*AY$2))/$G115,_xll.qlInterpolationInterpolate(AW$3,$F115,TRUE))</f>
        <v>#NUM!</v>
      </c>
      <c r="AY115" s="176" t="str">
        <f>IF(AND(NOT(AW115),AND(AW$4:AW114)),IF($AX115&lt;0,IF($AX115&lt;$J115,EXP(($AX115-$J115)*$G115),EXP(($J115-$AX115)*$G115)),EXP(($AX115-$J115)*$G115)),"")</f>
        <v/>
      </c>
      <c r="BA115" s="72" t="b">
        <f>IF(AND(NOT(AW115),AND(AW$4:AW114)),TRUE,AW115)</f>
        <v>0</v>
      </c>
      <c r="BB115" s="172" t="e">
        <f>IF(AND(NOT(ISBLANK(Jumpoverwrite11)),AND(NOT(BA115),AND(BA$4:BA114))),($J115*$G115-LN(1+Jumpoverwrite11*BC$2))/$G115,_xll.qlInterpolationInterpolate(BA$3,$F115,TRUE))</f>
        <v>#NUM!</v>
      </c>
      <c r="BC115" s="176" t="str">
        <f>IF(AND(NOT(BA115),AND(BA$4:BA114)),IF($BB115&lt;0,IF($BB115&lt;$J115,EXP(($BB115-$J115)*$G115),EXP(($J115-$BB115)*$G115)),EXP(($BB115-$J115)*$G115)),"")</f>
        <v/>
      </c>
      <c r="BE115" s="72" t="b">
        <f>IF(AND(NOT(BA115),AND(BA$4:BA114)),TRUE,BA115)</f>
        <v>0</v>
      </c>
      <c r="BF115" s="172" t="e">
        <f>IF(AND(NOT(ISBLANK(Jumpoverwrite12)),AND(NOT(BE115),AND(BE$4:BE114))),($J115*$G115-LN(1+Jumpoverwrite12*BG$2))/$G115,_xll.qlInterpolationInterpolate(BE$3,$F115,TRUE))</f>
        <v>#NUM!</v>
      </c>
      <c r="BG115" s="176" t="str">
        <f>IF(AND(NOT(BE115),AND(BE$4:BE114)),IF($BF115&lt;0,IF($BF115&lt;$J115,EXP(($BF115-$J115)*$G115),EXP(($J115-$BF115)*$G115)),EXP(($BF115-$J115)*$G115)),"")</f>
        <v/>
      </c>
      <c r="BI115" s="72" t="b">
        <f t="shared" si="10"/>
        <v>0</v>
      </c>
      <c r="BJ115" s="172" t="e">
        <f>IF(AND(NOT(ISBLANK(jumpoverwrite13)),AND(NOT(BI115),AND(BI$4:BI114))),($J115*$G115-LN(1+jumpoverwrite13*BK$2))/$G115,_xll.qlInterpolationInterpolate(BI$3,$F115,TRUE))</f>
        <v>#NUM!</v>
      </c>
      <c r="BK115" s="176" t="str">
        <f>IF(AND(NOT(BI115),AND(BI$4:BI114)),IF($BJ115&lt;0,IF($BJ115&lt;$J115,EXP(($BJ115-$J115)*$G115),EXP(($J115-$BJ115)*$G115)),EXP(($BJ115-$J115)*$G115)),"")</f>
        <v/>
      </c>
      <c r="BM115" s="72" t="b">
        <f>IF(AND(NOT(BI115),AND(BI$4:BI114)),TRUE,BI115)</f>
        <v>0</v>
      </c>
      <c r="BN115" s="172" t="e">
        <f>IF(AND(NOT(ISBLANK(Jumpoverwrite14)),AND(NOT(BM115),AND(BM$4:BM114))),($J115*$G115-LN(1+Jumpoverwrite14*BO$2))/$G115,_xll.qlInterpolationInterpolate(BM$3,$F115,TRUE))</f>
        <v>#NUM!</v>
      </c>
      <c r="BO115" s="176" t="str">
        <f>IF(AND(NOT(BM115),AND(BM$4:BM114)),IF($BN115&lt;0,IF($BN115&lt;$J115,EXP(($BN115-$J115)*$G115),EXP(($J115-$BN115)*$G115)),EXP(($BN115-$J115)*$G115)),"")</f>
        <v/>
      </c>
      <c r="BQ115" s="72" t="b">
        <f>IF(AND(NOT(BM115),AND(BM$4:BM114)),TRUE,BM115)</f>
        <v>0</v>
      </c>
      <c r="BR115" s="172" t="e">
        <f>IF(AND(NOT(ISBLANK(Jumpoverwrite15)),AND(NOT(BQ115),AND(BQ$4:BQ114))),($J115*$G115-LN(1+Jumpoverwrite15*BS$2))/$G115,_xll.qlInterpolationInterpolate(BQ$3,$F115,TRUE))</f>
        <v>#NUM!</v>
      </c>
      <c r="BS115" s="176" t="str">
        <f>IF(AND(NOT(BQ115),AND(BQ$4:BQ114)),IF($BN115&lt;0,IF($BN115&lt;$J115,EXP(($BN115-$J115)*$G115),EXP(($J115-$BN115)*$G115)),EXP(($BN115-$J115)*$G115)),"")</f>
        <v/>
      </c>
    </row>
    <row r="116" spans="1:71" x14ac:dyDescent="0.2">
      <c r="A116" s="33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84" t="e">
        <f t="shared" si="9"/>
        <v>#N/A</v>
      </c>
      <c r="G116" s="85" t="e">
        <f>_xll.qlDayCounterYearFraction(DayCounter,D115,D116)</f>
        <v>#NUM!</v>
      </c>
      <c r="I116" s="93" t="b">
        <f t="shared" si="7"/>
        <v>0</v>
      </c>
      <c r="J116" s="37" t="e">
        <v>#N/A</v>
      </c>
      <c r="K116" s="94" t="e">
        <f t="shared" si="8"/>
        <v>#VALUE!</v>
      </c>
      <c r="L116" s="105"/>
      <c r="M116" s="72" t="b">
        <f>IF(AND(NOT(I116),AND(I$4:I115)),TRUE,I116)</f>
        <v>0</v>
      </c>
      <c r="N116" s="172" t="e">
        <f>IF(AND(NOT(ISBLANK(Jumpoverwrite1)),AND(NOT(M116),AND(M$4:M115))),($J116*$G116-LN(1+Jumpoverwrite1*O$2))/$G116,_xll.qlInterpolationInterpolate(M$3,$F116,TRUE))</f>
        <v>#NUM!</v>
      </c>
      <c r="O116" s="34" t="str">
        <f>IF(AND(NOT(M116),AND(M$4:M115)),IF($N116&lt;0,IF($N116&lt;$J116,EXP(($N116-$J116)*$G116),EXP(($J116-$N116)*$G116)),EXP(($N116-$J116)*$G116)),"")</f>
        <v/>
      </c>
      <c r="P116" s="107"/>
      <c r="Q116" s="72" t="b">
        <f>IF(AND(NOT(M116),AND(M$4:M115)),TRUE,M116)</f>
        <v>0</v>
      </c>
      <c r="R116" s="172" t="e">
        <f>IF(AND(NOT(ISBLANK(Jumpoverwrite2)),AND(NOT(Q116),AND(Q$4:Q115))),($J116*$G116-LN(1+Jumpoverwrite2*S$2))/$G116,_xll.qlInterpolationInterpolate(Q$3,$F116,TRUE))</f>
        <v>#NUM!</v>
      </c>
      <c r="S116" s="176" t="str">
        <f>IF(AND(NOT(Q116),AND(Q$4:Q115)),IF($R116&lt;0,IF($R116&lt;$J116,EXP(($R116-$J116)*$G116),EXP(($J116-$R116)*$G116)),EXP(($R116-$J116)*$G116)),"")</f>
        <v/>
      </c>
      <c r="T116" s="107"/>
      <c r="U116" s="72" t="b">
        <f>IF(AND(NOT(Q116),AND(Q$4:Q115)),TRUE,Q116)</f>
        <v>0</v>
      </c>
      <c r="V116" s="172" t="e">
        <f>IF(AND(NOT(ISBLANK(Jumpoverwrite3)),AND(NOT(U116),AND(U$4:U115))),($J116*$G116-LN(1+Jumpoverwrite3*W$2))/$G116,_xll.qlInterpolationInterpolate(U$3,$F116,TRUE))</f>
        <v>#NUM!</v>
      </c>
      <c r="W116" s="176" t="str">
        <f>IF(AND(NOT(U116),AND(U$4:U115)),IF($V116&lt;0,IF($V116&lt;$J116,EXP(($V116-$J116)*$G116),EXP(($J116-$V116)*$G116)),EXP(($V116-$J116)*$G116)),"")</f>
        <v/>
      </c>
      <c r="X116" s="107"/>
      <c r="Y116" s="72" t="b">
        <f>IF(AND(NOT(U116),AND(U$4:U115)),TRUE,U116)</f>
        <v>0</v>
      </c>
      <c r="Z116" s="172" t="e">
        <f>IF(AND(NOT(ISBLANK(Jumpoverwrite4)),AND(NOT(Y116),AND(Y$4:Y115))),($J116*$G116-LN(1+Jumpoverwrite4*AA$2))/$G116,_xll.qlInterpolationInterpolate(Y$3,$F116,TRUE))</f>
        <v>#NUM!</v>
      </c>
      <c r="AA116" s="176" t="str">
        <f>IF(AND(NOT(Y116),AND(Y$4:Y115)),IF($Z116&lt;0,IF($Z116&lt;$J116,EXP(($Z116-$J116)*$G116),EXP(($J116-$Z116)*$G116)),EXP(($Z116-$J116)*$G116)),"")</f>
        <v/>
      </c>
      <c r="AB116" s="107"/>
      <c r="AC116" s="72" t="b">
        <f>IF(AND(NOT(Y116),AND(Y$4:Y115)),TRUE,Y116)</f>
        <v>0</v>
      </c>
      <c r="AD116" s="172" t="e">
        <f>IF(AND(NOT(ISBLANK(Jumpoverwrite5)),AND(NOT(AC116),AND(AC$4:AC115))),($J116*$G116-LN(1+Jumpoverwrite5*AE$2))/$G116,_xll.qlInterpolationInterpolate(AC$3,$F116,TRUE))</f>
        <v>#NUM!</v>
      </c>
      <c r="AE116" s="176" t="str">
        <f>IF(AND(NOT(AC116),AND(AC$4:AC115)),IF($AD116&lt;0,IF($AD116&lt;$J116,EXP(($AD116-$J116)*$G116),EXP(($J116-$AD116)*$G116)),EXP(($AD116-$J116)*$G116)),"")</f>
        <v/>
      </c>
      <c r="AF116" s="107"/>
      <c r="AG116" s="72" t="b">
        <f>IF(AND(NOT(AC116),AND(AC$4:AC115)),TRUE,AC116)</f>
        <v>0</v>
      </c>
      <c r="AH116" s="172" t="e">
        <f>IF(AND(NOT(ISBLANK(Jumpoverwrite6)),AND(NOT(AG116),AND(AG$4:AG115))),($J116*$G116-LN(1+Jumpoverwrite6*AI$2))/$G116,_xll.qlInterpolationInterpolate(AG$3,$F116,TRUE))</f>
        <v>#NUM!</v>
      </c>
      <c r="AI116" s="176" t="str">
        <f>IF(AND(NOT(AG116),AND(AG$4:AG115)),IF($AH116&lt;0,IF($AH116&lt;$J116,EXP(($AH116-$J116)*$G116),EXP(($J116-$AH116)*$G116)),EXP(($AH116-$J116)*$G116)),"")</f>
        <v/>
      </c>
      <c r="AJ116" s="107"/>
      <c r="AK116" s="72" t="b">
        <f>IF(AND(NOT(AG116),AND(AG$4:AG115)),TRUE,AG116)</f>
        <v>0</v>
      </c>
      <c r="AL116" s="172" t="e">
        <f>IF(AND(NOT(ISBLANK(Jumpoverwrite7)),AND(NOT(AK116),AND(AK$4:AK115))),($J116*$G116-LN(1+Jumpoverwrite7*AM$2))/$G116,_xll.qlInterpolationInterpolate(AK$3,$F116,TRUE))</f>
        <v>#NUM!</v>
      </c>
      <c r="AM116" s="176" t="str">
        <f>IF(AND(NOT(AK116),AND(AK$4:AK115)),IF($AL116&lt;0,IF($AL116&lt;$J116,EXP(($AL116-$J116)*$G116),EXP(($J116-$AL116)*$G116)),EXP(($AL116-$J116)*$G116)),"")</f>
        <v/>
      </c>
      <c r="AO116" s="72" t="b">
        <f>IF(AND(NOT(AK116),AND(AK$4:AK115)),TRUE,AK116)</f>
        <v>0</v>
      </c>
      <c r="AP116" s="172" t="e">
        <f>IF(AND(NOT(ISBLANK(Jumpoverwrite8)),AND(NOT(AO116),AND(AO$4:AO115))),($J116*$G116-LN(1+Jumpoverwrite8*AQ$2))/$G116,_xll.qlInterpolationInterpolate(AO$3,$F116,TRUE))</f>
        <v>#NUM!</v>
      </c>
      <c r="AQ116" s="176" t="str">
        <f>IF(AND(NOT(AO116),AND(AO$4:AO115)),IF($AP116&lt;0,IF($AP116&lt;$J116,EXP(($AP116-$J116)*$G116),EXP(($J116-$AP116)*$G116)),EXP(($AP116-$J116)*$G116)),"")</f>
        <v/>
      </c>
      <c r="AS116" s="72" t="b">
        <f>IF(AND(NOT(AO116),AND(AO$4:AO115)),TRUE,AO116)</f>
        <v>0</v>
      </c>
      <c r="AT116" s="172" t="e">
        <f>IF(AND(NOT(ISBLANK(Jumpoverwrite9)),AND(NOT(AS116),AND(AS$4:AS115))),($J116*$G116-LN(1+Jumpoverwrite9*AU$2))/$G116,_xll.qlInterpolationInterpolate(AS$3,$F116,TRUE))</f>
        <v>#NUM!</v>
      </c>
      <c r="AU116" s="176" t="str">
        <f>IF(AND(NOT(AS116),AND(AS$4:AS115)),IF($AT116&lt;0,IF($AT116&lt;$J116,EXP(($AT116-$J116)*$G116),EXP(($J116-$AT116)*$G116)),EXP(($AT116-$J116)*$G116)),"")</f>
        <v/>
      </c>
      <c r="AW116" s="72" t="b">
        <f>IF(AND(NOT(AS116),AND(AS$4:AS115)),TRUE,AS116)</f>
        <v>0</v>
      </c>
      <c r="AX116" s="172" t="e">
        <f>IF(AND(NOT(ISBLANK(Jumpoverwrite10)),AND(NOT(AW116),AND(AW$4:AW115))),($J116*$G116-LN(1+Jumpoverwrite10*AY$2))/$G116,_xll.qlInterpolationInterpolate(AW$3,$F116,TRUE))</f>
        <v>#NUM!</v>
      </c>
      <c r="AY116" s="176" t="str">
        <f>IF(AND(NOT(AW116),AND(AW$4:AW115)),IF($AX116&lt;0,IF($AX116&lt;$J116,EXP(($AX116-$J116)*$G116),EXP(($J116-$AX116)*$G116)),EXP(($AX116-$J116)*$G116)),"")</f>
        <v/>
      </c>
      <c r="BA116" s="72" t="b">
        <f>IF(AND(NOT(AW116),AND(AW$4:AW115)),TRUE,AW116)</f>
        <v>0</v>
      </c>
      <c r="BB116" s="172" t="e">
        <f>IF(AND(NOT(ISBLANK(Jumpoverwrite11)),AND(NOT(BA116),AND(BA$4:BA115))),($J116*$G116-LN(1+Jumpoverwrite11*BC$2))/$G116,_xll.qlInterpolationInterpolate(BA$3,$F116,TRUE))</f>
        <v>#NUM!</v>
      </c>
      <c r="BC116" s="176" t="str">
        <f>IF(AND(NOT(BA116),AND(BA$4:BA115)),IF($BB116&lt;0,IF($BB116&lt;$J116,EXP(($BB116-$J116)*$G116),EXP(($J116-$BB116)*$G116)),EXP(($BB116-$J116)*$G116)),"")</f>
        <v/>
      </c>
      <c r="BE116" s="72" t="b">
        <f>IF(AND(NOT(BA116),AND(BA$4:BA115)),TRUE,BA116)</f>
        <v>0</v>
      </c>
      <c r="BF116" s="172" t="e">
        <f>IF(AND(NOT(ISBLANK(Jumpoverwrite12)),AND(NOT(BE116),AND(BE$4:BE115))),($J116*$G116-LN(1+Jumpoverwrite12*BG$2))/$G116,_xll.qlInterpolationInterpolate(BE$3,$F116,TRUE))</f>
        <v>#NUM!</v>
      </c>
      <c r="BG116" s="176" t="str">
        <f>IF(AND(NOT(BE116),AND(BE$4:BE115)),IF($BF116&lt;0,IF($BF116&lt;$J116,EXP(($BF116-$J116)*$G116),EXP(($J116-$BF116)*$G116)),EXP(($BF116-$J116)*$G116)),"")</f>
        <v/>
      </c>
      <c r="BI116" s="72" t="b">
        <f t="shared" si="10"/>
        <v>0</v>
      </c>
      <c r="BJ116" s="172" t="e">
        <f>IF(AND(NOT(ISBLANK(jumpoverwrite13)),AND(NOT(BI116),AND(BI$4:BI115))),($J116*$G116-LN(1+jumpoverwrite13*BK$2))/$G116,_xll.qlInterpolationInterpolate(BI$3,$F116,TRUE))</f>
        <v>#NUM!</v>
      </c>
      <c r="BK116" s="176" t="str">
        <f>IF(AND(NOT(BI116),AND(BI$4:BI115)),IF($BJ116&lt;0,IF($BJ116&lt;$J116,EXP(($BJ116-$J116)*$G116),EXP(($J116-$BJ116)*$G116)),EXP(($BJ116-$J116)*$G116)),"")</f>
        <v/>
      </c>
      <c r="BM116" s="72" t="b">
        <f>IF(AND(NOT(BI116),AND(BI$4:BI115)),TRUE,BI116)</f>
        <v>0</v>
      </c>
      <c r="BN116" s="172" t="e">
        <f>IF(AND(NOT(ISBLANK(Jumpoverwrite14)),AND(NOT(BM116),AND(BM$4:BM115))),($J116*$G116-LN(1+Jumpoverwrite14*BO$2))/$G116,_xll.qlInterpolationInterpolate(BM$3,$F116,TRUE))</f>
        <v>#NUM!</v>
      </c>
      <c r="BO116" s="176" t="str">
        <f>IF(AND(NOT(BM116),AND(BM$4:BM115)),IF($BN116&lt;0,IF($BN116&lt;$J116,EXP(($BN116-$J116)*$G116),EXP(($J116-$BN116)*$G116)),EXP(($BN116-$J116)*$G116)),"")</f>
        <v/>
      </c>
      <c r="BQ116" s="72" t="b">
        <f>IF(AND(NOT(BM116),AND(BM$4:BM115)),TRUE,BM116)</f>
        <v>0</v>
      </c>
      <c r="BR116" s="172" t="e">
        <f>IF(AND(NOT(ISBLANK(Jumpoverwrite15)),AND(NOT(BQ116),AND(BQ$4:BQ115))),($J116*$G116-LN(1+Jumpoverwrite15*BS$2))/$G116,_xll.qlInterpolationInterpolate(BQ$3,$F116,TRUE))</f>
        <v>#NUM!</v>
      </c>
      <c r="BS116" s="176" t="str">
        <f>IF(AND(NOT(BQ116),AND(BQ$4:BQ115)),IF($BN116&lt;0,IF($BN116&lt;$J116,EXP(($BN116-$J116)*$G116),EXP(($J116-$BN116)*$G116)),EXP(($BN116-$J116)*$G116)),"")</f>
        <v/>
      </c>
    </row>
    <row r="117" spans="1:71" x14ac:dyDescent="0.2">
      <c r="A117" s="33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84" t="e">
        <f t="shared" si="9"/>
        <v>#N/A</v>
      </c>
      <c r="G117" s="85" t="e">
        <f>_xll.qlDayCounterYearFraction(DayCounter,D116,D117)</f>
        <v>#NUM!</v>
      </c>
      <c r="I117" s="93" t="b">
        <f t="shared" si="7"/>
        <v>0</v>
      </c>
      <c r="J117" s="37" t="e">
        <v>#N/A</v>
      </c>
      <c r="K117" s="94" t="e">
        <f t="shared" si="8"/>
        <v>#VALUE!</v>
      </c>
      <c r="L117" s="105"/>
      <c r="M117" s="72" t="b">
        <f>IF(AND(NOT(I117),AND(I$4:I116)),TRUE,I117)</f>
        <v>0</v>
      </c>
      <c r="N117" s="172" t="e">
        <f>IF(AND(NOT(ISBLANK(Jumpoverwrite1)),AND(NOT(M117),AND(M$4:M116))),($J117*$G117-LN(1+Jumpoverwrite1*O$2))/$G117,_xll.qlInterpolationInterpolate(M$3,$F117,TRUE))</f>
        <v>#NUM!</v>
      </c>
      <c r="O117" s="34" t="str">
        <f>IF(AND(NOT(M117),AND(M$4:M116)),IF($N117&lt;0,IF($N117&lt;$J117,EXP(($N117-$J117)*$G117),EXP(($J117-$N117)*$G117)),EXP(($N117-$J117)*$G117)),"")</f>
        <v/>
      </c>
      <c r="P117" s="107"/>
      <c r="Q117" s="72" t="b">
        <f>IF(AND(NOT(M117),AND(M$4:M116)),TRUE,M117)</f>
        <v>0</v>
      </c>
      <c r="R117" s="172" t="e">
        <f>IF(AND(NOT(ISBLANK(Jumpoverwrite2)),AND(NOT(Q117),AND(Q$4:Q116))),($J117*$G117-LN(1+Jumpoverwrite2*S$2))/$G117,_xll.qlInterpolationInterpolate(Q$3,$F117,TRUE))</f>
        <v>#NUM!</v>
      </c>
      <c r="S117" s="176" t="str">
        <f>IF(AND(NOT(Q117),AND(Q$4:Q116)),IF($R117&lt;0,IF($R117&lt;$J117,EXP(($R117-$J117)*$G117),EXP(($J117-$R117)*$G117)),EXP(($R117-$J117)*$G117)),"")</f>
        <v/>
      </c>
      <c r="T117" s="107"/>
      <c r="U117" s="72" t="b">
        <f>IF(AND(NOT(Q117),AND(Q$4:Q116)),TRUE,Q117)</f>
        <v>0</v>
      </c>
      <c r="V117" s="172" t="e">
        <f>IF(AND(NOT(ISBLANK(Jumpoverwrite3)),AND(NOT(U117),AND(U$4:U116))),($J117*$G117-LN(1+Jumpoverwrite3*W$2))/$G117,_xll.qlInterpolationInterpolate(U$3,$F117,TRUE))</f>
        <v>#NUM!</v>
      </c>
      <c r="W117" s="176" t="str">
        <f>IF(AND(NOT(U117),AND(U$4:U116)),IF($V117&lt;0,IF($V117&lt;$J117,EXP(($V117-$J117)*$G117),EXP(($J117-$V117)*$G117)),EXP(($V117-$J117)*$G117)),"")</f>
        <v/>
      </c>
      <c r="X117" s="107"/>
      <c r="Y117" s="72" t="b">
        <f>IF(AND(NOT(U117),AND(U$4:U116)),TRUE,U117)</f>
        <v>0</v>
      </c>
      <c r="Z117" s="172" t="e">
        <f>IF(AND(NOT(ISBLANK(Jumpoverwrite4)),AND(NOT(Y117),AND(Y$4:Y116))),($J117*$G117-LN(1+Jumpoverwrite4*AA$2))/$G117,_xll.qlInterpolationInterpolate(Y$3,$F117,TRUE))</f>
        <v>#NUM!</v>
      </c>
      <c r="AA117" s="176" t="str">
        <f>IF(AND(NOT(Y117),AND(Y$4:Y116)),IF($Z117&lt;0,IF($Z117&lt;$J117,EXP(($Z117-$J117)*$G117),EXP(($J117-$Z117)*$G117)),EXP(($Z117-$J117)*$G117)),"")</f>
        <v/>
      </c>
      <c r="AB117" s="107"/>
      <c r="AC117" s="72" t="b">
        <f>IF(AND(NOT(Y117),AND(Y$4:Y116)),TRUE,Y117)</f>
        <v>0</v>
      </c>
      <c r="AD117" s="172" t="e">
        <f>IF(AND(NOT(ISBLANK(Jumpoverwrite5)),AND(NOT(AC117),AND(AC$4:AC116))),($J117*$G117-LN(1+Jumpoverwrite5*AE$2))/$G117,_xll.qlInterpolationInterpolate(AC$3,$F117,TRUE))</f>
        <v>#NUM!</v>
      </c>
      <c r="AE117" s="176" t="str">
        <f>IF(AND(NOT(AC117),AND(AC$4:AC116)),IF($AD117&lt;0,IF($AD117&lt;$J117,EXP(($AD117-$J117)*$G117),EXP(($J117-$AD117)*$G117)),EXP(($AD117-$J117)*$G117)),"")</f>
        <v/>
      </c>
      <c r="AF117" s="107"/>
      <c r="AG117" s="72" t="b">
        <f>IF(AND(NOT(AC117),AND(AC$4:AC116)),TRUE,AC117)</f>
        <v>0</v>
      </c>
      <c r="AH117" s="172" t="e">
        <f>IF(AND(NOT(ISBLANK(Jumpoverwrite6)),AND(NOT(AG117),AND(AG$4:AG116))),($J117*$G117-LN(1+Jumpoverwrite6*AI$2))/$G117,_xll.qlInterpolationInterpolate(AG$3,$F117,TRUE))</f>
        <v>#NUM!</v>
      </c>
      <c r="AI117" s="176" t="str">
        <f>IF(AND(NOT(AG117),AND(AG$4:AG116)),IF($AH117&lt;0,IF($AH117&lt;$J117,EXP(($AH117-$J117)*$G117),EXP(($J117-$AH117)*$G117)),EXP(($AH117-$J117)*$G117)),"")</f>
        <v/>
      </c>
      <c r="AJ117" s="107"/>
      <c r="AK117" s="72" t="b">
        <f>IF(AND(NOT(AG117),AND(AG$4:AG116)),TRUE,AG117)</f>
        <v>0</v>
      </c>
      <c r="AL117" s="172" t="e">
        <f>IF(AND(NOT(ISBLANK(Jumpoverwrite7)),AND(NOT(AK117),AND(AK$4:AK116))),($J117*$G117-LN(1+Jumpoverwrite7*AM$2))/$G117,_xll.qlInterpolationInterpolate(AK$3,$F117,TRUE))</f>
        <v>#NUM!</v>
      </c>
      <c r="AM117" s="176" t="str">
        <f>IF(AND(NOT(AK117),AND(AK$4:AK116)),IF($AL117&lt;0,IF($AL117&lt;$J117,EXP(($AL117-$J117)*$G117),EXP(($J117-$AL117)*$G117)),EXP(($AL117-$J117)*$G117)),"")</f>
        <v/>
      </c>
      <c r="AO117" s="72" t="b">
        <f>IF(AND(NOT(AK117),AND(AK$4:AK116)),TRUE,AK117)</f>
        <v>0</v>
      </c>
      <c r="AP117" s="172" t="e">
        <f>IF(AND(NOT(ISBLANK(Jumpoverwrite8)),AND(NOT(AO117),AND(AO$4:AO116))),($J117*$G117-LN(1+Jumpoverwrite8*AQ$2))/$G117,_xll.qlInterpolationInterpolate(AO$3,$F117,TRUE))</f>
        <v>#NUM!</v>
      </c>
      <c r="AQ117" s="176" t="str">
        <f>IF(AND(NOT(AO117),AND(AO$4:AO116)),IF($AP117&lt;0,IF($AP117&lt;$J117,EXP(($AP117-$J117)*$G117),EXP(($J117-$AP117)*$G117)),EXP(($AP117-$J117)*$G117)),"")</f>
        <v/>
      </c>
      <c r="AS117" s="72" t="b">
        <f>IF(AND(NOT(AO117),AND(AO$4:AO116)),TRUE,AO117)</f>
        <v>0</v>
      </c>
      <c r="AT117" s="172" t="e">
        <f>IF(AND(NOT(ISBLANK(Jumpoverwrite9)),AND(NOT(AS117),AND(AS$4:AS116))),($J117*$G117-LN(1+Jumpoverwrite9*AU$2))/$G117,_xll.qlInterpolationInterpolate(AS$3,$F117,TRUE))</f>
        <v>#NUM!</v>
      </c>
      <c r="AU117" s="176" t="str">
        <f>IF(AND(NOT(AS117),AND(AS$4:AS116)),IF($AT117&lt;0,IF($AT117&lt;$J117,EXP(($AT117-$J117)*$G117),EXP(($J117-$AT117)*$G117)),EXP(($AT117-$J117)*$G117)),"")</f>
        <v/>
      </c>
      <c r="AW117" s="72" t="b">
        <f>IF(AND(NOT(AS117),AND(AS$4:AS116)),TRUE,AS117)</f>
        <v>0</v>
      </c>
      <c r="AX117" s="172" t="e">
        <f>IF(AND(NOT(ISBLANK(Jumpoverwrite10)),AND(NOT(AW117),AND(AW$4:AW116))),($J117*$G117-LN(1+Jumpoverwrite10*AY$2))/$G117,_xll.qlInterpolationInterpolate(AW$3,$F117,TRUE))</f>
        <v>#NUM!</v>
      </c>
      <c r="AY117" s="176" t="str">
        <f>IF(AND(NOT(AW117),AND(AW$4:AW116)),IF($AX117&lt;0,IF($AX117&lt;$J117,EXP(($AX117-$J117)*$G117),EXP(($J117-$AX117)*$G117)),EXP(($AX117-$J117)*$G117)),"")</f>
        <v/>
      </c>
      <c r="BA117" s="72" t="b">
        <f>IF(AND(NOT(AW117),AND(AW$4:AW116)),TRUE,AW117)</f>
        <v>0</v>
      </c>
      <c r="BB117" s="172" t="e">
        <f>IF(AND(NOT(ISBLANK(Jumpoverwrite11)),AND(NOT(BA117),AND(BA$4:BA116))),($J117*$G117-LN(1+Jumpoverwrite11*BC$2))/$G117,_xll.qlInterpolationInterpolate(BA$3,$F117,TRUE))</f>
        <v>#NUM!</v>
      </c>
      <c r="BC117" s="176" t="str">
        <f>IF(AND(NOT(BA117),AND(BA$4:BA116)),IF($BB117&lt;0,IF($BB117&lt;$J117,EXP(($BB117-$J117)*$G117),EXP(($J117-$BB117)*$G117)),EXP(($BB117-$J117)*$G117)),"")</f>
        <v/>
      </c>
      <c r="BE117" s="72" t="b">
        <f>IF(AND(NOT(BA117),AND(BA$4:BA116)),TRUE,BA117)</f>
        <v>0</v>
      </c>
      <c r="BF117" s="172" t="e">
        <f>IF(AND(NOT(ISBLANK(Jumpoverwrite12)),AND(NOT(BE117),AND(BE$4:BE116))),($J117*$G117-LN(1+Jumpoverwrite12*BG$2))/$G117,_xll.qlInterpolationInterpolate(BE$3,$F117,TRUE))</f>
        <v>#NUM!</v>
      </c>
      <c r="BG117" s="176" t="str">
        <f>IF(AND(NOT(BE117),AND(BE$4:BE116)),IF($BF117&lt;0,IF($BF117&lt;$J117,EXP(($BF117-$J117)*$G117),EXP(($J117-$BF117)*$G117)),EXP(($BF117-$J117)*$G117)),"")</f>
        <v/>
      </c>
      <c r="BI117" s="72" t="b">
        <f t="shared" si="10"/>
        <v>0</v>
      </c>
      <c r="BJ117" s="172" t="e">
        <f>IF(AND(NOT(ISBLANK(jumpoverwrite13)),AND(NOT(BI117),AND(BI$4:BI116))),($J117*$G117-LN(1+jumpoverwrite13*BK$2))/$G117,_xll.qlInterpolationInterpolate(BI$3,$F117,TRUE))</f>
        <v>#NUM!</v>
      </c>
      <c r="BK117" s="176" t="str">
        <f>IF(AND(NOT(BI117),AND(BI$4:BI116)),IF($BJ117&lt;0,IF($BJ117&lt;$J117,EXP(($BJ117-$J117)*$G117),EXP(($J117-$BJ117)*$G117)),EXP(($BJ117-$J117)*$G117)),"")</f>
        <v/>
      </c>
      <c r="BM117" s="72" t="b">
        <f>IF(AND(NOT(BI117),AND(BI$4:BI116)),TRUE,BI117)</f>
        <v>0</v>
      </c>
      <c r="BN117" s="172" t="e">
        <f>IF(AND(NOT(ISBLANK(Jumpoverwrite14)),AND(NOT(BM117),AND(BM$4:BM116))),($J117*$G117-LN(1+Jumpoverwrite14*BO$2))/$G117,_xll.qlInterpolationInterpolate(BM$3,$F117,TRUE))</f>
        <v>#NUM!</v>
      </c>
      <c r="BO117" s="176" t="str">
        <f>IF(AND(NOT(BM117),AND(BM$4:BM116)),IF($BN117&lt;0,IF($BN117&lt;$J117,EXP(($BN117-$J117)*$G117),EXP(($J117-$BN117)*$G117)),EXP(($BN117-$J117)*$G117)),"")</f>
        <v/>
      </c>
      <c r="BQ117" s="72" t="b">
        <f>IF(AND(NOT(BM117),AND(BM$4:BM116)),TRUE,BM117)</f>
        <v>0</v>
      </c>
      <c r="BR117" s="172" t="e">
        <f>IF(AND(NOT(ISBLANK(Jumpoverwrite15)),AND(NOT(BQ117),AND(BQ$4:BQ116))),($J117*$G117-LN(1+Jumpoverwrite15*BS$2))/$G117,_xll.qlInterpolationInterpolate(BQ$3,$F117,TRUE))</f>
        <v>#NUM!</v>
      </c>
      <c r="BS117" s="176" t="str">
        <f>IF(AND(NOT(BQ117),AND(BQ$4:BQ116)),IF($BN117&lt;0,IF($BN117&lt;$J117,EXP(($BN117-$J117)*$G117),EXP(($J117-$BN117)*$G117)),EXP(($BN117-$J117)*$G117)),"")</f>
        <v/>
      </c>
    </row>
    <row r="118" spans="1:71" x14ac:dyDescent="0.2">
      <c r="A118" s="33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84" t="e">
        <f t="shared" si="9"/>
        <v>#N/A</v>
      </c>
      <c r="G118" s="85" t="e">
        <f>_xll.qlDayCounterYearFraction(DayCounter,D117,D118)</f>
        <v>#NUM!</v>
      </c>
      <c r="I118" s="93" t="b">
        <f t="shared" si="7"/>
        <v>0</v>
      </c>
      <c r="J118" s="37" t="e">
        <v>#N/A</v>
      </c>
      <c r="K118" s="94" t="e">
        <f t="shared" si="8"/>
        <v>#VALUE!</v>
      </c>
      <c r="L118" s="105"/>
      <c r="M118" s="72" t="b">
        <f>IF(AND(NOT(I118),AND(I$4:I117)),TRUE,I118)</f>
        <v>0</v>
      </c>
      <c r="N118" s="172" t="e">
        <f>IF(AND(NOT(ISBLANK(Jumpoverwrite1)),AND(NOT(M118),AND(M$4:M117))),($J118*$G118-LN(1+Jumpoverwrite1*O$2))/$G118,_xll.qlInterpolationInterpolate(M$3,$F118,TRUE))</f>
        <v>#NUM!</v>
      </c>
      <c r="O118" s="34" t="str">
        <f>IF(AND(NOT(M118),AND(M$4:M117)),IF($N118&lt;0,IF($N118&lt;$J118,EXP(($N118-$J118)*$G118),EXP(($J118-$N118)*$G118)),EXP(($N118-$J118)*$G118)),"")</f>
        <v/>
      </c>
      <c r="P118" s="107"/>
      <c r="Q118" s="72" t="b">
        <f>IF(AND(NOT(M118),AND(M$4:M117)),TRUE,M118)</f>
        <v>0</v>
      </c>
      <c r="R118" s="172" t="e">
        <f>IF(AND(NOT(ISBLANK(Jumpoverwrite2)),AND(NOT(Q118),AND(Q$4:Q117))),($J118*$G118-LN(1+Jumpoverwrite2*S$2))/$G118,_xll.qlInterpolationInterpolate(Q$3,$F118,TRUE))</f>
        <v>#NUM!</v>
      </c>
      <c r="S118" s="176" t="str">
        <f>IF(AND(NOT(Q118),AND(Q$4:Q117)),IF($R118&lt;0,IF($R118&lt;$J118,EXP(($R118-$J118)*$G118),EXP(($J118-$R118)*$G118)),EXP(($R118-$J118)*$G118)),"")</f>
        <v/>
      </c>
      <c r="T118" s="107"/>
      <c r="U118" s="72" t="b">
        <f>IF(AND(NOT(Q118),AND(Q$4:Q117)),TRUE,Q118)</f>
        <v>0</v>
      </c>
      <c r="V118" s="172" t="e">
        <f>IF(AND(NOT(ISBLANK(Jumpoverwrite3)),AND(NOT(U118),AND(U$4:U117))),($J118*$G118-LN(1+Jumpoverwrite3*W$2))/$G118,_xll.qlInterpolationInterpolate(U$3,$F118,TRUE))</f>
        <v>#NUM!</v>
      </c>
      <c r="W118" s="176" t="str">
        <f>IF(AND(NOT(U118),AND(U$4:U117)),IF($V118&lt;0,IF($V118&lt;$J118,EXP(($V118-$J118)*$G118),EXP(($J118-$V118)*$G118)),EXP(($V118-$J118)*$G118)),"")</f>
        <v/>
      </c>
      <c r="X118" s="107"/>
      <c r="Y118" s="72" t="b">
        <f>IF(AND(NOT(U118),AND(U$4:U117)),TRUE,U118)</f>
        <v>0</v>
      </c>
      <c r="Z118" s="172" t="e">
        <f>IF(AND(NOT(ISBLANK(Jumpoverwrite4)),AND(NOT(Y118),AND(Y$4:Y117))),($J118*$G118-LN(1+Jumpoverwrite4*AA$2))/$G118,_xll.qlInterpolationInterpolate(Y$3,$F118,TRUE))</f>
        <v>#NUM!</v>
      </c>
      <c r="AA118" s="176" t="str">
        <f>IF(AND(NOT(Y118),AND(Y$4:Y117)),IF($Z118&lt;0,IF($Z118&lt;$J118,EXP(($Z118-$J118)*$G118),EXP(($J118-$Z118)*$G118)),EXP(($Z118-$J118)*$G118)),"")</f>
        <v/>
      </c>
      <c r="AB118" s="107"/>
      <c r="AC118" s="72" t="b">
        <f>IF(AND(NOT(Y118),AND(Y$4:Y117)),TRUE,Y118)</f>
        <v>0</v>
      </c>
      <c r="AD118" s="172" t="e">
        <f>IF(AND(NOT(ISBLANK(Jumpoverwrite5)),AND(NOT(AC118),AND(AC$4:AC117))),($J118*$G118-LN(1+Jumpoverwrite5*AE$2))/$G118,_xll.qlInterpolationInterpolate(AC$3,$F118,TRUE))</f>
        <v>#NUM!</v>
      </c>
      <c r="AE118" s="176" t="str">
        <f>IF(AND(NOT(AC118),AND(AC$4:AC117)),IF($AD118&lt;0,IF($AD118&lt;$J118,EXP(($AD118-$J118)*$G118),EXP(($J118-$AD118)*$G118)),EXP(($AD118-$J118)*$G118)),"")</f>
        <v/>
      </c>
      <c r="AF118" s="107"/>
      <c r="AG118" s="72" t="b">
        <f>IF(AND(NOT(AC118),AND(AC$4:AC117)),TRUE,AC118)</f>
        <v>0</v>
      </c>
      <c r="AH118" s="172" t="e">
        <f>IF(AND(NOT(ISBLANK(Jumpoverwrite6)),AND(NOT(AG118),AND(AG$4:AG117))),($J118*$G118-LN(1+Jumpoverwrite6*AI$2))/$G118,_xll.qlInterpolationInterpolate(AG$3,$F118,TRUE))</f>
        <v>#NUM!</v>
      </c>
      <c r="AI118" s="176" t="str">
        <f>IF(AND(NOT(AG118),AND(AG$4:AG117)),IF($AH118&lt;0,IF($AH118&lt;$J118,EXP(($AH118-$J118)*$G118),EXP(($J118-$AH118)*$G118)),EXP(($AH118-$J118)*$G118)),"")</f>
        <v/>
      </c>
      <c r="AJ118" s="107"/>
      <c r="AK118" s="72" t="b">
        <f>IF(AND(NOT(AG118),AND(AG$4:AG117)),TRUE,AG118)</f>
        <v>0</v>
      </c>
      <c r="AL118" s="172" t="e">
        <f>IF(AND(NOT(ISBLANK(Jumpoverwrite7)),AND(NOT(AK118),AND(AK$4:AK117))),($J118*$G118-LN(1+Jumpoverwrite7*AM$2))/$G118,_xll.qlInterpolationInterpolate(AK$3,$F118,TRUE))</f>
        <v>#NUM!</v>
      </c>
      <c r="AM118" s="176" t="str">
        <f>IF(AND(NOT(AK118),AND(AK$4:AK117)),IF($AL118&lt;0,IF($AL118&lt;$J118,EXP(($AL118-$J118)*$G118),EXP(($J118-$AL118)*$G118)),EXP(($AL118-$J118)*$G118)),"")</f>
        <v/>
      </c>
      <c r="AO118" s="72" t="b">
        <f>IF(AND(NOT(AK118),AND(AK$4:AK117)),TRUE,AK118)</f>
        <v>0</v>
      </c>
      <c r="AP118" s="172" t="e">
        <f>IF(AND(NOT(ISBLANK(Jumpoverwrite8)),AND(NOT(AO118),AND(AO$4:AO117))),($J118*$G118-LN(1+Jumpoverwrite8*AQ$2))/$G118,_xll.qlInterpolationInterpolate(AO$3,$F118,TRUE))</f>
        <v>#NUM!</v>
      </c>
      <c r="AQ118" s="176" t="str">
        <f>IF(AND(NOT(AO118),AND(AO$4:AO117)),IF($AP118&lt;0,IF($AP118&lt;$J118,EXP(($AP118-$J118)*$G118),EXP(($J118-$AP118)*$G118)),EXP(($AP118-$J118)*$G118)),"")</f>
        <v/>
      </c>
      <c r="AS118" s="72" t="b">
        <f>IF(AND(NOT(AO118),AND(AO$4:AO117)),TRUE,AO118)</f>
        <v>0</v>
      </c>
      <c r="AT118" s="172" t="e">
        <f>IF(AND(NOT(ISBLANK(Jumpoverwrite9)),AND(NOT(AS118),AND(AS$4:AS117))),($J118*$G118-LN(1+Jumpoverwrite9*AU$2))/$G118,_xll.qlInterpolationInterpolate(AS$3,$F118,TRUE))</f>
        <v>#NUM!</v>
      </c>
      <c r="AU118" s="176" t="str">
        <f>IF(AND(NOT(AS118),AND(AS$4:AS117)),IF($AT118&lt;0,IF($AT118&lt;$J118,EXP(($AT118-$J118)*$G118),EXP(($J118-$AT118)*$G118)),EXP(($AT118-$J118)*$G118)),"")</f>
        <v/>
      </c>
      <c r="AW118" s="72" t="b">
        <f>IF(AND(NOT(AS118),AND(AS$4:AS117)),TRUE,AS118)</f>
        <v>0</v>
      </c>
      <c r="AX118" s="172" t="e">
        <f>IF(AND(NOT(ISBLANK(Jumpoverwrite10)),AND(NOT(AW118),AND(AW$4:AW117))),($J118*$G118-LN(1+Jumpoverwrite10*AY$2))/$G118,_xll.qlInterpolationInterpolate(AW$3,$F118,TRUE))</f>
        <v>#NUM!</v>
      </c>
      <c r="AY118" s="176" t="str">
        <f>IF(AND(NOT(AW118),AND(AW$4:AW117)),IF($AX118&lt;0,IF($AX118&lt;$J118,EXP(($AX118-$J118)*$G118),EXP(($J118-$AX118)*$G118)),EXP(($AX118-$J118)*$G118)),"")</f>
        <v/>
      </c>
      <c r="BA118" s="72" t="b">
        <f>IF(AND(NOT(AW118),AND(AW$4:AW117)),TRUE,AW118)</f>
        <v>0</v>
      </c>
      <c r="BB118" s="172" t="e">
        <f>IF(AND(NOT(ISBLANK(Jumpoverwrite11)),AND(NOT(BA118),AND(BA$4:BA117))),($J118*$G118-LN(1+Jumpoverwrite11*BC$2))/$G118,_xll.qlInterpolationInterpolate(BA$3,$F118,TRUE))</f>
        <v>#NUM!</v>
      </c>
      <c r="BC118" s="176" t="str">
        <f>IF(AND(NOT(BA118),AND(BA$4:BA117)),IF($BB118&lt;0,IF($BB118&lt;$J118,EXP(($BB118-$J118)*$G118),EXP(($J118-$BB118)*$G118)),EXP(($BB118-$J118)*$G118)),"")</f>
        <v/>
      </c>
      <c r="BE118" s="72" t="b">
        <f>IF(AND(NOT(BA118),AND(BA$4:BA117)),TRUE,BA118)</f>
        <v>0</v>
      </c>
      <c r="BF118" s="172" t="e">
        <f>IF(AND(NOT(ISBLANK(Jumpoverwrite12)),AND(NOT(BE118),AND(BE$4:BE117))),($J118*$G118-LN(1+Jumpoverwrite12*BG$2))/$G118,_xll.qlInterpolationInterpolate(BE$3,$F118,TRUE))</f>
        <v>#NUM!</v>
      </c>
      <c r="BG118" s="176" t="str">
        <f>IF(AND(NOT(BE118),AND(BE$4:BE117)),IF($BF118&lt;0,IF($BF118&lt;$J118,EXP(($BF118-$J118)*$G118),EXP(($J118-$BF118)*$G118)),EXP(($BF118-$J118)*$G118)),"")</f>
        <v/>
      </c>
      <c r="BI118" s="72" t="b">
        <f t="shared" si="10"/>
        <v>0</v>
      </c>
      <c r="BJ118" s="172" t="e">
        <f>IF(AND(NOT(ISBLANK(jumpoverwrite13)),AND(NOT(BI118),AND(BI$4:BI117))),($J118*$G118-LN(1+jumpoverwrite13*BK$2))/$G118,_xll.qlInterpolationInterpolate(BI$3,$F118,TRUE))</f>
        <v>#NUM!</v>
      </c>
      <c r="BK118" s="176" t="str">
        <f>IF(AND(NOT(BI118),AND(BI$4:BI117)),IF($BJ118&lt;0,IF($BJ118&lt;$J118,EXP(($BJ118-$J118)*$G118),EXP(($J118-$BJ118)*$G118)),EXP(($BJ118-$J118)*$G118)),"")</f>
        <v/>
      </c>
      <c r="BM118" s="72" t="b">
        <f>IF(AND(NOT(BI118),AND(BI$4:BI117)),TRUE,BI118)</f>
        <v>0</v>
      </c>
      <c r="BN118" s="172" t="e">
        <f>IF(AND(NOT(ISBLANK(Jumpoverwrite14)),AND(NOT(BM118),AND(BM$4:BM117))),($J118*$G118-LN(1+Jumpoverwrite14*BO$2))/$G118,_xll.qlInterpolationInterpolate(BM$3,$F118,TRUE))</f>
        <v>#NUM!</v>
      </c>
      <c r="BO118" s="176" t="str">
        <f>IF(AND(NOT(BM118),AND(BM$4:BM117)),IF($BN118&lt;0,IF($BN118&lt;$J118,EXP(($BN118-$J118)*$G118),EXP(($J118-$BN118)*$G118)),EXP(($BN118-$J118)*$G118)),"")</f>
        <v/>
      </c>
      <c r="BQ118" s="72" t="b">
        <f>IF(AND(NOT(BM118),AND(BM$4:BM117)),TRUE,BM118)</f>
        <v>0</v>
      </c>
      <c r="BR118" s="172" t="e">
        <f>IF(AND(NOT(ISBLANK(Jumpoverwrite15)),AND(NOT(BQ118),AND(BQ$4:BQ117))),($J118*$G118-LN(1+Jumpoverwrite15*BS$2))/$G118,_xll.qlInterpolationInterpolate(BQ$3,$F118,TRUE))</f>
        <v>#NUM!</v>
      </c>
      <c r="BS118" s="176" t="str">
        <f>IF(AND(NOT(BQ118),AND(BQ$4:BQ117)),IF($BN118&lt;0,IF($BN118&lt;$J118,EXP(($BN118-$J118)*$G118),EXP(($J118-$BN118)*$G118)),EXP(($BN118-$J118)*$G118)),"")</f>
        <v/>
      </c>
    </row>
    <row r="119" spans="1:71" x14ac:dyDescent="0.2">
      <c r="A119" s="33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84" t="e">
        <f t="shared" si="9"/>
        <v>#N/A</v>
      </c>
      <c r="G119" s="85" t="e">
        <f>_xll.qlDayCounterYearFraction(DayCounter,D118,D119)</f>
        <v>#NUM!</v>
      </c>
      <c r="I119" s="93" t="b">
        <f t="shared" si="7"/>
        <v>0</v>
      </c>
      <c r="J119" s="37" t="e">
        <v>#N/A</v>
      </c>
      <c r="K119" s="94" t="e">
        <f t="shared" si="8"/>
        <v>#VALUE!</v>
      </c>
      <c r="L119" s="105"/>
      <c r="M119" s="72" t="b">
        <f>IF(AND(NOT(I119),AND(I$4:I118)),TRUE,I119)</f>
        <v>0</v>
      </c>
      <c r="N119" s="172" t="e">
        <f>IF(AND(NOT(ISBLANK(Jumpoverwrite1)),AND(NOT(M119),AND(M$4:M118))),($J119*$G119-LN(1+Jumpoverwrite1*O$2))/$G119,_xll.qlInterpolationInterpolate(M$3,$F119,TRUE))</f>
        <v>#NUM!</v>
      </c>
      <c r="O119" s="34" t="str">
        <f>IF(AND(NOT(M119),AND(M$4:M118)),IF($N119&lt;0,IF($N119&lt;$J119,EXP(($N119-$J119)*$G119),EXP(($J119-$N119)*$G119)),EXP(($N119-$J119)*$G119)),"")</f>
        <v/>
      </c>
      <c r="P119" s="107"/>
      <c r="Q119" s="72" t="b">
        <f>IF(AND(NOT(M119),AND(M$4:M118)),TRUE,M119)</f>
        <v>0</v>
      </c>
      <c r="R119" s="172" t="e">
        <f>IF(AND(NOT(ISBLANK(Jumpoverwrite2)),AND(NOT(Q119),AND(Q$4:Q118))),($J119*$G119-LN(1+Jumpoverwrite2*S$2))/$G119,_xll.qlInterpolationInterpolate(Q$3,$F119,TRUE))</f>
        <v>#NUM!</v>
      </c>
      <c r="S119" s="176" t="str">
        <f>IF(AND(NOT(Q119),AND(Q$4:Q118)),IF($R119&lt;0,IF($R119&lt;$J119,EXP(($R119-$J119)*$G119),EXP(($J119-$R119)*$G119)),EXP(($R119-$J119)*$G119)),"")</f>
        <v/>
      </c>
      <c r="T119" s="107"/>
      <c r="U119" s="72" t="b">
        <f>IF(AND(NOT(Q119),AND(Q$4:Q118)),TRUE,Q119)</f>
        <v>0</v>
      </c>
      <c r="V119" s="172" t="e">
        <f>IF(AND(NOT(ISBLANK(Jumpoverwrite3)),AND(NOT(U119),AND(U$4:U118))),($J119*$G119-LN(1+Jumpoverwrite3*W$2))/$G119,_xll.qlInterpolationInterpolate(U$3,$F119,TRUE))</f>
        <v>#NUM!</v>
      </c>
      <c r="W119" s="176" t="str">
        <f>IF(AND(NOT(U119),AND(U$4:U118)),IF($V119&lt;0,IF($V119&lt;$J119,EXP(($V119-$J119)*$G119),EXP(($J119-$V119)*$G119)),EXP(($V119-$J119)*$G119)),"")</f>
        <v/>
      </c>
      <c r="X119" s="107"/>
      <c r="Y119" s="72" t="b">
        <f>IF(AND(NOT(U119),AND(U$4:U118)),TRUE,U119)</f>
        <v>0</v>
      </c>
      <c r="Z119" s="172" t="e">
        <f>IF(AND(NOT(ISBLANK(Jumpoverwrite4)),AND(NOT(Y119),AND(Y$4:Y118))),($J119*$G119-LN(1+Jumpoverwrite4*AA$2))/$G119,_xll.qlInterpolationInterpolate(Y$3,$F119,TRUE))</f>
        <v>#NUM!</v>
      </c>
      <c r="AA119" s="176" t="str">
        <f>IF(AND(NOT(Y119),AND(Y$4:Y118)),IF($Z119&lt;0,IF($Z119&lt;$J119,EXP(($Z119-$J119)*$G119),EXP(($J119-$Z119)*$G119)),EXP(($Z119-$J119)*$G119)),"")</f>
        <v/>
      </c>
      <c r="AB119" s="107"/>
      <c r="AC119" s="72" t="b">
        <f>IF(AND(NOT(Y119),AND(Y$4:Y118)),TRUE,Y119)</f>
        <v>0</v>
      </c>
      <c r="AD119" s="172" t="e">
        <f>IF(AND(NOT(ISBLANK(Jumpoverwrite5)),AND(NOT(AC119),AND(AC$4:AC118))),($J119*$G119-LN(1+Jumpoverwrite5*AE$2))/$G119,_xll.qlInterpolationInterpolate(AC$3,$F119,TRUE))</f>
        <v>#NUM!</v>
      </c>
      <c r="AE119" s="176" t="str">
        <f>IF(AND(NOT(AC119),AND(AC$4:AC118)),IF($AD119&lt;0,IF($AD119&lt;$J119,EXP(($AD119-$J119)*$G119),EXP(($J119-$AD119)*$G119)),EXP(($AD119-$J119)*$G119)),"")</f>
        <v/>
      </c>
      <c r="AF119" s="107"/>
      <c r="AG119" s="72" t="b">
        <f>IF(AND(NOT(AC119),AND(AC$4:AC118)),TRUE,AC119)</f>
        <v>0</v>
      </c>
      <c r="AH119" s="172" t="e">
        <f>IF(AND(NOT(ISBLANK(Jumpoverwrite6)),AND(NOT(AG119),AND(AG$4:AG118))),($J119*$G119-LN(1+Jumpoverwrite6*AI$2))/$G119,_xll.qlInterpolationInterpolate(AG$3,$F119,TRUE))</f>
        <v>#NUM!</v>
      </c>
      <c r="AI119" s="176" t="str">
        <f>IF(AND(NOT(AG119),AND(AG$4:AG118)),IF($AH119&lt;0,IF($AH119&lt;$J119,EXP(($AH119-$J119)*$G119),EXP(($J119-$AH119)*$G119)),EXP(($AH119-$J119)*$G119)),"")</f>
        <v/>
      </c>
      <c r="AJ119" s="107"/>
      <c r="AK119" s="72" t="b">
        <f>IF(AND(NOT(AG119),AND(AG$4:AG118)),TRUE,AG119)</f>
        <v>0</v>
      </c>
      <c r="AL119" s="172" t="e">
        <f>IF(AND(NOT(ISBLANK(Jumpoverwrite7)),AND(NOT(AK119),AND(AK$4:AK118))),($J119*$G119-LN(1+Jumpoverwrite7*AM$2))/$G119,_xll.qlInterpolationInterpolate(AK$3,$F119,TRUE))</f>
        <v>#NUM!</v>
      </c>
      <c r="AM119" s="176" t="str">
        <f>IF(AND(NOT(AK119),AND(AK$4:AK118)),IF($AL119&lt;0,IF($AL119&lt;$J119,EXP(($AL119-$J119)*$G119),EXP(($J119-$AL119)*$G119)),EXP(($AL119-$J119)*$G119)),"")</f>
        <v/>
      </c>
      <c r="AO119" s="72" t="b">
        <f>IF(AND(NOT(AK119),AND(AK$4:AK118)),TRUE,AK119)</f>
        <v>0</v>
      </c>
      <c r="AP119" s="172" t="e">
        <f>IF(AND(NOT(ISBLANK(Jumpoverwrite8)),AND(NOT(AO119),AND(AO$4:AO118))),($J119*$G119-LN(1+Jumpoverwrite8*AQ$2))/$G119,_xll.qlInterpolationInterpolate(AO$3,$F119,TRUE))</f>
        <v>#NUM!</v>
      </c>
      <c r="AQ119" s="176" t="str">
        <f>IF(AND(NOT(AO119),AND(AO$4:AO118)),IF($AP119&lt;0,IF($AP119&lt;$J119,EXP(($AP119-$J119)*$G119),EXP(($J119-$AP119)*$G119)),EXP(($AP119-$J119)*$G119)),"")</f>
        <v/>
      </c>
      <c r="AS119" s="72" t="b">
        <f>IF(AND(NOT(AO119),AND(AO$4:AO118)),TRUE,AO119)</f>
        <v>0</v>
      </c>
      <c r="AT119" s="172" t="e">
        <f>IF(AND(NOT(ISBLANK(Jumpoverwrite9)),AND(NOT(AS119),AND(AS$4:AS118))),($J119*$G119-LN(1+Jumpoverwrite9*AU$2))/$G119,_xll.qlInterpolationInterpolate(AS$3,$F119,TRUE))</f>
        <v>#NUM!</v>
      </c>
      <c r="AU119" s="176" t="str">
        <f>IF(AND(NOT(AS119),AND(AS$4:AS118)),IF($AT119&lt;0,IF($AT119&lt;$J119,EXP(($AT119-$J119)*$G119),EXP(($J119-$AT119)*$G119)),EXP(($AT119-$J119)*$G119)),"")</f>
        <v/>
      </c>
      <c r="AW119" s="72" t="b">
        <f>IF(AND(NOT(AS119),AND(AS$4:AS118)),TRUE,AS119)</f>
        <v>0</v>
      </c>
      <c r="AX119" s="172" t="e">
        <f>IF(AND(NOT(ISBLANK(Jumpoverwrite10)),AND(NOT(AW119),AND(AW$4:AW118))),($J119*$G119-LN(1+Jumpoverwrite10*AY$2))/$G119,_xll.qlInterpolationInterpolate(AW$3,$F119,TRUE))</f>
        <v>#NUM!</v>
      </c>
      <c r="AY119" s="176" t="str">
        <f>IF(AND(NOT(AW119),AND(AW$4:AW118)),IF($AX119&lt;0,IF($AX119&lt;$J119,EXP(($AX119-$J119)*$G119),EXP(($J119-$AX119)*$G119)),EXP(($AX119-$J119)*$G119)),"")</f>
        <v/>
      </c>
      <c r="BA119" s="72" t="b">
        <f>IF(AND(NOT(AW119),AND(AW$4:AW118)),TRUE,AW119)</f>
        <v>0</v>
      </c>
      <c r="BB119" s="172" t="e">
        <f>IF(AND(NOT(ISBLANK(Jumpoverwrite11)),AND(NOT(BA119),AND(BA$4:BA118))),($J119*$G119-LN(1+Jumpoverwrite11*BC$2))/$G119,_xll.qlInterpolationInterpolate(BA$3,$F119,TRUE))</f>
        <v>#NUM!</v>
      </c>
      <c r="BC119" s="176" t="str">
        <f>IF(AND(NOT(BA119),AND(BA$4:BA118)),IF($BB119&lt;0,IF($BB119&lt;$J119,EXP(($BB119-$J119)*$G119),EXP(($J119-$BB119)*$G119)),EXP(($BB119-$J119)*$G119)),"")</f>
        <v/>
      </c>
      <c r="BE119" s="72" t="b">
        <f>IF(AND(NOT(BA119),AND(BA$4:BA118)),TRUE,BA119)</f>
        <v>0</v>
      </c>
      <c r="BF119" s="172" t="e">
        <f>IF(AND(NOT(ISBLANK(Jumpoverwrite12)),AND(NOT(BE119),AND(BE$4:BE118))),($J119*$G119-LN(1+Jumpoverwrite12*BG$2))/$G119,_xll.qlInterpolationInterpolate(BE$3,$F119,TRUE))</f>
        <v>#NUM!</v>
      </c>
      <c r="BG119" s="176" t="str">
        <f>IF(AND(NOT(BE119),AND(BE$4:BE118)),IF($BF119&lt;0,IF($BF119&lt;$J119,EXP(($BF119-$J119)*$G119),EXP(($J119-$BF119)*$G119)),EXP(($BF119-$J119)*$G119)),"")</f>
        <v/>
      </c>
      <c r="BI119" s="72" t="b">
        <f t="shared" si="10"/>
        <v>0</v>
      </c>
      <c r="BJ119" s="172" t="e">
        <f>IF(AND(NOT(ISBLANK(jumpoverwrite13)),AND(NOT(BI119),AND(BI$4:BI118))),($J119*$G119-LN(1+jumpoverwrite13*BK$2))/$G119,_xll.qlInterpolationInterpolate(BI$3,$F119,TRUE))</f>
        <v>#NUM!</v>
      </c>
      <c r="BK119" s="176" t="str">
        <f>IF(AND(NOT(BI119),AND(BI$4:BI118)),IF($BJ119&lt;0,IF($BJ119&lt;$J119,EXP(($BJ119-$J119)*$G119),EXP(($J119-$BJ119)*$G119)),EXP(($BJ119-$J119)*$G119)),"")</f>
        <v/>
      </c>
      <c r="BM119" s="72" t="b">
        <f>IF(AND(NOT(BI119),AND(BI$4:BI118)),TRUE,BI119)</f>
        <v>0</v>
      </c>
      <c r="BN119" s="172" t="e">
        <f>IF(AND(NOT(ISBLANK(Jumpoverwrite14)),AND(NOT(BM119),AND(BM$4:BM118))),($J119*$G119-LN(1+Jumpoverwrite14*BO$2))/$G119,_xll.qlInterpolationInterpolate(BM$3,$F119,TRUE))</f>
        <v>#NUM!</v>
      </c>
      <c r="BO119" s="176" t="str">
        <f>IF(AND(NOT(BM119),AND(BM$4:BM118)),IF($BN119&lt;0,IF($BN119&lt;$J119,EXP(($BN119-$J119)*$G119),EXP(($J119-$BN119)*$G119)),EXP(($BN119-$J119)*$G119)),"")</f>
        <v/>
      </c>
      <c r="BQ119" s="72" t="b">
        <f>IF(AND(NOT(BM119),AND(BM$4:BM118)),TRUE,BM119)</f>
        <v>0</v>
      </c>
      <c r="BR119" s="172" t="e">
        <f>IF(AND(NOT(ISBLANK(Jumpoverwrite15)),AND(NOT(BQ119),AND(BQ$4:BQ118))),($J119*$G119-LN(1+Jumpoverwrite15*BS$2))/$G119,_xll.qlInterpolationInterpolate(BQ$3,$F119,TRUE))</f>
        <v>#NUM!</v>
      </c>
      <c r="BS119" s="176" t="str">
        <f>IF(AND(NOT(BQ119),AND(BQ$4:BQ118)),IF($BN119&lt;0,IF($BN119&lt;$J119,EXP(($BN119-$J119)*$G119),EXP(($J119-$BN119)*$G119)),EXP(($BN119-$J119)*$G119)),"")</f>
        <v/>
      </c>
    </row>
    <row r="120" spans="1:71" x14ac:dyDescent="0.2">
      <c r="A120" s="33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84" t="e">
        <f t="shared" si="9"/>
        <v>#N/A</v>
      </c>
      <c r="G120" s="85" t="e">
        <f>_xll.qlDayCounterYearFraction(DayCounter,D119,D120)</f>
        <v>#NUM!</v>
      </c>
      <c r="I120" s="93" t="b">
        <f t="shared" si="7"/>
        <v>0</v>
      </c>
      <c r="J120" s="37" t="e">
        <v>#N/A</v>
      </c>
      <c r="K120" s="94" t="e">
        <f t="shared" si="8"/>
        <v>#VALUE!</v>
      </c>
      <c r="L120" s="105"/>
      <c r="M120" s="72" t="b">
        <f>IF(AND(NOT(I120),AND(I$4:I119)),TRUE,I120)</f>
        <v>0</v>
      </c>
      <c r="N120" s="172" t="e">
        <f>IF(AND(NOT(ISBLANK(Jumpoverwrite1)),AND(NOT(M120),AND(M$4:M119))),($J120*$G120-LN(1+Jumpoverwrite1*O$2))/$G120,_xll.qlInterpolationInterpolate(M$3,$F120,TRUE))</f>
        <v>#NUM!</v>
      </c>
      <c r="O120" s="34" t="str">
        <f>IF(AND(NOT(M120),AND(M$4:M119)),IF($N120&lt;0,IF($N120&lt;$J120,EXP(($N120-$J120)*$G120),EXP(($J120-$N120)*$G120)),EXP(($N120-$J120)*$G120)),"")</f>
        <v/>
      </c>
      <c r="P120" s="107"/>
      <c r="Q120" s="72" t="b">
        <f>IF(AND(NOT(M120),AND(M$4:M119)),TRUE,M120)</f>
        <v>0</v>
      </c>
      <c r="R120" s="172" t="e">
        <f>IF(AND(NOT(ISBLANK(Jumpoverwrite2)),AND(NOT(Q120),AND(Q$4:Q119))),($J120*$G120-LN(1+Jumpoverwrite2*S$2))/$G120,_xll.qlInterpolationInterpolate(Q$3,$F120,TRUE))</f>
        <v>#NUM!</v>
      </c>
      <c r="S120" s="176" t="str">
        <f>IF(AND(NOT(Q120),AND(Q$4:Q119)),IF($R120&lt;0,IF($R120&lt;$J120,EXP(($R120-$J120)*$G120),EXP(($J120-$R120)*$G120)),EXP(($R120-$J120)*$G120)),"")</f>
        <v/>
      </c>
      <c r="T120" s="107"/>
      <c r="U120" s="72" t="b">
        <f>IF(AND(NOT(Q120),AND(Q$4:Q119)),TRUE,Q120)</f>
        <v>0</v>
      </c>
      <c r="V120" s="172" t="e">
        <f>IF(AND(NOT(ISBLANK(Jumpoverwrite3)),AND(NOT(U120),AND(U$4:U119))),($J120*$G120-LN(1+Jumpoverwrite3*W$2))/$G120,_xll.qlInterpolationInterpolate(U$3,$F120,TRUE))</f>
        <v>#NUM!</v>
      </c>
      <c r="W120" s="176" t="str">
        <f>IF(AND(NOT(U120),AND(U$4:U119)),IF($V120&lt;0,IF($V120&lt;$J120,EXP(($V120-$J120)*$G120),EXP(($J120-$V120)*$G120)),EXP(($V120-$J120)*$G120)),"")</f>
        <v/>
      </c>
      <c r="X120" s="107"/>
      <c r="Y120" s="72" t="b">
        <f>IF(AND(NOT(U120),AND(U$4:U119)),TRUE,U120)</f>
        <v>0</v>
      </c>
      <c r="Z120" s="172" t="e">
        <f>IF(AND(NOT(ISBLANK(Jumpoverwrite4)),AND(NOT(Y120),AND(Y$4:Y119))),($J120*$G120-LN(1+Jumpoverwrite4*AA$2))/$G120,_xll.qlInterpolationInterpolate(Y$3,$F120,TRUE))</f>
        <v>#NUM!</v>
      </c>
      <c r="AA120" s="176" t="str">
        <f>IF(AND(NOT(Y120),AND(Y$4:Y119)),IF($Z120&lt;0,IF($Z120&lt;$J120,EXP(($Z120-$J120)*$G120),EXP(($J120-$Z120)*$G120)),EXP(($Z120-$J120)*$G120)),"")</f>
        <v/>
      </c>
      <c r="AB120" s="107"/>
      <c r="AC120" s="72" t="b">
        <f>IF(AND(NOT(Y120),AND(Y$4:Y119)),TRUE,Y120)</f>
        <v>0</v>
      </c>
      <c r="AD120" s="172" t="e">
        <f>IF(AND(NOT(ISBLANK(Jumpoverwrite5)),AND(NOT(AC120),AND(AC$4:AC119))),($J120*$G120-LN(1+Jumpoverwrite5*AE$2))/$G120,_xll.qlInterpolationInterpolate(AC$3,$F120,TRUE))</f>
        <v>#NUM!</v>
      </c>
      <c r="AE120" s="176" t="str">
        <f>IF(AND(NOT(AC120),AND(AC$4:AC119)),IF($AD120&lt;0,IF($AD120&lt;$J120,EXP(($AD120-$J120)*$G120),EXP(($J120-$AD120)*$G120)),EXP(($AD120-$J120)*$G120)),"")</f>
        <v/>
      </c>
      <c r="AF120" s="107"/>
      <c r="AG120" s="72" t="b">
        <f>IF(AND(NOT(AC120),AND(AC$4:AC119)),TRUE,AC120)</f>
        <v>0</v>
      </c>
      <c r="AH120" s="172" t="e">
        <f>IF(AND(NOT(ISBLANK(Jumpoverwrite6)),AND(NOT(AG120),AND(AG$4:AG119))),($J120*$G120-LN(1+Jumpoverwrite6*AI$2))/$G120,_xll.qlInterpolationInterpolate(AG$3,$F120,TRUE))</f>
        <v>#NUM!</v>
      </c>
      <c r="AI120" s="176" t="str">
        <f>IF(AND(NOT(AG120),AND(AG$4:AG119)),IF($AH120&lt;0,IF($AH120&lt;$J120,EXP(($AH120-$J120)*$G120),EXP(($J120-$AH120)*$G120)),EXP(($AH120-$J120)*$G120)),"")</f>
        <v/>
      </c>
      <c r="AJ120" s="107"/>
      <c r="AK120" s="72" t="b">
        <f>IF(AND(NOT(AG120),AND(AG$4:AG119)),TRUE,AG120)</f>
        <v>0</v>
      </c>
      <c r="AL120" s="172" t="e">
        <f>IF(AND(NOT(ISBLANK(Jumpoverwrite7)),AND(NOT(AK120),AND(AK$4:AK119))),($J120*$G120-LN(1+Jumpoverwrite7*AM$2))/$G120,_xll.qlInterpolationInterpolate(AK$3,$F120,TRUE))</f>
        <v>#NUM!</v>
      </c>
      <c r="AM120" s="176" t="str">
        <f>IF(AND(NOT(AK120),AND(AK$4:AK119)),IF($AL120&lt;0,IF($AL120&lt;$J120,EXP(($AL120-$J120)*$G120),EXP(($J120-$AL120)*$G120)),EXP(($AL120-$J120)*$G120)),"")</f>
        <v/>
      </c>
      <c r="AO120" s="72" t="b">
        <f>IF(AND(NOT(AK120),AND(AK$4:AK119)),TRUE,AK120)</f>
        <v>0</v>
      </c>
      <c r="AP120" s="172" t="e">
        <f>IF(AND(NOT(ISBLANK(Jumpoverwrite8)),AND(NOT(AO120),AND(AO$4:AO119))),($J120*$G120-LN(1+Jumpoverwrite8*AQ$2))/$G120,_xll.qlInterpolationInterpolate(AO$3,$F120,TRUE))</f>
        <v>#NUM!</v>
      </c>
      <c r="AQ120" s="176" t="str">
        <f>IF(AND(NOT(AO120),AND(AO$4:AO119)),IF($AP120&lt;0,IF($AP120&lt;$J120,EXP(($AP120-$J120)*$G120),EXP(($J120-$AP120)*$G120)),EXP(($AP120-$J120)*$G120)),"")</f>
        <v/>
      </c>
      <c r="AS120" s="72" t="b">
        <f>IF(AND(NOT(AO120),AND(AO$4:AO119)),TRUE,AO120)</f>
        <v>0</v>
      </c>
      <c r="AT120" s="172" t="e">
        <f>IF(AND(NOT(ISBLANK(Jumpoverwrite9)),AND(NOT(AS120),AND(AS$4:AS119))),($J120*$G120-LN(1+Jumpoverwrite9*AU$2))/$G120,_xll.qlInterpolationInterpolate(AS$3,$F120,TRUE))</f>
        <v>#NUM!</v>
      </c>
      <c r="AU120" s="176" t="str">
        <f>IF(AND(NOT(AS120),AND(AS$4:AS119)),IF($AT120&lt;0,IF($AT120&lt;$J120,EXP(($AT120-$J120)*$G120),EXP(($J120-$AT120)*$G120)),EXP(($AT120-$J120)*$G120)),"")</f>
        <v/>
      </c>
      <c r="AW120" s="72" t="b">
        <f>IF(AND(NOT(AS120),AND(AS$4:AS119)),TRUE,AS120)</f>
        <v>0</v>
      </c>
      <c r="AX120" s="172" t="e">
        <f>IF(AND(NOT(ISBLANK(Jumpoverwrite10)),AND(NOT(AW120),AND(AW$4:AW119))),($J120*$G120-LN(1+Jumpoverwrite10*AY$2))/$G120,_xll.qlInterpolationInterpolate(AW$3,$F120,TRUE))</f>
        <v>#NUM!</v>
      </c>
      <c r="AY120" s="176" t="str">
        <f>IF(AND(NOT(AW120),AND(AW$4:AW119)),IF($AX120&lt;0,IF($AX120&lt;$J120,EXP(($AX120-$J120)*$G120),EXP(($J120-$AX120)*$G120)),EXP(($AX120-$J120)*$G120)),"")</f>
        <v/>
      </c>
      <c r="BA120" s="72" t="b">
        <f>IF(AND(NOT(AW120),AND(AW$4:AW119)),TRUE,AW120)</f>
        <v>0</v>
      </c>
      <c r="BB120" s="172" t="e">
        <f>IF(AND(NOT(ISBLANK(Jumpoverwrite11)),AND(NOT(BA120),AND(BA$4:BA119))),($J120*$G120-LN(1+Jumpoverwrite11*BC$2))/$G120,_xll.qlInterpolationInterpolate(BA$3,$F120,TRUE))</f>
        <v>#NUM!</v>
      </c>
      <c r="BC120" s="176" t="str">
        <f>IF(AND(NOT(BA120),AND(BA$4:BA119)),IF($BB120&lt;0,IF($BB120&lt;$J120,EXP(($BB120-$J120)*$G120),EXP(($J120-$BB120)*$G120)),EXP(($BB120-$J120)*$G120)),"")</f>
        <v/>
      </c>
      <c r="BE120" s="72" t="b">
        <f>IF(AND(NOT(BA120),AND(BA$4:BA119)),TRUE,BA120)</f>
        <v>0</v>
      </c>
      <c r="BF120" s="172" t="e">
        <f>IF(AND(NOT(ISBLANK(Jumpoverwrite12)),AND(NOT(BE120),AND(BE$4:BE119))),($J120*$G120-LN(1+Jumpoverwrite12*BG$2))/$G120,_xll.qlInterpolationInterpolate(BE$3,$F120,TRUE))</f>
        <v>#NUM!</v>
      </c>
      <c r="BG120" s="176" t="str">
        <f>IF(AND(NOT(BE120),AND(BE$4:BE119)),IF($BF120&lt;0,IF($BF120&lt;$J120,EXP(($BF120-$J120)*$G120),EXP(($J120-$BF120)*$G120)),EXP(($BF120-$J120)*$G120)),"")</f>
        <v/>
      </c>
      <c r="BI120" s="72" t="b">
        <f t="shared" si="10"/>
        <v>0</v>
      </c>
      <c r="BJ120" s="172" t="e">
        <f>IF(AND(NOT(ISBLANK(jumpoverwrite13)),AND(NOT(BI120),AND(BI$4:BI119))),($J120*$G120-LN(1+jumpoverwrite13*BK$2))/$G120,_xll.qlInterpolationInterpolate(BI$3,$F120,TRUE))</f>
        <v>#NUM!</v>
      </c>
      <c r="BK120" s="176" t="str">
        <f>IF(AND(NOT(BI120),AND(BI$4:BI119)),IF($BJ120&lt;0,IF($BJ120&lt;$J120,EXP(($BJ120-$J120)*$G120),EXP(($J120-$BJ120)*$G120)),EXP(($BJ120-$J120)*$G120)),"")</f>
        <v/>
      </c>
      <c r="BM120" s="72" t="b">
        <f>IF(AND(NOT(BI120),AND(BI$4:BI119)),TRUE,BI120)</f>
        <v>0</v>
      </c>
      <c r="BN120" s="172" t="e">
        <f>IF(AND(NOT(ISBLANK(Jumpoverwrite14)),AND(NOT(BM120),AND(BM$4:BM119))),($J120*$G120-LN(1+Jumpoverwrite14*BO$2))/$G120,_xll.qlInterpolationInterpolate(BM$3,$F120,TRUE))</f>
        <v>#NUM!</v>
      </c>
      <c r="BO120" s="176" t="str">
        <f>IF(AND(NOT(BM120),AND(BM$4:BM119)),IF($BN120&lt;0,IF($BN120&lt;$J120,EXP(($BN120-$J120)*$G120),EXP(($J120-$BN120)*$G120)),EXP(($BN120-$J120)*$G120)),"")</f>
        <v/>
      </c>
      <c r="BQ120" s="72" t="b">
        <f>IF(AND(NOT(BM120),AND(BM$4:BM119)),TRUE,BM120)</f>
        <v>0</v>
      </c>
      <c r="BR120" s="172" t="e">
        <f>IF(AND(NOT(ISBLANK(Jumpoverwrite15)),AND(NOT(BQ120),AND(BQ$4:BQ119))),($J120*$G120-LN(1+Jumpoverwrite15*BS$2))/$G120,_xll.qlInterpolationInterpolate(BQ$3,$F120,TRUE))</f>
        <v>#NUM!</v>
      </c>
      <c r="BS120" s="176" t="str">
        <f>IF(AND(NOT(BQ120),AND(BQ$4:BQ119)),IF($BN120&lt;0,IF($BN120&lt;$J120,EXP(($BN120-$J120)*$G120),EXP(($J120-$BN120)*$G120)),EXP(($BN120-$J120)*$G120)),"")</f>
        <v/>
      </c>
    </row>
    <row r="121" spans="1:71" x14ac:dyDescent="0.2">
      <c r="A121" s="33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84" t="e">
        <f t="shared" si="9"/>
        <v>#N/A</v>
      </c>
      <c r="G121" s="85" t="e">
        <f>_xll.qlDayCounterYearFraction(DayCounter,D120,D121)</f>
        <v>#NUM!</v>
      </c>
      <c r="I121" s="93" t="b">
        <f t="shared" si="7"/>
        <v>0</v>
      </c>
      <c r="J121" s="37" t="e">
        <v>#N/A</v>
      </c>
      <c r="K121" s="94" t="e">
        <f t="shared" si="8"/>
        <v>#VALUE!</v>
      </c>
      <c r="L121" s="105"/>
      <c r="M121" s="72" t="b">
        <f>IF(AND(NOT(I121),AND(I$4:I120)),TRUE,I121)</f>
        <v>0</v>
      </c>
      <c r="N121" s="172" t="e">
        <f>IF(AND(NOT(ISBLANK(Jumpoverwrite1)),AND(NOT(M121),AND(M$4:M120))),($J121*$G121-LN(1+Jumpoverwrite1*O$2))/$G121,_xll.qlInterpolationInterpolate(M$3,$F121,TRUE))</f>
        <v>#NUM!</v>
      </c>
      <c r="O121" s="34" t="str">
        <f>IF(AND(NOT(M121),AND(M$4:M120)),IF($N121&lt;0,IF($N121&lt;$J121,EXP(($N121-$J121)*$G121),EXP(($J121-$N121)*$G121)),EXP(($N121-$J121)*$G121)),"")</f>
        <v/>
      </c>
      <c r="P121" s="107"/>
      <c r="Q121" s="72" t="b">
        <f>IF(AND(NOT(M121),AND(M$4:M120)),TRUE,M121)</f>
        <v>0</v>
      </c>
      <c r="R121" s="172" t="e">
        <f>IF(AND(NOT(ISBLANK(Jumpoverwrite2)),AND(NOT(Q121),AND(Q$4:Q120))),($J121*$G121-LN(1+Jumpoverwrite2*S$2))/$G121,_xll.qlInterpolationInterpolate(Q$3,$F121,TRUE))</f>
        <v>#NUM!</v>
      </c>
      <c r="S121" s="176" t="str">
        <f>IF(AND(NOT(Q121),AND(Q$4:Q120)),IF($R121&lt;0,IF($R121&lt;$J121,EXP(($R121-$J121)*$G121),EXP(($J121-$R121)*$G121)),EXP(($R121-$J121)*$G121)),"")</f>
        <v/>
      </c>
      <c r="T121" s="107"/>
      <c r="U121" s="72" t="b">
        <f>IF(AND(NOT(Q121),AND(Q$4:Q120)),TRUE,Q121)</f>
        <v>0</v>
      </c>
      <c r="V121" s="172" t="e">
        <f>IF(AND(NOT(ISBLANK(Jumpoverwrite3)),AND(NOT(U121),AND(U$4:U120))),($J121*$G121-LN(1+Jumpoverwrite3*W$2))/$G121,_xll.qlInterpolationInterpolate(U$3,$F121,TRUE))</f>
        <v>#NUM!</v>
      </c>
      <c r="W121" s="176" t="str">
        <f>IF(AND(NOT(U121),AND(U$4:U120)),IF($V121&lt;0,IF($V121&lt;$J121,EXP(($V121-$J121)*$G121),EXP(($J121-$V121)*$G121)),EXP(($V121-$J121)*$G121)),"")</f>
        <v/>
      </c>
      <c r="X121" s="107"/>
      <c r="Y121" s="72" t="b">
        <f>IF(AND(NOT(U121),AND(U$4:U120)),TRUE,U121)</f>
        <v>0</v>
      </c>
      <c r="Z121" s="172" t="e">
        <f>IF(AND(NOT(ISBLANK(Jumpoverwrite4)),AND(NOT(Y121),AND(Y$4:Y120))),($J121*$G121-LN(1+Jumpoverwrite4*AA$2))/$G121,_xll.qlInterpolationInterpolate(Y$3,$F121,TRUE))</f>
        <v>#NUM!</v>
      </c>
      <c r="AA121" s="176" t="str">
        <f>IF(AND(NOT(Y121),AND(Y$4:Y120)),IF($Z121&lt;0,IF($Z121&lt;$J121,EXP(($Z121-$J121)*$G121),EXP(($J121-$Z121)*$G121)),EXP(($Z121-$J121)*$G121)),"")</f>
        <v/>
      </c>
      <c r="AB121" s="107"/>
      <c r="AC121" s="72" t="b">
        <f>IF(AND(NOT(Y121),AND(Y$4:Y120)),TRUE,Y121)</f>
        <v>0</v>
      </c>
      <c r="AD121" s="172" t="e">
        <f>IF(AND(NOT(ISBLANK(Jumpoverwrite5)),AND(NOT(AC121),AND(AC$4:AC120))),($J121*$G121-LN(1+Jumpoverwrite5*AE$2))/$G121,_xll.qlInterpolationInterpolate(AC$3,$F121,TRUE))</f>
        <v>#NUM!</v>
      </c>
      <c r="AE121" s="176" t="str">
        <f>IF(AND(NOT(AC121),AND(AC$4:AC120)),IF($AD121&lt;0,IF($AD121&lt;$J121,EXP(($AD121-$J121)*$G121),EXP(($J121-$AD121)*$G121)),EXP(($AD121-$J121)*$G121)),"")</f>
        <v/>
      </c>
      <c r="AF121" s="107"/>
      <c r="AG121" s="72" t="b">
        <f>IF(AND(NOT(AC121),AND(AC$4:AC120)),TRUE,AC121)</f>
        <v>0</v>
      </c>
      <c r="AH121" s="172" t="e">
        <f>IF(AND(NOT(ISBLANK(Jumpoverwrite6)),AND(NOT(AG121),AND(AG$4:AG120))),($J121*$G121-LN(1+Jumpoverwrite6*AI$2))/$G121,_xll.qlInterpolationInterpolate(AG$3,$F121,TRUE))</f>
        <v>#NUM!</v>
      </c>
      <c r="AI121" s="176" t="str">
        <f>IF(AND(NOT(AG121),AND(AG$4:AG120)),IF($AH121&lt;0,IF($AH121&lt;$J121,EXP(($AH121-$J121)*$G121),EXP(($J121-$AH121)*$G121)),EXP(($AH121-$J121)*$G121)),"")</f>
        <v/>
      </c>
      <c r="AJ121" s="107"/>
      <c r="AK121" s="72" t="b">
        <f>IF(AND(NOT(AG121),AND(AG$4:AG120)),TRUE,AG121)</f>
        <v>0</v>
      </c>
      <c r="AL121" s="172" t="e">
        <f>IF(AND(NOT(ISBLANK(Jumpoverwrite7)),AND(NOT(AK121),AND(AK$4:AK120))),($J121*$G121-LN(1+Jumpoverwrite7*AM$2))/$G121,_xll.qlInterpolationInterpolate(AK$3,$F121,TRUE))</f>
        <v>#NUM!</v>
      </c>
      <c r="AM121" s="176" t="str">
        <f>IF(AND(NOT(AK121),AND(AK$4:AK120)),IF($AL121&lt;0,IF($AL121&lt;$J121,EXP(($AL121-$J121)*$G121),EXP(($J121-$AL121)*$G121)),EXP(($AL121-$J121)*$G121)),"")</f>
        <v/>
      </c>
      <c r="AO121" s="72" t="b">
        <f>IF(AND(NOT(AK121),AND(AK$4:AK120)),TRUE,AK121)</f>
        <v>0</v>
      </c>
      <c r="AP121" s="172" t="e">
        <f>IF(AND(NOT(ISBLANK(Jumpoverwrite8)),AND(NOT(AO121),AND(AO$4:AO120))),($J121*$G121-LN(1+Jumpoverwrite8*AQ$2))/$G121,_xll.qlInterpolationInterpolate(AO$3,$F121,TRUE))</f>
        <v>#NUM!</v>
      </c>
      <c r="AQ121" s="176" t="str">
        <f>IF(AND(NOT(AO121),AND(AO$4:AO120)),IF($AP121&lt;0,IF($AP121&lt;$J121,EXP(($AP121-$J121)*$G121),EXP(($J121-$AP121)*$G121)),EXP(($AP121-$J121)*$G121)),"")</f>
        <v/>
      </c>
      <c r="AS121" s="72" t="b">
        <f>IF(AND(NOT(AO121),AND(AO$4:AO120)),TRUE,AO121)</f>
        <v>0</v>
      </c>
      <c r="AT121" s="172" t="e">
        <f>IF(AND(NOT(ISBLANK(Jumpoverwrite9)),AND(NOT(AS121),AND(AS$4:AS120))),($J121*$G121-LN(1+Jumpoverwrite9*AU$2))/$G121,_xll.qlInterpolationInterpolate(AS$3,$F121,TRUE))</f>
        <v>#NUM!</v>
      </c>
      <c r="AU121" s="176" t="str">
        <f>IF(AND(NOT(AS121),AND(AS$4:AS120)),IF($AT121&lt;0,IF($AT121&lt;$J121,EXP(($AT121-$J121)*$G121),EXP(($J121-$AT121)*$G121)),EXP(($AT121-$J121)*$G121)),"")</f>
        <v/>
      </c>
      <c r="AW121" s="72" t="b">
        <f>IF(AND(NOT(AS121),AND(AS$4:AS120)),TRUE,AS121)</f>
        <v>0</v>
      </c>
      <c r="AX121" s="172" t="e">
        <f>IF(AND(NOT(ISBLANK(Jumpoverwrite10)),AND(NOT(AW121),AND(AW$4:AW120))),($J121*$G121-LN(1+Jumpoverwrite10*AY$2))/$G121,_xll.qlInterpolationInterpolate(AW$3,$F121,TRUE))</f>
        <v>#NUM!</v>
      </c>
      <c r="AY121" s="176" t="str">
        <f>IF(AND(NOT(AW121),AND(AW$4:AW120)),IF($AX121&lt;0,IF($AX121&lt;$J121,EXP(($AX121-$J121)*$G121),EXP(($J121-$AX121)*$G121)),EXP(($AX121-$J121)*$G121)),"")</f>
        <v/>
      </c>
      <c r="BA121" s="72" t="b">
        <f>IF(AND(NOT(AW121),AND(AW$4:AW120)),TRUE,AW121)</f>
        <v>0</v>
      </c>
      <c r="BB121" s="172" t="e">
        <f>IF(AND(NOT(ISBLANK(Jumpoverwrite11)),AND(NOT(BA121),AND(BA$4:BA120))),($J121*$G121-LN(1+Jumpoverwrite11*BC$2))/$G121,_xll.qlInterpolationInterpolate(BA$3,$F121,TRUE))</f>
        <v>#NUM!</v>
      </c>
      <c r="BC121" s="176" t="str">
        <f>IF(AND(NOT(BA121),AND(BA$4:BA120)),IF($BB121&lt;0,IF($BB121&lt;$J121,EXP(($BB121-$J121)*$G121),EXP(($J121-$BB121)*$G121)),EXP(($BB121-$J121)*$G121)),"")</f>
        <v/>
      </c>
      <c r="BE121" s="72" t="b">
        <f>IF(AND(NOT(BA121),AND(BA$4:BA120)),TRUE,BA121)</f>
        <v>0</v>
      </c>
      <c r="BF121" s="172" t="e">
        <f>IF(AND(NOT(ISBLANK(Jumpoverwrite12)),AND(NOT(BE121),AND(BE$4:BE120))),($J121*$G121-LN(1+Jumpoverwrite12*BG$2))/$G121,_xll.qlInterpolationInterpolate(BE$3,$F121,TRUE))</f>
        <v>#NUM!</v>
      </c>
      <c r="BG121" s="176" t="str">
        <f>IF(AND(NOT(BE121),AND(BE$4:BE120)),IF($BF121&lt;0,IF($BF121&lt;$J121,EXP(($BF121-$J121)*$G121),EXP(($J121-$BF121)*$G121)),EXP(($BF121-$J121)*$G121)),"")</f>
        <v/>
      </c>
      <c r="BI121" s="72" t="b">
        <f t="shared" si="10"/>
        <v>0</v>
      </c>
      <c r="BJ121" s="172" t="e">
        <f>IF(AND(NOT(ISBLANK(jumpoverwrite13)),AND(NOT(BI121),AND(BI$4:BI120))),($J121*$G121-LN(1+jumpoverwrite13*BK$2))/$G121,_xll.qlInterpolationInterpolate(BI$3,$F121,TRUE))</f>
        <v>#NUM!</v>
      </c>
      <c r="BK121" s="176" t="str">
        <f>IF(AND(NOT(BI121),AND(BI$4:BI120)),IF($BJ121&lt;0,IF($BJ121&lt;$J121,EXP(($BJ121-$J121)*$G121),EXP(($J121-$BJ121)*$G121)),EXP(($BJ121-$J121)*$G121)),"")</f>
        <v/>
      </c>
      <c r="BM121" s="72" t="b">
        <f>IF(AND(NOT(BI121),AND(BI$4:BI120)),TRUE,BI121)</f>
        <v>0</v>
      </c>
      <c r="BN121" s="172" t="e">
        <f>IF(AND(NOT(ISBLANK(Jumpoverwrite14)),AND(NOT(BM121),AND(BM$4:BM120))),($J121*$G121-LN(1+Jumpoverwrite14*BO$2))/$G121,_xll.qlInterpolationInterpolate(BM$3,$F121,TRUE))</f>
        <v>#NUM!</v>
      </c>
      <c r="BO121" s="176" t="str">
        <f>IF(AND(NOT(BM121),AND(BM$4:BM120)),IF($BN121&lt;0,IF($BN121&lt;$J121,EXP(($BN121-$J121)*$G121),EXP(($J121-$BN121)*$G121)),EXP(($BN121-$J121)*$G121)),"")</f>
        <v/>
      </c>
      <c r="BQ121" s="72" t="b">
        <f>IF(AND(NOT(BM121),AND(BM$4:BM120)),TRUE,BM121)</f>
        <v>0</v>
      </c>
      <c r="BR121" s="172" t="e">
        <f>IF(AND(NOT(ISBLANK(Jumpoverwrite15)),AND(NOT(BQ121),AND(BQ$4:BQ120))),($J121*$G121-LN(1+Jumpoverwrite15*BS$2))/$G121,_xll.qlInterpolationInterpolate(BQ$3,$F121,TRUE))</f>
        <v>#NUM!</v>
      </c>
      <c r="BS121" s="176" t="str">
        <f>IF(AND(NOT(BQ121),AND(BQ$4:BQ120)),IF($BN121&lt;0,IF($BN121&lt;$J121,EXP(($BN121-$J121)*$G121),EXP(($J121-$BN121)*$G121)),EXP(($BN121-$J121)*$G121)),"")</f>
        <v/>
      </c>
    </row>
    <row r="122" spans="1:71" x14ac:dyDescent="0.2">
      <c r="A122" s="33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84" t="e">
        <f t="shared" si="9"/>
        <v>#N/A</v>
      </c>
      <c r="G122" s="85" t="e">
        <f>_xll.qlDayCounterYearFraction(DayCounter,D121,D122)</f>
        <v>#NUM!</v>
      </c>
      <c r="I122" s="93" t="b">
        <f t="shared" si="7"/>
        <v>0</v>
      </c>
      <c r="J122" s="37" t="e">
        <v>#N/A</v>
      </c>
      <c r="K122" s="94" t="e">
        <f t="shared" si="8"/>
        <v>#VALUE!</v>
      </c>
      <c r="L122" s="105"/>
      <c r="M122" s="72" t="b">
        <f>IF(AND(NOT(I122),AND(I$4:I121)),TRUE,I122)</f>
        <v>0</v>
      </c>
      <c r="N122" s="172" t="e">
        <f>IF(AND(NOT(ISBLANK(Jumpoverwrite1)),AND(NOT(M122),AND(M$4:M121))),($J122*$G122-LN(1+Jumpoverwrite1*O$2))/$G122,_xll.qlInterpolationInterpolate(M$3,$F122,TRUE))</f>
        <v>#NUM!</v>
      </c>
      <c r="O122" s="34" t="str">
        <f>IF(AND(NOT(M122),AND(M$4:M121)),IF($N122&lt;0,IF($N122&lt;$J122,EXP(($N122-$J122)*$G122),EXP(($J122-$N122)*$G122)),EXP(($N122-$J122)*$G122)),"")</f>
        <v/>
      </c>
      <c r="P122" s="107"/>
      <c r="Q122" s="72" t="b">
        <f>IF(AND(NOT(M122),AND(M$4:M121)),TRUE,M122)</f>
        <v>0</v>
      </c>
      <c r="R122" s="172" t="e">
        <f>IF(AND(NOT(ISBLANK(Jumpoverwrite2)),AND(NOT(Q122),AND(Q$4:Q121))),($J122*$G122-LN(1+Jumpoverwrite2*S$2))/$G122,_xll.qlInterpolationInterpolate(Q$3,$F122,TRUE))</f>
        <v>#NUM!</v>
      </c>
      <c r="S122" s="176" t="str">
        <f>IF(AND(NOT(Q122),AND(Q$4:Q121)),IF($R122&lt;0,IF($R122&lt;$J122,EXP(($R122-$J122)*$G122),EXP(($J122-$R122)*$G122)),EXP(($R122-$J122)*$G122)),"")</f>
        <v/>
      </c>
      <c r="T122" s="107"/>
      <c r="U122" s="72" t="b">
        <f>IF(AND(NOT(Q122),AND(Q$4:Q121)),TRUE,Q122)</f>
        <v>0</v>
      </c>
      <c r="V122" s="172" t="e">
        <f>IF(AND(NOT(ISBLANK(Jumpoverwrite3)),AND(NOT(U122),AND(U$4:U121))),($J122*$G122-LN(1+Jumpoverwrite3*W$2))/$G122,_xll.qlInterpolationInterpolate(U$3,$F122,TRUE))</f>
        <v>#NUM!</v>
      </c>
      <c r="W122" s="176" t="str">
        <f>IF(AND(NOT(U122),AND(U$4:U121)),IF($V122&lt;0,IF($V122&lt;$J122,EXP(($V122-$J122)*$G122),EXP(($J122-$V122)*$G122)),EXP(($V122-$J122)*$G122)),"")</f>
        <v/>
      </c>
      <c r="X122" s="107"/>
      <c r="Y122" s="72" t="b">
        <f>IF(AND(NOT(U122),AND(U$4:U121)),TRUE,U122)</f>
        <v>0</v>
      </c>
      <c r="Z122" s="172" t="e">
        <f>IF(AND(NOT(ISBLANK(Jumpoverwrite4)),AND(NOT(Y122),AND(Y$4:Y121))),($J122*$G122-LN(1+Jumpoverwrite4*AA$2))/$G122,_xll.qlInterpolationInterpolate(Y$3,$F122,TRUE))</f>
        <v>#NUM!</v>
      </c>
      <c r="AA122" s="176" t="str">
        <f>IF(AND(NOT(Y122),AND(Y$4:Y121)),IF($Z122&lt;0,IF($Z122&lt;$J122,EXP(($Z122-$J122)*$G122),EXP(($J122-$Z122)*$G122)),EXP(($Z122-$J122)*$G122)),"")</f>
        <v/>
      </c>
      <c r="AB122" s="107"/>
      <c r="AC122" s="72" t="b">
        <f>IF(AND(NOT(Y122),AND(Y$4:Y121)),TRUE,Y122)</f>
        <v>0</v>
      </c>
      <c r="AD122" s="172" t="e">
        <f>IF(AND(NOT(ISBLANK(Jumpoverwrite5)),AND(NOT(AC122),AND(AC$4:AC121))),($J122*$G122-LN(1+Jumpoverwrite5*AE$2))/$G122,_xll.qlInterpolationInterpolate(AC$3,$F122,TRUE))</f>
        <v>#NUM!</v>
      </c>
      <c r="AE122" s="176" t="str">
        <f>IF(AND(NOT(AC122),AND(AC$4:AC121)),IF($AD122&lt;0,IF($AD122&lt;$J122,EXP(($AD122-$J122)*$G122),EXP(($J122-$AD122)*$G122)),EXP(($AD122-$J122)*$G122)),"")</f>
        <v/>
      </c>
      <c r="AF122" s="107"/>
      <c r="AG122" s="72" t="b">
        <f>IF(AND(NOT(AC122),AND(AC$4:AC121)),TRUE,AC122)</f>
        <v>0</v>
      </c>
      <c r="AH122" s="172" t="e">
        <f>IF(AND(NOT(ISBLANK(Jumpoverwrite6)),AND(NOT(AG122),AND(AG$4:AG121))),($J122*$G122-LN(1+Jumpoverwrite6*AI$2))/$G122,_xll.qlInterpolationInterpolate(AG$3,$F122,TRUE))</f>
        <v>#NUM!</v>
      </c>
      <c r="AI122" s="176" t="str">
        <f>IF(AND(NOT(AG122),AND(AG$4:AG121)),IF($AH122&lt;0,IF($AH122&lt;$J122,EXP(($AH122-$J122)*$G122),EXP(($J122-$AH122)*$G122)),EXP(($AH122-$J122)*$G122)),"")</f>
        <v/>
      </c>
      <c r="AJ122" s="107"/>
      <c r="AK122" s="72" t="b">
        <f>IF(AND(NOT(AG122),AND(AG$4:AG121)),TRUE,AG122)</f>
        <v>0</v>
      </c>
      <c r="AL122" s="172" t="e">
        <f>IF(AND(NOT(ISBLANK(Jumpoverwrite7)),AND(NOT(AK122),AND(AK$4:AK121))),($J122*$G122-LN(1+Jumpoverwrite7*AM$2))/$G122,_xll.qlInterpolationInterpolate(AK$3,$F122,TRUE))</f>
        <v>#NUM!</v>
      </c>
      <c r="AM122" s="176" t="str">
        <f>IF(AND(NOT(AK122),AND(AK$4:AK121)),IF($AL122&lt;0,IF($AL122&lt;$J122,EXP(($AL122-$J122)*$G122),EXP(($J122-$AL122)*$G122)),EXP(($AL122-$J122)*$G122)),"")</f>
        <v/>
      </c>
      <c r="AO122" s="72" t="b">
        <f>IF(AND(NOT(AK122),AND(AK$4:AK121)),TRUE,AK122)</f>
        <v>0</v>
      </c>
      <c r="AP122" s="172" t="e">
        <f>IF(AND(NOT(ISBLANK(Jumpoverwrite8)),AND(NOT(AO122),AND(AO$4:AO121))),($J122*$G122-LN(1+Jumpoverwrite8*AQ$2))/$G122,_xll.qlInterpolationInterpolate(AO$3,$F122,TRUE))</f>
        <v>#NUM!</v>
      </c>
      <c r="AQ122" s="176" t="str">
        <f>IF(AND(NOT(AO122),AND(AO$4:AO121)),IF($AP122&lt;0,IF($AP122&lt;$J122,EXP(($AP122-$J122)*$G122),EXP(($J122-$AP122)*$G122)),EXP(($AP122-$J122)*$G122)),"")</f>
        <v/>
      </c>
      <c r="AS122" s="72" t="b">
        <f>IF(AND(NOT(AO122),AND(AO$4:AO121)),TRUE,AO122)</f>
        <v>0</v>
      </c>
      <c r="AT122" s="172" t="e">
        <f>IF(AND(NOT(ISBLANK(Jumpoverwrite9)),AND(NOT(AS122),AND(AS$4:AS121))),($J122*$G122-LN(1+Jumpoverwrite9*AU$2))/$G122,_xll.qlInterpolationInterpolate(AS$3,$F122,TRUE))</f>
        <v>#NUM!</v>
      </c>
      <c r="AU122" s="176" t="str">
        <f>IF(AND(NOT(AS122),AND(AS$4:AS121)),IF($AT122&lt;0,IF($AT122&lt;$J122,EXP(($AT122-$J122)*$G122),EXP(($J122-$AT122)*$G122)),EXP(($AT122-$J122)*$G122)),"")</f>
        <v/>
      </c>
      <c r="AW122" s="72" t="b">
        <f>IF(AND(NOT(AS122),AND(AS$4:AS121)),TRUE,AS122)</f>
        <v>0</v>
      </c>
      <c r="AX122" s="172" t="e">
        <f>IF(AND(NOT(ISBLANK(Jumpoverwrite10)),AND(NOT(AW122),AND(AW$4:AW121))),($J122*$G122-LN(1+Jumpoverwrite10*AY$2))/$G122,_xll.qlInterpolationInterpolate(AW$3,$F122,TRUE))</f>
        <v>#NUM!</v>
      </c>
      <c r="AY122" s="176" t="str">
        <f>IF(AND(NOT(AW122),AND(AW$4:AW121)),IF($AX122&lt;0,IF($AX122&lt;$J122,EXP(($AX122-$J122)*$G122),EXP(($J122-$AX122)*$G122)),EXP(($AX122-$J122)*$G122)),"")</f>
        <v/>
      </c>
      <c r="BA122" s="72" t="b">
        <f>IF(AND(NOT(AW122),AND(AW$4:AW121)),TRUE,AW122)</f>
        <v>0</v>
      </c>
      <c r="BB122" s="172" t="e">
        <f>IF(AND(NOT(ISBLANK(Jumpoverwrite11)),AND(NOT(BA122),AND(BA$4:BA121))),($J122*$G122-LN(1+Jumpoverwrite11*BC$2))/$G122,_xll.qlInterpolationInterpolate(BA$3,$F122,TRUE))</f>
        <v>#NUM!</v>
      </c>
      <c r="BC122" s="176" t="str">
        <f>IF(AND(NOT(BA122),AND(BA$4:BA121)),IF($BB122&lt;0,IF($BB122&lt;$J122,EXP(($BB122-$J122)*$G122),EXP(($J122-$BB122)*$G122)),EXP(($BB122-$J122)*$G122)),"")</f>
        <v/>
      </c>
      <c r="BE122" s="72" t="b">
        <f>IF(AND(NOT(BA122),AND(BA$4:BA121)),TRUE,BA122)</f>
        <v>0</v>
      </c>
      <c r="BF122" s="172" t="e">
        <f>IF(AND(NOT(ISBLANK(Jumpoverwrite12)),AND(NOT(BE122),AND(BE$4:BE121))),($J122*$G122-LN(1+Jumpoverwrite12*BG$2))/$G122,_xll.qlInterpolationInterpolate(BE$3,$F122,TRUE))</f>
        <v>#NUM!</v>
      </c>
      <c r="BG122" s="176" t="str">
        <f>IF(AND(NOT(BE122),AND(BE$4:BE121)),IF($BF122&lt;0,IF($BF122&lt;$J122,EXP(($BF122-$J122)*$G122),EXP(($J122-$BF122)*$G122)),EXP(($BF122-$J122)*$G122)),"")</f>
        <v/>
      </c>
      <c r="BI122" s="72" t="b">
        <f t="shared" si="10"/>
        <v>0</v>
      </c>
      <c r="BJ122" s="172" t="e">
        <f>IF(AND(NOT(ISBLANK(jumpoverwrite13)),AND(NOT(BI122),AND(BI$4:BI121))),($J122*$G122-LN(1+jumpoverwrite13*BK$2))/$G122,_xll.qlInterpolationInterpolate(BI$3,$F122,TRUE))</f>
        <v>#NUM!</v>
      </c>
      <c r="BK122" s="176" t="str">
        <f>IF(AND(NOT(BI122),AND(BI$4:BI121)),IF($BJ122&lt;0,IF($BJ122&lt;$J122,EXP(($BJ122-$J122)*$G122),EXP(($J122-$BJ122)*$G122)),EXP(($BJ122-$J122)*$G122)),"")</f>
        <v/>
      </c>
      <c r="BM122" s="72" t="b">
        <f>IF(AND(NOT(BI122),AND(BI$4:BI121)),TRUE,BI122)</f>
        <v>0</v>
      </c>
      <c r="BN122" s="172" t="e">
        <f>IF(AND(NOT(ISBLANK(Jumpoverwrite14)),AND(NOT(BM122),AND(BM$4:BM121))),($J122*$G122-LN(1+Jumpoverwrite14*BO$2))/$G122,_xll.qlInterpolationInterpolate(BM$3,$F122,TRUE))</f>
        <v>#NUM!</v>
      </c>
      <c r="BO122" s="176" t="str">
        <f>IF(AND(NOT(BM122),AND(BM$4:BM121)),IF($BN122&lt;0,IF($BN122&lt;$J122,EXP(($BN122-$J122)*$G122),EXP(($J122-$BN122)*$G122)),EXP(($BN122-$J122)*$G122)),"")</f>
        <v/>
      </c>
      <c r="BQ122" s="72" t="b">
        <f>IF(AND(NOT(BM122),AND(BM$4:BM121)),TRUE,BM122)</f>
        <v>0</v>
      </c>
      <c r="BR122" s="172" t="e">
        <f>IF(AND(NOT(ISBLANK(Jumpoverwrite15)),AND(NOT(BQ122),AND(BQ$4:BQ121))),($J122*$G122-LN(1+Jumpoverwrite15*BS$2))/$G122,_xll.qlInterpolationInterpolate(BQ$3,$F122,TRUE))</f>
        <v>#NUM!</v>
      </c>
      <c r="BS122" s="176" t="str">
        <f>IF(AND(NOT(BQ122),AND(BQ$4:BQ121)),IF($BN122&lt;0,IF($BN122&lt;$J122,EXP(($BN122-$J122)*$G122),EXP(($J122-$BN122)*$G122)),EXP(($BN122-$J122)*$G122)),"")</f>
        <v/>
      </c>
    </row>
    <row r="123" spans="1:71" x14ac:dyDescent="0.2">
      <c r="A123" s="33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84" t="e">
        <f t="shared" si="9"/>
        <v>#N/A</v>
      </c>
      <c r="G123" s="85" t="e">
        <f>_xll.qlDayCounterYearFraction(DayCounter,D122,D123)</f>
        <v>#NUM!</v>
      </c>
      <c r="I123" s="93" t="b">
        <f t="shared" si="7"/>
        <v>0</v>
      </c>
      <c r="J123" s="37" t="e">
        <v>#N/A</v>
      </c>
      <c r="K123" s="94" t="e">
        <f t="shared" si="8"/>
        <v>#VALUE!</v>
      </c>
      <c r="L123" s="105"/>
      <c r="M123" s="72" t="b">
        <f>IF(AND(NOT(I123),AND(I$4:I122)),TRUE,I123)</f>
        <v>0</v>
      </c>
      <c r="N123" s="172" t="e">
        <f>IF(AND(NOT(ISBLANK(Jumpoverwrite1)),AND(NOT(M123),AND(M$4:M122))),($J123*$G123-LN(1+Jumpoverwrite1*O$2))/$G123,_xll.qlInterpolationInterpolate(M$3,$F123,TRUE))</f>
        <v>#NUM!</v>
      </c>
      <c r="O123" s="34" t="str">
        <f>IF(AND(NOT(M123),AND(M$4:M122)),IF($N123&lt;0,IF($N123&lt;$J123,EXP(($N123-$J123)*$G123),EXP(($J123-$N123)*$G123)),EXP(($N123-$J123)*$G123)),"")</f>
        <v/>
      </c>
      <c r="P123" s="107"/>
      <c r="Q123" s="72" t="b">
        <f>IF(AND(NOT(M123),AND(M$4:M122)),TRUE,M123)</f>
        <v>0</v>
      </c>
      <c r="R123" s="172" t="e">
        <f>IF(AND(NOT(ISBLANK(Jumpoverwrite2)),AND(NOT(Q123),AND(Q$4:Q122))),($J123*$G123-LN(1+Jumpoverwrite2*S$2))/$G123,_xll.qlInterpolationInterpolate(Q$3,$F123,TRUE))</f>
        <v>#NUM!</v>
      </c>
      <c r="S123" s="176" t="str">
        <f>IF(AND(NOT(Q123),AND(Q$4:Q122)),IF($R123&lt;0,IF($R123&lt;$J123,EXP(($R123-$J123)*$G123),EXP(($J123-$R123)*$G123)),EXP(($R123-$J123)*$G123)),"")</f>
        <v/>
      </c>
      <c r="T123" s="107"/>
      <c r="U123" s="72" t="b">
        <f>IF(AND(NOT(Q123),AND(Q$4:Q122)),TRUE,Q123)</f>
        <v>0</v>
      </c>
      <c r="V123" s="172" t="e">
        <f>IF(AND(NOT(ISBLANK(Jumpoverwrite3)),AND(NOT(U123),AND(U$4:U122))),($J123*$G123-LN(1+Jumpoverwrite3*W$2))/$G123,_xll.qlInterpolationInterpolate(U$3,$F123,TRUE))</f>
        <v>#NUM!</v>
      </c>
      <c r="W123" s="176" t="str">
        <f>IF(AND(NOT(U123),AND(U$4:U122)),IF($V123&lt;0,IF($V123&lt;$J123,EXP(($V123-$J123)*$G123),EXP(($J123-$V123)*$G123)),EXP(($V123-$J123)*$G123)),"")</f>
        <v/>
      </c>
      <c r="X123" s="107"/>
      <c r="Y123" s="72" t="b">
        <f>IF(AND(NOT(U123),AND(U$4:U122)),TRUE,U123)</f>
        <v>0</v>
      </c>
      <c r="Z123" s="172" t="e">
        <f>IF(AND(NOT(ISBLANK(Jumpoverwrite4)),AND(NOT(Y123),AND(Y$4:Y122))),($J123*$G123-LN(1+Jumpoverwrite4*AA$2))/$G123,_xll.qlInterpolationInterpolate(Y$3,$F123,TRUE))</f>
        <v>#NUM!</v>
      </c>
      <c r="AA123" s="176" t="str">
        <f>IF(AND(NOT(Y123),AND(Y$4:Y122)),IF($Z123&lt;0,IF($Z123&lt;$J123,EXP(($Z123-$J123)*$G123),EXP(($J123-$Z123)*$G123)),EXP(($Z123-$J123)*$G123)),"")</f>
        <v/>
      </c>
      <c r="AB123" s="107"/>
      <c r="AC123" s="72" t="b">
        <f>IF(AND(NOT(Y123),AND(Y$4:Y122)),TRUE,Y123)</f>
        <v>0</v>
      </c>
      <c r="AD123" s="172" t="e">
        <f>IF(AND(NOT(ISBLANK(Jumpoverwrite5)),AND(NOT(AC123),AND(AC$4:AC122))),($J123*$G123-LN(1+Jumpoverwrite5*AE$2))/$G123,_xll.qlInterpolationInterpolate(AC$3,$F123,TRUE))</f>
        <v>#NUM!</v>
      </c>
      <c r="AE123" s="176" t="str">
        <f>IF(AND(NOT(AC123),AND(AC$4:AC122)),IF($AD123&lt;0,IF($AD123&lt;$J123,EXP(($AD123-$J123)*$G123),EXP(($J123-$AD123)*$G123)),EXP(($AD123-$J123)*$G123)),"")</f>
        <v/>
      </c>
      <c r="AF123" s="107"/>
      <c r="AG123" s="72" t="b">
        <f>IF(AND(NOT(AC123),AND(AC$4:AC122)),TRUE,AC123)</f>
        <v>0</v>
      </c>
      <c r="AH123" s="172" t="e">
        <f>IF(AND(NOT(ISBLANK(Jumpoverwrite6)),AND(NOT(AG123),AND(AG$4:AG122))),($J123*$G123-LN(1+Jumpoverwrite6*AI$2))/$G123,_xll.qlInterpolationInterpolate(AG$3,$F123,TRUE))</f>
        <v>#NUM!</v>
      </c>
      <c r="AI123" s="176" t="str">
        <f>IF(AND(NOT(AG123),AND(AG$4:AG122)),IF($AH123&lt;0,IF($AH123&lt;$J123,EXP(($AH123-$J123)*$G123),EXP(($J123-$AH123)*$G123)),EXP(($AH123-$J123)*$G123)),"")</f>
        <v/>
      </c>
      <c r="AJ123" s="107"/>
      <c r="AK123" s="72" t="b">
        <f>IF(AND(NOT(AG123),AND(AG$4:AG122)),TRUE,AG123)</f>
        <v>0</v>
      </c>
      <c r="AL123" s="172" t="e">
        <f>IF(AND(NOT(ISBLANK(Jumpoverwrite7)),AND(NOT(AK123),AND(AK$4:AK122))),($J123*$G123-LN(1+Jumpoverwrite7*AM$2))/$G123,_xll.qlInterpolationInterpolate(AK$3,$F123,TRUE))</f>
        <v>#NUM!</v>
      </c>
      <c r="AM123" s="176" t="str">
        <f>IF(AND(NOT(AK123),AND(AK$4:AK122)),IF($AL123&lt;0,IF($AL123&lt;$J123,EXP(($AL123-$J123)*$G123),EXP(($J123-$AL123)*$G123)),EXP(($AL123-$J123)*$G123)),"")</f>
        <v/>
      </c>
      <c r="AO123" s="72" t="b">
        <f>IF(AND(NOT(AK123),AND(AK$4:AK122)),TRUE,AK123)</f>
        <v>0</v>
      </c>
      <c r="AP123" s="172" t="e">
        <f>IF(AND(NOT(ISBLANK(Jumpoverwrite8)),AND(NOT(AO123),AND(AO$4:AO122))),($J123*$G123-LN(1+Jumpoverwrite8*AQ$2))/$G123,_xll.qlInterpolationInterpolate(AO$3,$F123,TRUE))</f>
        <v>#NUM!</v>
      </c>
      <c r="AQ123" s="176" t="str">
        <f>IF(AND(NOT(AO123),AND(AO$4:AO122)),IF($AP123&lt;0,IF($AP123&lt;$J123,EXP(($AP123-$J123)*$G123),EXP(($J123-$AP123)*$G123)),EXP(($AP123-$J123)*$G123)),"")</f>
        <v/>
      </c>
      <c r="AS123" s="72" t="b">
        <f>IF(AND(NOT(AO123),AND(AO$4:AO122)),TRUE,AO123)</f>
        <v>0</v>
      </c>
      <c r="AT123" s="172" t="e">
        <f>IF(AND(NOT(ISBLANK(Jumpoverwrite9)),AND(NOT(AS123),AND(AS$4:AS122))),($J123*$G123-LN(1+Jumpoverwrite9*AU$2))/$G123,_xll.qlInterpolationInterpolate(AS$3,$F123,TRUE))</f>
        <v>#NUM!</v>
      </c>
      <c r="AU123" s="176" t="str">
        <f>IF(AND(NOT(AS123),AND(AS$4:AS122)),IF($AT123&lt;0,IF($AT123&lt;$J123,EXP(($AT123-$J123)*$G123),EXP(($J123-$AT123)*$G123)),EXP(($AT123-$J123)*$G123)),"")</f>
        <v/>
      </c>
      <c r="AW123" s="72" t="b">
        <f>IF(AND(NOT(AS123),AND(AS$4:AS122)),TRUE,AS123)</f>
        <v>0</v>
      </c>
      <c r="AX123" s="172" t="e">
        <f>IF(AND(NOT(ISBLANK(Jumpoverwrite10)),AND(NOT(AW123),AND(AW$4:AW122))),($J123*$G123-LN(1+Jumpoverwrite10*AY$2))/$G123,_xll.qlInterpolationInterpolate(AW$3,$F123,TRUE))</f>
        <v>#NUM!</v>
      </c>
      <c r="AY123" s="176" t="str">
        <f>IF(AND(NOT(AW123),AND(AW$4:AW122)),IF($AX123&lt;0,IF($AX123&lt;$J123,EXP(($AX123-$J123)*$G123),EXP(($J123-$AX123)*$G123)),EXP(($AX123-$J123)*$G123)),"")</f>
        <v/>
      </c>
      <c r="BA123" s="72" t="b">
        <f>IF(AND(NOT(AW123),AND(AW$4:AW122)),TRUE,AW123)</f>
        <v>0</v>
      </c>
      <c r="BB123" s="172" t="e">
        <f>IF(AND(NOT(ISBLANK(Jumpoverwrite11)),AND(NOT(BA123),AND(BA$4:BA122))),($J123*$G123-LN(1+Jumpoverwrite11*BC$2))/$G123,_xll.qlInterpolationInterpolate(BA$3,$F123,TRUE))</f>
        <v>#NUM!</v>
      </c>
      <c r="BC123" s="176" t="str">
        <f>IF(AND(NOT(BA123),AND(BA$4:BA122)),IF($BB123&lt;0,IF($BB123&lt;$J123,EXP(($BB123-$J123)*$G123),EXP(($J123-$BB123)*$G123)),EXP(($BB123-$J123)*$G123)),"")</f>
        <v/>
      </c>
      <c r="BE123" s="72" t="b">
        <f>IF(AND(NOT(BA123),AND(BA$4:BA122)),TRUE,BA123)</f>
        <v>0</v>
      </c>
      <c r="BF123" s="172" t="e">
        <f>IF(AND(NOT(ISBLANK(Jumpoverwrite12)),AND(NOT(BE123),AND(BE$4:BE122))),($J123*$G123-LN(1+Jumpoverwrite12*BG$2))/$G123,_xll.qlInterpolationInterpolate(BE$3,$F123,TRUE))</f>
        <v>#NUM!</v>
      </c>
      <c r="BG123" s="176" t="str">
        <f>IF(AND(NOT(BE123),AND(BE$4:BE122)),IF($BF123&lt;0,IF($BF123&lt;$J123,EXP(($BF123-$J123)*$G123),EXP(($J123-$BF123)*$G123)),EXP(($BF123-$J123)*$G123)),"")</f>
        <v/>
      </c>
      <c r="BI123" s="72" t="b">
        <f t="shared" si="10"/>
        <v>0</v>
      </c>
      <c r="BJ123" s="172" t="e">
        <f>IF(AND(NOT(ISBLANK(jumpoverwrite13)),AND(NOT(BI123),AND(BI$4:BI122))),($J123*$G123-LN(1+jumpoverwrite13*BK$2))/$G123,_xll.qlInterpolationInterpolate(BI$3,$F123,TRUE))</f>
        <v>#NUM!</v>
      </c>
      <c r="BK123" s="176" t="str">
        <f>IF(AND(NOT(BI123),AND(BI$4:BI122)),IF($BJ123&lt;0,IF($BJ123&lt;$J123,EXP(($BJ123-$J123)*$G123),EXP(($J123-$BJ123)*$G123)),EXP(($BJ123-$J123)*$G123)),"")</f>
        <v/>
      </c>
      <c r="BM123" s="72" t="b">
        <f>IF(AND(NOT(BI123),AND(BI$4:BI122)),TRUE,BI123)</f>
        <v>0</v>
      </c>
      <c r="BN123" s="172" t="e">
        <f>IF(AND(NOT(ISBLANK(Jumpoverwrite14)),AND(NOT(BM123),AND(BM$4:BM122))),($J123*$G123-LN(1+Jumpoverwrite14*BO$2))/$G123,_xll.qlInterpolationInterpolate(BM$3,$F123,TRUE))</f>
        <v>#NUM!</v>
      </c>
      <c r="BO123" s="176" t="str">
        <f>IF(AND(NOT(BM123),AND(BM$4:BM122)),IF($BN123&lt;0,IF($BN123&lt;$J123,EXP(($BN123-$J123)*$G123),EXP(($J123-$BN123)*$G123)),EXP(($BN123-$J123)*$G123)),"")</f>
        <v/>
      </c>
      <c r="BQ123" s="72" t="b">
        <f>IF(AND(NOT(BM123),AND(BM$4:BM122)),TRUE,BM123)</f>
        <v>0</v>
      </c>
      <c r="BR123" s="172" t="e">
        <f>IF(AND(NOT(ISBLANK(Jumpoverwrite15)),AND(NOT(BQ123),AND(BQ$4:BQ122))),($J123*$G123-LN(1+Jumpoverwrite15*BS$2))/$G123,_xll.qlInterpolationInterpolate(BQ$3,$F123,TRUE))</f>
        <v>#NUM!</v>
      </c>
      <c r="BS123" s="176" t="str">
        <f>IF(AND(NOT(BQ123),AND(BQ$4:BQ122)),IF($BN123&lt;0,IF($BN123&lt;$J123,EXP(($BN123-$J123)*$G123),EXP(($J123-$BN123)*$G123)),EXP(($BN123-$J123)*$G123)),"")</f>
        <v/>
      </c>
    </row>
    <row r="124" spans="1:71" x14ac:dyDescent="0.2">
      <c r="A124" s="33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84" t="e">
        <f t="shared" si="9"/>
        <v>#N/A</v>
      </c>
      <c r="G124" s="85" t="e">
        <f>_xll.qlDayCounterYearFraction(DayCounter,D123,D124)</f>
        <v>#NUM!</v>
      </c>
      <c r="I124" s="93" t="b">
        <f t="shared" si="7"/>
        <v>0</v>
      </c>
      <c r="J124" s="37" t="e">
        <v>#N/A</v>
      </c>
      <c r="K124" s="94" t="e">
        <f t="shared" si="8"/>
        <v>#VALUE!</v>
      </c>
      <c r="L124" s="105"/>
      <c r="M124" s="72" t="b">
        <f>IF(AND(NOT(I124),AND(I$4:I123)),TRUE,I124)</f>
        <v>0</v>
      </c>
      <c r="N124" s="172" t="e">
        <f>IF(AND(NOT(ISBLANK(Jumpoverwrite1)),AND(NOT(M124),AND(M$4:M123))),($J124*$G124-LN(1+Jumpoverwrite1*O$2))/$G124,_xll.qlInterpolationInterpolate(M$3,$F124,TRUE))</f>
        <v>#NUM!</v>
      </c>
      <c r="O124" s="34" t="str">
        <f>IF(AND(NOT(M124),AND(M$4:M123)),IF($N124&lt;0,IF($N124&lt;$J124,EXP(($N124-$J124)*$G124),EXP(($J124-$N124)*$G124)),EXP(($N124-$J124)*$G124)),"")</f>
        <v/>
      </c>
      <c r="P124" s="107"/>
      <c r="Q124" s="72" t="b">
        <f>IF(AND(NOT(M124),AND(M$4:M123)),TRUE,M124)</f>
        <v>0</v>
      </c>
      <c r="R124" s="172" t="e">
        <f>IF(AND(NOT(ISBLANK(Jumpoverwrite2)),AND(NOT(Q124),AND(Q$4:Q123))),($J124*$G124-LN(1+Jumpoverwrite2*S$2))/$G124,_xll.qlInterpolationInterpolate(Q$3,$F124,TRUE))</f>
        <v>#NUM!</v>
      </c>
      <c r="S124" s="176" t="str">
        <f>IF(AND(NOT(Q124),AND(Q$4:Q123)),IF($R124&lt;0,IF($R124&lt;$J124,EXP(($R124-$J124)*$G124),EXP(($J124-$R124)*$G124)),EXP(($R124-$J124)*$G124)),"")</f>
        <v/>
      </c>
      <c r="T124" s="107"/>
      <c r="U124" s="72" t="b">
        <f>IF(AND(NOT(Q124),AND(Q$4:Q123)),TRUE,Q124)</f>
        <v>0</v>
      </c>
      <c r="V124" s="172" t="e">
        <f>IF(AND(NOT(ISBLANK(Jumpoverwrite3)),AND(NOT(U124),AND(U$4:U123))),($J124*$G124-LN(1+Jumpoverwrite3*W$2))/$G124,_xll.qlInterpolationInterpolate(U$3,$F124,TRUE))</f>
        <v>#NUM!</v>
      </c>
      <c r="W124" s="176" t="str">
        <f>IF(AND(NOT(U124),AND(U$4:U123)),IF($V124&lt;0,IF($V124&lt;$J124,EXP(($V124-$J124)*$G124),EXP(($J124-$V124)*$G124)),EXP(($V124-$J124)*$G124)),"")</f>
        <v/>
      </c>
      <c r="X124" s="107"/>
      <c r="Y124" s="72" t="b">
        <f>IF(AND(NOT(U124),AND(U$4:U123)),TRUE,U124)</f>
        <v>0</v>
      </c>
      <c r="Z124" s="172" t="e">
        <f>IF(AND(NOT(ISBLANK(Jumpoverwrite4)),AND(NOT(Y124),AND(Y$4:Y123))),($J124*$G124-LN(1+Jumpoverwrite4*AA$2))/$G124,_xll.qlInterpolationInterpolate(Y$3,$F124,TRUE))</f>
        <v>#NUM!</v>
      </c>
      <c r="AA124" s="176" t="str">
        <f>IF(AND(NOT(Y124),AND(Y$4:Y123)),IF($Z124&lt;0,IF($Z124&lt;$J124,EXP(($Z124-$J124)*$G124),EXP(($J124-$Z124)*$G124)),EXP(($Z124-$J124)*$G124)),"")</f>
        <v/>
      </c>
      <c r="AB124" s="107"/>
      <c r="AC124" s="72" t="b">
        <f>IF(AND(NOT(Y124),AND(Y$4:Y123)),TRUE,Y124)</f>
        <v>0</v>
      </c>
      <c r="AD124" s="172" t="e">
        <f>IF(AND(NOT(ISBLANK(Jumpoverwrite5)),AND(NOT(AC124),AND(AC$4:AC123))),($J124*$G124-LN(1+Jumpoverwrite5*AE$2))/$G124,_xll.qlInterpolationInterpolate(AC$3,$F124,TRUE))</f>
        <v>#NUM!</v>
      </c>
      <c r="AE124" s="176" t="str">
        <f>IF(AND(NOT(AC124),AND(AC$4:AC123)),IF($AD124&lt;0,IF($AD124&lt;$J124,EXP(($AD124-$J124)*$G124),EXP(($J124-$AD124)*$G124)),EXP(($AD124-$J124)*$G124)),"")</f>
        <v/>
      </c>
      <c r="AF124" s="107"/>
      <c r="AG124" s="72" t="b">
        <f>IF(AND(NOT(AC124),AND(AC$4:AC123)),TRUE,AC124)</f>
        <v>0</v>
      </c>
      <c r="AH124" s="172" t="e">
        <f>IF(AND(NOT(ISBLANK(Jumpoverwrite6)),AND(NOT(AG124),AND(AG$4:AG123))),($J124*$G124-LN(1+Jumpoverwrite6*AI$2))/$G124,_xll.qlInterpolationInterpolate(AG$3,$F124,TRUE))</f>
        <v>#NUM!</v>
      </c>
      <c r="AI124" s="176" t="str">
        <f>IF(AND(NOT(AG124),AND(AG$4:AG123)),IF($AH124&lt;0,IF($AH124&lt;$J124,EXP(($AH124-$J124)*$G124),EXP(($J124-$AH124)*$G124)),EXP(($AH124-$J124)*$G124)),"")</f>
        <v/>
      </c>
      <c r="AJ124" s="107"/>
      <c r="AK124" s="72" t="b">
        <f>IF(AND(NOT(AG124),AND(AG$4:AG123)),TRUE,AG124)</f>
        <v>0</v>
      </c>
      <c r="AL124" s="172" t="e">
        <f>IF(AND(NOT(ISBLANK(Jumpoverwrite7)),AND(NOT(AK124),AND(AK$4:AK123))),($J124*$G124-LN(1+Jumpoverwrite7*AM$2))/$G124,_xll.qlInterpolationInterpolate(AK$3,$F124,TRUE))</f>
        <v>#NUM!</v>
      </c>
      <c r="AM124" s="176" t="str">
        <f>IF(AND(NOT(AK124),AND(AK$4:AK123)),IF($AL124&lt;0,IF($AL124&lt;$J124,EXP(($AL124-$J124)*$G124),EXP(($J124-$AL124)*$G124)),EXP(($AL124-$J124)*$G124)),"")</f>
        <v/>
      </c>
      <c r="AO124" s="72" t="b">
        <f>IF(AND(NOT(AK124),AND(AK$4:AK123)),TRUE,AK124)</f>
        <v>0</v>
      </c>
      <c r="AP124" s="172" t="e">
        <f>IF(AND(NOT(ISBLANK(Jumpoverwrite8)),AND(NOT(AO124),AND(AO$4:AO123))),($J124*$G124-LN(1+Jumpoverwrite8*AQ$2))/$G124,_xll.qlInterpolationInterpolate(AO$3,$F124,TRUE))</f>
        <v>#NUM!</v>
      </c>
      <c r="AQ124" s="176" t="str">
        <f>IF(AND(NOT(AO124),AND(AO$4:AO123)),IF($AP124&lt;0,IF($AP124&lt;$J124,EXP(($AP124-$J124)*$G124),EXP(($J124-$AP124)*$G124)),EXP(($AP124-$J124)*$G124)),"")</f>
        <v/>
      </c>
      <c r="AS124" s="72" t="b">
        <f>IF(AND(NOT(AO124),AND(AO$4:AO123)),TRUE,AO124)</f>
        <v>0</v>
      </c>
      <c r="AT124" s="172" t="e">
        <f>IF(AND(NOT(ISBLANK(Jumpoverwrite9)),AND(NOT(AS124),AND(AS$4:AS123))),($J124*$G124-LN(1+Jumpoverwrite9*AU$2))/$G124,_xll.qlInterpolationInterpolate(AS$3,$F124,TRUE))</f>
        <v>#NUM!</v>
      </c>
      <c r="AU124" s="176" t="str">
        <f>IF(AND(NOT(AS124),AND(AS$4:AS123)),IF($AT124&lt;0,IF($AT124&lt;$J124,EXP(($AT124-$J124)*$G124),EXP(($J124-$AT124)*$G124)),EXP(($AT124-$J124)*$G124)),"")</f>
        <v/>
      </c>
      <c r="AW124" s="72" t="b">
        <f>IF(AND(NOT(AS124),AND(AS$4:AS123)),TRUE,AS124)</f>
        <v>0</v>
      </c>
      <c r="AX124" s="172" t="e">
        <f>IF(AND(NOT(ISBLANK(Jumpoverwrite10)),AND(NOT(AW124),AND(AW$4:AW123))),($J124*$G124-LN(1+Jumpoverwrite10*AY$2))/$G124,_xll.qlInterpolationInterpolate(AW$3,$F124,TRUE))</f>
        <v>#NUM!</v>
      </c>
      <c r="AY124" s="176" t="str">
        <f>IF(AND(NOT(AW124),AND(AW$4:AW123)),IF($AX124&lt;0,IF($AX124&lt;$J124,EXP(($AX124-$J124)*$G124),EXP(($J124-$AX124)*$G124)),EXP(($AX124-$J124)*$G124)),"")</f>
        <v/>
      </c>
      <c r="BA124" s="72" t="b">
        <f>IF(AND(NOT(AW124),AND(AW$4:AW123)),TRUE,AW124)</f>
        <v>0</v>
      </c>
      <c r="BB124" s="172" t="e">
        <f>IF(AND(NOT(ISBLANK(Jumpoverwrite11)),AND(NOT(BA124),AND(BA$4:BA123))),($J124*$G124-LN(1+Jumpoverwrite11*BC$2))/$G124,_xll.qlInterpolationInterpolate(BA$3,$F124,TRUE))</f>
        <v>#NUM!</v>
      </c>
      <c r="BC124" s="176" t="str">
        <f>IF(AND(NOT(BA124),AND(BA$4:BA123)),IF($BB124&lt;0,IF($BB124&lt;$J124,EXP(($BB124-$J124)*$G124),EXP(($J124-$BB124)*$G124)),EXP(($BB124-$J124)*$G124)),"")</f>
        <v/>
      </c>
      <c r="BE124" s="72" t="b">
        <f>IF(AND(NOT(BA124),AND(BA$4:BA123)),TRUE,BA124)</f>
        <v>0</v>
      </c>
      <c r="BF124" s="172" t="e">
        <f>IF(AND(NOT(ISBLANK(Jumpoverwrite12)),AND(NOT(BE124),AND(BE$4:BE123))),($J124*$G124-LN(1+Jumpoverwrite12*BG$2))/$G124,_xll.qlInterpolationInterpolate(BE$3,$F124,TRUE))</f>
        <v>#NUM!</v>
      </c>
      <c r="BG124" s="176" t="str">
        <f>IF(AND(NOT(BE124),AND(BE$4:BE123)),IF($BF124&lt;0,IF($BF124&lt;$J124,EXP(($BF124-$J124)*$G124),EXP(($J124-$BF124)*$G124)),EXP(($BF124-$J124)*$G124)),"")</f>
        <v/>
      </c>
      <c r="BI124" s="72" t="b">
        <f t="shared" si="10"/>
        <v>0</v>
      </c>
      <c r="BJ124" s="172" t="e">
        <f>IF(AND(NOT(ISBLANK(jumpoverwrite13)),AND(NOT(BI124),AND(BI$4:BI123))),($J124*$G124-LN(1+jumpoverwrite13*BK$2))/$G124,_xll.qlInterpolationInterpolate(BI$3,$F124,TRUE))</f>
        <v>#NUM!</v>
      </c>
      <c r="BK124" s="176" t="str">
        <f>IF(AND(NOT(BI124),AND(BI$4:BI123)),IF($BJ124&lt;0,IF($BJ124&lt;$J124,EXP(($BJ124-$J124)*$G124),EXP(($J124-$BJ124)*$G124)),EXP(($BJ124-$J124)*$G124)),"")</f>
        <v/>
      </c>
      <c r="BM124" s="72" t="b">
        <f>IF(AND(NOT(BI124),AND(BI$4:BI123)),TRUE,BI124)</f>
        <v>0</v>
      </c>
      <c r="BN124" s="172" t="e">
        <f>IF(AND(NOT(ISBLANK(Jumpoverwrite14)),AND(NOT(BM124),AND(BM$4:BM123))),($J124*$G124-LN(1+Jumpoverwrite14*BO$2))/$G124,_xll.qlInterpolationInterpolate(BM$3,$F124,TRUE))</f>
        <v>#NUM!</v>
      </c>
      <c r="BO124" s="176" t="str">
        <f>IF(AND(NOT(BM124),AND(BM$4:BM123)),IF($BN124&lt;0,IF($BN124&lt;$J124,EXP(($BN124-$J124)*$G124),EXP(($J124-$BN124)*$G124)),EXP(($BN124-$J124)*$G124)),"")</f>
        <v/>
      </c>
      <c r="BQ124" s="72" t="b">
        <f>IF(AND(NOT(BM124),AND(BM$4:BM123)),TRUE,BM124)</f>
        <v>0</v>
      </c>
      <c r="BR124" s="172" t="e">
        <f>IF(AND(NOT(ISBLANK(Jumpoverwrite15)),AND(NOT(BQ124),AND(BQ$4:BQ123))),($J124*$G124-LN(1+Jumpoverwrite15*BS$2))/$G124,_xll.qlInterpolationInterpolate(BQ$3,$F124,TRUE))</f>
        <v>#NUM!</v>
      </c>
      <c r="BS124" s="176" t="str">
        <f>IF(AND(NOT(BQ124),AND(BQ$4:BQ123)),IF($BN124&lt;0,IF($BN124&lt;$J124,EXP(($BN124-$J124)*$G124),EXP(($J124-$BN124)*$G124)),EXP(($BN124-$J124)*$G124)),"")</f>
        <v/>
      </c>
    </row>
    <row r="125" spans="1:71" x14ac:dyDescent="0.2">
      <c r="A125" s="33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84" t="e">
        <f t="shared" si="9"/>
        <v>#N/A</v>
      </c>
      <c r="G125" s="85" t="e">
        <f>_xll.qlDayCounterYearFraction(DayCounter,D124,D125)</f>
        <v>#NUM!</v>
      </c>
      <c r="I125" s="93" t="b">
        <f t="shared" si="7"/>
        <v>0</v>
      </c>
      <c r="J125" s="37" t="e">
        <v>#N/A</v>
      </c>
      <c r="K125" s="94" t="e">
        <f t="shared" si="8"/>
        <v>#VALUE!</v>
      </c>
      <c r="L125" s="105"/>
      <c r="M125" s="72" t="b">
        <f>IF(AND(NOT(I125),AND(I$4:I124)),TRUE,I125)</f>
        <v>0</v>
      </c>
      <c r="N125" s="172" t="e">
        <f>IF(AND(NOT(ISBLANK(Jumpoverwrite1)),AND(NOT(M125),AND(M$4:M124))),($J125*$G125-LN(1+Jumpoverwrite1*O$2))/$G125,_xll.qlInterpolationInterpolate(M$3,$F125,TRUE))</f>
        <v>#NUM!</v>
      </c>
      <c r="O125" s="34" t="str">
        <f>IF(AND(NOT(M125),AND(M$4:M124)),IF($N125&lt;0,IF($N125&lt;$J125,EXP(($N125-$J125)*$G125),EXP(($J125-$N125)*$G125)),EXP(($N125-$J125)*$G125)),"")</f>
        <v/>
      </c>
      <c r="P125" s="107"/>
      <c r="Q125" s="72" t="b">
        <f>IF(AND(NOT(M125),AND(M$4:M124)),TRUE,M125)</f>
        <v>0</v>
      </c>
      <c r="R125" s="172" t="e">
        <f>IF(AND(NOT(ISBLANK(Jumpoverwrite2)),AND(NOT(Q125),AND(Q$4:Q124))),($J125*$G125-LN(1+Jumpoverwrite2*S$2))/$G125,_xll.qlInterpolationInterpolate(Q$3,$F125,TRUE))</f>
        <v>#NUM!</v>
      </c>
      <c r="S125" s="176" t="str">
        <f>IF(AND(NOT(Q125),AND(Q$4:Q124)),IF($R125&lt;0,IF($R125&lt;$J125,EXP(($R125-$J125)*$G125),EXP(($J125-$R125)*$G125)),EXP(($R125-$J125)*$G125)),"")</f>
        <v/>
      </c>
      <c r="T125" s="107"/>
      <c r="U125" s="72" t="b">
        <f>IF(AND(NOT(Q125),AND(Q$4:Q124)),TRUE,Q125)</f>
        <v>0</v>
      </c>
      <c r="V125" s="172" t="e">
        <f>IF(AND(NOT(ISBLANK(Jumpoverwrite3)),AND(NOT(U125),AND(U$4:U124))),($J125*$G125-LN(1+Jumpoverwrite3*W$2))/$G125,_xll.qlInterpolationInterpolate(U$3,$F125,TRUE))</f>
        <v>#NUM!</v>
      </c>
      <c r="W125" s="176" t="str">
        <f>IF(AND(NOT(U125),AND(U$4:U124)),IF($V125&lt;0,IF($V125&lt;$J125,EXP(($V125-$J125)*$G125),EXP(($J125-$V125)*$G125)),EXP(($V125-$J125)*$G125)),"")</f>
        <v/>
      </c>
      <c r="X125" s="107"/>
      <c r="Y125" s="72" t="b">
        <f>IF(AND(NOT(U125),AND(U$4:U124)),TRUE,U125)</f>
        <v>0</v>
      </c>
      <c r="Z125" s="172" t="e">
        <f>IF(AND(NOT(ISBLANK(Jumpoverwrite4)),AND(NOT(Y125),AND(Y$4:Y124))),($J125*$G125-LN(1+Jumpoverwrite4*AA$2))/$G125,_xll.qlInterpolationInterpolate(Y$3,$F125,TRUE))</f>
        <v>#NUM!</v>
      </c>
      <c r="AA125" s="176" t="str">
        <f>IF(AND(NOT(Y125),AND(Y$4:Y124)),IF($Z125&lt;0,IF($Z125&lt;$J125,EXP(($Z125-$J125)*$G125),EXP(($J125-$Z125)*$G125)),EXP(($Z125-$J125)*$G125)),"")</f>
        <v/>
      </c>
      <c r="AB125" s="107"/>
      <c r="AC125" s="72" t="b">
        <f>IF(AND(NOT(Y125),AND(Y$4:Y124)),TRUE,Y125)</f>
        <v>0</v>
      </c>
      <c r="AD125" s="172" t="e">
        <f>IF(AND(NOT(ISBLANK(Jumpoverwrite5)),AND(NOT(AC125),AND(AC$4:AC124))),($J125*$G125-LN(1+Jumpoverwrite5*AE$2))/$G125,_xll.qlInterpolationInterpolate(AC$3,$F125,TRUE))</f>
        <v>#NUM!</v>
      </c>
      <c r="AE125" s="176" t="str">
        <f>IF(AND(NOT(AC125),AND(AC$4:AC124)),IF($AD125&lt;0,IF($AD125&lt;$J125,EXP(($AD125-$J125)*$G125),EXP(($J125-$AD125)*$G125)),EXP(($AD125-$J125)*$G125)),"")</f>
        <v/>
      </c>
      <c r="AF125" s="107"/>
      <c r="AG125" s="72" t="b">
        <f>IF(AND(NOT(AC125),AND(AC$4:AC124)),TRUE,AC125)</f>
        <v>0</v>
      </c>
      <c r="AH125" s="172" t="e">
        <f>IF(AND(NOT(ISBLANK(Jumpoverwrite6)),AND(NOT(AG125),AND(AG$4:AG124))),($J125*$G125-LN(1+Jumpoverwrite6*AI$2))/$G125,_xll.qlInterpolationInterpolate(AG$3,$F125,TRUE))</f>
        <v>#NUM!</v>
      </c>
      <c r="AI125" s="176" t="str">
        <f>IF(AND(NOT(AG125),AND(AG$4:AG124)),IF($AH125&lt;0,IF($AH125&lt;$J125,EXP(($AH125-$J125)*$G125),EXP(($J125-$AH125)*$G125)),EXP(($AH125-$J125)*$G125)),"")</f>
        <v/>
      </c>
      <c r="AJ125" s="107"/>
      <c r="AK125" s="72" t="b">
        <f>IF(AND(NOT(AG125),AND(AG$4:AG124)),TRUE,AG125)</f>
        <v>0</v>
      </c>
      <c r="AL125" s="172" t="e">
        <f>IF(AND(NOT(ISBLANK(Jumpoverwrite7)),AND(NOT(AK125),AND(AK$4:AK124))),($J125*$G125-LN(1+Jumpoverwrite7*AM$2))/$G125,_xll.qlInterpolationInterpolate(AK$3,$F125,TRUE))</f>
        <v>#NUM!</v>
      </c>
      <c r="AM125" s="176" t="str">
        <f>IF(AND(NOT(AK125),AND(AK$4:AK124)),IF($AL125&lt;0,IF($AL125&lt;$J125,EXP(($AL125-$J125)*$G125),EXP(($J125-$AL125)*$G125)),EXP(($AL125-$J125)*$G125)),"")</f>
        <v/>
      </c>
      <c r="AO125" s="72" t="b">
        <f>IF(AND(NOT(AK125),AND(AK$4:AK124)),TRUE,AK125)</f>
        <v>0</v>
      </c>
      <c r="AP125" s="172" t="e">
        <f>IF(AND(NOT(ISBLANK(Jumpoverwrite8)),AND(NOT(AO125),AND(AO$4:AO124))),($J125*$G125-LN(1+Jumpoverwrite8*AQ$2))/$G125,_xll.qlInterpolationInterpolate(AO$3,$F125,TRUE))</f>
        <v>#NUM!</v>
      </c>
      <c r="AQ125" s="176" t="str">
        <f>IF(AND(NOT(AO125),AND(AO$4:AO124)),IF($AP125&lt;0,IF($AP125&lt;$J125,EXP(($AP125-$J125)*$G125),EXP(($J125-$AP125)*$G125)),EXP(($AP125-$J125)*$G125)),"")</f>
        <v/>
      </c>
      <c r="AS125" s="72" t="b">
        <f>IF(AND(NOT(AO125),AND(AO$4:AO124)),TRUE,AO125)</f>
        <v>0</v>
      </c>
      <c r="AT125" s="172" t="e">
        <f>IF(AND(NOT(ISBLANK(Jumpoverwrite9)),AND(NOT(AS125),AND(AS$4:AS124))),($J125*$G125-LN(1+Jumpoverwrite9*AU$2))/$G125,_xll.qlInterpolationInterpolate(AS$3,$F125,TRUE))</f>
        <v>#NUM!</v>
      </c>
      <c r="AU125" s="176" t="str">
        <f>IF(AND(NOT(AS125),AND(AS$4:AS124)),IF($AT125&lt;0,IF($AT125&lt;$J125,EXP(($AT125-$J125)*$G125),EXP(($J125-$AT125)*$G125)),EXP(($AT125-$J125)*$G125)),"")</f>
        <v/>
      </c>
      <c r="AW125" s="72" t="b">
        <f>IF(AND(NOT(AS125),AND(AS$4:AS124)),TRUE,AS125)</f>
        <v>0</v>
      </c>
      <c r="AX125" s="172" t="e">
        <f>IF(AND(NOT(ISBLANK(Jumpoverwrite10)),AND(NOT(AW125),AND(AW$4:AW124))),($J125*$G125-LN(1+Jumpoverwrite10*AY$2))/$G125,_xll.qlInterpolationInterpolate(AW$3,$F125,TRUE))</f>
        <v>#NUM!</v>
      </c>
      <c r="AY125" s="176" t="str">
        <f>IF(AND(NOT(AW125),AND(AW$4:AW124)),IF($AX125&lt;0,IF($AX125&lt;$J125,EXP(($AX125-$J125)*$G125),EXP(($J125-$AX125)*$G125)),EXP(($AX125-$J125)*$G125)),"")</f>
        <v/>
      </c>
      <c r="BA125" s="72" t="b">
        <f>IF(AND(NOT(AW125),AND(AW$4:AW124)),TRUE,AW125)</f>
        <v>0</v>
      </c>
      <c r="BB125" s="172" t="e">
        <f>IF(AND(NOT(ISBLANK(Jumpoverwrite11)),AND(NOT(BA125),AND(BA$4:BA124))),($J125*$G125-LN(1+Jumpoverwrite11*BC$2))/$G125,_xll.qlInterpolationInterpolate(BA$3,$F125,TRUE))</f>
        <v>#NUM!</v>
      </c>
      <c r="BC125" s="176" t="str">
        <f>IF(AND(NOT(BA125),AND(BA$4:BA124)),IF($BB125&lt;0,IF($BB125&lt;$J125,EXP(($BB125-$J125)*$G125),EXP(($J125-$BB125)*$G125)),EXP(($BB125-$J125)*$G125)),"")</f>
        <v/>
      </c>
      <c r="BE125" s="72" t="b">
        <f>IF(AND(NOT(BA125),AND(BA$4:BA124)),TRUE,BA125)</f>
        <v>0</v>
      </c>
      <c r="BF125" s="172" t="e">
        <f>IF(AND(NOT(ISBLANK(Jumpoverwrite12)),AND(NOT(BE125),AND(BE$4:BE124))),($J125*$G125-LN(1+Jumpoverwrite12*BG$2))/$G125,_xll.qlInterpolationInterpolate(BE$3,$F125,TRUE))</f>
        <v>#NUM!</v>
      </c>
      <c r="BG125" s="176" t="str">
        <f>IF(AND(NOT(BE125),AND(BE$4:BE124)),IF($BF125&lt;0,IF($BF125&lt;$J125,EXP(($BF125-$J125)*$G125),EXP(($J125-$BF125)*$G125)),EXP(($BF125-$J125)*$G125)),"")</f>
        <v/>
      </c>
      <c r="BI125" s="72" t="b">
        <f t="shared" si="10"/>
        <v>0</v>
      </c>
      <c r="BJ125" s="172" t="e">
        <f>IF(AND(NOT(ISBLANK(jumpoverwrite13)),AND(NOT(BI125),AND(BI$4:BI124))),($J125*$G125-LN(1+jumpoverwrite13*BK$2))/$G125,_xll.qlInterpolationInterpolate(BI$3,$F125,TRUE))</f>
        <v>#NUM!</v>
      </c>
      <c r="BK125" s="176" t="str">
        <f>IF(AND(NOT(BI125),AND(BI$4:BI124)),IF($BJ125&lt;0,IF($BJ125&lt;$J125,EXP(($BJ125-$J125)*$G125),EXP(($J125-$BJ125)*$G125)),EXP(($BJ125-$J125)*$G125)),"")</f>
        <v/>
      </c>
      <c r="BM125" s="72" t="b">
        <f>IF(AND(NOT(BI125),AND(BI$4:BI124)),TRUE,BI125)</f>
        <v>0</v>
      </c>
      <c r="BN125" s="172" t="e">
        <f>IF(AND(NOT(ISBLANK(Jumpoverwrite14)),AND(NOT(BM125),AND(BM$4:BM124))),($J125*$G125-LN(1+Jumpoverwrite14*BO$2))/$G125,_xll.qlInterpolationInterpolate(BM$3,$F125,TRUE))</f>
        <v>#NUM!</v>
      </c>
      <c r="BO125" s="176" t="str">
        <f>IF(AND(NOT(BM125),AND(BM$4:BM124)),IF($BN125&lt;0,IF($BN125&lt;$J125,EXP(($BN125-$J125)*$G125),EXP(($J125-$BN125)*$G125)),EXP(($BN125-$J125)*$G125)),"")</f>
        <v/>
      </c>
      <c r="BQ125" s="72" t="b">
        <f>IF(AND(NOT(BM125),AND(BM$4:BM124)),TRUE,BM125)</f>
        <v>0</v>
      </c>
      <c r="BR125" s="172" t="e">
        <f>IF(AND(NOT(ISBLANK(Jumpoverwrite15)),AND(NOT(BQ125),AND(BQ$4:BQ124))),($J125*$G125-LN(1+Jumpoverwrite15*BS$2))/$G125,_xll.qlInterpolationInterpolate(BQ$3,$F125,TRUE))</f>
        <v>#NUM!</v>
      </c>
      <c r="BS125" s="176" t="str">
        <f>IF(AND(NOT(BQ125),AND(BQ$4:BQ124)),IF($BN125&lt;0,IF($BN125&lt;$J125,EXP(($BN125-$J125)*$G125),EXP(($J125-$BN125)*$G125)),EXP(($BN125-$J125)*$G125)),"")</f>
        <v/>
      </c>
    </row>
    <row r="126" spans="1:71" x14ac:dyDescent="0.2">
      <c r="A126" s="33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84" t="e">
        <f t="shared" si="9"/>
        <v>#N/A</v>
      </c>
      <c r="G126" s="85" t="e">
        <f>_xll.qlDayCounterYearFraction(DayCounter,D125,D126)</f>
        <v>#NUM!</v>
      </c>
      <c r="I126" s="93" t="b">
        <f t="shared" si="7"/>
        <v>0</v>
      </c>
      <c r="J126" s="37" t="e">
        <v>#N/A</v>
      </c>
      <c r="K126" s="94" t="e">
        <f t="shared" si="8"/>
        <v>#VALUE!</v>
      </c>
      <c r="L126" s="105"/>
      <c r="M126" s="72" t="b">
        <f>IF(AND(NOT(I126),AND(I$4:I125)),TRUE,I126)</f>
        <v>0</v>
      </c>
      <c r="N126" s="172" t="e">
        <f>IF(AND(NOT(ISBLANK(Jumpoverwrite1)),AND(NOT(M126),AND(M$4:M125))),($J126*$G126-LN(1+Jumpoverwrite1*O$2))/$G126,_xll.qlInterpolationInterpolate(M$3,$F126,TRUE))</f>
        <v>#NUM!</v>
      </c>
      <c r="O126" s="34" t="str">
        <f>IF(AND(NOT(M126),AND(M$4:M125)),IF($N126&lt;0,IF($N126&lt;$J126,EXP(($N126-$J126)*$G126),EXP(($J126-$N126)*$G126)),EXP(($N126-$J126)*$G126)),"")</f>
        <v/>
      </c>
      <c r="P126" s="107"/>
      <c r="Q126" s="72" t="b">
        <f>IF(AND(NOT(M126),AND(M$4:M125)),TRUE,M126)</f>
        <v>0</v>
      </c>
      <c r="R126" s="172" t="e">
        <f>IF(AND(NOT(ISBLANK(Jumpoverwrite2)),AND(NOT(Q126),AND(Q$4:Q125))),($J126*$G126-LN(1+Jumpoverwrite2*S$2))/$G126,_xll.qlInterpolationInterpolate(Q$3,$F126,TRUE))</f>
        <v>#NUM!</v>
      </c>
      <c r="S126" s="176" t="str">
        <f>IF(AND(NOT(Q126),AND(Q$4:Q125)),IF($R126&lt;0,IF($R126&lt;$J126,EXP(($R126-$J126)*$G126),EXP(($J126-$R126)*$G126)),EXP(($R126-$J126)*$G126)),"")</f>
        <v/>
      </c>
      <c r="T126" s="107"/>
      <c r="U126" s="72" t="b">
        <f>IF(AND(NOT(Q126),AND(Q$4:Q125)),TRUE,Q126)</f>
        <v>0</v>
      </c>
      <c r="V126" s="172" t="e">
        <f>IF(AND(NOT(ISBLANK(Jumpoverwrite3)),AND(NOT(U126),AND(U$4:U125))),($J126*$G126-LN(1+Jumpoverwrite3*W$2))/$G126,_xll.qlInterpolationInterpolate(U$3,$F126,TRUE))</f>
        <v>#NUM!</v>
      </c>
      <c r="W126" s="176" t="str">
        <f>IF(AND(NOT(U126),AND(U$4:U125)),IF($V126&lt;0,IF($V126&lt;$J126,EXP(($V126-$J126)*$G126),EXP(($J126-$V126)*$G126)),EXP(($V126-$J126)*$G126)),"")</f>
        <v/>
      </c>
      <c r="X126" s="107"/>
      <c r="Y126" s="72" t="b">
        <f>IF(AND(NOT(U126),AND(U$4:U125)),TRUE,U126)</f>
        <v>0</v>
      </c>
      <c r="Z126" s="172" t="e">
        <f>IF(AND(NOT(ISBLANK(Jumpoverwrite4)),AND(NOT(Y126),AND(Y$4:Y125))),($J126*$G126-LN(1+Jumpoverwrite4*AA$2))/$G126,_xll.qlInterpolationInterpolate(Y$3,$F126,TRUE))</f>
        <v>#NUM!</v>
      </c>
      <c r="AA126" s="176" t="str">
        <f>IF(AND(NOT(Y126),AND(Y$4:Y125)),IF($Z126&lt;0,IF($Z126&lt;$J126,EXP(($Z126-$J126)*$G126),EXP(($J126-$Z126)*$G126)),EXP(($Z126-$J126)*$G126)),"")</f>
        <v/>
      </c>
      <c r="AB126" s="107"/>
      <c r="AC126" s="72" t="b">
        <f>IF(AND(NOT(Y126),AND(Y$4:Y125)),TRUE,Y126)</f>
        <v>0</v>
      </c>
      <c r="AD126" s="172" t="e">
        <f>IF(AND(NOT(ISBLANK(Jumpoverwrite5)),AND(NOT(AC126),AND(AC$4:AC125))),($J126*$G126-LN(1+Jumpoverwrite5*AE$2))/$G126,_xll.qlInterpolationInterpolate(AC$3,$F126,TRUE))</f>
        <v>#NUM!</v>
      </c>
      <c r="AE126" s="176" t="str">
        <f>IF(AND(NOT(AC126),AND(AC$4:AC125)),IF($AD126&lt;0,IF($AD126&lt;$J126,EXP(($AD126-$J126)*$G126),EXP(($J126-$AD126)*$G126)),EXP(($AD126-$J126)*$G126)),"")</f>
        <v/>
      </c>
      <c r="AF126" s="107"/>
      <c r="AG126" s="72" t="b">
        <f>IF(AND(NOT(AC126),AND(AC$4:AC125)),TRUE,AC126)</f>
        <v>0</v>
      </c>
      <c r="AH126" s="172" t="e">
        <f>IF(AND(NOT(ISBLANK(Jumpoverwrite6)),AND(NOT(AG126),AND(AG$4:AG125))),($J126*$G126-LN(1+Jumpoverwrite6*AI$2))/$G126,_xll.qlInterpolationInterpolate(AG$3,$F126,TRUE))</f>
        <v>#NUM!</v>
      </c>
      <c r="AI126" s="176" t="str">
        <f>IF(AND(NOT(AG126),AND(AG$4:AG125)),IF($AH126&lt;0,IF($AH126&lt;$J126,EXP(($AH126-$J126)*$G126),EXP(($J126-$AH126)*$G126)),EXP(($AH126-$J126)*$G126)),"")</f>
        <v/>
      </c>
      <c r="AJ126" s="107"/>
      <c r="AK126" s="72" t="b">
        <f>IF(AND(NOT(AG126),AND(AG$4:AG125)),TRUE,AG126)</f>
        <v>0</v>
      </c>
      <c r="AL126" s="172" t="e">
        <f>IF(AND(NOT(ISBLANK(Jumpoverwrite7)),AND(NOT(AK126),AND(AK$4:AK125))),($J126*$G126-LN(1+Jumpoverwrite7*AM$2))/$G126,_xll.qlInterpolationInterpolate(AK$3,$F126,TRUE))</f>
        <v>#NUM!</v>
      </c>
      <c r="AM126" s="176" t="str">
        <f>IF(AND(NOT(AK126),AND(AK$4:AK125)),IF($AL126&lt;0,IF($AL126&lt;$J126,EXP(($AL126-$J126)*$G126),EXP(($J126-$AL126)*$G126)),EXP(($AL126-$J126)*$G126)),"")</f>
        <v/>
      </c>
      <c r="AO126" s="72" t="b">
        <f>IF(AND(NOT(AK126),AND(AK$4:AK125)),TRUE,AK126)</f>
        <v>0</v>
      </c>
      <c r="AP126" s="172" t="e">
        <f>IF(AND(NOT(ISBLANK(Jumpoverwrite8)),AND(NOT(AO126),AND(AO$4:AO125))),($J126*$G126-LN(1+Jumpoverwrite8*AQ$2))/$G126,_xll.qlInterpolationInterpolate(AO$3,$F126,TRUE))</f>
        <v>#NUM!</v>
      </c>
      <c r="AQ126" s="176" t="str">
        <f>IF(AND(NOT(AO126),AND(AO$4:AO125)),IF($AP126&lt;0,IF($AP126&lt;$J126,EXP(($AP126-$J126)*$G126),EXP(($J126-$AP126)*$G126)),EXP(($AP126-$J126)*$G126)),"")</f>
        <v/>
      </c>
      <c r="AS126" s="72" t="b">
        <f>IF(AND(NOT(AO126),AND(AO$4:AO125)),TRUE,AO126)</f>
        <v>0</v>
      </c>
      <c r="AT126" s="172" t="e">
        <f>IF(AND(NOT(ISBLANK(Jumpoverwrite9)),AND(NOT(AS126),AND(AS$4:AS125))),($J126*$G126-LN(1+Jumpoverwrite9*AU$2))/$G126,_xll.qlInterpolationInterpolate(AS$3,$F126,TRUE))</f>
        <v>#NUM!</v>
      </c>
      <c r="AU126" s="176" t="str">
        <f>IF(AND(NOT(AS126),AND(AS$4:AS125)),IF($AT126&lt;0,IF($AT126&lt;$J126,EXP(($AT126-$J126)*$G126),EXP(($J126-$AT126)*$G126)),EXP(($AT126-$J126)*$G126)),"")</f>
        <v/>
      </c>
      <c r="AW126" s="72" t="b">
        <f>IF(AND(NOT(AS126),AND(AS$4:AS125)),TRUE,AS126)</f>
        <v>0</v>
      </c>
      <c r="AX126" s="172" t="e">
        <f>IF(AND(NOT(ISBLANK(Jumpoverwrite10)),AND(NOT(AW126),AND(AW$4:AW125))),($J126*$G126-LN(1+Jumpoverwrite10*AY$2))/$G126,_xll.qlInterpolationInterpolate(AW$3,$F126,TRUE))</f>
        <v>#NUM!</v>
      </c>
      <c r="AY126" s="176" t="str">
        <f>IF(AND(NOT(AW126),AND(AW$4:AW125)),IF($AX126&lt;0,IF($AX126&lt;$J126,EXP(($AX126-$J126)*$G126),EXP(($J126-$AX126)*$G126)),EXP(($AX126-$J126)*$G126)),"")</f>
        <v/>
      </c>
      <c r="BA126" s="72" t="b">
        <f>IF(AND(NOT(AW126),AND(AW$4:AW125)),TRUE,AW126)</f>
        <v>0</v>
      </c>
      <c r="BB126" s="172" t="e">
        <f>IF(AND(NOT(ISBLANK(Jumpoverwrite11)),AND(NOT(BA126),AND(BA$4:BA125))),($J126*$G126-LN(1+Jumpoverwrite11*BC$2))/$G126,_xll.qlInterpolationInterpolate(BA$3,$F126,TRUE))</f>
        <v>#NUM!</v>
      </c>
      <c r="BC126" s="176" t="str">
        <f>IF(AND(NOT(BA126),AND(BA$4:BA125)),IF($BB126&lt;0,IF($BB126&lt;$J126,EXP(($BB126-$J126)*$G126),EXP(($J126-$BB126)*$G126)),EXP(($BB126-$J126)*$G126)),"")</f>
        <v/>
      </c>
      <c r="BE126" s="72" t="b">
        <f>IF(AND(NOT(BA126),AND(BA$4:BA125)),TRUE,BA126)</f>
        <v>0</v>
      </c>
      <c r="BF126" s="172" t="e">
        <f>IF(AND(NOT(ISBLANK(Jumpoverwrite12)),AND(NOT(BE126),AND(BE$4:BE125))),($J126*$G126-LN(1+Jumpoverwrite12*BG$2))/$G126,_xll.qlInterpolationInterpolate(BE$3,$F126,TRUE))</f>
        <v>#NUM!</v>
      </c>
      <c r="BG126" s="176" t="str">
        <f>IF(AND(NOT(BE126),AND(BE$4:BE125)),IF($BF126&lt;0,IF($BF126&lt;$J126,EXP(($BF126-$J126)*$G126),EXP(($J126-$BF126)*$G126)),EXP(($BF126-$J126)*$G126)),"")</f>
        <v/>
      </c>
      <c r="BI126" s="72" t="b">
        <f t="shared" si="10"/>
        <v>0</v>
      </c>
      <c r="BJ126" s="172" t="e">
        <f>IF(AND(NOT(ISBLANK(jumpoverwrite13)),AND(NOT(BI126),AND(BI$4:BI125))),($J126*$G126-LN(1+jumpoverwrite13*BK$2))/$G126,_xll.qlInterpolationInterpolate(BI$3,$F126,TRUE))</f>
        <v>#NUM!</v>
      </c>
      <c r="BK126" s="176" t="str">
        <f>IF(AND(NOT(BI126),AND(BI$4:BI125)),IF($BJ126&lt;0,IF($BJ126&lt;$J126,EXP(($BJ126-$J126)*$G126),EXP(($J126-$BJ126)*$G126)),EXP(($BJ126-$J126)*$G126)),"")</f>
        <v/>
      </c>
      <c r="BM126" s="72" t="b">
        <f>IF(AND(NOT(BI126),AND(BI$4:BI125)),TRUE,BI126)</f>
        <v>0</v>
      </c>
      <c r="BN126" s="172" t="e">
        <f>IF(AND(NOT(ISBLANK(Jumpoverwrite14)),AND(NOT(BM126),AND(BM$4:BM125))),($J126*$G126-LN(1+Jumpoverwrite14*BO$2))/$G126,_xll.qlInterpolationInterpolate(BM$3,$F126,TRUE))</f>
        <v>#NUM!</v>
      </c>
      <c r="BO126" s="176" t="str">
        <f>IF(AND(NOT(BM126),AND(BM$4:BM125)),IF($BN126&lt;0,IF($BN126&lt;$J126,EXP(($BN126-$J126)*$G126),EXP(($J126-$BN126)*$G126)),EXP(($BN126-$J126)*$G126)),"")</f>
        <v/>
      </c>
      <c r="BQ126" s="72" t="b">
        <f>IF(AND(NOT(BM126),AND(BM$4:BM125)),TRUE,BM126)</f>
        <v>0</v>
      </c>
      <c r="BR126" s="172" t="e">
        <f>IF(AND(NOT(ISBLANK(Jumpoverwrite15)),AND(NOT(BQ126),AND(BQ$4:BQ125))),($J126*$G126-LN(1+Jumpoverwrite15*BS$2))/$G126,_xll.qlInterpolationInterpolate(BQ$3,$F126,TRUE))</f>
        <v>#NUM!</v>
      </c>
      <c r="BS126" s="176" t="str">
        <f>IF(AND(NOT(BQ126),AND(BQ$4:BQ125)),IF($BN126&lt;0,IF($BN126&lt;$J126,EXP(($BN126-$J126)*$G126),EXP(($J126-$BN126)*$G126)),EXP(($BN126-$J126)*$G126)),"")</f>
        <v/>
      </c>
    </row>
    <row r="127" spans="1:71" x14ac:dyDescent="0.2">
      <c r="A127" s="33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84" t="e">
        <f t="shared" si="9"/>
        <v>#N/A</v>
      </c>
      <c r="G127" s="85" t="e">
        <f>_xll.qlDayCounterYearFraction(DayCounter,D126,D127)</f>
        <v>#NUM!</v>
      </c>
      <c r="I127" s="93" t="b">
        <f t="shared" si="7"/>
        <v>0</v>
      </c>
      <c r="J127" s="37" t="e">
        <v>#N/A</v>
      </c>
      <c r="K127" s="94" t="e">
        <f t="shared" si="8"/>
        <v>#VALUE!</v>
      </c>
      <c r="L127" s="105"/>
      <c r="M127" s="72" t="b">
        <f>IF(AND(NOT(I127),AND(I$4:I126)),TRUE,I127)</f>
        <v>0</v>
      </c>
      <c r="N127" s="172" t="e">
        <f>IF(AND(NOT(ISBLANK(Jumpoverwrite1)),AND(NOT(M127),AND(M$4:M126))),($J127*$G127-LN(1+Jumpoverwrite1*O$2))/$G127,_xll.qlInterpolationInterpolate(M$3,$F127,TRUE))</f>
        <v>#NUM!</v>
      </c>
      <c r="O127" s="34" t="str">
        <f>IF(AND(NOT(M127),AND(M$4:M126)),IF($N127&lt;0,IF($N127&lt;$J127,EXP(($N127-$J127)*$G127),EXP(($J127-$N127)*$G127)),EXP(($N127-$J127)*$G127)),"")</f>
        <v/>
      </c>
      <c r="P127" s="107"/>
      <c r="Q127" s="72" t="b">
        <f>IF(AND(NOT(M127),AND(M$4:M126)),TRUE,M127)</f>
        <v>0</v>
      </c>
      <c r="R127" s="172" t="e">
        <f>IF(AND(NOT(ISBLANK(Jumpoverwrite2)),AND(NOT(Q127),AND(Q$4:Q126))),($J127*$G127-LN(1+Jumpoverwrite2*S$2))/$G127,_xll.qlInterpolationInterpolate(Q$3,$F127,TRUE))</f>
        <v>#NUM!</v>
      </c>
      <c r="S127" s="176" t="str">
        <f>IF(AND(NOT(Q127),AND(Q$4:Q126)),IF($R127&lt;0,IF($R127&lt;$J127,EXP(($R127-$J127)*$G127),EXP(($J127-$R127)*$G127)),EXP(($R127-$J127)*$G127)),"")</f>
        <v/>
      </c>
      <c r="T127" s="107"/>
      <c r="U127" s="72" t="b">
        <f>IF(AND(NOT(Q127),AND(Q$4:Q126)),TRUE,Q127)</f>
        <v>0</v>
      </c>
      <c r="V127" s="172" t="e">
        <f>IF(AND(NOT(ISBLANK(Jumpoverwrite3)),AND(NOT(U127),AND(U$4:U126))),($J127*$G127-LN(1+Jumpoverwrite3*W$2))/$G127,_xll.qlInterpolationInterpolate(U$3,$F127,TRUE))</f>
        <v>#NUM!</v>
      </c>
      <c r="W127" s="176" t="str">
        <f>IF(AND(NOT(U127),AND(U$4:U126)),IF($V127&lt;0,IF($V127&lt;$J127,EXP(($V127-$J127)*$G127),EXP(($J127-$V127)*$G127)),EXP(($V127-$J127)*$G127)),"")</f>
        <v/>
      </c>
      <c r="X127" s="107"/>
      <c r="Y127" s="72" t="b">
        <f>IF(AND(NOT(U127),AND(U$4:U126)),TRUE,U127)</f>
        <v>0</v>
      </c>
      <c r="Z127" s="172" t="e">
        <f>IF(AND(NOT(ISBLANK(Jumpoverwrite4)),AND(NOT(Y127),AND(Y$4:Y126))),($J127*$G127-LN(1+Jumpoverwrite4*AA$2))/$G127,_xll.qlInterpolationInterpolate(Y$3,$F127,TRUE))</f>
        <v>#NUM!</v>
      </c>
      <c r="AA127" s="176" t="str">
        <f>IF(AND(NOT(Y127),AND(Y$4:Y126)),IF($Z127&lt;0,IF($Z127&lt;$J127,EXP(($Z127-$J127)*$G127),EXP(($J127-$Z127)*$G127)),EXP(($Z127-$J127)*$G127)),"")</f>
        <v/>
      </c>
      <c r="AB127" s="107"/>
      <c r="AC127" s="72" t="b">
        <f>IF(AND(NOT(Y127),AND(Y$4:Y126)),TRUE,Y127)</f>
        <v>0</v>
      </c>
      <c r="AD127" s="172" t="e">
        <f>IF(AND(NOT(ISBLANK(Jumpoverwrite5)),AND(NOT(AC127),AND(AC$4:AC126))),($J127*$G127-LN(1+Jumpoverwrite5*AE$2))/$G127,_xll.qlInterpolationInterpolate(AC$3,$F127,TRUE))</f>
        <v>#NUM!</v>
      </c>
      <c r="AE127" s="176" t="str">
        <f>IF(AND(NOT(AC127),AND(AC$4:AC126)),IF($AD127&lt;0,IF($AD127&lt;$J127,EXP(($AD127-$J127)*$G127),EXP(($J127-$AD127)*$G127)),EXP(($AD127-$J127)*$G127)),"")</f>
        <v/>
      </c>
      <c r="AF127" s="107"/>
      <c r="AG127" s="72" t="b">
        <f>IF(AND(NOT(AC127),AND(AC$4:AC126)),TRUE,AC127)</f>
        <v>0</v>
      </c>
      <c r="AH127" s="172" t="e">
        <f>IF(AND(NOT(ISBLANK(Jumpoverwrite6)),AND(NOT(AG127),AND(AG$4:AG126))),($J127*$G127-LN(1+Jumpoverwrite6*AI$2))/$G127,_xll.qlInterpolationInterpolate(AG$3,$F127,TRUE))</f>
        <v>#NUM!</v>
      </c>
      <c r="AI127" s="176" t="str">
        <f>IF(AND(NOT(AG127),AND(AG$4:AG126)),IF($AH127&lt;0,IF($AH127&lt;$J127,EXP(($AH127-$J127)*$G127),EXP(($J127-$AH127)*$G127)),EXP(($AH127-$J127)*$G127)),"")</f>
        <v/>
      </c>
      <c r="AJ127" s="107"/>
      <c r="AK127" s="72" t="b">
        <f>IF(AND(NOT(AG127),AND(AG$4:AG126)),TRUE,AG127)</f>
        <v>0</v>
      </c>
      <c r="AL127" s="172" t="e">
        <f>IF(AND(NOT(ISBLANK(Jumpoverwrite7)),AND(NOT(AK127),AND(AK$4:AK126))),($J127*$G127-LN(1+Jumpoverwrite7*AM$2))/$G127,_xll.qlInterpolationInterpolate(AK$3,$F127,TRUE))</f>
        <v>#NUM!</v>
      </c>
      <c r="AM127" s="176" t="str">
        <f>IF(AND(NOT(AK127),AND(AK$4:AK126)),IF($AL127&lt;0,IF($AL127&lt;$J127,EXP(($AL127-$J127)*$G127),EXP(($J127-$AL127)*$G127)),EXP(($AL127-$J127)*$G127)),"")</f>
        <v/>
      </c>
      <c r="AO127" s="72" t="b">
        <f>IF(AND(NOT(AK127),AND(AK$4:AK126)),TRUE,AK127)</f>
        <v>0</v>
      </c>
      <c r="AP127" s="172" t="e">
        <f>IF(AND(NOT(ISBLANK(Jumpoverwrite8)),AND(NOT(AO127),AND(AO$4:AO126))),($J127*$G127-LN(1+Jumpoverwrite8*AQ$2))/$G127,_xll.qlInterpolationInterpolate(AO$3,$F127,TRUE))</f>
        <v>#NUM!</v>
      </c>
      <c r="AQ127" s="176" t="str">
        <f>IF(AND(NOT(AO127),AND(AO$4:AO126)),IF($AP127&lt;0,IF($AP127&lt;$J127,EXP(($AP127-$J127)*$G127),EXP(($J127-$AP127)*$G127)),EXP(($AP127-$J127)*$G127)),"")</f>
        <v/>
      </c>
      <c r="AS127" s="72" t="b">
        <f>IF(AND(NOT(AO127),AND(AO$4:AO126)),TRUE,AO127)</f>
        <v>0</v>
      </c>
      <c r="AT127" s="172" t="e">
        <f>IF(AND(NOT(ISBLANK(Jumpoverwrite9)),AND(NOT(AS127),AND(AS$4:AS126))),($J127*$G127-LN(1+Jumpoverwrite9*AU$2))/$G127,_xll.qlInterpolationInterpolate(AS$3,$F127,TRUE))</f>
        <v>#NUM!</v>
      </c>
      <c r="AU127" s="176" t="str">
        <f>IF(AND(NOT(AS127),AND(AS$4:AS126)),IF($AT127&lt;0,IF($AT127&lt;$J127,EXP(($AT127-$J127)*$G127),EXP(($J127-$AT127)*$G127)),EXP(($AT127-$J127)*$G127)),"")</f>
        <v/>
      </c>
      <c r="AW127" s="72" t="b">
        <f>IF(AND(NOT(AS127),AND(AS$4:AS126)),TRUE,AS127)</f>
        <v>0</v>
      </c>
      <c r="AX127" s="172" t="e">
        <f>IF(AND(NOT(ISBLANK(Jumpoverwrite10)),AND(NOT(AW127),AND(AW$4:AW126))),($J127*$G127-LN(1+Jumpoverwrite10*AY$2))/$G127,_xll.qlInterpolationInterpolate(AW$3,$F127,TRUE))</f>
        <v>#NUM!</v>
      </c>
      <c r="AY127" s="176" t="str">
        <f>IF(AND(NOT(AW127),AND(AW$4:AW126)),IF($AX127&lt;0,IF($AX127&lt;$J127,EXP(($AX127-$J127)*$G127),EXP(($J127-$AX127)*$G127)),EXP(($AX127-$J127)*$G127)),"")</f>
        <v/>
      </c>
      <c r="BA127" s="72" t="b">
        <f>IF(AND(NOT(AW127),AND(AW$4:AW126)),TRUE,AW127)</f>
        <v>0</v>
      </c>
      <c r="BB127" s="172" t="e">
        <f>IF(AND(NOT(ISBLANK(Jumpoverwrite11)),AND(NOT(BA127),AND(BA$4:BA126))),($J127*$G127-LN(1+Jumpoverwrite11*BC$2))/$G127,_xll.qlInterpolationInterpolate(BA$3,$F127,TRUE))</f>
        <v>#NUM!</v>
      </c>
      <c r="BC127" s="176" t="str">
        <f>IF(AND(NOT(BA127),AND(BA$4:BA126)),IF($BB127&lt;0,IF($BB127&lt;$J127,EXP(($BB127-$J127)*$G127),EXP(($J127-$BB127)*$G127)),EXP(($BB127-$J127)*$G127)),"")</f>
        <v/>
      </c>
      <c r="BE127" s="72" t="b">
        <f>IF(AND(NOT(BA127),AND(BA$4:BA126)),TRUE,BA127)</f>
        <v>0</v>
      </c>
      <c r="BF127" s="172" t="e">
        <f>IF(AND(NOT(ISBLANK(Jumpoverwrite12)),AND(NOT(BE127),AND(BE$4:BE126))),($J127*$G127-LN(1+Jumpoverwrite12*BG$2))/$G127,_xll.qlInterpolationInterpolate(BE$3,$F127,TRUE))</f>
        <v>#NUM!</v>
      </c>
      <c r="BG127" s="176" t="str">
        <f>IF(AND(NOT(BE127),AND(BE$4:BE126)),IF($BF127&lt;0,IF($BF127&lt;$J127,EXP(($BF127-$J127)*$G127),EXP(($J127-$BF127)*$G127)),EXP(($BF127-$J127)*$G127)),"")</f>
        <v/>
      </c>
      <c r="BI127" s="72" t="b">
        <f t="shared" si="10"/>
        <v>0</v>
      </c>
      <c r="BJ127" s="172" t="e">
        <f>IF(AND(NOT(ISBLANK(jumpoverwrite13)),AND(NOT(BI127),AND(BI$4:BI126))),($J127*$G127-LN(1+jumpoverwrite13*BK$2))/$G127,_xll.qlInterpolationInterpolate(BI$3,$F127,TRUE))</f>
        <v>#NUM!</v>
      </c>
      <c r="BK127" s="176" t="str">
        <f>IF(AND(NOT(BI127),AND(BI$4:BI126)),IF($BJ127&lt;0,IF($BJ127&lt;$J127,EXP(($BJ127-$J127)*$G127),EXP(($J127-$BJ127)*$G127)),EXP(($BJ127-$J127)*$G127)),"")</f>
        <v/>
      </c>
      <c r="BM127" s="72" t="b">
        <f>IF(AND(NOT(BI127),AND(BI$4:BI126)),TRUE,BI127)</f>
        <v>0</v>
      </c>
      <c r="BN127" s="172" t="e">
        <f>IF(AND(NOT(ISBLANK(Jumpoverwrite14)),AND(NOT(BM127),AND(BM$4:BM126))),($J127*$G127-LN(1+Jumpoverwrite14*BO$2))/$G127,_xll.qlInterpolationInterpolate(BM$3,$F127,TRUE))</f>
        <v>#NUM!</v>
      </c>
      <c r="BO127" s="176" t="str">
        <f>IF(AND(NOT(BM127),AND(BM$4:BM126)),IF($BN127&lt;0,IF($BN127&lt;$J127,EXP(($BN127-$J127)*$G127),EXP(($J127-$BN127)*$G127)),EXP(($BN127-$J127)*$G127)),"")</f>
        <v/>
      </c>
      <c r="BQ127" s="72" t="b">
        <f>IF(AND(NOT(BM127),AND(BM$4:BM126)),TRUE,BM127)</f>
        <v>0</v>
      </c>
      <c r="BR127" s="172" t="e">
        <f>IF(AND(NOT(ISBLANK(Jumpoverwrite15)),AND(NOT(BQ127),AND(BQ$4:BQ126))),($J127*$G127-LN(1+Jumpoverwrite15*BS$2))/$G127,_xll.qlInterpolationInterpolate(BQ$3,$F127,TRUE))</f>
        <v>#NUM!</v>
      </c>
      <c r="BS127" s="176" t="str">
        <f>IF(AND(NOT(BQ127),AND(BQ$4:BQ126)),IF($BN127&lt;0,IF($BN127&lt;$J127,EXP(($BN127-$J127)*$G127),EXP(($J127-$BN127)*$G127)),EXP(($BN127-$J127)*$G127)),"")</f>
        <v/>
      </c>
    </row>
    <row r="128" spans="1:71" x14ac:dyDescent="0.2">
      <c r="A128" s="33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84" t="e">
        <f t="shared" si="9"/>
        <v>#N/A</v>
      </c>
      <c r="G128" s="85" t="e">
        <f>_xll.qlDayCounterYearFraction(DayCounter,D127,D128)</f>
        <v>#NUM!</v>
      </c>
      <c r="I128" s="93" t="b">
        <f t="shared" si="7"/>
        <v>0</v>
      </c>
      <c r="J128" s="37" t="e">
        <v>#N/A</v>
      </c>
      <c r="K128" s="94" t="e">
        <f t="shared" si="8"/>
        <v>#VALUE!</v>
      </c>
      <c r="L128" s="105"/>
      <c r="M128" s="72" t="b">
        <f>IF(AND(NOT(I128),AND(I$4:I127)),TRUE,I128)</f>
        <v>0</v>
      </c>
      <c r="N128" s="172" t="e">
        <f>IF(AND(NOT(ISBLANK(Jumpoverwrite1)),AND(NOT(M128),AND(M$4:M127))),($J128*$G128-LN(1+Jumpoverwrite1*O$2))/$G128,_xll.qlInterpolationInterpolate(M$3,$F128,TRUE))</f>
        <v>#NUM!</v>
      </c>
      <c r="O128" s="34" t="str">
        <f>IF(AND(NOT(M128),AND(M$4:M127)),IF($N128&lt;0,IF($N128&lt;$J128,EXP(($N128-$J128)*$G128),EXP(($J128-$N128)*$G128)),EXP(($N128-$J128)*$G128)),"")</f>
        <v/>
      </c>
      <c r="P128" s="107"/>
      <c r="Q128" s="72" t="b">
        <f>IF(AND(NOT(M128),AND(M$4:M127)),TRUE,M128)</f>
        <v>0</v>
      </c>
      <c r="R128" s="172" t="e">
        <f>IF(AND(NOT(ISBLANK(Jumpoverwrite2)),AND(NOT(Q128),AND(Q$4:Q127))),($J128*$G128-LN(1+Jumpoverwrite2*S$2))/$G128,_xll.qlInterpolationInterpolate(Q$3,$F128,TRUE))</f>
        <v>#NUM!</v>
      </c>
      <c r="S128" s="176" t="str">
        <f>IF(AND(NOT(Q128),AND(Q$4:Q127)),IF($R128&lt;0,IF($R128&lt;$J128,EXP(($R128-$J128)*$G128),EXP(($J128-$R128)*$G128)),EXP(($R128-$J128)*$G128)),"")</f>
        <v/>
      </c>
      <c r="T128" s="107"/>
      <c r="U128" s="72" t="b">
        <f>IF(AND(NOT(Q128),AND(Q$4:Q127)),TRUE,Q128)</f>
        <v>0</v>
      </c>
      <c r="V128" s="172" t="e">
        <f>IF(AND(NOT(ISBLANK(Jumpoverwrite3)),AND(NOT(U128),AND(U$4:U127))),($J128*$G128-LN(1+Jumpoverwrite3*W$2))/$G128,_xll.qlInterpolationInterpolate(U$3,$F128,TRUE))</f>
        <v>#NUM!</v>
      </c>
      <c r="W128" s="176" t="str">
        <f>IF(AND(NOT(U128),AND(U$4:U127)),IF($V128&lt;0,IF($V128&lt;$J128,EXP(($V128-$J128)*$G128),EXP(($J128-$V128)*$G128)),EXP(($V128-$J128)*$G128)),"")</f>
        <v/>
      </c>
      <c r="X128" s="107"/>
      <c r="Y128" s="72" t="b">
        <f>IF(AND(NOT(U128),AND(U$4:U127)),TRUE,U128)</f>
        <v>0</v>
      </c>
      <c r="Z128" s="172" t="e">
        <f>IF(AND(NOT(ISBLANK(Jumpoverwrite4)),AND(NOT(Y128),AND(Y$4:Y127))),($J128*$G128-LN(1+Jumpoverwrite4*AA$2))/$G128,_xll.qlInterpolationInterpolate(Y$3,$F128,TRUE))</f>
        <v>#NUM!</v>
      </c>
      <c r="AA128" s="176" t="str">
        <f>IF(AND(NOT(Y128),AND(Y$4:Y127)),IF($Z128&lt;0,IF($Z128&lt;$J128,EXP(($Z128-$J128)*$G128),EXP(($J128-$Z128)*$G128)),EXP(($Z128-$J128)*$G128)),"")</f>
        <v/>
      </c>
      <c r="AB128" s="107"/>
      <c r="AC128" s="72" t="b">
        <f>IF(AND(NOT(Y128),AND(Y$4:Y127)),TRUE,Y128)</f>
        <v>0</v>
      </c>
      <c r="AD128" s="172" t="e">
        <f>IF(AND(NOT(ISBLANK(Jumpoverwrite5)),AND(NOT(AC128),AND(AC$4:AC127))),($J128*$G128-LN(1+Jumpoverwrite5*AE$2))/$G128,_xll.qlInterpolationInterpolate(AC$3,$F128,TRUE))</f>
        <v>#NUM!</v>
      </c>
      <c r="AE128" s="176" t="str">
        <f>IF(AND(NOT(AC128),AND(AC$4:AC127)),IF($AD128&lt;0,IF($AD128&lt;$J128,EXP(($AD128-$J128)*$G128),EXP(($J128-$AD128)*$G128)),EXP(($AD128-$J128)*$G128)),"")</f>
        <v/>
      </c>
      <c r="AF128" s="107"/>
      <c r="AG128" s="72" t="b">
        <f>IF(AND(NOT(AC128),AND(AC$4:AC127)),TRUE,AC128)</f>
        <v>0</v>
      </c>
      <c r="AH128" s="172" t="e">
        <f>IF(AND(NOT(ISBLANK(Jumpoverwrite6)),AND(NOT(AG128),AND(AG$4:AG127))),($J128*$G128-LN(1+Jumpoverwrite6*AI$2))/$G128,_xll.qlInterpolationInterpolate(AG$3,$F128,TRUE))</f>
        <v>#NUM!</v>
      </c>
      <c r="AI128" s="176" t="str">
        <f>IF(AND(NOT(AG128),AND(AG$4:AG127)),IF($AH128&lt;0,IF($AH128&lt;$J128,EXP(($AH128-$J128)*$G128),EXP(($J128-$AH128)*$G128)),EXP(($AH128-$J128)*$G128)),"")</f>
        <v/>
      </c>
      <c r="AJ128" s="107"/>
      <c r="AK128" s="72" t="b">
        <f>IF(AND(NOT(AG128),AND(AG$4:AG127)),TRUE,AG128)</f>
        <v>0</v>
      </c>
      <c r="AL128" s="172" t="e">
        <f>IF(AND(NOT(ISBLANK(Jumpoverwrite7)),AND(NOT(AK128),AND(AK$4:AK127))),($J128*$G128-LN(1+Jumpoverwrite7*AM$2))/$G128,_xll.qlInterpolationInterpolate(AK$3,$F128,TRUE))</f>
        <v>#NUM!</v>
      </c>
      <c r="AM128" s="176" t="str">
        <f>IF(AND(NOT(AK128),AND(AK$4:AK127)),IF($AL128&lt;0,IF($AL128&lt;$J128,EXP(($AL128-$J128)*$G128),EXP(($J128-$AL128)*$G128)),EXP(($AL128-$J128)*$G128)),"")</f>
        <v/>
      </c>
      <c r="AO128" s="72" t="b">
        <f>IF(AND(NOT(AK128),AND(AK$4:AK127)),TRUE,AK128)</f>
        <v>0</v>
      </c>
      <c r="AP128" s="172" t="e">
        <f>IF(AND(NOT(ISBLANK(Jumpoverwrite8)),AND(NOT(AO128),AND(AO$4:AO127))),($J128*$G128-LN(1+Jumpoverwrite8*AQ$2))/$G128,_xll.qlInterpolationInterpolate(AO$3,$F128,TRUE))</f>
        <v>#NUM!</v>
      </c>
      <c r="AQ128" s="176" t="str">
        <f>IF(AND(NOT(AO128),AND(AO$4:AO127)),IF($AP128&lt;0,IF($AP128&lt;$J128,EXP(($AP128-$J128)*$G128),EXP(($J128-$AP128)*$G128)),EXP(($AP128-$J128)*$G128)),"")</f>
        <v/>
      </c>
      <c r="AS128" s="72" t="b">
        <f>IF(AND(NOT(AO128),AND(AO$4:AO127)),TRUE,AO128)</f>
        <v>0</v>
      </c>
      <c r="AT128" s="172" t="e">
        <f>IF(AND(NOT(ISBLANK(Jumpoverwrite9)),AND(NOT(AS128),AND(AS$4:AS127))),($J128*$G128-LN(1+Jumpoverwrite9*AU$2))/$G128,_xll.qlInterpolationInterpolate(AS$3,$F128,TRUE))</f>
        <v>#NUM!</v>
      </c>
      <c r="AU128" s="176" t="str">
        <f>IF(AND(NOT(AS128),AND(AS$4:AS127)),IF($AT128&lt;0,IF($AT128&lt;$J128,EXP(($AT128-$J128)*$G128),EXP(($J128-$AT128)*$G128)),EXP(($AT128-$J128)*$G128)),"")</f>
        <v/>
      </c>
      <c r="AW128" s="72" t="b">
        <f>IF(AND(NOT(AS128),AND(AS$4:AS127)),TRUE,AS128)</f>
        <v>0</v>
      </c>
      <c r="AX128" s="172" t="e">
        <f>IF(AND(NOT(ISBLANK(Jumpoverwrite10)),AND(NOT(AW128),AND(AW$4:AW127))),($J128*$G128-LN(1+Jumpoverwrite10*AY$2))/$G128,_xll.qlInterpolationInterpolate(AW$3,$F128,TRUE))</f>
        <v>#NUM!</v>
      </c>
      <c r="AY128" s="176" t="str">
        <f>IF(AND(NOT(AW128),AND(AW$4:AW127)),IF($AX128&lt;0,IF($AX128&lt;$J128,EXP(($AX128-$J128)*$G128),EXP(($J128-$AX128)*$G128)),EXP(($AX128-$J128)*$G128)),"")</f>
        <v/>
      </c>
      <c r="BA128" s="72" t="b">
        <f>IF(AND(NOT(AW128),AND(AW$4:AW127)),TRUE,AW128)</f>
        <v>0</v>
      </c>
      <c r="BB128" s="172" t="e">
        <f>IF(AND(NOT(ISBLANK(Jumpoverwrite11)),AND(NOT(BA128),AND(BA$4:BA127))),($J128*$G128-LN(1+Jumpoverwrite11*BC$2))/$G128,_xll.qlInterpolationInterpolate(BA$3,$F128,TRUE))</f>
        <v>#NUM!</v>
      </c>
      <c r="BC128" s="176" t="str">
        <f>IF(AND(NOT(BA128),AND(BA$4:BA127)),IF($BB128&lt;0,IF($BB128&lt;$J128,EXP(($BB128-$J128)*$G128),EXP(($J128-$BB128)*$G128)),EXP(($BB128-$J128)*$G128)),"")</f>
        <v/>
      </c>
      <c r="BE128" s="72" t="b">
        <f>IF(AND(NOT(BA128),AND(BA$4:BA127)),TRUE,BA128)</f>
        <v>0</v>
      </c>
      <c r="BF128" s="172" t="e">
        <f>IF(AND(NOT(ISBLANK(Jumpoverwrite12)),AND(NOT(BE128),AND(BE$4:BE127))),($J128*$G128-LN(1+Jumpoverwrite12*BG$2))/$G128,_xll.qlInterpolationInterpolate(BE$3,$F128,TRUE))</f>
        <v>#NUM!</v>
      </c>
      <c r="BG128" s="176" t="str">
        <f>IF(AND(NOT(BE128),AND(BE$4:BE127)),IF($BF128&lt;0,IF($BF128&lt;$J128,EXP(($BF128-$J128)*$G128),EXP(($J128-$BF128)*$G128)),EXP(($BF128-$J128)*$G128)),"")</f>
        <v/>
      </c>
      <c r="BI128" s="72" t="b">
        <f t="shared" si="10"/>
        <v>0</v>
      </c>
      <c r="BJ128" s="172" t="e">
        <f>IF(AND(NOT(ISBLANK(jumpoverwrite13)),AND(NOT(BI128),AND(BI$4:BI127))),($J128*$G128-LN(1+jumpoverwrite13*BK$2))/$G128,_xll.qlInterpolationInterpolate(BI$3,$F128,TRUE))</f>
        <v>#NUM!</v>
      </c>
      <c r="BK128" s="176" t="str">
        <f>IF(AND(NOT(BI128),AND(BI$4:BI127)),IF($BJ128&lt;0,IF($BJ128&lt;$J128,EXP(($BJ128-$J128)*$G128),EXP(($J128-$BJ128)*$G128)),EXP(($BJ128-$J128)*$G128)),"")</f>
        <v/>
      </c>
      <c r="BM128" s="72" t="b">
        <f>IF(AND(NOT(BI128),AND(BI$4:BI127)),TRUE,BI128)</f>
        <v>0</v>
      </c>
      <c r="BN128" s="172" t="e">
        <f>IF(AND(NOT(ISBLANK(Jumpoverwrite14)),AND(NOT(BM128),AND(BM$4:BM127))),($J128*$G128-LN(1+Jumpoverwrite14*BO$2))/$G128,_xll.qlInterpolationInterpolate(BM$3,$F128,TRUE))</f>
        <v>#NUM!</v>
      </c>
      <c r="BO128" s="176" t="str">
        <f>IF(AND(NOT(BM128),AND(BM$4:BM127)),IF($BN128&lt;0,IF($BN128&lt;$J128,EXP(($BN128-$J128)*$G128),EXP(($J128-$BN128)*$G128)),EXP(($BN128-$J128)*$G128)),"")</f>
        <v/>
      </c>
      <c r="BQ128" s="72" t="b">
        <f>IF(AND(NOT(BM128),AND(BM$4:BM127)),TRUE,BM128)</f>
        <v>0</v>
      </c>
      <c r="BR128" s="172" t="e">
        <f>IF(AND(NOT(ISBLANK(Jumpoverwrite15)),AND(NOT(BQ128),AND(BQ$4:BQ127))),($J128*$G128-LN(1+Jumpoverwrite15*BS$2))/$G128,_xll.qlInterpolationInterpolate(BQ$3,$F128,TRUE))</f>
        <v>#NUM!</v>
      </c>
      <c r="BS128" s="176" t="str">
        <f>IF(AND(NOT(BQ128),AND(BQ$4:BQ127)),IF($BN128&lt;0,IF($BN128&lt;$J128,EXP(($BN128-$J128)*$G128),EXP(($J128-$BN128)*$G128)),EXP(($BN128-$J128)*$G128)),"")</f>
        <v/>
      </c>
    </row>
    <row r="129" spans="1:71" ht="12" thickBot="1" x14ac:dyDescent="0.25">
      <c r="A129" s="33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86" t="e">
        <f t="shared" si="9"/>
        <v>#N/A</v>
      </c>
      <c r="G129" s="87" t="e">
        <f>_xll.qlDayCounterYearFraction(DayCounter,D128,D129)</f>
        <v>#NUM!</v>
      </c>
      <c r="I129" s="95" t="b">
        <f t="shared" si="7"/>
        <v>0</v>
      </c>
      <c r="J129" s="96" t="e">
        <v>#N/A</v>
      </c>
      <c r="K129" s="97" t="e">
        <f t="shared" si="8"/>
        <v>#VALUE!</v>
      </c>
      <c r="L129" s="105"/>
      <c r="M129" s="73" t="b">
        <f>IF(AND(NOT(I129),AND(I$4:I128)),TRUE,I129)</f>
        <v>0</v>
      </c>
      <c r="N129" s="175" t="e">
        <f>IF(AND(NOT(ISBLANK(Jumpoverwrite1)),AND(NOT(M129),AND(M$4:M128))),($J129*$G129-LN(1+Jumpoverwrite1*O$2))/$G129,_xll.qlInterpolationInterpolate(M$3,$F129,TRUE))</f>
        <v>#NUM!</v>
      </c>
      <c r="O129" s="102" t="str">
        <f>IF(AND(NOT(M129),AND(M$4:M128)),IF($N129&lt;0,IF($N129&lt;$J129,EXP(($N129-$J129)*$G129),EXP(($J129-$N129)*$G129)),EXP(($N129-$J129)*$G129)),"")</f>
        <v/>
      </c>
      <c r="P129" s="109"/>
      <c r="Q129" s="73" t="b">
        <f>IF(AND(NOT(M129),AND(M$4:M128)),TRUE,M129)</f>
        <v>0</v>
      </c>
      <c r="R129" s="175" t="e">
        <f>IF(AND(NOT(ISBLANK(Jumpoverwrite2)),AND(NOT(Q129),AND(Q$4:Q128))),($J129*$G129-LN(1+Jumpoverwrite2*S$2))/$G129,_xll.qlInterpolationInterpolate(Q$3,$F129,TRUE))</f>
        <v>#NUM!</v>
      </c>
      <c r="S129" s="177" t="str">
        <f>IF(AND(NOT(Q129),AND(Q$4:Q128)),IF($R129&lt;0,IF($R129&lt;$J129,EXP(($R129-$J129)*$G129),EXP(($J129-$R129)*$G129)),EXP(($R129-$J129)*$G129)),"")</f>
        <v/>
      </c>
      <c r="T129" s="107"/>
      <c r="U129" s="73" t="b">
        <f>IF(AND(NOT(Q129),AND(Q$4:Q128)),TRUE,Q129)</f>
        <v>0</v>
      </c>
      <c r="V129" s="175" t="e">
        <f>IF(AND(NOT(ISBLANK(Jumpoverwrite3)),AND(NOT(U129),AND(U$4:U128))),($J129*$G129-LN(1+Jumpoverwrite3*W$2))/$G129,_xll.qlInterpolationInterpolate(U$3,$F129,TRUE))</f>
        <v>#NUM!</v>
      </c>
      <c r="W129" s="177" t="str">
        <f>IF(AND(NOT(U129),AND(U$4:U128)),IF($V129&lt;0,IF($V129&lt;$J129,EXP(($V129-$J129)*$G129),EXP(($J129-$V129)*$G129)),EXP(($V129-$J129)*$G129)),"")</f>
        <v/>
      </c>
      <c r="X129" s="109"/>
      <c r="Y129" s="73" t="b">
        <f>IF(AND(NOT(U129),AND(U$4:U128)),TRUE,U129)</f>
        <v>0</v>
      </c>
      <c r="Z129" s="175" t="e">
        <f>IF(AND(NOT(ISBLANK(Jumpoverwrite4)),AND(NOT(Y129),AND(Y$4:Y128))),($J129*$G129-LN(1+Jumpoverwrite4*AA$2))/$G129,_xll.qlInterpolationInterpolate(Y$3,$F129,TRUE))</f>
        <v>#NUM!</v>
      </c>
      <c r="AA129" s="177" t="str">
        <f>IF(AND(NOT(Y129),AND(Y$4:Y128)),IF($Z129&lt;0,IF($Z129&lt;$J129,EXP(($Z129-$J129)*$G129),EXP(($J129-$Z129)*$G129)),EXP(($Z129-$J129)*$G129)),"")</f>
        <v/>
      </c>
      <c r="AB129" s="109"/>
      <c r="AC129" s="73" t="b">
        <f>IF(AND(NOT(Y129),AND(Y$4:Y128)),TRUE,Y129)</f>
        <v>0</v>
      </c>
      <c r="AD129" s="175" t="e">
        <f>IF(AND(NOT(ISBLANK(Jumpoverwrite5)),AND(NOT(AC129),AND(AC$4:AC128))),($J129*$G129-LN(1+Jumpoverwrite5*AE$2))/$G129,_xll.qlInterpolationInterpolate(AC$3,$F129,TRUE))</f>
        <v>#NUM!</v>
      </c>
      <c r="AE129" s="177" t="str">
        <f>IF(AND(NOT(AC129),AND(AC$4:AC128)),IF($AD129&lt;0,IF($AD129&lt;$J129,EXP(($AD129-$J129)*$G129),EXP(($J129-$AD129)*$G129)),EXP(($AD129-$J129)*$G129)),"")</f>
        <v/>
      </c>
      <c r="AF129" s="109"/>
      <c r="AG129" s="73" t="b">
        <f>IF(AND(NOT(AC129),AND(AC$4:AC128)),TRUE,AC129)</f>
        <v>0</v>
      </c>
      <c r="AH129" s="175" t="e">
        <f>IF(AND(NOT(ISBLANK(Jumpoverwrite6)),AND(NOT(AG129),AND(AG$4:AG128))),($J129*$G129-LN(1+Jumpoverwrite6*AI$2))/$G129,_xll.qlInterpolationInterpolate(AG$3,$F129,TRUE))</f>
        <v>#NUM!</v>
      </c>
      <c r="AI129" s="177" t="str">
        <f>IF(AND(NOT(AG129),AND(AG$4:AG128)),IF($AH129&lt;0,IF($AH129&lt;$J129,EXP(($AH129-$J129)*$G129),EXP(($J129-$AH129)*$G129)),EXP(($AH129-$J129)*$G129)),"")</f>
        <v/>
      </c>
      <c r="AJ129" s="109"/>
      <c r="AK129" s="73" t="b">
        <f>IF(AND(NOT(AG129),AND(AG$4:AG128)),TRUE,AG129)</f>
        <v>0</v>
      </c>
      <c r="AL129" s="175" t="e">
        <f>IF(AND(NOT(ISBLANK(Jumpoverwrite7)),AND(NOT(AK129),AND(AK$4:AK128))),($J129*$G129-LN(1+Jumpoverwrite7*AM$2))/$G129,_xll.qlInterpolationInterpolate(AK$3,$F129,TRUE))</f>
        <v>#NUM!</v>
      </c>
      <c r="AM129" s="177" t="str">
        <f>IF(AND(NOT(AK129),AND(AK$4:AK128)),IF($AL129&lt;0,IF($AL129&lt;$J129,EXP(($AL129-$J129)*$G129),EXP(($J129-$AL129)*$G129)),EXP(($AL129-$J129)*$G129)),"")</f>
        <v/>
      </c>
      <c r="AO129" s="73" t="b">
        <f>IF(AND(NOT(AK129),AND(AK$4:AK128)),TRUE,AK129)</f>
        <v>0</v>
      </c>
      <c r="AP129" s="175" t="e">
        <f>IF(AND(NOT(ISBLANK(Jumpoverwrite8)),AND(NOT(AO129),AND(AO$4:AO128))),($J129*$G129-LN(1+Jumpoverwrite8*AQ$2))/$G129,_xll.qlInterpolationInterpolate(AO$3,$F129,TRUE))</f>
        <v>#NUM!</v>
      </c>
      <c r="AQ129" s="177" t="str">
        <f>IF(AND(NOT(AO129),AND(AO$4:AO128)),IF($AP129&lt;0,IF($AP129&lt;$J129,EXP(($AP129-$J129)*$G129),EXP(($J129-$AP129)*$G129)),EXP(($AP129-$J129)*$G129)),"")</f>
        <v/>
      </c>
      <c r="AS129" s="73" t="b">
        <f>IF(AND(NOT(AO129),AND(AO$4:AO128)),TRUE,AO129)</f>
        <v>0</v>
      </c>
      <c r="AT129" s="175" t="e">
        <f>IF(AND(NOT(ISBLANK(Jumpoverwrite9)),AND(NOT(AS129),AND(AS$4:AS128))),($J129*$G129-LN(1+Jumpoverwrite9*AU$2))/$G129,_xll.qlInterpolationInterpolate(AS$3,$F129,TRUE))</f>
        <v>#NUM!</v>
      </c>
      <c r="AU129" s="177" t="str">
        <f>IF(AND(NOT(AS129),AND(AS$4:AS128)),IF($AT129&lt;0,IF($AT129&lt;$J129,EXP(($AT129-$J129)*$G129),EXP(($J129-$AT129)*$G129)),EXP(($AT129-$J129)*$G129)),"")</f>
        <v/>
      </c>
      <c r="AW129" s="73" t="b">
        <f>IF(AND(NOT(AS129),AND(AS$4:AS128)),TRUE,AS129)</f>
        <v>0</v>
      </c>
      <c r="AX129" s="175" t="e">
        <f>IF(AND(NOT(ISBLANK(Jumpoverwrite10)),AND(NOT(AW129),AND(AW$4:AW128))),($J129*$G129-LN(1+Jumpoverwrite10*AY$2))/$G129,_xll.qlInterpolationInterpolate(AW$3,$F129,TRUE))</f>
        <v>#NUM!</v>
      </c>
      <c r="AY129" s="177" t="str">
        <f>IF(AND(NOT(AW129),AND(AW$4:AW128)),IF($AX129&lt;0,IF($AX129&lt;$J129,EXP(($AX129-$J129)*$G129),EXP(($J129-$AX129)*$G129)),EXP(($AX129-$J129)*$G129)),"")</f>
        <v/>
      </c>
      <c r="BA129" s="73" t="b">
        <f>IF(AND(NOT(AW129),AND(AW$4:AW128)),TRUE,AW129)</f>
        <v>0</v>
      </c>
      <c r="BB129" s="175" t="e">
        <f>IF(AND(NOT(ISBLANK(Jumpoverwrite11)),AND(NOT(BA129),AND(BA$4:BA128))),($J129*$G129-LN(1+Jumpoverwrite11*BC$2))/$G129,_xll.qlInterpolationInterpolate(BA$3,$F129,TRUE))</f>
        <v>#NUM!</v>
      </c>
      <c r="BC129" s="177" t="str">
        <f>IF(AND(NOT(BA129),AND(BA$4:BA128)),IF($BB129&lt;0,IF($BB129&lt;$J129,EXP(($BB129-$J129)*$G129),EXP(($J129-$BB129)*$G129)),EXP(($BB129-$J129)*$G129)),"")</f>
        <v/>
      </c>
      <c r="BE129" s="73" t="b">
        <f>IF(AND(NOT(BA129),AND(BA$4:BA128)),TRUE,BA129)</f>
        <v>0</v>
      </c>
      <c r="BF129" s="175" t="e">
        <f>IF(AND(NOT(ISBLANK(Jumpoverwrite12)),AND(NOT(BE129),AND(BE$4:BE128))),($J129*$G129-LN(1+Jumpoverwrite12*BG$2))/$G129,_xll.qlInterpolationInterpolate(BE$3,$F129,TRUE))</f>
        <v>#NUM!</v>
      </c>
      <c r="BG129" s="177" t="str">
        <f>IF(AND(NOT(BE129),AND(BE$4:BE128)),IF($BF129&lt;0,IF($BF129&lt;$J129,EXP(($BF129-$J129)*$G129),EXP(($J129-$BF129)*$G129)),EXP(($BF129-$J129)*$G129)),"")</f>
        <v/>
      </c>
      <c r="BI129" s="73" t="b">
        <f t="shared" si="10"/>
        <v>0</v>
      </c>
      <c r="BJ129" s="175" t="e">
        <f>IF(AND(NOT(ISBLANK(jumpoverwrite13)),AND(NOT(BI129),AND(BI$4:BI128))),($J129*$G129-LN(1+jumpoverwrite13*BK$2))/$G129,_xll.qlInterpolationInterpolate(BI$3,$F129,TRUE))</f>
        <v>#NUM!</v>
      </c>
      <c r="BK129" s="177" t="str">
        <f>IF(AND(NOT(BI129),AND(BI$4:BI128)),IF($BJ129&lt;0,IF($BJ129&lt;$J129,EXP(($BJ129-$J129)*$G129),EXP(($J129-$BJ129)*$G129)),EXP(($BJ129-$J129)*$G129)),"")</f>
        <v/>
      </c>
      <c r="BM129" s="72" t="b">
        <f>IF(AND(NOT(BI129),AND(BI$4:BI128)),TRUE,BI129)</f>
        <v>0</v>
      </c>
      <c r="BN129" s="172" t="e">
        <f>IF(AND(NOT(ISBLANK(Jumpoverwrite14)),AND(NOT(BM129),AND(BM$4:BM128))),($J129*$G129-LN(1+Jumpoverwrite14*BO$2))/$G129,_xll.qlInterpolationInterpolate(BM$3,$F129,TRUE))</f>
        <v>#NUM!</v>
      </c>
      <c r="BO129" s="177" t="str">
        <f>IF(AND(NOT(BM129),AND(BM$4:BM128)),IF($BN129&lt;0,IF($BN129&lt;$J129,EXP(($BN129-$J129)*$G129),EXP(($J129-$BN129)*$G129)),EXP(($BN129-$J129)*$G129)),"")</f>
        <v/>
      </c>
      <c r="BQ129" s="72" t="b">
        <f>IF(AND(NOT(BM129),AND(BM$4:BM128)),TRUE,BM129)</f>
        <v>0</v>
      </c>
      <c r="BR129" s="172" t="e">
        <f>IF(AND(NOT(ISBLANK(Jumpoverwrite15)),AND(NOT(BQ129),AND(BQ$4:BQ128))),($J129*$G129-LN(1+Jumpoverwrite15*BS$2))/$G129,_xll.qlInterpolationInterpolate(BQ$3,$F129,TRUE))</f>
        <v>#NUM!</v>
      </c>
      <c r="BS129" s="177" t="str">
        <f>IF(AND(NOT(BQ129),AND(BQ$4:BQ128)),IF($BN129&lt;0,IF($BN129&lt;$J129,EXP(($BN129-$J129)*$G129),EXP(($J129-$BN129)*$G129)),EXP(($BN129-$J129)*$G129)),"")</f>
        <v/>
      </c>
    </row>
    <row r="130" spans="1:71" x14ac:dyDescent="0.2">
      <c r="A130" s="77"/>
      <c r="B130" s="77"/>
      <c r="C130" s="77"/>
      <c r="D130" s="77"/>
      <c r="BM130" s="78"/>
      <c r="BN130" s="78"/>
      <c r="BQ130" s="78"/>
      <c r="BR130" s="7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05"/>
  <sheetViews>
    <sheetView showGridLines="0" workbookViewId="0">
      <selection activeCell="F2" sqref="F2"/>
    </sheetView>
  </sheetViews>
  <sheetFormatPr defaultRowHeight="11.25" x14ac:dyDescent="0.2"/>
  <cols>
    <col min="1" max="1" width="2.7109375" style="128" customWidth="1"/>
    <col min="2" max="2" width="7" style="128" bestFit="1" customWidth="1"/>
    <col min="3" max="3" width="17.28515625" style="128" bestFit="1" customWidth="1"/>
    <col min="4" max="4" width="11" style="128" bestFit="1" customWidth="1"/>
    <col min="5" max="5" width="8" style="128" bestFit="1" customWidth="1"/>
    <col min="6" max="6" width="10" style="128" bestFit="1" customWidth="1"/>
    <col min="7" max="7" width="2.7109375" style="128" customWidth="1"/>
    <col min="8" max="8" width="11" style="128" bestFit="1" customWidth="1"/>
    <col min="9" max="9" width="2.7109375" style="128" customWidth="1"/>
    <col min="10" max="10" width="24.42578125" style="128" bestFit="1" customWidth="1"/>
    <col min="11" max="11" width="29.7109375" style="128" bestFit="1" customWidth="1"/>
    <col min="12" max="12" width="10" style="128" bestFit="1" customWidth="1"/>
    <col min="13" max="13" width="9" style="128" bestFit="1" customWidth="1"/>
    <col min="14" max="15" width="2.7109375" style="128" customWidth="1"/>
    <col min="16" max="16" width="10" style="128" customWidth="1"/>
    <col min="17" max="17" width="17.28515625" style="128" customWidth="1"/>
    <col min="18" max="18" width="9" style="128" customWidth="1"/>
    <col min="19" max="25" width="8.7109375" style="128" customWidth="1"/>
    <col min="26" max="16384" width="9.140625" style="128"/>
  </cols>
  <sheetData>
    <row r="1" spans="1:18" ht="11.25" customHeight="1" x14ac:dyDescent="0.25">
      <c r="A1" s="166"/>
      <c r="B1" s="167"/>
      <c r="C1" s="167"/>
      <c r="D1" s="168"/>
      <c r="E1" s="168"/>
      <c r="F1" s="168"/>
      <c r="G1" s="169"/>
      <c r="H1" s="168"/>
      <c r="I1" s="168"/>
      <c r="J1" s="167"/>
      <c r="K1" s="167"/>
      <c r="L1" s="167"/>
      <c r="M1" s="170">
        <f>_xll.ohTrigger(M3:M4)</f>
        <v>245</v>
      </c>
      <c r="N1" s="171"/>
      <c r="Q1" s="128">
        <v>4</v>
      </c>
    </row>
    <row r="2" spans="1:18" ht="22.5" x14ac:dyDescent="0.25">
      <c r="A2" s="125"/>
      <c r="B2" s="111"/>
      <c r="C2" s="112" t="s">
        <v>75</v>
      </c>
      <c r="D2" s="112" t="s">
        <v>76</v>
      </c>
      <c r="E2" s="113" t="s">
        <v>79</v>
      </c>
      <c r="F2" s="113" t="s">
        <v>80</v>
      </c>
      <c r="G2" s="123"/>
      <c r="H2" s="111" t="s">
        <v>45</v>
      </c>
      <c r="I2" s="21"/>
      <c r="J2" s="111" t="s">
        <v>77</v>
      </c>
      <c r="K2" s="111"/>
      <c r="L2" s="111" t="s">
        <v>46</v>
      </c>
      <c r="M2" s="111" t="s">
        <v>47</v>
      </c>
      <c r="N2" s="124"/>
      <c r="P2" s="137" t="s">
        <v>84</v>
      </c>
      <c r="Q2" s="137" t="s">
        <v>85</v>
      </c>
      <c r="R2" s="137" t="s">
        <v>86</v>
      </c>
    </row>
    <row r="3" spans="1:18" ht="11.25" customHeight="1" x14ac:dyDescent="0.25">
      <c r="A3" s="125"/>
      <c r="B3" s="114" t="s">
        <v>62</v>
      </c>
      <c r="C3" s="115">
        <f>JumpDate1</f>
        <v>42674</v>
      </c>
      <c r="D3" s="134">
        <f>JumpValue1</f>
        <v>1.0000022576880467</v>
      </c>
      <c r="E3" s="131">
        <f>JumpSize1</f>
        <v>-8.1276677933845806E-4</v>
      </c>
      <c r="F3" s="116"/>
      <c r="G3" s="123"/>
      <c r="H3" s="129">
        <v>1</v>
      </c>
      <c r="I3" s="21"/>
      <c r="J3" s="36" t="str">
        <f t="shared" ref="J3:J15" si="0">Currency&amp;$B3&amp;QuoteSuffix</f>
        <v>USDJump1_Quote</v>
      </c>
      <c r="K3" s="36" t="str">
        <f>_xll.qlSimpleQuote(J3,,,TRUE,Trigger)</f>
        <v>USDJump1_Quote#0001</v>
      </c>
      <c r="L3" s="36">
        <f t="array" ref="L3:L16">Live</f>
        <v>1.0000022576880467</v>
      </c>
      <c r="M3" s="36">
        <f>_xll.qlSimpleQuoteSetValue($K3,ROUND($L3,7),EvaluationDate)</f>
        <v>0</v>
      </c>
      <c r="N3" s="124"/>
      <c r="P3" s="138" t="s">
        <v>87</v>
      </c>
      <c r="Q3" s="139">
        <f>SettlementDate</f>
        <v>42664</v>
      </c>
      <c r="R3" s="140">
        <f>IF((ISERR(_xll.qlIndexFixing(Index,Q3,,InterestRatesTrigger))),_xll.qlIndexFixing(Index,Q3-$Q$1,,InterestRatesTrigger),_xll.qlIndexFixing(Index,Q3,,InterestRatesTrigger))</f>
        <v>4.0699079766071122E-3</v>
      </c>
    </row>
    <row r="4" spans="1:18" ht="11.25" customHeight="1" x14ac:dyDescent="0.25">
      <c r="A4" s="125"/>
      <c r="B4" s="117" t="s">
        <v>63</v>
      </c>
      <c r="C4" s="118">
        <f>JumpDate2</f>
        <v>42704</v>
      </c>
      <c r="D4" s="129">
        <f>JumpValue2</f>
        <v>1</v>
      </c>
      <c r="E4" s="132">
        <f>JumpSize2</f>
        <v>0</v>
      </c>
      <c r="F4" s="119">
        <v>0</v>
      </c>
      <c r="G4" s="123"/>
      <c r="H4" s="129">
        <v>1</v>
      </c>
      <c r="I4" s="21"/>
      <c r="J4" s="121" t="str">
        <f t="shared" si="0"/>
        <v>USDJump2_Quote</v>
      </c>
      <c r="K4" s="121" t="str">
        <f>_xll.qlSimpleQuote(J4,,,TRUE,Trigger)</f>
        <v>USDJump2_Quote#0001</v>
      </c>
      <c r="L4" s="121">
        <v>1</v>
      </c>
      <c r="M4" s="121">
        <f>_xll.qlSimpleQuoteSetValue($K4,ROUND($L4,7),EvaluationDate)</f>
        <v>0</v>
      </c>
      <c r="N4" s="124"/>
      <c r="P4" s="138" t="s">
        <v>87</v>
      </c>
      <c r="Q4" s="139">
        <f>_xll.qlCalendarAdvance(Calendar,Q3,P4,"f")</f>
        <v>42667</v>
      </c>
      <c r="R4" s="140">
        <f>IF((ISERR(_xll.qlIndexFixing(Index,Q4,,InterestRatesTrigger))),_xll.qlIndexFixing(Index,Q4-$Q$1,,InterestRatesTrigger),_xll.qlIndexFixing(Index,Q4,,InterestRatesTrigger))</f>
        <v>4.0698619659185198E-3</v>
      </c>
    </row>
    <row r="5" spans="1:18" ht="11.25" customHeight="1" x14ac:dyDescent="0.25">
      <c r="A5" s="125"/>
      <c r="B5" s="117" t="s">
        <v>64</v>
      </c>
      <c r="C5" s="118">
        <f>JumpDate3</f>
        <v>42734</v>
      </c>
      <c r="D5" s="129">
        <f>JumpValue3</f>
        <v>1</v>
      </c>
      <c r="E5" s="132">
        <f>JumpSize3</f>
        <v>0</v>
      </c>
      <c r="F5" s="119">
        <v>0</v>
      </c>
      <c r="G5" s="123"/>
      <c r="H5" s="129">
        <v>1</v>
      </c>
      <c r="I5" s="123"/>
      <c r="J5" s="121" t="str">
        <f t="shared" si="0"/>
        <v>USDJump3_Quote</v>
      </c>
      <c r="K5" s="121" t="str">
        <f>_xll.qlSimpleQuote(J5,,,TRUE,Trigger)</f>
        <v>USDJump3_Quote#0001</v>
      </c>
      <c r="L5" s="121">
        <v>1</v>
      </c>
      <c r="M5" s="121">
        <f>_xll.qlSimpleQuoteSetValue($K5,ROUND($L5,7),EvaluationDate)</f>
        <v>0</v>
      </c>
      <c r="N5" s="124"/>
      <c r="P5" s="138" t="s">
        <v>87</v>
      </c>
      <c r="Q5" s="139">
        <f>_xll.qlCalendarAdvance(Calendar,Q4,P5,"f")</f>
        <v>42668</v>
      </c>
      <c r="R5" s="140">
        <f>IF((ISERR(_xll.qlIndexFixing(Index,Q5,,InterestRatesTrigger))),_xll.qlIndexFixing(Index,Q5-$Q$1,,InterestRatesTrigger),_xll.qlIndexFixing(Index,Q5,,InterestRatesTrigger))</f>
        <v>4.0698619659185198E-3</v>
      </c>
    </row>
    <row r="6" spans="1:18" ht="11.25" customHeight="1" x14ac:dyDescent="0.25">
      <c r="A6" s="125"/>
      <c r="B6" s="117" t="s">
        <v>65</v>
      </c>
      <c r="C6" s="118">
        <f>JumpDate4</f>
        <v>42766</v>
      </c>
      <c r="D6" s="129">
        <f>JumpValue4</f>
        <v>1</v>
      </c>
      <c r="E6" s="132">
        <f>JumpSize4</f>
        <v>0</v>
      </c>
      <c r="F6" s="119">
        <v>0</v>
      </c>
      <c r="G6" s="123"/>
      <c r="H6" s="129">
        <v>1</v>
      </c>
      <c r="I6" s="123"/>
      <c r="J6" s="121" t="str">
        <f t="shared" si="0"/>
        <v>USDJump4_Quote</v>
      </c>
      <c r="K6" s="121" t="str">
        <f>_xll.qlSimpleQuote(J6,,,TRUE,Trigger)</f>
        <v>USDJump4_Quote#0001</v>
      </c>
      <c r="L6" s="121">
        <v>1</v>
      </c>
      <c r="M6" s="121">
        <f>_xll.qlSimpleQuoteSetValue($K6,ROUND($L6,7),EvaluationDate)</f>
        <v>0</v>
      </c>
      <c r="N6" s="124"/>
      <c r="P6" s="138" t="s">
        <v>87</v>
      </c>
      <c r="Q6" s="139">
        <f>_xll.qlCalendarAdvance(Calendar,Q5,P6,"f")</f>
        <v>42669</v>
      </c>
      <c r="R6" s="140">
        <f>IF((ISERR(_xll.qlIndexFixing(Index,Q6,,InterestRatesTrigger))),_xll.qlIndexFixing(Index,Q6-$Q$1,,InterestRatesTrigger),_xll.qlIndexFixing(Index,Q6,,InterestRatesTrigger))</f>
        <v>4.0698619659185198E-3</v>
      </c>
    </row>
    <row r="7" spans="1:18" ht="11.25" customHeight="1" x14ac:dyDescent="0.25">
      <c r="A7" s="125"/>
      <c r="B7" s="117" t="s">
        <v>66</v>
      </c>
      <c r="C7" s="118">
        <f>JumpDate5</f>
        <v>42794</v>
      </c>
      <c r="D7" s="129">
        <f>JumpValue5</f>
        <v>1</v>
      </c>
      <c r="E7" s="132">
        <f>JumpSize5</f>
        <v>0</v>
      </c>
      <c r="F7" s="119">
        <v>0</v>
      </c>
      <c r="G7" s="123"/>
      <c r="H7" s="129">
        <v>1</v>
      </c>
      <c r="I7" s="123"/>
      <c r="J7" s="121" t="str">
        <f t="shared" si="0"/>
        <v>USDJump5_Quote</v>
      </c>
      <c r="K7" s="121" t="str">
        <f>_xll.qlSimpleQuote(J7,,,TRUE,Trigger)</f>
        <v>USDJump5_Quote#0001</v>
      </c>
      <c r="L7" s="121">
        <v>1</v>
      </c>
      <c r="M7" s="121">
        <f>_xll.qlSimpleQuoteSetValue($K7,ROUND($L7,7),EvaluationDate)</f>
        <v>0</v>
      </c>
      <c r="N7" s="124"/>
      <c r="P7" s="138" t="s">
        <v>87</v>
      </c>
      <c r="Q7" s="139">
        <f>_xll.qlCalendarAdvance(Calendar,Q6,P7,"f")</f>
        <v>42670</v>
      </c>
      <c r="R7" s="140">
        <f>IF((ISERR(_xll.qlIndexFixing(Index,Q7,,InterestRatesTrigger))),_xll.qlIndexFixing(Index,Q7-$Q$1,,InterestRatesTrigger),_xll.qlIndexFixing(Index,Q7,,InterestRatesTrigger))</f>
        <v>4.0698619659185198E-3</v>
      </c>
    </row>
    <row r="8" spans="1:18" ht="11.25" customHeight="1" x14ac:dyDescent="0.25">
      <c r="A8" s="125"/>
      <c r="B8" s="117" t="s">
        <v>67</v>
      </c>
      <c r="C8" s="118">
        <f>JumpDate6</f>
        <v>42825</v>
      </c>
      <c r="D8" s="129">
        <f>JumpValue6</f>
        <v>1</v>
      </c>
      <c r="E8" s="132">
        <f>JumpSize6</f>
        <v>0</v>
      </c>
      <c r="F8" s="119">
        <v>0</v>
      </c>
      <c r="G8" s="123"/>
      <c r="H8" s="129">
        <v>1</v>
      </c>
      <c r="I8" s="123"/>
      <c r="J8" s="121" t="str">
        <f t="shared" si="0"/>
        <v>USDJump6_Quote</v>
      </c>
      <c r="K8" s="121" t="str">
        <f>_xll.qlSimpleQuote(J8,,,TRUE,Trigger)</f>
        <v>USDJump6_Quote#0001</v>
      </c>
      <c r="L8" s="121">
        <v>1</v>
      </c>
      <c r="M8" s="121">
        <f>_xll.qlSimpleQuoteSetValue($K8,ROUND($L8,7),EvaluationDate)</f>
        <v>0</v>
      </c>
      <c r="N8" s="124"/>
      <c r="P8" s="138" t="s">
        <v>87</v>
      </c>
      <c r="Q8" s="139">
        <f>_xll.qlCalendarAdvance(Calendar,Q7,P8,"f")</f>
        <v>42671</v>
      </c>
      <c r="R8" s="140">
        <f>IF((ISERR(_xll.qlIndexFixing(Index,Q8,,InterestRatesTrigger))),_xll.qlIndexFixing(Index,Q8-$Q$1,,InterestRatesTrigger),_xll.qlIndexFixing(Index,Q8,,InterestRatesTrigger))</f>
        <v>4.1057092897478498E-3</v>
      </c>
    </row>
    <row r="9" spans="1:18" ht="11.25" customHeight="1" x14ac:dyDescent="0.25">
      <c r="A9" s="125"/>
      <c r="B9" s="117" t="s">
        <v>68</v>
      </c>
      <c r="C9" s="118">
        <f>JumpDate7</f>
        <v>42853</v>
      </c>
      <c r="D9" s="129">
        <f>JumpValue7</f>
        <v>1</v>
      </c>
      <c r="E9" s="132">
        <f>JumpSize7</f>
        <v>0</v>
      </c>
      <c r="F9" s="119">
        <v>0</v>
      </c>
      <c r="G9" s="123"/>
      <c r="H9" s="129">
        <v>0.99999777778271604</v>
      </c>
      <c r="I9" s="123"/>
      <c r="J9" s="121" t="str">
        <f t="shared" si="0"/>
        <v>USDJump7_Quote</v>
      </c>
      <c r="K9" s="121" t="str">
        <f>_xll.qlSimpleQuote(J9,,,TRUE,Trigger)</f>
        <v>USDJump7_Quote#0001</v>
      </c>
      <c r="L9" s="121">
        <v>1</v>
      </c>
      <c r="M9" s="121">
        <f>_xll.qlSimpleQuoteSetValue($K9,ROUND($L9,7),EvaluationDate)</f>
        <v>-7.4999999999381117E-6</v>
      </c>
      <c r="N9" s="124"/>
      <c r="P9" s="138" t="s">
        <v>87</v>
      </c>
      <c r="Q9" s="139">
        <f>_xll.qlCalendarAdvance(Calendar,Q8,P9,"f")</f>
        <v>42674</v>
      </c>
      <c r="R9" s="140">
        <f>IF((ISERR(_xll.qlIndexFixing(Index,Q9,,InterestRatesTrigger))),_xll.qlIndexFixing(Index,Q9-$Q$1,,InterestRatesTrigger),_xll.qlIndexFixing(Index,Q9,,InterestRatesTrigger))</f>
        <v>3.2928873348847532E-3</v>
      </c>
    </row>
    <row r="10" spans="1:18" ht="11.25" customHeight="1" x14ac:dyDescent="0.25">
      <c r="A10" s="125"/>
      <c r="B10" s="117" t="s">
        <v>69</v>
      </c>
      <c r="C10" s="118">
        <f>JumpDate8</f>
        <v>42886</v>
      </c>
      <c r="D10" s="129">
        <f>JumpValue8</f>
        <v>1</v>
      </c>
      <c r="E10" s="132">
        <f>JumpSize8</f>
        <v>0</v>
      </c>
      <c r="F10" s="119">
        <v>0</v>
      </c>
      <c r="G10" s="123"/>
      <c r="H10" s="129">
        <v>1</v>
      </c>
      <c r="I10" s="123"/>
      <c r="J10" s="121" t="str">
        <f t="shared" si="0"/>
        <v>USDJump8_Quote</v>
      </c>
      <c r="K10" s="121" t="str">
        <f>_xll.qlSimpleQuote(J10,,,TRUE,Trigger)</f>
        <v>USDJump8_Quote#0001</v>
      </c>
      <c r="L10" s="121">
        <v>1</v>
      </c>
      <c r="M10" s="121">
        <f>_xll.qlSimpleQuoteSetValue($K10,ROUND($L10,7),EvaluationDate)</f>
        <v>0</v>
      </c>
      <c r="N10" s="124"/>
      <c r="P10" s="138" t="s">
        <v>87</v>
      </c>
      <c r="Q10" s="139">
        <f>_xll.qlCalendarAdvance(Calendar,Q9,P10,"f")</f>
        <v>42675</v>
      </c>
      <c r="R10" s="140">
        <f>IF((ISERR(_xll.qlIndexFixing(Index,Q10,,InterestRatesTrigger))),_xll.qlIndexFixing(Index,Q10-$Q$1,,InterestRatesTrigger),_xll.qlIndexFixing(Index,Q10,,InterestRatesTrigger))</f>
        <v>4.1056624660829044E-3</v>
      </c>
    </row>
    <row r="11" spans="1:18" ht="11.25" customHeight="1" x14ac:dyDescent="0.25">
      <c r="A11" s="125"/>
      <c r="B11" s="117" t="s">
        <v>70</v>
      </c>
      <c r="C11" s="118">
        <f>JumpDate9</f>
        <v>42916</v>
      </c>
      <c r="D11" s="129">
        <f>JumpValue9</f>
        <v>1</v>
      </c>
      <c r="E11" s="132">
        <f>JumpSize9</f>
        <v>0</v>
      </c>
      <c r="F11" s="119">
        <v>0</v>
      </c>
      <c r="G11" s="123"/>
      <c r="H11" s="129">
        <v>1</v>
      </c>
      <c r="I11" s="123"/>
      <c r="J11" s="121" t="str">
        <f t="shared" si="0"/>
        <v>USDJump9_Quote</v>
      </c>
      <c r="K11" s="121" t="str">
        <f>_xll.qlSimpleQuote(J11,,,TRUE,Trigger)</f>
        <v>USDJump9_Quote#0001</v>
      </c>
      <c r="L11" s="121">
        <v>1</v>
      </c>
      <c r="M11" s="121">
        <f>_xll.qlSimpleQuoteSetValue($K11,ROUND($L11,7),EvaluationDate)</f>
        <v>0</v>
      </c>
      <c r="N11" s="124"/>
      <c r="P11" s="138" t="s">
        <v>87</v>
      </c>
      <c r="Q11" s="139">
        <f>_xll.qlCalendarAdvance(Calendar,Q10,P11,"f")</f>
        <v>42676</v>
      </c>
      <c r="R11" s="140">
        <f>IF((ISERR(_xll.qlIndexFixing(Index,Q11,,InterestRatesTrigger))),_xll.qlIndexFixing(Index,Q11-$Q$1,,InterestRatesTrigger),_xll.qlIndexFixing(Index,Q11,,InterestRatesTrigger))</f>
        <v>4.1056624660829044E-3</v>
      </c>
    </row>
    <row r="12" spans="1:18" ht="11.25" customHeight="1" x14ac:dyDescent="0.25">
      <c r="A12" s="125"/>
      <c r="B12" s="117" t="s">
        <v>71</v>
      </c>
      <c r="C12" s="118">
        <f>JumpDate10</f>
        <v>42947</v>
      </c>
      <c r="D12" s="129">
        <f>JumpValue10</f>
        <v>1</v>
      </c>
      <c r="E12" s="132">
        <f>JumpSize10</f>
        <v>0</v>
      </c>
      <c r="F12" s="119">
        <v>0</v>
      </c>
      <c r="G12" s="123"/>
      <c r="H12" s="129">
        <v>1</v>
      </c>
      <c r="I12" s="123"/>
      <c r="J12" s="121" t="str">
        <f t="shared" si="0"/>
        <v>USDJump10_Quote</v>
      </c>
      <c r="K12" s="121" t="str">
        <f>_xll.qlSimpleQuote(J12,,,TRUE,Trigger)</f>
        <v>USDJump10_Quote#0001</v>
      </c>
      <c r="L12" s="121">
        <v>1</v>
      </c>
      <c r="M12" s="121">
        <f>_xll.qlSimpleQuoteSetValue($K12,ROUND($L12,7),EvaluationDate)</f>
        <v>0</v>
      </c>
      <c r="N12" s="124"/>
      <c r="P12" s="138" t="s">
        <v>87</v>
      </c>
      <c r="Q12" s="139">
        <f>_xll.qlCalendarAdvance(Calendar,Q11,P12,"f")</f>
        <v>42677</v>
      </c>
      <c r="R12" s="140">
        <f>IF((ISERR(_xll.qlIndexFixing(Index,Q12,,InterestRatesTrigger))),_xll.qlIndexFixing(Index,Q12-$Q$1,,InterestRatesTrigger),_xll.qlIndexFixing(Index,Q12,,InterestRatesTrigger))</f>
        <v>4.1056624660029684E-3</v>
      </c>
    </row>
    <row r="13" spans="1:18" ht="11.25" customHeight="1" x14ac:dyDescent="0.25">
      <c r="A13" s="125"/>
      <c r="B13" s="117" t="s">
        <v>72</v>
      </c>
      <c r="C13" s="118">
        <f>JumpDate11</f>
        <v>42978</v>
      </c>
      <c r="D13" s="129">
        <f>JumpValue11</f>
        <v>1</v>
      </c>
      <c r="E13" s="132">
        <f>JumpSize11</f>
        <v>0</v>
      </c>
      <c r="F13" s="119">
        <v>0</v>
      </c>
      <c r="G13" s="123"/>
      <c r="H13" s="129">
        <v>1</v>
      </c>
      <c r="I13" s="123"/>
      <c r="J13" s="121" t="str">
        <f t="shared" si="0"/>
        <v>USDJump11_Quote</v>
      </c>
      <c r="K13" s="121" t="str">
        <f>_xll.qlSimpleQuote(J13,,,TRUE,Trigger)</f>
        <v>USDJump11_Quote#0001</v>
      </c>
      <c r="L13" s="121">
        <v>1</v>
      </c>
      <c r="M13" s="121">
        <f>_xll.qlSimpleQuoteSetValue($K13,ROUND($L13,7),EvaluationDate)</f>
        <v>0</v>
      </c>
      <c r="N13" s="124"/>
      <c r="P13" s="138" t="s">
        <v>87</v>
      </c>
      <c r="Q13" s="139">
        <f>_xll.qlCalendarAdvance(Calendar,Q12,P13,"f")</f>
        <v>42678</v>
      </c>
      <c r="R13" s="140">
        <f>IF((ISERR(_xll.qlIndexFixing(Index,Q13,,InterestRatesTrigger))),_xll.qlIndexFixing(Index,Q13-$Q$1,,InterestRatesTrigger),_xll.qlIndexFixing(Index,Q13,,InterestRatesTrigger))</f>
        <v>4.149182327131129E-3</v>
      </c>
    </row>
    <row r="14" spans="1:18" ht="11.25" customHeight="1" x14ac:dyDescent="0.25">
      <c r="A14" s="125"/>
      <c r="B14" s="117" t="s">
        <v>73</v>
      </c>
      <c r="C14" s="118">
        <f>JumpDate12</f>
        <v>43007</v>
      </c>
      <c r="D14" s="129">
        <f>JumpValue12</f>
        <v>1</v>
      </c>
      <c r="E14" s="132">
        <f>JumpSize12</f>
        <v>0</v>
      </c>
      <c r="F14" s="119">
        <v>0</v>
      </c>
      <c r="G14" s="123"/>
      <c r="H14" s="129">
        <v>1</v>
      </c>
      <c r="I14" s="123"/>
      <c r="J14" s="121" t="str">
        <f t="shared" si="0"/>
        <v>USDJump12_Quote</v>
      </c>
      <c r="K14" s="121" t="str">
        <f>_xll.qlSimpleQuote(J14,,,TRUE,Trigger)</f>
        <v>USDJump12_Quote#0001</v>
      </c>
      <c r="L14" s="121">
        <v>1</v>
      </c>
      <c r="M14" s="121">
        <f>_xll.qlSimpleQuoteSetValue($K14,ROUND($L14,7),EvaluationDate)</f>
        <v>0</v>
      </c>
      <c r="N14" s="124"/>
      <c r="P14" s="138" t="s">
        <v>87</v>
      </c>
      <c r="Q14" s="139">
        <f>_xll.qlCalendarAdvance(Calendar,Q13,P14,"f")</f>
        <v>42681</v>
      </c>
      <c r="R14" s="140">
        <f>IF((ISERR(_xll.qlIndexFixing(Index,Q14,,InterestRatesTrigger))),_xll.qlIndexFixing(Index,Q14-$Q$1,,InterestRatesTrigger),_xll.qlIndexFixing(Index,Q14,,InterestRatesTrigger))</f>
        <v>4.1491345065303165E-3</v>
      </c>
    </row>
    <row r="15" spans="1:18" ht="11.25" customHeight="1" x14ac:dyDescent="0.25">
      <c r="A15" s="125"/>
      <c r="B15" s="117" t="s">
        <v>74</v>
      </c>
      <c r="C15" s="118">
        <f>JumpDate13</f>
        <v>43039</v>
      </c>
      <c r="D15" s="129">
        <f>JumpValue13</f>
        <v>1</v>
      </c>
      <c r="E15" s="132">
        <f>JumpSize13</f>
        <v>0</v>
      </c>
      <c r="F15" s="119">
        <v>0</v>
      </c>
      <c r="G15" s="123"/>
      <c r="H15" s="129">
        <v>1</v>
      </c>
      <c r="I15" s="123"/>
      <c r="J15" s="121" t="str">
        <f t="shared" si="0"/>
        <v>USDJump13_Quote</v>
      </c>
      <c r="K15" s="121" t="str">
        <f>_xll.qlSimpleQuote(J15,,,TRUE,Trigger)</f>
        <v>USDJump13_Quote#0001</v>
      </c>
      <c r="L15" s="121">
        <v>1</v>
      </c>
      <c r="M15" s="121">
        <f>_xll.qlSimpleQuoteSetValue($K15,ROUND($L15,7),EvaluationDate)</f>
        <v>0</v>
      </c>
      <c r="N15" s="124"/>
      <c r="P15" s="138" t="s">
        <v>87</v>
      </c>
      <c r="Q15" s="139">
        <f>_xll.qlCalendarAdvance(Calendar,Q14,P15,"f")</f>
        <v>42682</v>
      </c>
      <c r="R15" s="140">
        <f>IF((ISERR(_xll.qlIndexFixing(Index,Q15,,InterestRatesTrigger))),_xll.qlIndexFixing(Index,Q15-$Q$1,,InterestRatesTrigger),_xll.qlIndexFixing(Index,Q15,,InterestRatesTrigger))</f>
        <v>4.1491345066102525E-3</v>
      </c>
    </row>
    <row r="16" spans="1:18" ht="11.25" customHeight="1" x14ac:dyDescent="0.25">
      <c r="A16" s="125"/>
      <c r="B16" s="120" t="s">
        <v>104</v>
      </c>
      <c r="C16" s="35">
        <f>JumpDate14</f>
        <v>43069</v>
      </c>
      <c r="D16" s="130">
        <f>JumpValue14</f>
        <v>1</v>
      </c>
      <c r="E16" s="133">
        <f>JumpSize14</f>
        <v>0</v>
      </c>
      <c r="F16" s="38">
        <v>0</v>
      </c>
      <c r="G16" s="123"/>
      <c r="H16" s="130">
        <v>1</v>
      </c>
      <c r="I16" s="123"/>
      <c r="J16" s="122" t="str">
        <f>Currency&amp;$B16&amp;QuoteSuffix</f>
        <v>USDJump14_Quote</v>
      </c>
      <c r="K16" s="122" t="str">
        <f>_xll.qlSimpleQuote(J16,,,TRUE,Trigger)</f>
        <v>USDJump14_Quote#0002</v>
      </c>
      <c r="L16" s="122">
        <v>1</v>
      </c>
      <c r="M16" s="122">
        <f>_xll.qlSimpleQuoteSetValue($K16,ROUND($L16,7),EvaluationDate)</f>
        <v>0</v>
      </c>
      <c r="N16" s="124"/>
      <c r="P16" s="138" t="s">
        <v>87</v>
      </c>
      <c r="Q16" s="139">
        <f>_xll.qlCalendarAdvance(Calendar,Q15,P16,"f")</f>
        <v>42683</v>
      </c>
      <c r="R16" s="140">
        <f>IF((ISERR(_xll.qlIndexFixing(Index,Q16,,InterestRatesTrigger))),_xll.qlIndexFixing(Index,Q16-$Q$1,,InterestRatesTrigger),_xll.qlIndexFixing(Index,Q16,,InterestRatesTrigger))</f>
        <v>4.1491345066102525E-3</v>
      </c>
    </row>
    <row r="17" spans="1:18" ht="13.5" x14ac:dyDescent="0.25">
      <c r="A17" s="126"/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27"/>
      <c r="P17" s="138" t="s">
        <v>87</v>
      </c>
      <c r="Q17" s="139">
        <f>_xll.qlCalendarAdvance(Calendar,Q16,P17,"f")</f>
        <v>42684</v>
      </c>
      <c r="R17" s="140">
        <f>IF((ISERR(_xll.qlIndexFixing(Index,Q17,,InterestRatesTrigger))),_xll.qlIndexFixing(Index,Q17-$Q$1,,InterestRatesTrigger),_xll.qlIndexFixing(Index,Q17,,InterestRatesTrigger))</f>
        <v>4.1492062376513594E-3</v>
      </c>
    </row>
    <row r="18" spans="1:18" x14ac:dyDescent="0.2">
      <c r="A18" s="179"/>
      <c r="B18" s="179"/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P18" s="138" t="s">
        <v>87</v>
      </c>
      <c r="Q18" s="139">
        <f>_xll.qlCalendarAdvance(Calendar,Q17,P18,"f")</f>
        <v>42688</v>
      </c>
      <c r="R18" s="140">
        <f>IF((ISERR(_xll.qlIndexFixing(Index,Q18,,InterestRatesTrigger))),_xll.qlIndexFixing(Index,Q18-$Q$1,,InterestRatesTrigger),_xll.qlIndexFixing(Index,Q18,,InterestRatesTrigger))</f>
        <v>4.1672931632685817E-3</v>
      </c>
    </row>
    <row r="19" spans="1:18" x14ac:dyDescent="0.2">
      <c r="A19" s="179"/>
      <c r="B19" s="179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P19" s="138" t="s">
        <v>87</v>
      </c>
      <c r="Q19" s="139">
        <f>_xll.qlCalendarAdvance(Calendar,Q18,P19,"f")</f>
        <v>42689</v>
      </c>
      <c r="R19" s="140">
        <f>IF((ISERR(_xll.qlIndexFixing(Index,Q19,,InterestRatesTrigger))),_xll.qlIndexFixing(Index,Q19-$Q$1,,InterestRatesTrigger),_xll.qlIndexFixing(Index,Q19,,InterestRatesTrigger))</f>
        <v>4.1672931631886456E-3</v>
      </c>
    </row>
    <row r="20" spans="1:18" x14ac:dyDescent="0.2">
      <c r="P20" s="138" t="s">
        <v>87</v>
      </c>
      <c r="Q20" s="139">
        <f>_xll.qlCalendarAdvance(Calendar,Q19,P20,"f")</f>
        <v>42690</v>
      </c>
      <c r="R20" s="140">
        <f>IF((ISERR(_xll.qlIndexFixing(Index,Q20,,InterestRatesTrigger))),_xll.qlIndexFixing(Index,Q20-$Q$1,,InterestRatesTrigger),_xll.qlIndexFixing(Index,Q20,,InterestRatesTrigger))</f>
        <v>4.1672931632685817E-3</v>
      </c>
    </row>
    <row r="21" spans="1:18" x14ac:dyDescent="0.2">
      <c r="P21" s="138" t="s">
        <v>87</v>
      </c>
      <c r="Q21" s="139">
        <f>_xll.qlCalendarAdvance(Calendar,Q20,P21,"f")</f>
        <v>42691</v>
      </c>
      <c r="R21" s="140">
        <f>IF((ISERR(_xll.qlIndexFixing(Index,Q21,,InterestRatesTrigger))),_xll.qlIndexFixing(Index,Q21-$Q$1,,InterestRatesTrigger),_xll.qlIndexFixing(Index,Q21,,InterestRatesTrigger))</f>
        <v>4.1672931631886456E-3</v>
      </c>
    </row>
    <row r="22" spans="1:18" x14ac:dyDescent="0.2">
      <c r="P22" s="138" t="s">
        <v>87</v>
      </c>
      <c r="Q22" s="139">
        <f>_xll.qlCalendarAdvance(Calendar,Q21,P22,"f")</f>
        <v>42692</v>
      </c>
      <c r="R22" s="140">
        <f>IF((ISERR(_xll.qlIndexFixing(Index,Q22,,InterestRatesTrigger))),_xll.qlIndexFixing(Index,Q22-$Q$1,,InterestRatesTrigger),_xll.qlIndexFixing(Index,Q22,,InterestRatesTrigger))</f>
        <v>4.1673414032139533E-3</v>
      </c>
    </row>
    <row r="23" spans="1:18" x14ac:dyDescent="0.2">
      <c r="P23" s="138" t="s">
        <v>87</v>
      </c>
      <c r="Q23" s="139">
        <f>_xll.qlCalendarAdvance(Calendar,Q22,P23,"f")</f>
        <v>42695</v>
      </c>
      <c r="R23" s="140">
        <f>IF((ISERR(_xll.qlIndexFixing(Index,Q23,,InterestRatesTrigger))),_xll.qlIndexFixing(Index,Q23-$Q$1,,InterestRatesTrigger),_xll.qlIndexFixing(Index,Q23,,InterestRatesTrigger))</f>
        <v>4.4839400596519141E-3</v>
      </c>
    </row>
    <row r="24" spans="1:18" x14ac:dyDescent="0.2">
      <c r="P24" s="138" t="s">
        <v>87</v>
      </c>
      <c r="Q24" s="139">
        <f>_xll.qlCalendarAdvance(Calendar,Q23,P24,"f")</f>
        <v>42696</v>
      </c>
      <c r="R24" s="140">
        <f>IF((ISERR(_xll.qlIndexFixing(Index,Q24,,InterestRatesTrigger))),_xll.qlIndexFixing(Index,Q24-$Q$1,,InterestRatesTrigger),_xll.qlIndexFixing(Index,Q24,,InterestRatesTrigger))</f>
        <v>4.4839400596519141E-3</v>
      </c>
    </row>
    <row r="25" spans="1:18" x14ac:dyDescent="0.2">
      <c r="P25" s="138" t="s">
        <v>87</v>
      </c>
      <c r="Q25" s="139">
        <f>_xll.qlCalendarAdvance(Calendar,Q24,P25,"f")</f>
        <v>42697</v>
      </c>
      <c r="R25" s="140">
        <f>IF((ISERR(_xll.qlIndexFixing(Index,Q25,,InterestRatesTrigger))),_xll.qlIndexFixing(Index,Q25-$Q$1,,InterestRatesTrigger),_xll.qlIndexFixing(Index,Q25,,InterestRatesTrigger))</f>
        <v>4.4839679841945923E-3</v>
      </c>
    </row>
    <row r="26" spans="1:18" x14ac:dyDescent="0.2">
      <c r="P26" s="138" t="s">
        <v>87</v>
      </c>
      <c r="Q26" s="139">
        <f>_xll.qlCalendarAdvance(Calendar,Q25,P26,"f")</f>
        <v>42699</v>
      </c>
      <c r="R26" s="140">
        <f>IF((ISERR(_xll.qlIndexFixing(Index,Q26,,InterestRatesTrigger))),_xll.qlIndexFixing(Index,Q26-$Q$1,,InterestRatesTrigger),_xll.qlIndexFixing(Index,Q26,,InterestRatesTrigger))</f>
        <v>4.4839959090836601E-3</v>
      </c>
    </row>
    <row r="27" spans="1:18" x14ac:dyDescent="0.2">
      <c r="P27" s="138" t="s">
        <v>87</v>
      </c>
      <c r="Q27" s="139">
        <f>_xll.qlCalendarAdvance(Calendar,Q26,P27,"f")</f>
        <v>42702</v>
      </c>
      <c r="R27" s="140">
        <f>IF((ISERR(_xll.qlIndexFixing(Index,Q27,,InterestRatesTrigger))),_xll.qlIndexFixing(Index,Q27-$Q$1,,InterestRatesTrigger),_xll.qlIndexFixing(Index,Q27,,InterestRatesTrigger))</f>
        <v>4.4839400596519141E-3</v>
      </c>
    </row>
    <row r="28" spans="1:18" x14ac:dyDescent="0.2">
      <c r="P28" s="138" t="s">
        <v>87</v>
      </c>
      <c r="Q28" s="139">
        <f>_xll.qlCalendarAdvance(Calendar,Q27,P28,"f")</f>
        <v>42703</v>
      </c>
      <c r="R28" s="140">
        <f>IF((ISERR(_xll.qlIndexFixing(Index,Q28,,InterestRatesTrigger))),_xll.qlIndexFixing(Index,Q28-$Q$1,,InterestRatesTrigger),_xll.qlIndexFixing(Index,Q28,,InterestRatesTrigger))</f>
        <v>4.4839400596519141E-3</v>
      </c>
    </row>
    <row r="29" spans="1:18" x14ac:dyDescent="0.2">
      <c r="P29" s="138" t="s">
        <v>87</v>
      </c>
      <c r="Q29" s="139">
        <f>_xll.qlCalendarAdvance(Calendar,Q28,P29,"f")</f>
        <v>42704</v>
      </c>
      <c r="R29" s="140">
        <f>IF((ISERR(_xll.qlIndexFixing(Index,Q29,,InterestRatesTrigger))),_xll.qlIndexFixing(Index,Q29-$Q$1,,InterestRatesTrigger),_xll.qlIndexFixing(Index,Q29,,InterestRatesTrigger))</f>
        <v>4.4839400595719781E-3</v>
      </c>
    </row>
    <row r="30" spans="1:18" x14ac:dyDescent="0.2">
      <c r="P30" s="138" t="s">
        <v>87</v>
      </c>
      <c r="Q30" s="139">
        <f>_xll.qlCalendarAdvance(Calendar,Q29,P30,"f")</f>
        <v>42705</v>
      </c>
      <c r="R30" s="140">
        <f>IF((ISERR(_xll.qlIndexFixing(Index,Q30,,InterestRatesTrigger))),_xll.qlIndexFixing(Index,Q30-$Q$1,,InterestRatesTrigger),_xll.qlIndexFixing(Index,Q30,,InterestRatesTrigger))</f>
        <v>4.4839400596519141E-3</v>
      </c>
    </row>
    <row r="31" spans="1:18" x14ac:dyDescent="0.2">
      <c r="P31" s="138" t="s">
        <v>87</v>
      </c>
      <c r="Q31" s="139">
        <f>_xll.qlCalendarAdvance(Calendar,Q30,P31,"f")</f>
        <v>42706</v>
      </c>
      <c r="R31" s="140">
        <f>IF((ISERR(_xll.qlIndexFixing(Index,Q31,,InterestRatesTrigger))),_xll.qlIndexFixing(Index,Q31-$Q$1,,InterestRatesTrigger),_xll.qlIndexFixing(Index,Q31,,InterestRatesTrigger))</f>
        <v>4.4839959090836601E-3</v>
      </c>
    </row>
    <row r="32" spans="1:18" x14ac:dyDescent="0.2">
      <c r="P32" s="138" t="s">
        <v>87</v>
      </c>
      <c r="Q32" s="139">
        <f>_xll.qlCalendarAdvance(Calendar,Q31,P32,"f")</f>
        <v>42709</v>
      </c>
      <c r="R32" s="140">
        <f>IF((ISERR(_xll.qlIndexFixing(Index,Q32,,InterestRatesTrigger))),_xll.qlIndexFixing(Index,Q32-$Q$1,,InterestRatesTrigger),_xll.qlIndexFixing(Index,Q32,,InterestRatesTrigger))</f>
        <v>4.4839400596519141E-3</v>
      </c>
    </row>
    <row r="33" spans="16:18" x14ac:dyDescent="0.2">
      <c r="P33" s="138" t="s">
        <v>87</v>
      </c>
      <c r="Q33" s="139">
        <f>_xll.qlCalendarAdvance(Calendar,Q32,P33,"f")</f>
        <v>42710</v>
      </c>
      <c r="R33" s="140">
        <f>IF((ISERR(_xll.qlIndexFixing(Index,Q33,,InterestRatesTrigger))),_xll.qlIndexFixing(Index,Q33-$Q$1,,InterestRatesTrigger),_xll.qlIndexFixing(Index,Q33,,InterestRatesTrigger))</f>
        <v>4.4839400596519141E-3</v>
      </c>
    </row>
    <row r="34" spans="16:18" x14ac:dyDescent="0.2">
      <c r="P34" s="138" t="s">
        <v>87</v>
      </c>
      <c r="Q34" s="139">
        <f>_xll.qlCalendarAdvance(Calendar,Q33,P34,"f")</f>
        <v>42711</v>
      </c>
      <c r="R34" s="140">
        <f>IF((ISERR(_xll.qlIndexFixing(Index,Q34,,InterestRatesTrigger))),_xll.qlIndexFixing(Index,Q34-$Q$1,,InterestRatesTrigger),_xll.qlIndexFixing(Index,Q34,,InterestRatesTrigger))</f>
        <v>4.4839400595719781E-3</v>
      </c>
    </row>
    <row r="35" spans="16:18" x14ac:dyDescent="0.2">
      <c r="P35" s="138" t="s">
        <v>87</v>
      </c>
      <c r="Q35" s="139">
        <f>_xll.qlCalendarAdvance(Calendar,Q34,P35,"f")</f>
        <v>42712</v>
      </c>
      <c r="R35" s="140">
        <f>IF((ISERR(_xll.qlIndexFixing(Index,Q35,,InterestRatesTrigger))),_xll.qlIndexFixing(Index,Q35-$Q$1,,InterestRatesTrigger),_xll.qlIndexFixing(Index,Q35,,InterestRatesTrigger))</f>
        <v>4.4839400596519141E-3</v>
      </c>
    </row>
    <row r="36" spans="16:18" x14ac:dyDescent="0.2">
      <c r="P36" s="138" t="s">
        <v>87</v>
      </c>
      <c r="Q36" s="139">
        <f>_xll.qlCalendarAdvance(Calendar,Q35,P36,"f")</f>
        <v>42713</v>
      </c>
      <c r="R36" s="140">
        <f>IF((ISERR(_xll.qlIndexFixing(Index,Q36,,InterestRatesTrigger))),_xll.qlIndexFixing(Index,Q36-$Q$1,,InterestRatesTrigger),_xll.qlIndexFixing(Index,Q36,,InterestRatesTrigger))</f>
        <v>4.4839959090570147E-3</v>
      </c>
    </row>
    <row r="37" spans="16:18" x14ac:dyDescent="0.2">
      <c r="P37" s="138" t="s">
        <v>87</v>
      </c>
      <c r="Q37" s="139">
        <f>_xll.qlCalendarAdvance(Calendar,Q36,P37,"f")</f>
        <v>42716</v>
      </c>
      <c r="R37" s="140">
        <f>IF((ISERR(_xll.qlIndexFixing(Index,Q37,,InterestRatesTrigger))),_xll.qlIndexFixing(Index,Q37-$Q$1,,InterestRatesTrigger),_xll.qlIndexFixing(Index,Q37,,InterestRatesTrigger))</f>
        <v>4.4839400596519141E-3</v>
      </c>
    </row>
    <row r="38" spans="16:18" x14ac:dyDescent="0.2">
      <c r="P38" s="138" t="s">
        <v>87</v>
      </c>
      <c r="Q38" s="139">
        <f>_xll.qlCalendarAdvance(Calendar,Q37,P38,"f")</f>
        <v>42717</v>
      </c>
      <c r="R38" s="140">
        <f>IF((ISERR(_xll.qlIndexFixing(Index,Q38,,InterestRatesTrigger))),_xll.qlIndexFixing(Index,Q38-$Q$1,,InterestRatesTrigger),_xll.qlIndexFixing(Index,Q38,,InterestRatesTrigger))</f>
        <v>4.4839400595719781E-3</v>
      </c>
    </row>
    <row r="39" spans="16:18" x14ac:dyDescent="0.2">
      <c r="P39" s="138" t="s">
        <v>87</v>
      </c>
      <c r="Q39" s="139">
        <f>_xll.qlCalendarAdvance(Calendar,Q38,P39,"f")</f>
        <v>42718</v>
      </c>
      <c r="R39" s="140">
        <f>IF((ISERR(_xll.qlIndexFixing(Index,Q39,,InterestRatesTrigger))),_xll.qlIndexFixing(Index,Q39-$Q$1,,InterestRatesTrigger),_xll.qlIndexFixing(Index,Q39,,InterestRatesTrigger))</f>
        <v>4.4839400595719781E-3</v>
      </c>
    </row>
    <row r="40" spans="16:18" x14ac:dyDescent="0.2">
      <c r="P40" s="138" t="s">
        <v>87</v>
      </c>
      <c r="Q40" s="139">
        <f>_xll.qlCalendarAdvance(Calendar,Q39,P40,"f")</f>
        <v>42719</v>
      </c>
      <c r="R40" s="140">
        <f>IF((ISERR(_xll.qlIndexFixing(Index,Q40,,InterestRatesTrigger))),_xll.qlIndexFixing(Index,Q40-$Q$1,,InterestRatesTrigger),_xll.qlIndexFixing(Index,Q40,,InterestRatesTrigger))</f>
        <v>4.4839400596519141E-3</v>
      </c>
    </row>
    <row r="41" spans="16:18" x14ac:dyDescent="0.2">
      <c r="P41" s="138" t="s">
        <v>87</v>
      </c>
      <c r="Q41" s="139">
        <f>_xll.qlCalendarAdvance(Calendar,Q40,P41,"f")</f>
        <v>42720</v>
      </c>
      <c r="R41" s="140">
        <f>IF((ISERR(_xll.qlIndexFixing(Index,Q41,,InterestRatesTrigger))),_xll.qlIndexFixing(Index,Q41-$Q$1,,InterestRatesTrigger),_xll.qlIndexFixing(Index,Q41,,InterestRatesTrigger))</f>
        <v>4.4839959090836601E-3</v>
      </c>
    </row>
    <row r="42" spans="16:18" x14ac:dyDescent="0.2">
      <c r="P42" s="138" t="s">
        <v>87</v>
      </c>
      <c r="Q42" s="139">
        <f>_xll.qlCalendarAdvance(Calendar,Q41,P42,"f")</f>
        <v>42723</v>
      </c>
      <c r="R42" s="140">
        <f>IF((ISERR(_xll.qlIndexFixing(Index,Q42,,InterestRatesTrigger))),_xll.qlIndexFixing(Index,Q42-$Q$1,,InterestRatesTrigger),_xll.qlIndexFixing(Index,Q42,,InterestRatesTrigger))</f>
        <v>4.4839400595719781E-3</v>
      </c>
    </row>
    <row r="43" spans="16:18" x14ac:dyDescent="0.2">
      <c r="P43" s="138" t="s">
        <v>87</v>
      </c>
      <c r="Q43" s="139">
        <f>_xll.qlCalendarAdvance(Calendar,Q42,P43,"f")</f>
        <v>42724</v>
      </c>
      <c r="R43" s="140">
        <f>IF((ISERR(_xll.qlIndexFixing(Index,Q43,,InterestRatesTrigger))),_xll.qlIndexFixing(Index,Q43-$Q$1,,InterestRatesTrigger),_xll.qlIndexFixing(Index,Q43,,InterestRatesTrigger))</f>
        <v>4.4839400596519141E-3</v>
      </c>
    </row>
    <row r="44" spans="16:18" x14ac:dyDescent="0.2">
      <c r="P44" s="138" t="s">
        <v>87</v>
      </c>
      <c r="Q44" s="139">
        <f>_xll.qlCalendarAdvance(Calendar,Q43,P44,"f")</f>
        <v>42725</v>
      </c>
      <c r="R44" s="140">
        <f>IF((ISERR(_xll.qlIndexFixing(Index,Q44,,InterestRatesTrigger))),_xll.qlIndexFixing(Index,Q44-$Q$1,,InterestRatesTrigger),_xll.qlIndexFixing(Index,Q44,,InterestRatesTrigger))</f>
        <v>5.5094932585753043E-3</v>
      </c>
    </row>
    <row r="45" spans="16:18" x14ac:dyDescent="0.2">
      <c r="P45" s="138" t="s">
        <v>87</v>
      </c>
      <c r="Q45" s="139">
        <f>_xll.qlCalendarAdvance(Calendar,Q44,P45,"f")</f>
        <v>42726</v>
      </c>
      <c r="R45" s="140">
        <f>IF((ISERR(_xll.qlIndexFixing(Index,Q45,,InterestRatesTrigger))),_xll.qlIndexFixing(Index,Q45-$Q$1,,InterestRatesTrigger),_xll.qlIndexFixing(Index,Q45,,InterestRatesTrigger))</f>
        <v>5.5094932585753043E-3</v>
      </c>
    </row>
    <row r="46" spans="16:18" x14ac:dyDescent="0.2">
      <c r="P46" s="138" t="s">
        <v>87</v>
      </c>
      <c r="Q46" s="139">
        <f>_xll.qlCalendarAdvance(Calendar,Q45,P46,"f")</f>
        <v>42727</v>
      </c>
      <c r="R46" s="140">
        <f>IF((ISERR(_xll.qlIndexFixing(Index,Q46,,InterestRatesTrigger))),_xll.qlIndexFixing(Index,Q46-$Q$1,,InterestRatesTrigger),_xll.qlIndexFixing(Index,Q46,,InterestRatesTrigger))</f>
        <v>5.5096197370030353E-3</v>
      </c>
    </row>
    <row r="47" spans="16:18" x14ac:dyDescent="0.2">
      <c r="P47" s="138" t="s">
        <v>87</v>
      </c>
      <c r="Q47" s="139">
        <f>_xll.qlCalendarAdvance(Calendar,Q46,P47,"f")</f>
        <v>42731</v>
      </c>
      <c r="R47" s="140">
        <f>IF((ISERR(_xll.qlIndexFixing(Index,Q47,,InterestRatesTrigger))),_xll.qlIndexFixing(Index,Q47-$Q$1,,InterestRatesTrigger),_xll.qlIndexFixing(Index,Q47,,InterestRatesTrigger))</f>
        <v>5.5094932586552403E-3</v>
      </c>
    </row>
    <row r="48" spans="16:18" x14ac:dyDescent="0.2">
      <c r="P48" s="138" t="s">
        <v>87</v>
      </c>
      <c r="Q48" s="139">
        <f>_xll.qlCalendarAdvance(Calendar,Q47,P48,"f")</f>
        <v>42732</v>
      </c>
      <c r="R48" s="140">
        <f>IF((ISERR(_xll.qlIndexFixing(Index,Q48,,InterestRatesTrigger))),_xll.qlIndexFixing(Index,Q48-$Q$1,,InterestRatesTrigger),_xll.qlIndexFixing(Index,Q48,,InterestRatesTrigger))</f>
        <v>5.5094932585753043E-3</v>
      </c>
    </row>
    <row r="49" spans="16:18" x14ac:dyDescent="0.2">
      <c r="P49" s="138" t="s">
        <v>87</v>
      </c>
      <c r="Q49" s="139">
        <f>_xll.qlCalendarAdvance(Calendar,Q48,P49,"f")</f>
        <v>42733</v>
      </c>
      <c r="R49" s="140">
        <f>IF((ISERR(_xll.qlIndexFixing(Index,Q49,,InterestRatesTrigger))),_xll.qlIndexFixing(Index,Q49-$Q$1,,InterestRatesTrigger),_xll.qlIndexFixing(Index,Q49,,InterestRatesTrigger))</f>
        <v>5.5094932585753043E-3</v>
      </c>
    </row>
    <row r="50" spans="16:18" x14ac:dyDescent="0.2">
      <c r="P50" s="138" t="s">
        <v>87</v>
      </c>
      <c r="Q50" s="139">
        <f>_xll.qlCalendarAdvance(Calendar,Q49,P50,"f")</f>
        <v>42734</v>
      </c>
      <c r="R50" s="140">
        <f>IF((ISERR(_xll.qlIndexFixing(Index,Q50,,InterestRatesTrigger))),_xll.qlIndexFixing(Index,Q50-$Q$1,,InterestRatesTrigger),_xll.qlIndexFixing(Index,Q50,,InterestRatesTrigger))</f>
        <v>5.5096197370030353E-3</v>
      </c>
    </row>
    <row r="51" spans="16:18" x14ac:dyDescent="0.2">
      <c r="P51" s="138" t="s">
        <v>87</v>
      </c>
      <c r="Q51" s="139">
        <f>_xll.qlCalendarAdvance(Calendar,Q50,P51,"f")</f>
        <v>42738</v>
      </c>
      <c r="R51" s="140">
        <f>IF((ISERR(_xll.qlIndexFixing(Index,Q51,,InterestRatesTrigger))),_xll.qlIndexFixing(Index,Q51-$Q$1,,InterestRatesTrigger),_xll.qlIndexFixing(Index,Q51,,InterestRatesTrigger))</f>
        <v>5.5094932586552403E-3</v>
      </c>
    </row>
    <row r="52" spans="16:18" x14ac:dyDescent="0.2">
      <c r="P52" s="138" t="s">
        <v>87</v>
      </c>
      <c r="Q52" s="139">
        <f>_xll.qlCalendarAdvance(Calendar,Q51,P52,"f")</f>
        <v>42739</v>
      </c>
      <c r="R52" s="140">
        <f>IF((ISERR(_xll.qlIndexFixing(Index,Q52,,InterestRatesTrigger))),_xll.qlIndexFixing(Index,Q52-$Q$1,,InterestRatesTrigger),_xll.qlIndexFixing(Index,Q52,,InterestRatesTrigger))</f>
        <v>5.5094932585753043E-3</v>
      </c>
    </row>
    <row r="53" spans="16:18" x14ac:dyDescent="0.2">
      <c r="P53" s="138" t="s">
        <v>87</v>
      </c>
      <c r="Q53" s="139">
        <f>_xll.qlCalendarAdvance(Calendar,Q52,P53,"f")</f>
        <v>42740</v>
      </c>
      <c r="R53" s="140">
        <f>IF((ISERR(_xll.qlIndexFixing(Index,Q53,,InterestRatesTrigger))),_xll.qlIndexFixing(Index,Q53-$Q$1,,InterestRatesTrigger),_xll.qlIndexFixing(Index,Q53,,InterestRatesTrigger))</f>
        <v>5.5094932585753043E-3</v>
      </c>
    </row>
    <row r="54" spans="16:18" x14ac:dyDescent="0.2">
      <c r="P54" s="138" t="s">
        <v>87</v>
      </c>
      <c r="Q54" s="139">
        <f>_xll.qlCalendarAdvance(Calendar,Q53,P54,"f")</f>
        <v>42741</v>
      </c>
      <c r="R54" s="140">
        <f>IF((ISERR(_xll.qlIndexFixing(Index,Q54,,InterestRatesTrigger))),_xll.qlIndexFixing(Index,Q54-$Q$1,,InterestRatesTrigger),_xll.qlIndexFixing(Index,Q54,,InterestRatesTrigger))</f>
        <v>5.5095775771007993E-3</v>
      </c>
    </row>
    <row r="55" spans="16:18" x14ac:dyDescent="0.2">
      <c r="P55" s="138" t="s">
        <v>87</v>
      </c>
      <c r="Q55" s="139">
        <f>_xll.qlCalendarAdvance(Calendar,Q54,P55,"f")</f>
        <v>42744</v>
      </c>
      <c r="R55" s="140">
        <f>IF((ISERR(_xll.qlIndexFixing(Index,Q55,,InterestRatesTrigger))),_xll.qlIndexFixing(Index,Q55-$Q$1,,InterestRatesTrigger),_xll.qlIndexFixing(Index,Q55,,InterestRatesTrigger))</f>
        <v>5.5094932585753043E-3</v>
      </c>
    </row>
    <row r="56" spans="16:18" x14ac:dyDescent="0.2">
      <c r="P56" s="138" t="s">
        <v>87</v>
      </c>
      <c r="Q56" s="139">
        <f>_xll.qlCalendarAdvance(Calendar,Q55,P56,"f")</f>
        <v>42745</v>
      </c>
      <c r="R56" s="140">
        <f>IF((ISERR(_xll.qlIndexFixing(Index,Q56,,InterestRatesTrigger))),_xll.qlIndexFixing(Index,Q56-$Q$1,,InterestRatesTrigger),_xll.qlIndexFixing(Index,Q56,,InterestRatesTrigger))</f>
        <v>5.5094932585753043E-3</v>
      </c>
    </row>
    <row r="57" spans="16:18" x14ac:dyDescent="0.2">
      <c r="P57" s="138" t="s">
        <v>87</v>
      </c>
      <c r="Q57" s="139">
        <f>_xll.qlCalendarAdvance(Calendar,Q56,P57,"f")</f>
        <v>42746</v>
      </c>
      <c r="R57" s="140">
        <f>IF((ISERR(_xll.qlIndexFixing(Index,Q57,,InterestRatesTrigger))),_xll.qlIndexFixing(Index,Q57-$Q$1,,InterestRatesTrigger),_xll.qlIndexFixing(Index,Q57,,InterestRatesTrigger))</f>
        <v>5.5094932585753043E-3</v>
      </c>
    </row>
    <row r="58" spans="16:18" x14ac:dyDescent="0.2">
      <c r="P58" s="138" t="s">
        <v>87</v>
      </c>
      <c r="Q58" s="139">
        <f>_xll.qlCalendarAdvance(Calendar,Q57,P58,"f")</f>
        <v>42747</v>
      </c>
      <c r="R58" s="140">
        <f>IF((ISERR(_xll.qlIndexFixing(Index,Q58,,InterestRatesTrigger))),_xll.qlIndexFixing(Index,Q58-$Q$1,,InterestRatesTrigger),_xll.qlIndexFixing(Index,Q58,,InterestRatesTrigger))</f>
        <v>5.5094932585753043E-3</v>
      </c>
    </row>
    <row r="59" spans="16:18" x14ac:dyDescent="0.2">
      <c r="P59" s="138" t="s">
        <v>87</v>
      </c>
      <c r="Q59" s="139">
        <f>_xll.qlCalendarAdvance(Calendar,Q58,P59,"f")</f>
        <v>42748</v>
      </c>
      <c r="R59" s="140">
        <f>IF((ISERR(_xll.qlIndexFixing(Index,Q59,,InterestRatesTrigger))),_xll.qlIndexFixing(Index,Q59-$Q$1,,InterestRatesTrigger),_xll.qlIndexFixing(Index,Q59,,InterestRatesTrigger))</f>
        <v>5.5096197370030353E-3</v>
      </c>
    </row>
    <row r="60" spans="16:18" x14ac:dyDescent="0.2">
      <c r="P60" s="138" t="s">
        <v>87</v>
      </c>
      <c r="Q60" s="139">
        <f>_xll.qlCalendarAdvance(Calendar,Q59,P60,"f")</f>
        <v>42752</v>
      </c>
      <c r="R60" s="140">
        <f>IF((ISERR(_xll.qlIndexFixing(Index,Q60,,InterestRatesTrigger))),_xll.qlIndexFixing(Index,Q60-$Q$1,,InterestRatesTrigger),_xll.qlIndexFixing(Index,Q60,,InterestRatesTrigger))</f>
        <v>5.5094932585753043E-3</v>
      </c>
    </row>
    <row r="61" spans="16:18" x14ac:dyDescent="0.2">
      <c r="P61" s="138" t="s">
        <v>87</v>
      </c>
      <c r="Q61" s="139">
        <f>_xll.qlCalendarAdvance(Calendar,Q60,P61,"f")</f>
        <v>42753</v>
      </c>
      <c r="R61" s="140">
        <f>IF((ISERR(_xll.qlIndexFixing(Index,Q61,,InterestRatesTrigger))),_xll.qlIndexFixing(Index,Q61-$Q$1,,InterestRatesTrigger),_xll.qlIndexFixing(Index,Q61,,InterestRatesTrigger))</f>
        <v>5.5094932585753043E-3</v>
      </c>
    </row>
    <row r="62" spans="16:18" x14ac:dyDescent="0.2">
      <c r="P62" s="138" t="s">
        <v>87</v>
      </c>
      <c r="Q62" s="139">
        <f>_xll.qlCalendarAdvance(Calendar,Q61,P62,"f")</f>
        <v>42754</v>
      </c>
      <c r="R62" s="140">
        <f>IF((ISERR(_xll.qlIndexFixing(Index,Q62,,InterestRatesTrigger))),_xll.qlIndexFixing(Index,Q62-$Q$1,,InterestRatesTrigger),_xll.qlIndexFixing(Index,Q62,,InterestRatesTrigger))</f>
        <v>5.5094932585753043E-3</v>
      </c>
    </row>
    <row r="63" spans="16:18" x14ac:dyDescent="0.2">
      <c r="P63" s="138" t="s">
        <v>87</v>
      </c>
      <c r="Q63" s="139">
        <f>_xll.qlCalendarAdvance(Calendar,Q62,P63,"f")</f>
        <v>42755</v>
      </c>
      <c r="R63" s="140">
        <f>IF((ISERR(_xll.qlIndexFixing(Index,Q63,,InterestRatesTrigger))),_xll.qlIndexFixing(Index,Q63-$Q$1,,InterestRatesTrigger),_xll.qlIndexFixing(Index,Q63,,InterestRatesTrigger))</f>
        <v>5.5095775771007993E-3</v>
      </c>
    </row>
    <row r="64" spans="16:18" x14ac:dyDescent="0.2">
      <c r="P64" s="138" t="s">
        <v>87</v>
      </c>
      <c r="Q64" s="139">
        <f>_xll.qlCalendarAdvance(Calendar,Q63,P64,"f")</f>
        <v>42758</v>
      </c>
      <c r="R64" s="140">
        <f>IF((ISERR(_xll.qlIndexFixing(Index,Q64,,InterestRatesTrigger))),_xll.qlIndexFixing(Index,Q64-$Q$1,,InterestRatesTrigger),_xll.qlIndexFixing(Index,Q64,,InterestRatesTrigger))</f>
        <v>5.6872484412284763E-3</v>
      </c>
    </row>
    <row r="65" spans="16:18" x14ac:dyDescent="0.2">
      <c r="P65" s="138" t="s">
        <v>87</v>
      </c>
      <c r="Q65" s="139">
        <f>_xll.qlCalendarAdvance(Calendar,Q64,P65,"f")</f>
        <v>42759</v>
      </c>
      <c r="R65" s="140">
        <f>IF((ISERR(_xll.qlIndexFixing(Index,Q65,,InterestRatesTrigger))),_xll.qlIndexFixing(Index,Q65-$Q$1,,InterestRatesTrigger),_xll.qlIndexFixing(Index,Q65,,InterestRatesTrigger))</f>
        <v>5.6872484411485402E-3</v>
      </c>
    </row>
    <row r="66" spans="16:18" x14ac:dyDescent="0.2">
      <c r="P66" s="138" t="s">
        <v>87</v>
      </c>
      <c r="Q66" s="139">
        <f>_xll.qlCalendarAdvance(Calendar,Q65,P66,"f")</f>
        <v>42760</v>
      </c>
      <c r="R66" s="140">
        <f>IF((ISERR(_xll.qlIndexFixing(Index,Q66,,InterestRatesTrigger))),_xll.qlIndexFixing(Index,Q66-$Q$1,,InterestRatesTrigger),_xll.qlIndexFixing(Index,Q66,,InterestRatesTrigger))</f>
        <v>5.6872484411485402E-3</v>
      </c>
    </row>
    <row r="67" spans="16:18" x14ac:dyDescent="0.2">
      <c r="P67" s="138" t="s">
        <v>87</v>
      </c>
      <c r="Q67" s="139">
        <f>_xll.qlCalendarAdvance(Calendar,Q66,P67,"f")</f>
        <v>42761</v>
      </c>
      <c r="R67" s="140">
        <f>IF((ISERR(_xll.qlIndexFixing(Index,Q67,,InterestRatesTrigger))),_xll.qlIndexFixing(Index,Q67-$Q$1,,InterestRatesTrigger),_xll.qlIndexFixing(Index,Q67,,InterestRatesTrigger))</f>
        <v>5.6872484412284763E-3</v>
      </c>
    </row>
    <row r="68" spans="16:18" x14ac:dyDescent="0.2">
      <c r="P68" s="138" t="s">
        <v>87</v>
      </c>
      <c r="Q68" s="139">
        <f>_xll.qlCalendarAdvance(Calendar,Q67,P68,"f")</f>
        <v>42762</v>
      </c>
      <c r="R68" s="140">
        <f>IF((ISERR(_xll.qlIndexFixing(Index,Q68,,InterestRatesTrigger))),_xll.qlIndexFixing(Index,Q68-$Q$1,,InterestRatesTrigger),_xll.qlIndexFixing(Index,Q68,,InterestRatesTrigger))</f>
        <v>5.6873382883182444E-3</v>
      </c>
    </row>
    <row r="69" spans="16:18" x14ac:dyDescent="0.2">
      <c r="P69" s="138" t="s">
        <v>87</v>
      </c>
      <c r="Q69" s="139">
        <f>_xll.qlCalendarAdvance(Calendar,Q68,P69,"f")</f>
        <v>42765</v>
      </c>
      <c r="R69" s="140">
        <f>IF((ISERR(_xll.qlIndexFixing(Index,Q69,,InterestRatesTrigger))),_xll.qlIndexFixing(Index,Q69-$Q$1,,InterestRatesTrigger),_xll.qlIndexFixing(Index,Q69,,InterestRatesTrigger))</f>
        <v>5.6872484411485402E-3</v>
      </c>
    </row>
    <row r="70" spans="16:18" x14ac:dyDescent="0.2">
      <c r="P70" s="138" t="s">
        <v>87</v>
      </c>
      <c r="Q70" s="139">
        <f>_xll.qlCalendarAdvance(Calendar,Q69,P70,"f")</f>
        <v>42766</v>
      </c>
      <c r="R70" s="140">
        <f>IF((ISERR(_xll.qlIndexFixing(Index,Q70,,InterestRatesTrigger))),_xll.qlIndexFixing(Index,Q70-$Q$1,,InterestRatesTrigger),_xll.qlIndexFixing(Index,Q70,,InterestRatesTrigger))</f>
        <v>5.6872484412284763E-3</v>
      </c>
    </row>
    <row r="71" spans="16:18" x14ac:dyDescent="0.2">
      <c r="P71" s="138" t="s">
        <v>87</v>
      </c>
      <c r="Q71" s="139">
        <f>_xll.qlCalendarAdvance(Calendar,Q70,P71,"f")</f>
        <v>42767</v>
      </c>
      <c r="R71" s="140">
        <f>IF((ISERR(_xll.qlIndexFixing(Index,Q71,,InterestRatesTrigger))),_xll.qlIndexFixing(Index,Q71-$Q$1,,InterestRatesTrigger),_xll.qlIndexFixing(Index,Q71,,InterestRatesTrigger))</f>
        <v>5.6872484412284763E-3</v>
      </c>
    </row>
    <row r="72" spans="16:18" x14ac:dyDescent="0.2">
      <c r="P72" s="138" t="s">
        <v>87</v>
      </c>
      <c r="Q72" s="139">
        <f>_xll.qlCalendarAdvance(Calendar,Q71,P72,"f")</f>
        <v>42768</v>
      </c>
      <c r="R72" s="140">
        <f>IF((ISERR(_xll.qlIndexFixing(Index,Q72,,InterestRatesTrigger))),_xll.qlIndexFixing(Index,Q72-$Q$1,,InterestRatesTrigger),_xll.qlIndexFixing(Index,Q72,,InterestRatesTrigger))</f>
        <v>5.6872484411485402E-3</v>
      </c>
    </row>
    <row r="73" spans="16:18" x14ac:dyDescent="0.2">
      <c r="P73" s="138" t="s">
        <v>87</v>
      </c>
      <c r="Q73" s="139">
        <f>_xll.qlCalendarAdvance(Calendar,Q72,P73,"f")</f>
        <v>42769</v>
      </c>
      <c r="R73" s="140">
        <f>IF((ISERR(_xll.qlIndexFixing(Index,Q73,,InterestRatesTrigger))),_xll.qlIndexFixing(Index,Q73-$Q$1,,InterestRatesTrigger),_xll.qlIndexFixing(Index,Q73,,InterestRatesTrigger))</f>
        <v>5.6873382883182444E-3</v>
      </c>
    </row>
    <row r="74" spans="16:18" x14ac:dyDescent="0.2">
      <c r="P74" s="138" t="s">
        <v>87</v>
      </c>
      <c r="Q74" s="139">
        <f>_xll.qlCalendarAdvance(Calendar,Q73,P74,"f")</f>
        <v>42772</v>
      </c>
      <c r="R74" s="140">
        <f>IF((ISERR(_xll.qlIndexFixing(Index,Q74,,InterestRatesTrigger))),_xll.qlIndexFixing(Index,Q74-$Q$1,,InterestRatesTrigger),_xll.qlIndexFixing(Index,Q74,,InterestRatesTrigger))</f>
        <v>5.6872484411485402E-3</v>
      </c>
    </row>
    <row r="75" spans="16:18" x14ac:dyDescent="0.2">
      <c r="P75" s="138" t="s">
        <v>87</v>
      </c>
      <c r="Q75" s="139">
        <f>_xll.qlCalendarAdvance(Calendar,Q74,P75,"f")</f>
        <v>42773</v>
      </c>
      <c r="R75" s="140">
        <f>IF((ISERR(_xll.qlIndexFixing(Index,Q75,,InterestRatesTrigger))),_xll.qlIndexFixing(Index,Q75-$Q$1,,InterestRatesTrigger),_xll.qlIndexFixing(Index,Q75,,InterestRatesTrigger))</f>
        <v>5.6872484412284763E-3</v>
      </c>
    </row>
    <row r="76" spans="16:18" x14ac:dyDescent="0.2">
      <c r="P76" s="138" t="s">
        <v>87</v>
      </c>
      <c r="Q76" s="139">
        <f>_xll.qlCalendarAdvance(Calendar,Q75,P76,"f")</f>
        <v>42774</v>
      </c>
      <c r="R76" s="140">
        <f>IF((ISERR(_xll.qlIndexFixing(Index,Q76,,InterestRatesTrigger))),_xll.qlIndexFixing(Index,Q76-$Q$1,,InterestRatesTrigger),_xll.qlIndexFixing(Index,Q76,,InterestRatesTrigger))</f>
        <v>5.6872484412284763E-3</v>
      </c>
    </row>
    <row r="77" spans="16:18" x14ac:dyDescent="0.2">
      <c r="P77" s="138" t="s">
        <v>87</v>
      </c>
      <c r="Q77" s="139">
        <f>_xll.qlCalendarAdvance(Calendar,Q76,P77,"f")</f>
        <v>42775</v>
      </c>
      <c r="R77" s="140">
        <f>IF((ISERR(_xll.qlIndexFixing(Index,Q77,,InterestRatesTrigger))),_xll.qlIndexFixing(Index,Q77-$Q$1,,InterestRatesTrigger),_xll.qlIndexFixing(Index,Q77,,InterestRatesTrigger))</f>
        <v>5.6872484411485402E-3</v>
      </c>
    </row>
    <row r="78" spans="16:18" x14ac:dyDescent="0.2">
      <c r="P78" s="138" t="s">
        <v>87</v>
      </c>
      <c r="Q78" s="139">
        <f>_xll.qlCalendarAdvance(Calendar,Q77,P78,"f")</f>
        <v>42776</v>
      </c>
      <c r="R78" s="140">
        <f>IF((ISERR(_xll.qlIndexFixing(Index,Q78,,InterestRatesTrigger))),_xll.qlIndexFixing(Index,Q78-$Q$1,,InterestRatesTrigger),_xll.qlIndexFixing(Index,Q78,,InterestRatesTrigger))</f>
        <v>5.687338288291599E-3</v>
      </c>
    </row>
    <row r="79" spans="16:18" x14ac:dyDescent="0.2">
      <c r="P79" s="138" t="s">
        <v>87</v>
      </c>
      <c r="Q79" s="139">
        <f>_xll.qlCalendarAdvance(Calendar,Q78,P79,"f")</f>
        <v>42779</v>
      </c>
      <c r="R79" s="140">
        <f>IF((ISERR(_xll.qlIndexFixing(Index,Q79,,InterestRatesTrigger))),_xll.qlIndexFixing(Index,Q79-$Q$1,,InterestRatesTrigger),_xll.qlIndexFixing(Index,Q79,,InterestRatesTrigger))</f>
        <v>5.6872484412284763E-3</v>
      </c>
    </row>
    <row r="80" spans="16:18" x14ac:dyDescent="0.2">
      <c r="P80" s="138" t="s">
        <v>87</v>
      </c>
      <c r="Q80" s="139">
        <f>_xll.qlCalendarAdvance(Calendar,Q79,P80,"f")</f>
        <v>42780</v>
      </c>
      <c r="R80" s="140">
        <f>IF((ISERR(_xll.qlIndexFixing(Index,Q80,,InterestRatesTrigger))),_xll.qlIndexFixing(Index,Q80-$Q$1,,InterestRatesTrigger),_xll.qlIndexFixing(Index,Q80,,InterestRatesTrigger))</f>
        <v>5.6872484412284763E-3</v>
      </c>
    </row>
    <row r="81" spans="16:18" x14ac:dyDescent="0.2">
      <c r="P81" s="138" t="s">
        <v>87</v>
      </c>
      <c r="Q81" s="139">
        <f>_xll.qlCalendarAdvance(Calendar,Q80,P81,"f")</f>
        <v>42781</v>
      </c>
      <c r="R81" s="140">
        <f>IF((ISERR(_xll.qlIndexFixing(Index,Q81,,InterestRatesTrigger))),_xll.qlIndexFixing(Index,Q81-$Q$1,,InterestRatesTrigger),_xll.qlIndexFixing(Index,Q81,,InterestRatesTrigger))</f>
        <v>5.6872484412284763E-3</v>
      </c>
    </row>
    <row r="82" spans="16:18" x14ac:dyDescent="0.2">
      <c r="P82" s="138" t="s">
        <v>87</v>
      </c>
      <c r="Q82" s="139">
        <f>_xll.qlCalendarAdvance(Calendar,Q81,P82,"f")</f>
        <v>42782</v>
      </c>
      <c r="R82" s="140">
        <f>IF((ISERR(_xll.qlIndexFixing(Index,Q82,,InterestRatesTrigger))),_xll.qlIndexFixing(Index,Q82-$Q$1,,InterestRatesTrigger),_xll.qlIndexFixing(Index,Q82,,InterestRatesTrigger))</f>
        <v>5.6872484411485402E-3</v>
      </c>
    </row>
    <row r="83" spans="16:18" x14ac:dyDescent="0.2">
      <c r="P83" s="138" t="s">
        <v>87</v>
      </c>
      <c r="Q83" s="139">
        <f>_xll.qlCalendarAdvance(Calendar,Q82,P83,"f")</f>
        <v>42783</v>
      </c>
      <c r="R83" s="140">
        <f>IF((ISERR(_xll.qlIndexFixing(Index,Q83,,InterestRatesTrigger))),_xll.qlIndexFixing(Index,Q83-$Q$1,,InterestRatesTrigger),_xll.qlIndexFixing(Index,Q83,,InterestRatesTrigger))</f>
        <v>5.687383212582553E-3</v>
      </c>
    </row>
    <row r="84" spans="16:18" x14ac:dyDescent="0.2">
      <c r="P84" s="138" t="s">
        <v>87</v>
      </c>
      <c r="Q84" s="139">
        <f>_xll.qlCalendarAdvance(Calendar,Q83,P84,"f")</f>
        <v>42787</v>
      </c>
      <c r="R84" s="140">
        <f>IF((ISERR(_xll.qlIndexFixing(Index,Q84,,InterestRatesTrigger))),_xll.qlIndexFixing(Index,Q84-$Q$1,,InterestRatesTrigger),_xll.qlIndexFixing(Index,Q84,,InterestRatesTrigger))</f>
        <v>5.8017802959486886E-3</v>
      </c>
    </row>
    <row r="85" spans="16:18" x14ac:dyDescent="0.2">
      <c r="P85" s="138" t="s">
        <v>87</v>
      </c>
      <c r="Q85" s="139">
        <f>_xll.qlCalendarAdvance(Calendar,Q84,P85,"f")</f>
        <v>42788</v>
      </c>
      <c r="R85" s="140">
        <f>IF((ISERR(_xll.qlIndexFixing(Index,Q85,,InterestRatesTrigger))),_xll.qlIndexFixing(Index,Q85-$Q$1,,InterestRatesTrigger),_xll.qlIndexFixing(Index,Q85,,InterestRatesTrigger))</f>
        <v>5.8017802958687525E-3</v>
      </c>
    </row>
    <row r="86" spans="16:18" x14ac:dyDescent="0.2">
      <c r="P86" s="138" t="s">
        <v>87</v>
      </c>
      <c r="Q86" s="139">
        <f>_xll.qlCalendarAdvance(Calendar,Q85,P86,"f")</f>
        <v>42789</v>
      </c>
      <c r="R86" s="140">
        <f>IF((ISERR(_xll.qlIndexFixing(Index,Q86,,InterestRatesTrigger))),_xll.qlIndexFixing(Index,Q86-$Q$1,,InterestRatesTrigger),_xll.qlIndexFixing(Index,Q86,,InterestRatesTrigger))</f>
        <v>5.8017802960286247E-3</v>
      </c>
    </row>
    <row r="87" spans="16:18" x14ac:dyDescent="0.2">
      <c r="P87" s="138" t="s">
        <v>87</v>
      </c>
      <c r="Q87" s="139">
        <f>_xll.qlCalendarAdvance(Calendar,Q86,P87,"f")</f>
        <v>42790</v>
      </c>
      <c r="R87" s="140">
        <f>IF((ISERR(_xll.qlIndexFixing(Index,Q87,,InterestRatesTrigger))),_xll.qlIndexFixing(Index,Q87-$Q$1,,InterestRatesTrigger),_xll.qlIndexFixing(Index,Q87,,InterestRatesTrigger))</f>
        <v>5.8018737982479252E-3</v>
      </c>
    </row>
    <row r="88" spans="16:18" x14ac:dyDescent="0.2">
      <c r="P88" s="138" t="s">
        <v>87</v>
      </c>
      <c r="Q88" s="139">
        <f>_xll.qlCalendarAdvance(Calendar,Q87,P88,"f")</f>
        <v>42793</v>
      </c>
      <c r="R88" s="140">
        <f>IF((ISERR(_xll.qlIndexFixing(Index,Q88,,InterestRatesTrigger))),_xll.qlIndexFixing(Index,Q88-$Q$1,,InterestRatesTrigger),_xll.qlIndexFixing(Index,Q88,,InterestRatesTrigger))</f>
        <v>5.8017802958687525E-3</v>
      </c>
    </row>
    <row r="89" spans="16:18" x14ac:dyDescent="0.2">
      <c r="P89" s="138" t="s">
        <v>87</v>
      </c>
      <c r="Q89" s="139">
        <f>_xll.qlCalendarAdvance(Calendar,Q88,P89,"f")</f>
        <v>42794</v>
      </c>
      <c r="R89" s="140">
        <f>IF((ISERR(_xll.qlIndexFixing(Index,Q89,,InterestRatesTrigger))),_xll.qlIndexFixing(Index,Q89-$Q$1,,InterestRatesTrigger),_xll.qlIndexFixing(Index,Q89,,InterestRatesTrigger))</f>
        <v>5.8017802959486886E-3</v>
      </c>
    </row>
    <row r="90" spans="16:18" x14ac:dyDescent="0.2">
      <c r="P90" s="138" t="s">
        <v>87</v>
      </c>
      <c r="Q90" s="139">
        <f>_xll.qlCalendarAdvance(Calendar,Q89,P90,"f")</f>
        <v>42795</v>
      </c>
      <c r="R90" s="140">
        <f>IF((ISERR(_xll.qlIndexFixing(Index,Q90,,InterestRatesTrigger))),_xll.qlIndexFixing(Index,Q90-$Q$1,,InterestRatesTrigger),_xll.qlIndexFixing(Index,Q90,,InterestRatesTrigger))</f>
        <v>5.8017802959486886E-3</v>
      </c>
    </row>
    <row r="91" spans="16:18" x14ac:dyDescent="0.2">
      <c r="P91" s="138" t="s">
        <v>87</v>
      </c>
      <c r="Q91" s="139">
        <f>_xll.qlCalendarAdvance(Calendar,Q90,P91,"f")</f>
        <v>42796</v>
      </c>
      <c r="R91" s="140">
        <f>IF((ISERR(_xll.qlIndexFixing(Index,Q91,,InterestRatesTrigger))),_xll.qlIndexFixing(Index,Q91-$Q$1,,InterestRatesTrigger),_xll.qlIndexFixing(Index,Q91,,InterestRatesTrigger))</f>
        <v>5.8017802959486886E-3</v>
      </c>
    </row>
    <row r="92" spans="16:18" x14ac:dyDescent="0.2">
      <c r="P92" s="138" t="s">
        <v>87</v>
      </c>
      <c r="Q92" s="139">
        <f>_xll.qlCalendarAdvance(Calendar,Q91,P92,"f")</f>
        <v>42797</v>
      </c>
      <c r="R92" s="140">
        <f>IF((ISERR(_xll.qlIndexFixing(Index,Q92,,InterestRatesTrigger))),_xll.qlIndexFixing(Index,Q92-$Q$1,,InterestRatesTrigger),_xll.qlIndexFixing(Index,Q92,,InterestRatesTrigger))</f>
        <v>5.8018737982745705E-3</v>
      </c>
    </row>
    <row r="93" spans="16:18" x14ac:dyDescent="0.2">
      <c r="P93" s="138" t="s">
        <v>87</v>
      </c>
      <c r="Q93" s="139">
        <f>_xll.qlCalendarAdvance(Calendar,Q92,P93,"f")</f>
        <v>42800</v>
      </c>
      <c r="R93" s="140">
        <f>IF((ISERR(_xll.qlIndexFixing(Index,Q93,,InterestRatesTrigger))),_xll.qlIndexFixing(Index,Q93-$Q$1,,InterestRatesTrigger),_xll.qlIndexFixing(Index,Q93,,InterestRatesTrigger))</f>
        <v>5.8017802959486886E-3</v>
      </c>
    </row>
    <row r="94" spans="16:18" x14ac:dyDescent="0.2">
      <c r="P94" s="138" t="s">
        <v>87</v>
      </c>
      <c r="Q94" s="139">
        <f>_xll.qlCalendarAdvance(Calendar,Q93,P94,"f")</f>
        <v>42801</v>
      </c>
      <c r="R94" s="140">
        <f>IF((ISERR(_xll.qlIndexFixing(Index,Q94,,InterestRatesTrigger))),_xll.qlIndexFixing(Index,Q94-$Q$1,,InterestRatesTrigger),_xll.qlIndexFixing(Index,Q94,,InterestRatesTrigger))</f>
        <v>5.8017802959486886E-3</v>
      </c>
    </row>
    <row r="95" spans="16:18" x14ac:dyDescent="0.2">
      <c r="P95" s="138" t="s">
        <v>87</v>
      </c>
      <c r="Q95" s="139">
        <f>_xll.qlCalendarAdvance(Calendar,Q94,P95,"f")</f>
        <v>42802</v>
      </c>
      <c r="R95" s="140">
        <f>IF((ISERR(_xll.qlIndexFixing(Index,Q95,,InterestRatesTrigger))),_xll.qlIndexFixing(Index,Q95-$Q$1,,InterestRatesTrigger),_xll.qlIndexFixing(Index,Q95,,InterestRatesTrigger))</f>
        <v>5.8017802959486886E-3</v>
      </c>
    </row>
    <row r="96" spans="16:18" x14ac:dyDescent="0.2">
      <c r="P96" s="138" t="s">
        <v>87</v>
      </c>
      <c r="Q96" s="139">
        <f>_xll.qlCalendarAdvance(Calendar,Q95,P96,"f")</f>
        <v>42803</v>
      </c>
      <c r="R96" s="140">
        <f>IF((ISERR(_xll.qlIndexFixing(Index,Q96,,InterestRatesTrigger))),_xll.qlIndexFixing(Index,Q96-$Q$1,,InterestRatesTrigger),_xll.qlIndexFixing(Index,Q96,,InterestRatesTrigger))</f>
        <v>5.8017802959486886E-3</v>
      </c>
    </row>
    <row r="97" spans="16:18" x14ac:dyDescent="0.2">
      <c r="P97" s="138" t="s">
        <v>87</v>
      </c>
      <c r="Q97" s="139">
        <f>_xll.qlCalendarAdvance(Calendar,Q96,P97,"f")</f>
        <v>42804</v>
      </c>
      <c r="R97" s="140">
        <f>IF((ISERR(_xll.qlIndexFixing(Index,Q97,,InterestRatesTrigger))),_xll.qlIndexFixing(Index,Q97-$Q$1,,InterestRatesTrigger),_xll.qlIndexFixing(Index,Q97,,InterestRatesTrigger))</f>
        <v>5.8018737982479252E-3</v>
      </c>
    </row>
    <row r="98" spans="16:18" x14ac:dyDescent="0.2">
      <c r="P98" s="138" t="s">
        <v>87</v>
      </c>
      <c r="Q98" s="139">
        <f>_xll.qlCalendarAdvance(Calendar,Q97,P98,"f")</f>
        <v>42807</v>
      </c>
      <c r="R98" s="140">
        <f>IF((ISERR(_xll.qlIndexFixing(Index,Q98,,InterestRatesTrigger))),_xll.qlIndexFixing(Index,Q98-$Q$1,,InterestRatesTrigger),_xll.qlIndexFixing(Index,Q98,,InterestRatesTrigger))</f>
        <v>5.8017802959486886E-3</v>
      </c>
    </row>
    <row r="99" spans="16:18" x14ac:dyDescent="0.2">
      <c r="P99" s="138" t="s">
        <v>87</v>
      </c>
      <c r="Q99" s="139">
        <f>_xll.qlCalendarAdvance(Calendar,Q98,P99,"f")</f>
        <v>42808</v>
      </c>
      <c r="R99" s="140">
        <f>IF((ISERR(_xll.qlIndexFixing(Index,Q99,,InterestRatesTrigger))),_xll.qlIndexFixing(Index,Q99-$Q$1,,InterestRatesTrigger),_xll.qlIndexFixing(Index,Q99,,InterestRatesTrigger))</f>
        <v>5.8017802959486886E-3</v>
      </c>
    </row>
    <row r="100" spans="16:18" x14ac:dyDescent="0.2">
      <c r="P100" s="138" t="s">
        <v>87</v>
      </c>
      <c r="Q100" s="139">
        <f>_xll.qlCalendarAdvance(Calendar,Q99,P100,"f")</f>
        <v>42809</v>
      </c>
      <c r="R100" s="140">
        <f>IF((ISERR(_xll.qlIndexFixing(Index,Q100,,InterestRatesTrigger))),_xll.qlIndexFixing(Index,Q100-$Q$1,,InterestRatesTrigger),_xll.qlIndexFixing(Index,Q100,,InterestRatesTrigger))</f>
        <v>5.8017802959486886E-3</v>
      </c>
    </row>
    <row r="101" spans="16:18" x14ac:dyDescent="0.2">
      <c r="P101" s="138" t="s">
        <v>87</v>
      </c>
      <c r="Q101" s="139">
        <f>_xll.qlCalendarAdvance(Calendar,Q100,P101,"f")</f>
        <v>42810</v>
      </c>
      <c r="R101" s="140">
        <f>IF((ISERR(_xll.qlIndexFixing(Index,Q101,,InterestRatesTrigger))),_xll.qlIndexFixing(Index,Q101-$Q$1,,InterestRatesTrigger),_xll.qlIndexFixing(Index,Q101,,InterestRatesTrigger))</f>
        <v>5.8017802959486886E-3</v>
      </c>
    </row>
    <row r="102" spans="16:18" x14ac:dyDescent="0.2">
      <c r="P102" s="138" t="s">
        <v>87</v>
      </c>
      <c r="Q102" s="139">
        <f>_xll.qlCalendarAdvance(Calendar,Q101,P102,"f")</f>
        <v>42811</v>
      </c>
      <c r="R102" s="140">
        <f>IF((ISERR(_xll.qlIndexFixing(Index,Q102,,InterestRatesTrigger))),_xll.qlIndexFixing(Index,Q102-$Q$1,,InterestRatesTrigger),_xll.qlIndexFixing(Index,Q102,,InterestRatesTrigger))</f>
        <v>5.8018737982745705E-3</v>
      </c>
    </row>
    <row r="103" spans="16:18" x14ac:dyDescent="0.2">
      <c r="P103" s="138" t="s">
        <v>87</v>
      </c>
      <c r="Q103" s="139">
        <f>_xll.qlCalendarAdvance(Calendar,Q102,P103,"f")</f>
        <v>42814</v>
      </c>
      <c r="R103" s="140">
        <f>IF((ISERR(_xll.qlIndexFixing(Index,Q103,,InterestRatesTrigger))),_xll.qlIndexFixing(Index,Q103-$Q$1,,InterestRatesTrigger),_xll.qlIndexFixing(Index,Q103,,InterestRatesTrigger))</f>
        <v>5.8017802959486886E-3</v>
      </c>
    </row>
    <row r="104" spans="16:18" x14ac:dyDescent="0.2">
      <c r="P104" s="138" t="s">
        <v>87</v>
      </c>
      <c r="Q104" s="139">
        <f>_xll.qlCalendarAdvance(Calendar,Q103,P104,"f")</f>
        <v>42815</v>
      </c>
      <c r="R104" s="140">
        <f>IF((ISERR(_xll.qlIndexFixing(Index,Q104,,InterestRatesTrigger))),_xll.qlIndexFixing(Index,Q104-$Q$1,,InterestRatesTrigger),_xll.qlIndexFixing(Index,Q104,,InterestRatesTrigger))</f>
        <v>6.0348988719116647E-3</v>
      </c>
    </row>
    <row r="105" spans="16:18" x14ac:dyDescent="0.2">
      <c r="P105" s="138" t="s">
        <v>87</v>
      </c>
      <c r="Q105" s="139">
        <f>_xll.qlCalendarAdvance(Calendar,Q104,P105,"f")</f>
        <v>42816</v>
      </c>
      <c r="R105" s="140">
        <f>IF((ISERR(_xll.qlIndexFixing(Index,Q105,,InterestRatesTrigger))),_xll.qlIndexFixing(Index,Q105-$Q$1,,InterestRatesTrigger),_xll.qlIndexFixing(Index,Q105,,InterestRatesTrigger))</f>
        <v>6.0348988719116647E-3</v>
      </c>
    </row>
    <row r="106" spans="16:18" x14ac:dyDescent="0.2">
      <c r="P106" s="138" t="s">
        <v>87</v>
      </c>
      <c r="Q106" s="139">
        <f>_xll.qlCalendarAdvance(Calendar,Q105,P106,"f")</f>
        <v>42817</v>
      </c>
      <c r="R106" s="140">
        <f>IF((ISERR(_xll.qlIndexFixing(Index,Q106,,InterestRatesTrigger))),_xll.qlIndexFixing(Index,Q106-$Q$1,,InterestRatesTrigger),_xll.qlIndexFixing(Index,Q106,,InterestRatesTrigger))</f>
        <v>6.0348988719916008E-3</v>
      </c>
    </row>
    <row r="107" spans="16:18" x14ac:dyDescent="0.2">
      <c r="P107" s="138" t="s">
        <v>87</v>
      </c>
      <c r="Q107" s="139">
        <f>_xll.qlCalendarAdvance(Calendar,Q106,P107,"f")</f>
        <v>42818</v>
      </c>
      <c r="R107" s="140">
        <f>IF((ISERR(_xll.qlIndexFixing(Index,Q107,,InterestRatesTrigger))),_xll.qlIndexFixing(Index,Q107-$Q$1,,InterestRatesTrigger),_xll.qlIndexFixing(Index,Q107,,InterestRatesTrigger))</f>
        <v>6.0350000392261904E-3</v>
      </c>
    </row>
    <row r="108" spans="16:18" x14ac:dyDescent="0.2">
      <c r="P108" s="138" t="s">
        <v>87</v>
      </c>
      <c r="Q108" s="139">
        <f>_xll.qlCalendarAdvance(Calendar,Q107,P108,"f")</f>
        <v>42821</v>
      </c>
      <c r="R108" s="140">
        <f>IF((ISERR(_xll.qlIndexFixing(Index,Q108,,InterestRatesTrigger))),_xll.qlIndexFixing(Index,Q108-$Q$1,,InterestRatesTrigger),_xll.qlIndexFixing(Index,Q108,,InterestRatesTrigger))</f>
        <v>6.0348988719116647E-3</v>
      </c>
    </row>
    <row r="109" spans="16:18" x14ac:dyDescent="0.2">
      <c r="P109" s="138" t="s">
        <v>87</v>
      </c>
      <c r="Q109" s="139">
        <f>_xll.qlCalendarAdvance(Calendar,Q108,P109,"f")</f>
        <v>42822</v>
      </c>
      <c r="R109" s="140">
        <f>IF((ISERR(_xll.qlIndexFixing(Index,Q109,,InterestRatesTrigger))),_xll.qlIndexFixing(Index,Q109-$Q$1,,InterestRatesTrigger),_xll.qlIndexFixing(Index,Q109,,InterestRatesTrigger))</f>
        <v>6.0348988719916008E-3</v>
      </c>
    </row>
    <row r="110" spans="16:18" x14ac:dyDescent="0.2">
      <c r="P110" s="138" t="s">
        <v>87</v>
      </c>
      <c r="Q110" s="139">
        <f>_xll.qlCalendarAdvance(Calendar,Q109,P110,"f")</f>
        <v>42823</v>
      </c>
      <c r="R110" s="140">
        <f>IF((ISERR(_xll.qlIndexFixing(Index,Q110,,InterestRatesTrigger))),_xll.qlIndexFixing(Index,Q110-$Q$1,,InterestRatesTrigger),_xll.qlIndexFixing(Index,Q110,,InterestRatesTrigger))</f>
        <v>6.0348988719916008E-3</v>
      </c>
    </row>
    <row r="111" spans="16:18" x14ac:dyDescent="0.2">
      <c r="P111" s="138" t="s">
        <v>87</v>
      </c>
      <c r="Q111" s="139">
        <f>_xll.qlCalendarAdvance(Calendar,Q110,P111,"f")</f>
        <v>42824</v>
      </c>
      <c r="R111" s="140">
        <f>IF((ISERR(_xll.qlIndexFixing(Index,Q111,,InterestRatesTrigger))),_xll.qlIndexFixing(Index,Q111-$Q$1,,InterestRatesTrigger),_xll.qlIndexFixing(Index,Q111,,InterestRatesTrigger))</f>
        <v>6.0348988719116647E-3</v>
      </c>
    </row>
    <row r="112" spans="16:18" x14ac:dyDescent="0.2">
      <c r="P112" s="138" t="s">
        <v>87</v>
      </c>
      <c r="Q112" s="139">
        <f>_xll.qlCalendarAdvance(Calendar,Q111,P112,"f")</f>
        <v>42825</v>
      </c>
      <c r="R112" s="140">
        <f>IF((ISERR(_xll.qlIndexFixing(Index,Q112,,InterestRatesTrigger))),_xll.qlIndexFixing(Index,Q112-$Q$1,,InterestRatesTrigger),_xll.qlIndexFixing(Index,Q112,,InterestRatesTrigger))</f>
        <v>6.0350000391995451E-3</v>
      </c>
    </row>
    <row r="113" spans="16:18" x14ac:dyDescent="0.2">
      <c r="P113" s="138" t="s">
        <v>87</v>
      </c>
      <c r="Q113" s="139">
        <f>_xll.qlCalendarAdvance(Calendar,Q112,P113,"f")</f>
        <v>42828</v>
      </c>
      <c r="R113" s="140">
        <f>IF((ISERR(_xll.qlIndexFixing(Index,Q113,,InterestRatesTrigger))),_xll.qlIndexFixing(Index,Q113-$Q$1,,InterestRatesTrigger),_xll.qlIndexFixing(Index,Q113,,InterestRatesTrigger))</f>
        <v>6.0348988719116647E-3</v>
      </c>
    </row>
    <row r="114" spans="16:18" x14ac:dyDescent="0.2">
      <c r="P114" s="138" t="s">
        <v>87</v>
      </c>
      <c r="Q114" s="139">
        <f>_xll.qlCalendarAdvance(Calendar,Q113,P114,"f")</f>
        <v>42829</v>
      </c>
      <c r="R114" s="140">
        <f>IF((ISERR(_xll.qlIndexFixing(Index,Q114,,InterestRatesTrigger))),_xll.qlIndexFixing(Index,Q114-$Q$1,,InterestRatesTrigger),_xll.qlIndexFixing(Index,Q114,,InterestRatesTrigger))</f>
        <v>6.0348988719916008E-3</v>
      </c>
    </row>
    <row r="115" spans="16:18" x14ac:dyDescent="0.2">
      <c r="P115" s="138" t="s">
        <v>87</v>
      </c>
      <c r="Q115" s="139">
        <f>_xll.qlCalendarAdvance(Calendar,Q114,P115,"f")</f>
        <v>42830</v>
      </c>
      <c r="R115" s="140">
        <f>IF((ISERR(_xll.qlIndexFixing(Index,Q115,,InterestRatesTrigger))),_xll.qlIndexFixing(Index,Q115-$Q$1,,InterestRatesTrigger),_xll.qlIndexFixing(Index,Q115,,InterestRatesTrigger))</f>
        <v>6.0348988719916008E-3</v>
      </c>
    </row>
    <row r="116" spans="16:18" x14ac:dyDescent="0.2">
      <c r="P116" s="138" t="s">
        <v>87</v>
      </c>
      <c r="Q116" s="139">
        <f>_xll.qlCalendarAdvance(Calendar,Q115,P116,"f")</f>
        <v>42831</v>
      </c>
      <c r="R116" s="140">
        <f>IF((ISERR(_xll.qlIndexFixing(Index,Q116,,InterestRatesTrigger))),_xll.qlIndexFixing(Index,Q116-$Q$1,,InterestRatesTrigger),_xll.qlIndexFixing(Index,Q116,,InterestRatesTrigger))</f>
        <v>6.0348988719116647E-3</v>
      </c>
    </row>
    <row r="117" spans="16:18" x14ac:dyDescent="0.2">
      <c r="P117" s="138" t="s">
        <v>87</v>
      </c>
      <c r="Q117" s="139">
        <f>_xll.qlCalendarAdvance(Calendar,Q116,P117,"f")</f>
        <v>42832</v>
      </c>
      <c r="R117" s="140">
        <f>IF((ISERR(_xll.qlIndexFixing(Index,Q117,,InterestRatesTrigger))),_xll.qlIndexFixing(Index,Q117-$Q$1,,InterestRatesTrigger),_xll.qlIndexFixing(Index,Q117,,InterestRatesTrigger))</f>
        <v>6.0350000391995451E-3</v>
      </c>
    </row>
    <row r="118" spans="16:18" x14ac:dyDescent="0.2">
      <c r="P118" s="138" t="s">
        <v>87</v>
      </c>
      <c r="Q118" s="139">
        <f>_xll.qlCalendarAdvance(Calendar,Q117,P118,"f")</f>
        <v>42835</v>
      </c>
      <c r="R118" s="140">
        <f>IF((ISERR(_xll.qlIndexFixing(Index,Q118,,InterestRatesTrigger))),_xll.qlIndexFixing(Index,Q118-$Q$1,,InterestRatesTrigger),_xll.qlIndexFixing(Index,Q118,,InterestRatesTrigger))</f>
        <v>6.0348988719916008E-3</v>
      </c>
    </row>
    <row r="119" spans="16:18" x14ac:dyDescent="0.2">
      <c r="P119" s="138" t="s">
        <v>87</v>
      </c>
      <c r="Q119" s="139">
        <f>_xll.qlCalendarAdvance(Calendar,Q118,P119,"f")</f>
        <v>42836</v>
      </c>
      <c r="R119" s="140">
        <f>IF((ISERR(_xll.qlIndexFixing(Index,Q119,,InterestRatesTrigger))),_xll.qlIndexFixing(Index,Q119-$Q$1,,InterestRatesTrigger),_xll.qlIndexFixing(Index,Q119,,InterestRatesTrigger))</f>
        <v>6.0348988719116647E-3</v>
      </c>
    </row>
    <row r="120" spans="16:18" x14ac:dyDescent="0.2">
      <c r="P120" s="138" t="s">
        <v>87</v>
      </c>
      <c r="Q120" s="139">
        <f>_xll.qlCalendarAdvance(Calendar,Q119,P120,"f")</f>
        <v>42837</v>
      </c>
      <c r="R120" s="140">
        <f>IF((ISERR(_xll.qlIndexFixing(Index,Q120,,InterestRatesTrigger))),_xll.qlIndexFixing(Index,Q120-$Q$1,,InterestRatesTrigger),_xll.qlIndexFixing(Index,Q120,,InterestRatesTrigger))</f>
        <v>6.0348988719916008E-3</v>
      </c>
    </row>
    <row r="121" spans="16:18" x14ac:dyDescent="0.2">
      <c r="P121" s="138" t="s">
        <v>87</v>
      </c>
      <c r="Q121" s="139">
        <f>_xll.qlCalendarAdvance(Calendar,Q120,P121,"f")</f>
        <v>42838</v>
      </c>
      <c r="R121" s="140">
        <f>IF((ISERR(_xll.qlIndexFixing(Index,Q121,,InterestRatesTrigger))),_xll.qlIndexFixing(Index,Q121-$Q$1,,InterestRatesTrigger),_xll.qlIndexFixing(Index,Q121,,InterestRatesTrigger))</f>
        <v>6.0348988719116647E-3</v>
      </c>
    </row>
    <row r="122" spans="16:18" x14ac:dyDescent="0.2">
      <c r="P122" s="138" t="s">
        <v>87</v>
      </c>
      <c r="Q122" s="139">
        <f>_xll.qlCalendarAdvance(Calendar,Q121,P122,"f")</f>
        <v>42839</v>
      </c>
      <c r="R122" s="140">
        <f>IF((ISERR(_xll.qlIndexFixing(Index,Q122,,InterestRatesTrigger))),_xll.qlIndexFixing(Index,Q122-$Q$1,,InterestRatesTrigger),_xll.qlIndexFixing(Index,Q122,,InterestRatesTrigger))</f>
        <v>6.0350000391995451E-3</v>
      </c>
    </row>
    <row r="123" spans="16:18" x14ac:dyDescent="0.2">
      <c r="P123" s="138" t="s">
        <v>87</v>
      </c>
      <c r="Q123" s="139">
        <f>_xll.qlCalendarAdvance(Calendar,Q122,P123,"f")</f>
        <v>42842</v>
      </c>
      <c r="R123" s="140">
        <f>IF((ISERR(_xll.qlIndexFixing(Index,Q123,,InterestRatesTrigger))),_xll.qlIndexFixing(Index,Q123-$Q$1,,InterestRatesTrigger),_xll.qlIndexFixing(Index,Q123,,InterestRatesTrigger))</f>
        <v>6.0348988719116647E-3</v>
      </c>
    </row>
    <row r="124" spans="16:18" x14ac:dyDescent="0.2">
      <c r="P124" s="138" t="s">
        <v>87</v>
      </c>
      <c r="Q124" s="139">
        <f>_xll.qlCalendarAdvance(Calendar,Q123,P124,"f")</f>
        <v>42843</v>
      </c>
      <c r="R124" s="140">
        <f>IF((ISERR(_xll.qlIndexFixing(Index,Q124,,InterestRatesTrigger))),_xll.qlIndexFixing(Index,Q124-$Q$1,,InterestRatesTrigger),_xll.qlIndexFixing(Index,Q124,,InterestRatesTrigger))</f>
        <v>6.0348988719916008E-3</v>
      </c>
    </row>
    <row r="125" spans="16:18" x14ac:dyDescent="0.2">
      <c r="P125" s="138" t="s">
        <v>87</v>
      </c>
      <c r="Q125" s="139">
        <f>_xll.qlCalendarAdvance(Calendar,Q124,P125,"f")</f>
        <v>42844</v>
      </c>
      <c r="R125" s="140">
        <f>IF((ISERR(_xll.qlIndexFixing(Index,Q125,,InterestRatesTrigger))),_xll.qlIndexFixing(Index,Q125-$Q$1,,InterestRatesTrigger),_xll.qlIndexFixing(Index,Q125,,InterestRatesTrigger))</f>
        <v>6.0348988719116647E-3</v>
      </c>
    </row>
    <row r="126" spans="16:18" x14ac:dyDescent="0.2">
      <c r="P126" s="138" t="s">
        <v>87</v>
      </c>
      <c r="Q126" s="139">
        <f>_xll.qlCalendarAdvance(Calendar,Q125,P126,"f")</f>
        <v>42845</v>
      </c>
      <c r="R126" s="140">
        <f>IF((ISERR(_xll.qlIndexFixing(Index,Q126,,InterestRatesTrigger))),_xll.qlIndexFixing(Index,Q126-$Q$1,,InterestRatesTrigger),_xll.qlIndexFixing(Index,Q126,,InterestRatesTrigger))</f>
        <v>6.0348988719916008E-3</v>
      </c>
    </row>
    <row r="127" spans="16:18" x14ac:dyDescent="0.2">
      <c r="P127" s="138" t="s">
        <v>87</v>
      </c>
      <c r="Q127" s="139">
        <f>_xll.qlCalendarAdvance(Calendar,Q126,P127,"f")</f>
        <v>42846</v>
      </c>
      <c r="R127" s="140">
        <f>IF((ISERR(_xll.qlIndexFixing(Index,Q127,,InterestRatesTrigger))),_xll.qlIndexFixing(Index,Q127-$Q$1,,InterestRatesTrigger),_xll.qlIndexFixing(Index,Q127,,InterestRatesTrigger))</f>
        <v>6.0768854797288441E-3</v>
      </c>
    </row>
    <row r="128" spans="16:18" x14ac:dyDescent="0.2">
      <c r="P128" s="138" t="s">
        <v>87</v>
      </c>
      <c r="Q128" s="139">
        <f>_xll.qlCalendarAdvance(Calendar,Q127,P128,"f")</f>
        <v>42849</v>
      </c>
      <c r="R128" s="140">
        <f>IF((ISERR(_xll.qlIndexFixing(Index,Q128,,InterestRatesTrigger))),_xll.qlIndexFixing(Index,Q128-$Q$1,,InterestRatesTrigger),_xll.qlIndexFixing(Index,Q128,,InterestRatesTrigger))</f>
        <v>6.0767829032748466E-3</v>
      </c>
    </row>
    <row r="129" spans="16:18" x14ac:dyDescent="0.2">
      <c r="P129" s="138" t="s">
        <v>87</v>
      </c>
      <c r="Q129" s="139">
        <f>_xll.qlCalendarAdvance(Calendar,Q128,P129,"f")</f>
        <v>42850</v>
      </c>
      <c r="R129" s="140">
        <f>IF((ISERR(_xll.qlIndexFixing(Index,Q129,,InterestRatesTrigger))),_xll.qlIndexFixing(Index,Q129-$Q$1,,InterestRatesTrigger),_xll.qlIndexFixing(Index,Q129,,InterestRatesTrigger))</f>
        <v>6.0767829033547827E-3</v>
      </c>
    </row>
    <row r="130" spans="16:18" x14ac:dyDescent="0.2">
      <c r="P130" s="138" t="s">
        <v>87</v>
      </c>
      <c r="Q130" s="139">
        <f>_xll.qlCalendarAdvance(Calendar,Q129,P130,"f")</f>
        <v>42851</v>
      </c>
      <c r="R130" s="140">
        <f>IF((ISERR(_xll.qlIndexFixing(Index,Q130,,InterestRatesTrigger))),_xll.qlIndexFixing(Index,Q130-$Q$1,,InterestRatesTrigger),_xll.qlIndexFixing(Index,Q130,,InterestRatesTrigger))</f>
        <v>6.0767829033547827E-3</v>
      </c>
    </row>
    <row r="131" spans="16:18" x14ac:dyDescent="0.2">
      <c r="P131" s="138" t="s">
        <v>87</v>
      </c>
      <c r="Q131" s="139">
        <f>_xll.qlCalendarAdvance(Calendar,Q130,P131,"f")</f>
        <v>42852</v>
      </c>
      <c r="R131" s="140">
        <f>IF((ISERR(_xll.qlIndexFixing(Index,Q131,,InterestRatesTrigger))),_xll.qlIndexFixing(Index,Q131-$Q$1,,InterestRatesTrigger),_xll.qlIndexFixing(Index,Q131,,InterestRatesTrigger))</f>
        <v>6.0767829033547827E-3</v>
      </c>
    </row>
    <row r="132" spans="16:18" x14ac:dyDescent="0.2">
      <c r="P132" s="138" t="s">
        <v>87</v>
      </c>
      <c r="Q132" s="139">
        <f>_xll.qlCalendarAdvance(Calendar,Q131,P132,"f")</f>
        <v>42853</v>
      </c>
      <c r="R132" s="140">
        <f>IF((ISERR(_xll.qlIndexFixing(Index,Q132,,InterestRatesTrigger))),_xll.qlIndexFixing(Index,Q132-$Q$1,,InterestRatesTrigger),_xll.qlIndexFixing(Index,Q132,,InterestRatesTrigger))</f>
        <v>6.0768854797288441E-3</v>
      </c>
    </row>
    <row r="133" spans="16:18" x14ac:dyDescent="0.2">
      <c r="P133" s="138" t="s">
        <v>87</v>
      </c>
      <c r="Q133" s="139">
        <f>_xll.qlCalendarAdvance(Calendar,Q132,P133,"f")</f>
        <v>42856</v>
      </c>
      <c r="R133" s="140">
        <f>IF((ISERR(_xll.qlIndexFixing(Index,Q133,,InterestRatesTrigger))),_xll.qlIndexFixing(Index,Q133-$Q$1,,InterestRatesTrigger),_xll.qlIndexFixing(Index,Q133,,InterestRatesTrigger))</f>
        <v>6.0767829033547827E-3</v>
      </c>
    </row>
    <row r="134" spans="16:18" x14ac:dyDescent="0.2">
      <c r="P134" s="138" t="s">
        <v>87</v>
      </c>
      <c r="Q134" s="139">
        <f>_xll.qlCalendarAdvance(Calendar,Q133,P134,"f")</f>
        <v>42857</v>
      </c>
      <c r="R134" s="140">
        <f>IF((ISERR(_xll.qlIndexFixing(Index,Q134,,InterestRatesTrigger))),_xll.qlIndexFixing(Index,Q134-$Q$1,,InterestRatesTrigger),_xll.qlIndexFixing(Index,Q134,,InterestRatesTrigger))</f>
        <v>6.0767829033547827E-3</v>
      </c>
    </row>
    <row r="135" spans="16:18" x14ac:dyDescent="0.2">
      <c r="P135" s="138" t="s">
        <v>87</v>
      </c>
      <c r="Q135" s="139">
        <f>_xll.qlCalendarAdvance(Calendar,Q134,P135,"f")</f>
        <v>42858</v>
      </c>
      <c r="R135" s="140">
        <f>IF((ISERR(_xll.qlIndexFixing(Index,Q135,,InterestRatesTrigger))),_xll.qlIndexFixing(Index,Q135-$Q$1,,InterestRatesTrigger),_xll.qlIndexFixing(Index,Q135,,InterestRatesTrigger))</f>
        <v>6.0767829033547827E-3</v>
      </c>
    </row>
    <row r="136" spans="16:18" x14ac:dyDescent="0.2">
      <c r="P136" s="138" t="s">
        <v>87</v>
      </c>
      <c r="Q136" s="139">
        <f>_xll.qlCalendarAdvance(Calendar,Q135,P136,"f")</f>
        <v>42859</v>
      </c>
      <c r="R136" s="140">
        <f>IF((ISERR(_xll.qlIndexFixing(Index,Q136,,InterestRatesTrigger))),_xll.qlIndexFixing(Index,Q136-$Q$1,,InterestRatesTrigger),_xll.qlIndexFixing(Index,Q136,,InterestRatesTrigger))</f>
        <v>6.0767829033547827E-3</v>
      </c>
    </row>
    <row r="137" spans="16:18" x14ac:dyDescent="0.2">
      <c r="P137" s="138" t="s">
        <v>87</v>
      </c>
      <c r="Q137" s="139">
        <f>_xll.qlCalendarAdvance(Calendar,Q136,P137,"f")</f>
        <v>42860</v>
      </c>
      <c r="R137" s="140">
        <f>IF((ISERR(_xll.qlIndexFixing(Index,Q137,,InterestRatesTrigger))),_xll.qlIndexFixing(Index,Q137-$Q$1,,InterestRatesTrigger),_xll.qlIndexFixing(Index,Q137,,InterestRatesTrigger))</f>
        <v>6.0768854797288441E-3</v>
      </c>
    </row>
    <row r="138" spans="16:18" x14ac:dyDescent="0.2">
      <c r="P138" s="138" t="s">
        <v>87</v>
      </c>
      <c r="Q138" s="139">
        <f>_xll.qlCalendarAdvance(Calendar,Q137,P138,"f")</f>
        <v>42863</v>
      </c>
      <c r="R138" s="140">
        <f>IF((ISERR(_xll.qlIndexFixing(Index,Q138,,InterestRatesTrigger))),_xll.qlIndexFixing(Index,Q138-$Q$1,,InterestRatesTrigger),_xll.qlIndexFixing(Index,Q138,,InterestRatesTrigger))</f>
        <v>6.0767829033547827E-3</v>
      </c>
    </row>
    <row r="139" spans="16:18" x14ac:dyDescent="0.2">
      <c r="P139" s="138" t="s">
        <v>87</v>
      </c>
      <c r="Q139" s="139">
        <f>_xll.qlCalendarAdvance(Calendar,Q138,P139,"f")</f>
        <v>42864</v>
      </c>
      <c r="R139" s="140">
        <f>IF((ISERR(_xll.qlIndexFixing(Index,Q139,,InterestRatesTrigger))),_xll.qlIndexFixing(Index,Q139-$Q$1,,InterestRatesTrigger),_xll.qlIndexFixing(Index,Q139,,InterestRatesTrigger))</f>
        <v>6.0767829032748466E-3</v>
      </c>
    </row>
    <row r="140" spans="16:18" x14ac:dyDescent="0.2">
      <c r="P140" s="138" t="s">
        <v>87</v>
      </c>
      <c r="Q140" s="139">
        <f>_xll.qlCalendarAdvance(Calendar,Q139,P140,"f")</f>
        <v>42865</v>
      </c>
      <c r="R140" s="140">
        <f>IF((ISERR(_xll.qlIndexFixing(Index,Q140,,InterestRatesTrigger))),_xll.qlIndexFixing(Index,Q140-$Q$1,,InterestRatesTrigger),_xll.qlIndexFixing(Index,Q140,,InterestRatesTrigger))</f>
        <v>6.0767829033547827E-3</v>
      </c>
    </row>
    <row r="141" spans="16:18" x14ac:dyDescent="0.2">
      <c r="P141" s="138" t="s">
        <v>87</v>
      </c>
      <c r="Q141" s="139">
        <f>_xll.qlCalendarAdvance(Calendar,Q140,P141,"f")</f>
        <v>42866</v>
      </c>
      <c r="R141" s="140">
        <f>IF((ISERR(_xll.qlIndexFixing(Index,Q141,,InterestRatesTrigger))),_xll.qlIndexFixing(Index,Q141-$Q$1,,InterestRatesTrigger),_xll.qlIndexFixing(Index,Q141,,InterestRatesTrigger))</f>
        <v>6.0767829033547827E-3</v>
      </c>
    </row>
    <row r="142" spans="16:18" x14ac:dyDescent="0.2">
      <c r="P142" s="138" t="s">
        <v>87</v>
      </c>
      <c r="Q142" s="139">
        <f>_xll.qlCalendarAdvance(Calendar,Q141,P142,"f")</f>
        <v>42867</v>
      </c>
      <c r="R142" s="140">
        <f>IF((ISERR(_xll.qlIndexFixing(Index,Q142,,InterestRatesTrigger))),_xll.qlIndexFixing(Index,Q142-$Q$1,,InterestRatesTrigger),_xll.qlIndexFixing(Index,Q142,,InterestRatesTrigger))</f>
        <v>6.0768854797288441E-3</v>
      </c>
    </row>
    <row r="143" spans="16:18" x14ac:dyDescent="0.2">
      <c r="P143" s="138" t="s">
        <v>87</v>
      </c>
      <c r="Q143" s="139">
        <f>_xll.qlCalendarAdvance(Calendar,Q142,P143,"f")</f>
        <v>42870</v>
      </c>
      <c r="R143" s="140">
        <f>IF((ISERR(_xll.qlIndexFixing(Index,Q143,,InterestRatesTrigger))),_xll.qlIndexFixing(Index,Q143-$Q$1,,InterestRatesTrigger),_xll.qlIndexFixing(Index,Q143,,InterestRatesTrigger))</f>
        <v>6.0767829033547827E-3</v>
      </c>
    </row>
    <row r="144" spans="16:18" x14ac:dyDescent="0.2">
      <c r="P144" s="138" t="s">
        <v>87</v>
      </c>
      <c r="Q144" s="139">
        <f>_xll.qlCalendarAdvance(Calendar,Q143,P144,"f")</f>
        <v>42871</v>
      </c>
      <c r="R144" s="140">
        <f>IF((ISERR(_xll.qlIndexFixing(Index,Q144,,InterestRatesTrigger))),_xll.qlIndexFixing(Index,Q144-$Q$1,,InterestRatesTrigger),_xll.qlIndexFixing(Index,Q144,,InterestRatesTrigger))</f>
        <v>6.0767829033547827E-3</v>
      </c>
    </row>
    <row r="145" spans="16:18" x14ac:dyDescent="0.2">
      <c r="P145" s="138" t="s">
        <v>87</v>
      </c>
      <c r="Q145" s="139">
        <f>_xll.qlCalendarAdvance(Calendar,Q144,P145,"f")</f>
        <v>42872</v>
      </c>
      <c r="R145" s="140">
        <f>IF((ISERR(_xll.qlIndexFixing(Index,Q145,,InterestRatesTrigger))),_xll.qlIndexFixing(Index,Q145-$Q$1,,InterestRatesTrigger),_xll.qlIndexFixing(Index,Q145,,InterestRatesTrigger))</f>
        <v>6.0767829033547827E-3</v>
      </c>
    </row>
    <row r="146" spans="16:18" x14ac:dyDescent="0.2">
      <c r="P146" s="138" t="s">
        <v>87</v>
      </c>
      <c r="Q146" s="139">
        <f>_xll.qlCalendarAdvance(Calendar,Q145,P146,"f")</f>
        <v>42873</v>
      </c>
      <c r="R146" s="140">
        <f>IF((ISERR(_xll.qlIndexFixing(Index,Q146,,InterestRatesTrigger))),_xll.qlIndexFixing(Index,Q146-$Q$1,,InterestRatesTrigger),_xll.qlIndexFixing(Index,Q146,,InterestRatesTrigger))</f>
        <v>6.0767829033547827E-3</v>
      </c>
    </row>
    <row r="147" spans="16:18" x14ac:dyDescent="0.2">
      <c r="P147" s="138" t="s">
        <v>87</v>
      </c>
      <c r="Q147" s="139">
        <f>_xll.qlCalendarAdvance(Calendar,Q146,P147,"f")</f>
        <v>42874</v>
      </c>
      <c r="R147" s="140">
        <f>IF((ISERR(_xll.qlIndexFixing(Index,Q147,,InterestRatesTrigger))),_xll.qlIndexFixing(Index,Q147-$Q$1,,InterestRatesTrigger),_xll.qlIndexFixing(Index,Q147,,InterestRatesTrigger))</f>
        <v>6.0768854797288441E-3</v>
      </c>
    </row>
    <row r="148" spans="16:18" x14ac:dyDescent="0.2">
      <c r="P148" s="138" t="s">
        <v>87</v>
      </c>
      <c r="Q148" s="139">
        <f>_xll.qlCalendarAdvance(Calendar,Q147,P148,"f")</f>
        <v>42877</v>
      </c>
      <c r="R148" s="140">
        <f>IF((ISERR(_xll.qlIndexFixing(Index,Q148,,InterestRatesTrigger))),_xll.qlIndexFixing(Index,Q148-$Q$1,,InterestRatesTrigger),_xll.qlIndexFixing(Index,Q148,,InterestRatesTrigger))</f>
        <v>6.1787526078749266E-3</v>
      </c>
    </row>
    <row r="149" spans="16:18" x14ac:dyDescent="0.2">
      <c r="P149" s="138" t="s">
        <v>87</v>
      </c>
      <c r="Q149" s="139">
        <f>_xll.qlCalendarAdvance(Calendar,Q148,P149,"f")</f>
        <v>42878</v>
      </c>
      <c r="R149" s="140">
        <f>IF((ISERR(_xll.qlIndexFixing(Index,Q149,,InterestRatesTrigger))),_xll.qlIndexFixing(Index,Q149-$Q$1,,InterestRatesTrigger),_xll.qlIndexFixing(Index,Q149,,InterestRatesTrigger))</f>
        <v>6.1787526077949906E-3</v>
      </c>
    </row>
    <row r="150" spans="16:18" x14ac:dyDescent="0.2">
      <c r="P150" s="138" t="s">
        <v>87</v>
      </c>
      <c r="Q150" s="139">
        <f>_xll.qlCalendarAdvance(Calendar,Q149,P150,"f")</f>
        <v>42879</v>
      </c>
      <c r="R150" s="140">
        <f>IF((ISERR(_xll.qlIndexFixing(Index,Q150,,InterestRatesTrigger))),_xll.qlIndexFixing(Index,Q150-$Q$1,,InterestRatesTrigger),_xll.qlIndexFixing(Index,Q150,,InterestRatesTrigger))</f>
        <v>6.1787526078749266E-3</v>
      </c>
    </row>
    <row r="151" spans="16:18" x14ac:dyDescent="0.2">
      <c r="P151" s="138" t="s">
        <v>87</v>
      </c>
      <c r="Q151" s="139">
        <f>_xll.qlCalendarAdvance(Calendar,Q150,P151,"f")</f>
        <v>42880</v>
      </c>
      <c r="R151" s="140">
        <f>IF((ISERR(_xll.qlIndexFixing(Index,Q151,,InterestRatesTrigger))),_xll.qlIndexFixing(Index,Q151-$Q$1,,InterestRatesTrigger),_xll.qlIndexFixing(Index,Q151,,InterestRatesTrigger))</f>
        <v>6.1787526078749266E-3</v>
      </c>
    </row>
    <row r="152" spans="16:18" x14ac:dyDescent="0.2">
      <c r="P152" s="138" t="s">
        <v>87</v>
      </c>
      <c r="Q152" s="139">
        <f>_xll.qlCalendarAdvance(Calendar,Q151,P152,"f")</f>
        <v>42881</v>
      </c>
      <c r="R152" s="140">
        <f>IF((ISERR(_xll.qlIndexFixing(Index,Q152,,InterestRatesTrigger))),_xll.qlIndexFixing(Index,Q152-$Q$1,,InterestRatesTrigger),_xll.qlIndexFixing(Index,Q152,,InterestRatesTrigger))</f>
        <v>6.1789116804300548E-3</v>
      </c>
    </row>
    <row r="153" spans="16:18" x14ac:dyDescent="0.2">
      <c r="P153" s="138" t="s">
        <v>87</v>
      </c>
      <c r="Q153" s="139">
        <f>_xll.qlCalendarAdvance(Calendar,Q152,P153,"f")</f>
        <v>42885</v>
      </c>
      <c r="R153" s="140">
        <f>IF((ISERR(_xll.qlIndexFixing(Index,Q153,,InterestRatesTrigger))),_xll.qlIndexFixing(Index,Q153-$Q$1,,InterestRatesTrigger),_xll.qlIndexFixing(Index,Q153,,InterestRatesTrigger))</f>
        <v>6.1787526077949906E-3</v>
      </c>
    </row>
    <row r="154" spans="16:18" x14ac:dyDescent="0.2">
      <c r="P154" s="138" t="s">
        <v>87</v>
      </c>
      <c r="Q154" s="139">
        <f>_xll.qlCalendarAdvance(Calendar,Q153,P154,"f")</f>
        <v>42886</v>
      </c>
      <c r="R154" s="140">
        <f>IF((ISERR(_xll.qlIndexFixing(Index,Q154,,InterestRatesTrigger))),_xll.qlIndexFixing(Index,Q154-$Q$1,,InterestRatesTrigger),_xll.qlIndexFixing(Index,Q154,,InterestRatesTrigger))</f>
        <v>6.1787526078749266E-3</v>
      </c>
    </row>
    <row r="155" spans="16:18" x14ac:dyDescent="0.2">
      <c r="P155" s="138" t="s">
        <v>87</v>
      </c>
      <c r="Q155" s="139">
        <f>_xll.qlCalendarAdvance(Calendar,Q154,P155,"f")</f>
        <v>42887</v>
      </c>
      <c r="R155" s="140">
        <f>IF((ISERR(_xll.qlIndexFixing(Index,Q155,,InterestRatesTrigger))),_xll.qlIndexFixing(Index,Q155-$Q$1,,InterestRatesTrigger),_xll.qlIndexFixing(Index,Q155,,InterestRatesTrigger))</f>
        <v>6.1787526078749266E-3</v>
      </c>
    </row>
    <row r="156" spans="16:18" x14ac:dyDescent="0.2">
      <c r="P156" s="138" t="s">
        <v>87</v>
      </c>
      <c r="Q156" s="139">
        <f>_xll.qlCalendarAdvance(Calendar,Q155,P156,"f")</f>
        <v>42888</v>
      </c>
      <c r="R156" s="140">
        <f>IF((ISERR(_xll.qlIndexFixing(Index,Q156,,InterestRatesTrigger))),_xll.qlIndexFixing(Index,Q156-$Q$1,,InterestRatesTrigger),_xll.qlIndexFixing(Index,Q156,,InterestRatesTrigger))</f>
        <v>6.1788586556055236E-3</v>
      </c>
    </row>
    <row r="157" spans="16:18" x14ac:dyDescent="0.2">
      <c r="P157" s="138" t="s">
        <v>87</v>
      </c>
      <c r="Q157" s="139">
        <f>_xll.qlCalendarAdvance(Calendar,Q156,P157,"f")</f>
        <v>42891</v>
      </c>
      <c r="R157" s="140">
        <f>IF((ISERR(_xll.qlIndexFixing(Index,Q157,,InterestRatesTrigger))),_xll.qlIndexFixing(Index,Q157-$Q$1,,InterestRatesTrigger),_xll.qlIndexFixing(Index,Q157,,InterestRatesTrigger))</f>
        <v>6.1787526078749266E-3</v>
      </c>
    </row>
    <row r="158" spans="16:18" x14ac:dyDescent="0.2">
      <c r="P158" s="138" t="s">
        <v>87</v>
      </c>
      <c r="Q158" s="139">
        <f>_xll.qlCalendarAdvance(Calendar,Q157,P158,"f")</f>
        <v>42892</v>
      </c>
      <c r="R158" s="140">
        <f>IF((ISERR(_xll.qlIndexFixing(Index,Q158,,InterestRatesTrigger))),_xll.qlIndexFixing(Index,Q158-$Q$1,,InterestRatesTrigger),_xll.qlIndexFixing(Index,Q158,,InterestRatesTrigger))</f>
        <v>6.1787526078749266E-3</v>
      </c>
    </row>
    <row r="159" spans="16:18" x14ac:dyDescent="0.2">
      <c r="P159" s="138" t="s">
        <v>87</v>
      </c>
      <c r="Q159" s="139">
        <f>_xll.qlCalendarAdvance(Calendar,Q158,P159,"f")</f>
        <v>42893</v>
      </c>
      <c r="R159" s="140">
        <f>IF((ISERR(_xll.qlIndexFixing(Index,Q159,,InterestRatesTrigger))),_xll.qlIndexFixing(Index,Q159-$Q$1,,InterestRatesTrigger),_xll.qlIndexFixing(Index,Q159,,InterestRatesTrigger))</f>
        <v>6.1787526078749266E-3</v>
      </c>
    </row>
    <row r="160" spans="16:18" x14ac:dyDescent="0.2">
      <c r="P160" s="138" t="s">
        <v>87</v>
      </c>
      <c r="Q160" s="139">
        <f>_xll.qlCalendarAdvance(Calendar,Q159,P160,"f")</f>
        <v>42894</v>
      </c>
      <c r="R160" s="140">
        <f>IF((ISERR(_xll.qlIndexFixing(Index,Q160,,InterestRatesTrigger))),_xll.qlIndexFixing(Index,Q160-$Q$1,,InterestRatesTrigger),_xll.qlIndexFixing(Index,Q160,,InterestRatesTrigger))</f>
        <v>6.1787526077949906E-3</v>
      </c>
    </row>
    <row r="161" spans="16:18" x14ac:dyDescent="0.2">
      <c r="P161" s="138" t="s">
        <v>87</v>
      </c>
      <c r="Q161" s="139">
        <f>_xll.qlCalendarAdvance(Calendar,Q160,P161,"f")</f>
        <v>42895</v>
      </c>
      <c r="R161" s="140">
        <f>IF((ISERR(_xll.qlIndexFixing(Index,Q161,,InterestRatesTrigger))),_xll.qlIndexFixing(Index,Q161-$Q$1,,InterestRatesTrigger),_xll.qlIndexFixing(Index,Q161,,InterestRatesTrigger))</f>
        <v>6.178858655632169E-3</v>
      </c>
    </row>
    <row r="162" spans="16:18" x14ac:dyDescent="0.2">
      <c r="P162" s="138" t="s">
        <v>87</v>
      </c>
      <c r="Q162" s="139">
        <f>_xll.qlCalendarAdvance(Calendar,Q161,P162,"f")</f>
        <v>42898</v>
      </c>
      <c r="R162" s="140">
        <f>IF((ISERR(_xll.qlIndexFixing(Index,Q162,,InterestRatesTrigger))),_xll.qlIndexFixing(Index,Q162-$Q$1,,InterestRatesTrigger),_xll.qlIndexFixing(Index,Q162,,InterestRatesTrigger))</f>
        <v>6.1787526078749266E-3</v>
      </c>
    </row>
    <row r="163" spans="16:18" x14ac:dyDescent="0.2">
      <c r="P163" s="138" t="s">
        <v>87</v>
      </c>
      <c r="Q163" s="139">
        <f>_xll.qlCalendarAdvance(Calendar,Q162,P163,"f")</f>
        <v>42899</v>
      </c>
      <c r="R163" s="140">
        <f>IF((ISERR(_xll.qlIndexFixing(Index,Q163,,InterestRatesTrigger))),_xll.qlIndexFixing(Index,Q163-$Q$1,,InterestRatesTrigger),_xll.qlIndexFixing(Index,Q163,,InterestRatesTrigger))</f>
        <v>6.1787526078749266E-3</v>
      </c>
    </row>
    <row r="164" spans="16:18" x14ac:dyDescent="0.2">
      <c r="P164" s="138" t="s">
        <v>87</v>
      </c>
      <c r="Q164" s="139">
        <f>_xll.qlCalendarAdvance(Calendar,Q163,P164,"f")</f>
        <v>42900</v>
      </c>
      <c r="R164" s="140">
        <f>IF((ISERR(_xll.qlIndexFixing(Index,Q164,,InterestRatesTrigger))),_xll.qlIndexFixing(Index,Q164-$Q$1,,InterestRatesTrigger),_xll.qlIndexFixing(Index,Q164,,InterestRatesTrigger))</f>
        <v>6.1787526077949906E-3</v>
      </c>
    </row>
    <row r="165" spans="16:18" x14ac:dyDescent="0.2">
      <c r="P165" s="138" t="s">
        <v>87</v>
      </c>
      <c r="Q165" s="139">
        <f>_xll.qlCalendarAdvance(Calendar,Q164,P165,"f")</f>
        <v>42901</v>
      </c>
      <c r="R165" s="140">
        <f>IF((ISERR(_xll.qlIndexFixing(Index,Q165,,InterestRatesTrigger))),_xll.qlIndexFixing(Index,Q165-$Q$1,,InterestRatesTrigger),_xll.qlIndexFixing(Index,Q165,,InterestRatesTrigger))</f>
        <v>6.1787526077949906E-3</v>
      </c>
    </row>
    <row r="166" spans="16:18" x14ac:dyDescent="0.2">
      <c r="P166" s="138" t="s">
        <v>87</v>
      </c>
      <c r="Q166" s="139">
        <f>_xll.qlCalendarAdvance(Calendar,Q165,P166,"f")</f>
        <v>42902</v>
      </c>
      <c r="R166" s="140">
        <f>IF((ISERR(_xll.qlIndexFixing(Index,Q166,,InterestRatesTrigger))),_xll.qlIndexFixing(Index,Q166-$Q$1,,InterestRatesTrigger),_xll.qlIndexFixing(Index,Q166,,InterestRatesTrigger))</f>
        <v>6.178858655632169E-3</v>
      </c>
    </row>
    <row r="167" spans="16:18" x14ac:dyDescent="0.2">
      <c r="P167" s="138" t="s">
        <v>87</v>
      </c>
      <c r="Q167" s="139">
        <f>_xll.qlCalendarAdvance(Calendar,Q166,P167,"f")</f>
        <v>42905</v>
      </c>
      <c r="R167" s="140">
        <f>IF((ISERR(_xll.qlIndexFixing(Index,Q167,,InterestRatesTrigger))),_xll.qlIndexFixing(Index,Q167-$Q$1,,InterestRatesTrigger),_xll.qlIndexFixing(Index,Q167,,InterestRatesTrigger))</f>
        <v>6.1787526078749266E-3</v>
      </c>
    </row>
    <row r="168" spans="16:18" x14ac:dyDescent="0.2">
      <c r="P168" s="138" t="s">
        <v>87</v>
      </c>
      <c r="Q168" s="139">
        <f>_xll.qlCalendarAdvance(Calendar,Q167,P168,"f")</f>
        <v>42906</v>
      </c>
      <c r="R168" s="140">
        <f>IF((ISERR(_xll.qlIndexFixing(Index,Q168,,InterestRatesTrigger))),_xll.qlIndexFixing(Index,Q168-$Q$1,,InterestRatesTrigger),_xll.qlIndexFixing(Index,Q168,,InterestRatesTrigger))</f>
        <v>6.1787526078749266E-3</v>
      </c>
    </row>
    <row r="169" spans="16:18" x14ac:dyDescent="0.2">
      <c r="P169" s="138" t="s">
        <v>87</v>
      </c>
      <c r="Q169" s="139">
        <f>_xll.qlCalendarAdvance(Calendar,Q168,P169,"f")</f>
        <v>42907</v>
      </c>
      <c r="R169" s="140">
        <f>IF((ISERR(_xll.qlIndexFixing(Index,Q169,,InterestRatesTrigger))),_xll.qlIndexFixing(Index,Q169-$Q$1,,InterestRatesTrigger),_xll.qlIndexFixing(Index,Q169,,InterestRatesTrigger))</f>
        <v>6.4653508617240618E-3</v>
      </c>
    </row>
    <row r="170" spans="16:18" x14ac:dyDescent="0.2">
      <c r="P170" s="138" t="s">
        <v>87</v>
      </c>
      <c r="Q170" s="139">
        <f>_xll.qlCalendarAdvance(Calendar,Q169,P170,"f")</f>
        <v>42908</v>
      </c>
      <c r="R170" s="140">
        <f>IF((ISERR(_xll.qlIndexFixing(Index,Q170,,InterestRatesTrigger))),_xll.qlIndexFixing(Index,Q170-$Q$1,,InterestRatesTrigger),_xll.qlIndexFixing(Index,Q170,,InterestRatesTrigger))</f>
        <v>6.4653508618839339E-3</v>
      </c>
    </row>
    <row r="171" spans="16:18" x14ac:dyDescent="0.2">
      <c r="P171" s="138" t="s">
        <v>87</v>
      </c>
      <c r="Q171" s="139">
        <f>_xll.qlCalendarAdvance(Calendar,Q170,P171,"f")</f>
        <v>42909</v>
      </c>
      <c r="R171" s="140">
        <f>IF((ISERR(_xll.qlIndexFixing(Index,Q171,,InterestRatesTrigger))),_xll.qlIndexFixing(Index,Q171-$Q$1,,InterestRatesTrigger),_xll.qlIndexFixing(Index,Q171,,InterestRatesTrigger))</f>
        <v>6.4654669757224781E-3</v>
      </c>
    </row>
    <row r="172" spans="16:18" x14ac:dyDescent="0.2">
      <c r="P172" s="138" t="s">
        <v>87</v>
      </c>
      <c r="Q172" s="139">
        <f>_xll.qlCalendarAdvance(Calendar,Q171,P172,"f")</f>
        <v>42912</v>
      </c>
      <c r="R172" s="140">
        <f>IF((ISERR(_xll.qlIndexFixing(Index,Q172,,InterestRatesTrigger))),_xll.qlIndexFixing(Index,Q172-$Q$1,,InterestRatesTrigger),_xll.qlIndexFixing(Index,Q172,,InterestRatesTrigger))</f>
        <v>6.4653508618039979E-3</v>
      </c>
    </row>
    <row r="173" spans="16:18" x14ac:dyDescent="0.2">
      <c r="P173" s="138" t="s">
        <v>87</v>
      </c>
      <c r="Q173" s="139">
        <f>_xll.qlCalendarAdvance(Calendar,Q172,P173,"f")</f>
        <v>42913</v>
      </c>
      <c r="R173" s="140">
        <f>IF((ISERR(_xll.qlIndexFixing(Index,Q173,,InterestRatesTrigger))),_xll.qlIndexFixing(Index,Q173-$Q$1,,InterestRatesTrigger),_xll.qlIndexFixing(Index,Q173,,InterestRatesTrigger))</f>
        <v>6.4653508618039979E-3</v>
      </c>
    </row>
    <row r="174" spans="16:18" x14ac:dyDescent="0.2">
      <c r="P174" s="138" t="s">
        <v>87</v>
      </c>
      <c r="Q174" s="139">
        <f>_xll.qlCalendarAdvance(Calendar,Q173,P174,"f")</f>
        <v>42914</v>
      </c>
      <c r="R174" s="140">
        <f>IF((ISERR(_xll.qlIndexFixing(Index,Q174,,InterestRatesTrigger))),_xll.qlIndexFixing(Index,Q174-$Q$1,,InterestRatesTrigger),_xll.qlIndexFixing(Index,Q174,,InterestRatesTrigger))</f>
        <v>6.4653508618039979E-3</v>
      </c>
    </row>
    <row r="175" spans="16:18" x14ac:dyDescent="0.2">
      <c r="P175" s="138" t="s">
        <v>87</v>
      </c>
      <c r="Q175" s="139">
        <f>_xll.qlCalendarAdvance(Calendar,Q174,P175,"f")</f>
        <v>42915</v>
      </c>
      <c r="R175" s="140">
        <f>IF((ISERR(_xll.qlIndexFixing(Index,Q175,,InterestRatesTrigger))),_xll.qlIndexFixing(Index,Q175-$Q$1,,InterestRatesTrigger),_xll.qlIndexFixing(Index,Q175,,InterestRatesTrigger))</f>
        <v>6.4653508618039979E-3</v>
      </c>
    </row>
    <row r="176" spans="16:18" x14ac:dyDescent="0.2">
      <c r="P176" s="138" t="s">
        <v>87</v>
      </c>
      <c r="Q176" s="139">
        <f>_xll.qlCalendarAdvance(Calendar,Q175,P176,"f")</f>
        <v>42916</v>
      </c>
      <c r="R176" s="140">
        <f>IF((ISERR(_xll.qlIndexFixing(Index,Q176,,InterestRatesTrigger))),_xll.qlIndexFixing(Index,Q176-$Q$1,,InterestRatesTrigger),_xll.qlIndexFixing(Index,Q176,,InterestRatesTrigger))</f>
        <v>6.4654669757224781E-3</v>
      </c>
    </row>
    <row r="177" spans="16:18" x14ac:dyDescent="0.2">
      <c r="P177" s="138" t="s">
        <v>87</v>
      </c>
      <c r="Q177" s="139">
        <f>_xll.qlCalendarAdvance(Calendar,Q176,P177,"f")</f>
        <v>42919</v>
      </c>
      <c r="R177" s="140">
        <f>IF((ISERR(_xll.qlIndexFixing(Index,Q177,,InterestRatesTrigger))),_xll.qlIndexFixing(Index,Q177-$Q$1,,InterestRatesTrigger),_xll.qlIndexFixing(Index,Q177,,InterestRatesTrigger))</f>
        <v>6.4654089184035257E-3</v>
      </c>
    </row>
    <row r="178" spans="16:18" x14ac:dyDescent="0.2">
      <c r="P178" s="138" t="s">
        <v>87</v>
      </c>
      <c r="Q178" s="139">
        <f>_xll.qlCalendarAdvance(Calendar,Q177,P178,"f")</f>
        <v>42921</v>
      </c>
      <c r="R178" s="140">
        <f>IF((ISERR(_xll.qlIndexFixing(Index,Q178,,InterestRatesTrigger))),_xll.qlIndexFixing(Index,Q178-$Q$1,,InterestRatesTrigger),_xll.qlIndexFixing(Index,Q178,,InterestRatesTrigger))</f>
        <v>6.4653508618039979E-3</v>
      </c>
    </row>
    <row r="179" spans="16:18" x14ac:dyDescent="0.2">
      <c r="P179" s="138" t="s">
        <v>87</v>
      </c>
      <c r="Q179" s="139">
        <f>_xll.qlCalendarAdvance(Calendar,Q178,P179,"f")</f>
        <v>42922</v>
      </c>
      <c r="R179" s="140">
        <f>IF((ISERR(_xll.qlIndexFixing(Index,Q179,,InterestRatesTrigger))),_xll.qlIndexFixing(Index,Q179-$Q$1,,InterestRatesTrigger),_xll.qlIndexFixing(Index,Q179,,InterestRatesTrigger))</f>
        <v>6.4653508618039979E-3</v>
      </c>
    </row>
    <row r="180" spans="16:18" x14ac:dyDescent="0.2">
      <c r="P180" s="138" t="s">
        <v>87</v>
      </c>
      <c r="Q180" s="139">
        <f>_xll.qlCalendarAdvance(Calendar,Q179,P180,"f")</f>
        <v>42923</v>
      </c>
      <c r="R180" s="140">
        <f>IF((ISERR(_xll.qlIndexFixing(Index,Q180,,InterestRatesTrigger))),_xll.qlIndexFixing(Index,Q180-$Q$1,,InterestRatesTrigger),_xll.qlIndexFixing(Index,Q180,,InterestRatesTrigger))</f>
        <v>6.4654669757224781E-3</v>
      </c>
    </row>
    <row r="181" spans="16:18" x14ac:dyDescent="0.2">
      <c r="P181" s="138" t="s">
        <v>87</v>
      </c>
      <c r="Q181" s="139">
        <f>_xll.qlCalendarAdvance(Calendar,Q180,P181,"f")</f>
        <v>42926</v>
      </c>
      <c r="R181" s="140">
        <f>IF((ISERR(_xll.qlIndexFixing(Index,Q181,,InterestRatesTrigger))),_xll.qlIndexFixing(Index,Q181-$Q$1,,InterestRatesTrigger),_xll.qlIndexFixing(Index,Q181,,InterestRatesTrigger))</f>
        <v>6.4653508618039979E-3</v>
      </c>
    </row>
    <row r="182" spans="16:18" x14ac:dyDescent="0.2">
      <c r="P182" s="138" t="s">
        <v>87</v>
      </c>
      <c r="Q182" s="139">
        <f>_xll.qlCalendarAdvance(Calendar,Q181,P182,"f")</f>
        <v>42927</v>
      </c>
      <c r="R182" s="140">
        <f>IF((ISERR(_xll.qlIndexFixing(Index,Q182,,InterestRatesTrigger))),_xll.qlIndexFixing(Index,Q182-$Q$1,,InterestRatesTrigger),_xll.qlIndexFixing(Index,Q182,,InterestRatesTrigger))</f>
        <v>6.4653508618039979E-3</v>
      </c>
    </row>
    <row r="183" spans="16:18" x14ac:dyDescent="0.2">
      <c r="P183" s="138" t="s">
        <v>87</v>
      </c>
      <c r="Q183" s="139">
        <f>_xll.qlCalendarAdvance(Calendar,Q182,P183,"f")</f>
        <v>42928</v>
      </c>
      <c r="R183" s="140">
        <f>IF((ISERR(_xll.qlIndexFixing(Index,Q183,,InterestRatesTrigger))),_xll.qlIndexFixing(Index,Q183-$Q$1,,InterestRatesTrigger),_xll.qlIndexFixing(Index,Q183,,InterestRatesTrigger))</f>
        <v>6.4653508618039979E-3</v>
      </c>
    </row>
    <row r="184" spans="16:18" x14ac:dyDescent="0.2">
      <c r="P184" s="138" t="s">
        <v>87</v>
      </c>
      <c r="Q184" s="139">
        <f>_xll.qlCalendarAdvance(Calendar,Q183,P184,"f")</f>
        <v>42929</v>
      </c>
      <c r="R184" s="140">
        <f>IF((ISERR(_xll.qlIndexFixing(Index,Q184,,InterestRatesTrigger))),_xll.qlIndexFixing(Index,Q184-$Q$1,,InterestRatesTrigger),_xll.qlIndexFixing(Index,Q184,,InterestRatesTrigger))</f>
        <v>6.4653508618039979E-3</v>
      </c>
    </row>
    <row r="185" spans="16:18" x14ac:dyDescent="0.2">
      <c r="P185" s="138" t="s">
        <v>87</v>
      </c>
      <c r="Q185" s="139">
        <f>_xll.qlCalendarAdvance(Calendar,Q184,P185,"f")</f>
        <v>42930</v>
      </c>
      <c r="R185" s="140">
        <f>IF((ISERR(_xll.qlIndexFixing(Index,Q185,,InterestRatesTrigger))),_xll.qlIndexFixing(Index,Q185-$Q$1,,InterestRatesTrigger),_xll.qlIndexFixing(Index,Q185,,InterestRatesTrigger))</f>
        <v>6.4654669757224781E-3</v>
      </c>
    </row>
    <row r="186" spans="16:18" x14ac:dyDescent="0.2">
      <c r="P186" s="138" t="s">
        <v>87</v>
      </c>
      <c r="Q186" s="139">
        <f>_xll.qlCalendarAdvance(Calendar,Q185,P186,"f")</f>
        <v>42933</v>
      </c>
      <c r="R186" s="140">
        <f>IF((ISERR(_xll.qlIndexFixing(Index,Q186,,InterestRatesTrigger))),_xll.qlIndexFixing(Index,Q186-$Q$1,,InterestRatesTrigger),_xll.qlIndexFixing(Index,Q186,,InterestRatesTrigger))</f>
        <v>6.4653508618039979E-3</v>
      </c>
    </row>
    <row r="187" spans="16:18" x14ac:dyDescent="0.2">
      <c r="P187" s="138" t="s">
        <v>87</v>
      </c>
      <c r="Q187" s="139">
        <f>_xll.qlCalendarAdvance(Calendar,Q186,P187,"f")</f>
        <v>42934</v>
      </c>
      <c r="R187" s="140">
        <f>IF((ISERR(_xll.qlIndexFixing(Index,Q187,,InterestRatesTrigger))),_xll.qlIndexFixing(Index,Q187-$Q$1,,InterestRatesTrigger),_xll.qlIndexFixing(Index,Q187,,InterestRatesTrigger))</f>
        <v>6.4653508617240618E-3</v>
      </c>
    </row>
    <row r="188" spans="16:18" x14ac:dyDescent="0.2">
      <c r="P188" s="138" t="s">
        <v>87</v>
      </c>
      <c r="Q188" s="139">
        <f>_xll.qlCalendarAdvance(Calendar,Q187,P188,"f")</f>
        <v>42935</v>
      </c>
      <c r="R188" s="140">
        <f>IF((ISERR(_xll.qlIndexFixing(Index,Q188,,InterestRatesTrigger))),_xll.qlIndexFixing(Index,Q188-$Q$1,,InterestRatesTrigger),_xll.qlIndexFixing(Index,Q188,,InterestRatesTrigger))</f>
        <v>6.4653508618039979E-3</v>
      </c>
    </row>
    <row r="189" spans="16:18" x14ac:dyDescent="0.2">
      <c r="P189" s="138" t="s">
        <v>87</v>
      </c>
      <c r="Q189" s="139">
        <f>_xll.qlCalendarAdvance(Calendar,Q188,P189,"f")</f>
        <v>42936</v>
      </c>
      <c r="R189" s="140">
        <f>IF((ISERR(_xll.qlIndexFixing(Index,Q189,,InterestRatesTrigger))),_xll.qlIndexFixing(Index,Q189-$Q$1,,InterestRatesTrigger),_xll.qlIndexFixing(Index,Q189,,InterestRatesTrigger))</f>
        <v>6.4653508618039979E-3</v>
      </c>
    </row>
    <row r="190" spans="16:18" x14ac:dyDescent="0.2">
      <c r="P190" s="138" t="s">
        <v>87</v>
      </c>
      <c r="Q190" s="139">
        <f>_xll.qlCalendarAdvance(Calendar,Q189,P190,"f")</f>
        <v>42937</v>
      </c>
      <c r="R190" s="140">
        <f>IF((ISERR(_xll.qlIndexFixing(Index,Q190,,InterestRatesTrigger))),_xll.qlIndexFixing(Index,Q190-$Q$1,,InterestRatesTrigger),_xll.qlIndexFixing(Index,Q190,,InterestRatesTrigger))</f>
        <v>6.6487479783905457E-3</v>
      </c>
    </row>
    <row r="191" spans="16:18" x14ac:dyDescent="0.2">
      <c r="P191" s="138" t="s">
        <v>87</v>
      </c>
      <c r="Q191" s="139">
        <f>_xll.qlCalendarAdvance(Calendar,Q190,P191,"f")</f>
        <v>42940</v>
      </c>
      <c r="R191" s="140">
        <f>IF((ISERR(_xll.qlIndexFixing(Index,Q191,,InterestRatesTrigger))),_xll.qlIndexFixing(Index,Q191-$Q$1,,InterestRatesTrigger),_xll.qlIndexFixing(Index,Q191,,InterestRatesTrigger))</f>
        <v>6.6486251881592295E-3</v>
      </c>
    </row>
    <row r="192" spans="16:18" x14ac:dyDescent="0.2">
      <c r="P192" s="138" t="s">
        <v>87</v>
      </c>
      <c r="Q192" s="139">
        <f>_xll.qlCalendarAdvance(Calendar,Q191,P192,"f")</f>
        <v>42941</v>
      </c>
      <c r="R192" s="140">
        <f>IF((ISERR(_xll.qlIndexFixing(Index,Q192,,InterestRatesTrigger))),_xll.qlIndexFixing(Index,Q192-$Q$1,,InterestRatesTrigger),_xll.qlIndexFixing(Index,Q192,,InterestRatesTrigger))</f>
        <v>6.6486251880792935E-3</v>
      </c>
    </row>
    <row r="193" spans="16:18" x14ac:dyDescent="0.2">
      <c r="P193" s="138" t="s">
        <v>87</v>
      </c>
      <c r="Q193" s="139">
        <f>_xll.qlCalendarAdvance(Calendar,Q192,P193,"f")</f>
        <v>42942</v>
      </c>
      <c r="R193" s="140">
        <f>IF((ISERR(_xll.qlIndexFixing(Index,Q193,,InterestRatesTrigger))),_xll.qlIndexFixing(Index,Q193-$Q$1,,InterestRatesTrigger),_xll.qlIndexFixing(Index,Q193,,InterestRatesTrigger))</f>
        <v>6.6486251881592295E-3</v>
      </c>
    </row>
    <row r="194" spans="16:18" x14ac:dyDescent="0.2">
      <c r="P194" s="138" t="s">
        <v>87</v>
      </c>
      <c r="Q194" s="139">
        <f>_xll.qlCalendarAdvance(Calendar,Q193,P194,"f")</f>
        <v>42943</v>
      </c>
      <c r="R194" s="140">
        <f>IF((ISERR(_xll.qlIndexFixing(Index,Q194,,InterestRatesTrigger))),_xll.qlIndexFixing(Index,Q194-$Q$1,,InterestRatesTrigger),_xll.qlIndexFixing(Index,Q194,,InterestRatesTrigger))</f>
        <v>6.6486251881592295E-3</v>
      </c>
    </row>
    <row r="195" spans="16:18" x14ac:dyDescent="0.2">
      <c r="P195" s="138" t="s">
        <v>87</v>
      </c>
      <c r="Q195" s="139">
        <f>_xll.qlCalendarAdvance(Calendar,Q194,P195,"f")</f>
        <v>42944</v>
      </c>
      <c r="R195" s="140">
        <f>IF((ISERR(_xll.qlIndexFixing(Index,Q195,,InterestRatesTrigger))),_xll.qlIndexFixing(Index,Q195-$Q$1,,InterestRatesTrigger),_xll.qlIndexFixing(Index,Q195,,InterestRatesTrigger))</f>
        <v>6.6487479783905457E-3</v>
      </c>
    </row>
    <row r="196" spans="16:18" x14ac:dyDescent="0.2">
      <c r="P196" s="138" t="s">
        <v>87</v>
      </c>
      <c r="Q196" s="139">
        <f>_xll.qlCalendarAdvance(Calendar,Q195,P196,"f")</f>
        <v>42947</v>
      </c>
      <c r="R196" s="140">
        <f>IF((ISERR(_xll.qlIndexFixing(Index,Q196,,InterestRatesTrigger))),_xll.qlIndexFixing(Index,Q196-$Q$1,,InterestRatesTrigger),_xll.qlIndexFixing(Index,Q196,,InterestRatesTrigger))</f>
        <v>6.6486251880792935E-3</v>
      </c>
    </row>
    <row r="197" spans="16:18" x14ac:dyDescent="0.2">
      <c r="P197" s="138" t="s">
        <v>87</v>
      </c>
      <c r="Q197" s="139">
        <f>_xll.qlCalendarAdvance(Calendar,Q196,P197,"f")</f>
        <v>42948</v>
      </c>
      <c r="R197" s="140">
        <f>IF((ISERR(_xll.qlIndexFixing(Index,Q197,,InterestRatesTrigger))),_xll.qlIndexFixing(Index,Q197-$Q$1,,InterestRatesTrigger),_xll.qlIndexFixing(Index,Q197,,InterestRatesTrigger))</f>
        <v>6.6486251881592295E-3</v>
      </c>
    </row>
    <row r="198" spans="16:18" x14ac:dyDescent="0.2">
      <c r="P198" s="138" t="s">
        <v>87</v>
      </c>
      <c r="Q198" s="139">
        <f>_xll.qlCalendarAdvance(Calendar,Q197,P198,"f")</f>
        <v>42949</v>
      </c>
      <c r="R198" s="140">
        <f>IF((ISERR(_xll.qlIndexFixing(Index,Q198,,InterestRatesTrigger))),_xll.qlIndexFixing(Index,Q198-$Q$1,,InterestRatesTrigger),_xll.qlIndexFixing(Index,Q198,,InterestRatesTrigger))</f>
        <v>6.6486251880792935E-3</v>
      </c>
    </row>
    <row r="199" spans="16:18" x14ac:dyDescent="0.2">
      <c r="P199" s="138" t="s">
        <v>87</v>
      </c>
      <c r="Q199" s="139">
        <f>_xll.qlCalendarAdvance(Calendar,Q198,P199,"f")</f>
        <v>42950</v>
      </c>
      <c r="R199" s="140">
        <f>IF((ISERR(_xll.qlIndexFixing(Index,Q199,,InterestRatesTrigger))),_xll.qlIndexFixing(Index,Q199-$Q$1,,InterestRatesTrigger),_xll.qlIndexFixing(Index,Q199,,InterestRatesTrigger))</f>
        <v>6.6486251881592295E-3</v>
      </c>
    </row>
    <row r="200" spans="16:18" x14ac:dyDescent="0.2">
      <c r="P200" s="138" t="s">
        <v>87</v>
      </c>
      <c r="Q200" s="139">
        <f>_xll.qlCalendarAdvance(Calendar,Q199,P200,"f")</f>
        <v>42951</v>
      </c>
      <c r="R200" s="140">
        <f>IF((ISERR(_xll.qlIndexFixing(Index,Q200,,InterestRatesTrigger))),_xll.qlIndexFixing(Index,Q200-$Q$1,,InterestRatesTrigger),_xll.qlIndexFixing(Index,Q200,,InterestRatesTrigger))</f>
        <v>6.6487479783905457E-3</v>
      </c>
    </row>
    <row r="201" spans="16:18" x14ac:dyDescent="0.2">
      <c r="P201" s="138" t="s">
        <v>87</v>
      </c>
      <c r="Q201" s="139">
        <f>_xll.qlCalendarAdvance(Calendar,Q200,P201,"f")</f>
        <v>42954</v>
      </c>
      <c r="R201" s="140">
        <f>IF((ISERR(_xll.qlIndexFixing(Index,Q201,,InterestRatesTrigger))),_xll.qlIndexFixing(Index,Q201-$Q$1,,InterestRatesTrigger),_xll.qlIndexFixing(Index,Q201,,InterestRatesTrigger))</f>
        <v>6.6486251880792935E-3</v>
      </c>
    </row>
    <row r="202" spans="16:18" x14ac:dyDescent="0.2">
      <c r="P202" s="138" t="s">
        <v>87</v>
      </c>
      <c r="Q202" s="139">
        <f>_xll.qlCalendarAdvance(Calendar,Q201,P202,"f")</f>
        <v>42955</v>
      </c>
      <c r="R202" s="140">
        <f>IF((ISERR(_xll.qlIndexFixing(Index,Q202,,InterestRatesTrigger))),_xll.qlIndexFixing(Index,Q202-$Q$1,,InterestRatesTrigger),_xll.qlIndexFixing(Index,Q202,,InterestRatesTrigger))</f>
        <v>6.6486251881592295E-3</v>
      </c>
    </row>
    <row r="203" spans="16:18" x14ac:dyDescent="0.2">
      <c r="P203" s="138" t="s">
        <v>87</v>
      </c>
      <c r="Q203" s="139">
        <f>_xll.qlCalendarAdvance(Calendar,Q202,P203,"f")</f>
        <v>42956</v>
      </c>
      <c r="R203" s="140">
        <f>IF((ISERR(_xll.qlIndexFixing(Index,Q203,,InterestRatesTrigger))),_xll.qlIndexFixing(Index,Q203-$Q$1,,InterestRatesTrigger),_xll.qlIndexFixing(Index,Q203,,InterestRatesTrigger))</f>
        <v>6.6486251880792935E-3</v>
      </c>
    </row>
    <row r="204" spans="16:18" x14ac:dyDescent="0.2">
      <c r="P204" s="138" t="s">
        <v>87</v>
      </c>
      <c r="Q204" s="139">
        <f>_xll.qlCalendarAdvance(Calendar,Q203,P204,"f")</f>
        <v>42957</v>
      </c>
      <c r="R204" s="140">
        <f>IF((ISERR(_xll.qlIndexFixing(Index,Q204,,InterestRatesTrigger))),_xll.qlIndexFixing(Index,Q204-$Q$1,,InterestRatesTrigger),_xll.qlIndexFixing(Index,Q204,,InterestRatesTrigger))</f>
        <v>6.6486251880792935E-3</v>
      </c>
    </row>
    <row r="205" spans="16:18" x14ac:dyDescent="0.2">
      <c r="P205" s="138" t="s">
        <v>87</v>
      </c>
      <c r="Q205" s="139">
        <f>_xll.qlCalendarAdvance(Calendar,Q204,P205,"f")</f>
        <v>42958</v>
      </c>
      <c r="R205" s="140">
        <f>IF((ISERR(_xll.qlIndexFixing(Index,Q205,,InterestRatesTrigger))),_xll.qlIndexFixing(Index,Q205-$Q$1,,InterestRatesTrigger),_xll.qlIndexFixing(Index,Q205,,InterestRatesTrigger))</f>
        <v>6.6487479783905457E-3</v>
      </c>
    </row>
    <row r="206" spans="16:18" x14ac:dyDescent="0.2">
      <c r="P206" s="138" t="s">
        <v>87</v>
      </c>
      <c r="Q206" s="139">
        <f>_xll.qlCalendarAdvance(Calendar,Q205,P206,"f")</f>
        <v>42961</v>
      </c>
      <c r="R206" s="140">
        <f>IF((ISERR(_xll.qlIndexFixing(Index,Q206,,InterestRatesTrigger))),_xll.qlIndexFixing(Index,Q206-$Q$1,,InterestRatesTrigger),_xll.qlIndexFixing(Index,Q206,,InterestRatesTrigger))</f>
        <v>6.6486251881592295E-3</v>
      </c>
    </row>
    <row r="207" spans="16:18" x14ac:dyDescent="0.2">
      <c r="P207" s="138" t="s">
        <v>87</v>
      </c>
      <c r="Q207" s="139">
        <f>_xll.qlCalendarAdvance(Calendar,Q206,P207,"f")</f>
        <v>42962</v>
      </c>
      <c r="R207" s="140">
        <f>IF((ISERR(_xll.qlIndexFixing(Index,Q207,,InterestRatesTrigger))),_xll.qlIndexFixing(Index,Q207-$Q$1,,InterestRatesTrigger),_xll.qlIndexFixing(Index,Q207,,InterestRatesTrigger))</f>
        <v>6.6486251881592295E-3</v>
      </c>
    </row>
    <row r="208" spans="16:18" x14ac:dyDescent="0.2">
      <c r="P208" s="138" t="s">
        <v>87</v>
      </c>
      <c r="Q208" s="139">
        <f>_xll.qlCalendarAdvance(Calendar,Q207,P208,"f")</f>
        <v>42963</v>
      </c>
      <c r="R208" s="140">
        <f>IF((ISERR(_xll.qlIndexFixing(Index,Q208,,InterestRatesTrigger))),_xll.qlIndexFixing(Index,Q208-$Q$1,,InterestRatesTrigger),_xll.qlIndexFixing(Index,Q208,,InterestRatesTrigger))</f>
        <v>6.6486251881592295E-3</v>
      </c>
    </row>
    <row r="209" spans="16:18" x14ac:dyDescent="0.2">
      <c r="P209" s="138" t="s">
        <v>87</v>
      </c>
      <c r="Q209" s="139">
        <f>_xll.qlCalendarAdvance(Calendar,Q208,P209,"f")</f>
        <v>42964</v>
      </c>
      <c r="R209" s="140">
        <f>IF((ISERR(_xll.qlIndexFixing(Index,Q209,,InterestRatesTrigger))),_xll.qlIndexFixing(Index,Q209-$Q$1,,InterestRatesTrigger),_xll.qlIndexFixing(Index,Q209,,InterestRatesTrigger))</f>
        <v>6.6486251880792935E-3</v>
      </c>
    </row>
    <row r="210" spans="16:18" x14ac:dyDescent="0.2">
      <c r="P210" s="138" t="s">
        <v>87</v>
      </c>
      <c r="Q210" s="139">
        <f>_xll.qlCalendarAdvance(Calendar,Q209,P210,"f")</f>
        <v>42965</v>
      </c>
      <c r="R210" s="140">
        <f>IF((ISERR(_xll.qlIndexFixing(Index,Q210,,InterestRatesTrigger))),_xll.qlIndexFixing(Index,Q210-$Q$1,,InterestRatesTrigger),_xll.qlIndexFixing(Index,Q210,,InterestRatesTrigger))</f>
        <v>6.6487479783905457E-3</v>
      </c>
    </row>
    <row r="211" spans="16:18" x14ac:dyDescent="0.2">
      <c r="P211" s="138" t="s">
        <v>87</v>
      </c>
      <c r="Q211" s="139">
        <f>_xll.qlCalendarAdvance(Calendar,Q210,P211,"f")</f>
        <v>42968</v>
      </c>
      <c r="R211" s="140">
        <f>IF((ISERR(_xll.qlIndexFixing(Index,Q211,,InterestRatesTrigger))),_xll.qlIndexFixing(Index,Q211-$Q$1,,InterestRatesTrigger),_xll.qlIndexFixing(Index,Q211,,InterestRatesTrigger))</f>
        <v>6.5411842855844782E-3</v>
      </c>
    </row>
    <row r="212" spans="16:18" x14ac:dyDescent="0.2">
      <c r="P212" s="138" t="s">
        <v>87</v>
      </c>
      <c r="Q212" s="139">
        <f>_xll.qlCalendarAdvance(Calendar,Q211,P212,"f")</f>
        <v>42969</v>
      </c>
      <c r="R212" s="140">
        <f>IF((ISERR(_xll.qlIndexFixing(Index,Q212,,InterestRatesTrigger))),_xll.qlIndexFixing(Index,Q212-$Q$1,,InterestRatesTrigger),_xll.qlIndexFixing(Index,Q212,,InterestRatesTrigger))</f>
        <v>6.5411842855844782E-3</v>
      </c>
    </row>
    <row r="213" spans="16:18" x14ac:dyDescent="0.2">
      <c r="P213" s="138" t="s">
        <v>87</v>
      </c>
      <c r="Q213" s="139">
        <f>_xll.qlCalendarAdvance(Calendar,Q212,P213,"f")</f>
        <v>42970</v>
      </c>
      <c r="R213" s="140">
        <f>IF((ISERR(_xll.qlIndexFixing(Index,Q213,,InterestRatesTrigger))),_xll.qlIndexFixing(Index,Q213-$Q$1,,InterestRatesTrigger),_xll.qlIndexFixing(Index,Q213,,InterestRatesTrigger))</f>
        <v>6.5411842855844782E-3</v>
      </c>
    </row>
    <row r="214" spans="16:18" x14ac:dyDescent="0.2">
      <c r="P214" s="138" t="s">
        <v>87</v>
      </c>
      <c r="Q214" s="139">
        <f>_xll.qlCalendarAdvance(Calendar,Q213,P214,"f")</f>
        <v>42971</v>
      </c>
      <c r="R214" s="140">
        <f>IF((ISERR(_xll.qlIndexFixing(Index,Q214,,InterestRatesTrigger))),_xll.qlIndexFixing(Index,Q214-$Q$1,,InterestRatesTrigger),_xll.qlIndexFixing(Index,Q214,,InterestRatesTrigger))</f>
        <v>6.5411842855844782E-3</v>
      </c>
    </row>
    <row r="215" spans="16:18" x14ac:dyDescent="0.2">
      <c r="P215" s="138" t="s">
        <v>87</v>
      </c>
      <c r="Q215" s="139">
        <f>_xll.qlCalendarAdvance(Calendar,Q214,P215,"f")</f>
        <v>42972</v>
      </c>
      <c r="R215" s="140">
        <f>IF((ISERR(_xll.qlIndexFixing(Index,Q215,,InterestRatesTrigger))),_xll.qlIndexFixing(Index,Q215-$Q$1,,InterestRatesTrigger),_xll.qlIndexFixing(Index,Q215,,InterestRatesTrigger))</f>
        <v>6.5413031393379839E-3</v>
      </c>
    </row>
    <row r="216" spans="16:18" x14ac:dyDescent="0.2">
      <c r="P216" s="138" t="s">
        <v>87</v>
      </c>
      <c r="Q216" s="139">
        <f>_xll.qlCalendarAdvance(Calendar,Q215,P216,"f")</f>
        <v>42975</v>
      </c>
      <c r="R216" s="140">
        <f>IF((ISERR(_xll.qlIndexFixing(Index,Q216,,InterestRatesTrigger))),_xll.qlIndexFixing(Index,Q216-$Q$1,,InterestRatesTrigger),_xll.qlIndexFixing(Index,Q216,,InterestRatesTrigger))</f>
        <v>6.5411842855844782E-3</v>
      </c>
    </row>
    <row r="217" spans="16:18" x14ac:dyDescent="0.2">
      <c r="P217" s="138" t="s">
        <v>87</v>
      </c>
      <c r="Q217" s="139">
        <f>_xll.qlCalendarAdvance(Calendar,Q216,P217,"f")</f>
        <v>42976</v>
      </c>
      <c r="R217" s="140">
        <f>IF((ISERR(_xll.qlIndexFixing(Index,Q217,,InterestRatesTrigger))),_xll.qlIndexFixing(Index,Q217-$Q$1,,InterestRatesTrigger),_xll.qlIndexFixing(Index,Q217,,InterestRatesTrigger))</f>
        <v>6.5411842855844782E-3</v>
      </c>
    </row>
    <row r="218" spans="16:18" x14ac:dyDescent="0.2">
      <c r="P218" s="138" t="s">
        <v>87</v>
      </c>
      <c r="Q218" s="139">
        <f>_xll.qlCalendarAdvance(Calendar,Q217,P218,"f")</f>
        <v>42977</v>
      </c>
      <c r="R218" s="140">
        <f>IF((ISERR(_xll.qlIndexFixing(Index,Q218,,InterestRatesTrigger))),_xll.qlIndexFixing(Index,Q218-$Q$1,,InterestRatesTrigger),_xll.qlIndexFixing(Index,Q218,,InterestRatesTrigger))</f>
        <v>6.5411842855844782E-3</v>
      </c>
    </row>
    <row r="219" spans="16:18" x14ac:dyDescent="0.2">
      <c r="P219" s="138" t="s">
        <v>87</v>
      </c>
      <c r="Q219" s="139">
        <f>_xll.qlCalendarAdvance(Calendar,Q218,P219,"f")</f>
        <v>42978</v>
      </c>
      <c r="R219" s="140">
        <f>IF((ISERR(_xll.qlIndexFixing(Index,Q219,,InterestRatesTrigger))),_xll.qlIndexFixing(Index,Q219-$Q$1,,InterestRatesTrigger),_xll.qlIndexFixing(Index,Q219,,InterestRatesTrigger))</f>
        <v>6.5411842855844782E-3</v>
      </c>
    </row>
    <row r="220" spans="16:18" x14ac:dyDescent="0.2">
      <c r="P220" s="138" t="s">
        <v>87</v>
      </c>
      <c r="Q220" s="139">
        <f>_xll.qlCalendarAdvance(Calendar,Q219,P220,"f")</f>
        <v>42979</v>
      </c>
      <c r="R220" s="140">
        <f>IF((ISERR(_xll.qlIndexFixing(Index,Q220,,InterestRatesTrigger))),_xll.qlIndexFixing(Index,Q220-$Q$1,,InterestRatesTrigger),_xll.qlIndexFixing(Index,Q220,,InterestRatesTrigger))</f>
        <v>6.5413625672938736E-3</v>
      </c>
    </row>
    <row r="221" spans="16:18" x14ac:dyDescent="0.2">
      <c r="P221" s="138" t="s">
        <v>87</v>
      </c>
      <c r="Q221" s="139">
        <f>_xll.qlCalendarAdvance(Calendar,Q220,P221,"f")</f>
        <v>42983</v>
      </c>
      <c r="R221" s="140">
        <f>IF((ISERR(_xll.qlIndexFixing(Index,Q221,,InterestRatesTrigger))),_xll.qlIndexFixing(Index,Q221-$Q$1,,InterestRatesTrigger),_xll.qlIndexFixing(Index,Q221,,InterestRatesTrigger))</f>
        <v>6.5411842855045421E-3</v>
      </c>
    </row>
    <row r="222" spans="16:18" x14ac:dyDescent="0.2">
      <c r="P222" s="138" t="s">
        <v>87</v>
      </c>
      <c r="Q222" s="139">
        <f>_xll.qlCalendarAdvance(Calendar,Q221,P222,"f")</f>
        <v>42984</v>
      </c>
      <c r="R222" s="140">
        <f>IF((ISERR(_xll.qlIndexFixing(Index,Q222,,InterestRatesTrigger))),_xll.qlIndexFixing(Index,Q222-$Q$1,,InterestRatesTrigger),_xll.qlIndexFixing(Index,Q222,,InterestRatesTrigger))</f>
        <v>6.5411842855844782E-3</v>
      </c>
    </row>
    <row r="223" spans="16:18" x14ac:dyDescent="0.2">
      <c r="P223" s="138" t="s">
        <v>87</v>
      </c>
      <c r="Q223" s="139">
        <f>_xll.qlCalendarAdvance(Calendar,Q222,P223,"f")</f>
        <v>42985</v>
      </c>
      <c r="R223" s="140">
        <f>IF((ISERR(_xll.qlIndexFixing(Index,Q223,,InterestRatesTrigger))),_xll.qlIndexFixing(Index,Q223-$Q$1,,InterestRatesTrigger),_xll.qlIndexFixing(Index,Q223,,InterestRatesTrigger))</f>
        <v>6.5411842855844782E-3</v>
      </c>
    </row>
    <row r="224" spans="16:18" x14ac:dyDescent="0.2">
      <c r="P224" s="138" t="s">
        <v>87</v>
      </c>
      <c r="Q224" s="139">
        <f>_xll.qlCalendarAdvance(Calendar,Q223,P224,"f")</f>
        <v>42986</v>
      </c>
      <c r="R224" s="140">
        <f>IF((ISERR(_xll.qlIndexFixing(Index,Q224,,InterestRatesTrigger))),_xll.qlIndexFixing(Index,Q224-$Q$1,,InterestRatesTrigger),_xll.qlIndexFixing(Index,Q224,,InterestRatesTrigger))</f>
        <v>6.5413031393379839E-3</v>
      </c>
    </row>
    <row r="225" spans="16:18" x14ac:dyDescent="0.2">
      <c r="P225" s="138" t="s">
        <v>87</v>
      </c>
      <c r="Q225" s="139">
        <f>_xll.qlCalendarAdvance(Calendar,Q224,P225,"f")</f>
        <v>42989</v>
      </c>
      <c r="R225" s="140">
        <f>IF((ISERR(_xll.qlIndexFixing(Index,Q225,,InterestRatesTrigger))),_xll.qlIndexFixing(Index,Q225-$Q$1,,InterestRatesTrigger),_xll.qlIndexFixing(Index,Q225,,InterestRatesTrigger))</f>
        <v>6.5411842855844782E-3</v>
      </c>
    </row>
    <row r="226" spans="16:18" x14ac:dyDescent="0.2">
      <c r="P226" s="138" t="s">
        <v>87</v>
      </c>
      <c r="Q226" s="139">
        <f>_xll.qlCalendarAdvance(Calendar,Q225,P226,"f")</f>
        <v>42990</v>
      </c>
      <c r="R226" s="140">
        <f>IF((ISERR(_xll.qlIndexFixing(Index,Q226,,InterestRatesTrigger))),_xll.qlIndexFixing(Index,Q226-$Q$1,,InterestRatesTrigger),_xll.qlIndexFixing(Index,Q226,,InterestRatesTrigger))</f>
        <v>6.5411842855844782E-3</v>
      </c>
    </row>
    <row r="227" spans="16:18" x14ac:dyDescent="0.2">
      <c r="P227" s="138" t="s">
        <v>87</v>
      </c>
      <c r="Q227" s="139">
        <f>_xll.qlCalendarAdvance(Calendar,Q226,P227,"f")</f>
        <v>42991</v>
      </c>
      <c r="R227" s="140">
        <f>IF((ISERR(_xll.qlIndexFixing(Index,Q227,,InterestRatesTrigger))),_xll.qlIndexFixing(Index,Q227-$Q$1,,InterestRatesTrigger),_xll.qlIndexFixing(Index,Q227,,InterestRatesTrigger))</f>
        <v>6.5411842855844782E-3</v>
      </c>
    </row>
    <row r="228" spans="16:18" x14ac:dyDescent="0.2">
      <c r="P228" s="138" t="s">
        <v>87</v>
      </c>
      <c r="Q228" s="139">
        <f>_xll.qlCalendarAdvance(Calendar,Q227,P228,"f")</f>
        <v>42992</v>
      </c>
      <c r="R228" s="140">
        <f>IF((ISERR(_xll.qlIndexFixing(Index,Q228,,InterestRatesTrigger))),_xll.qlIndexFixing(Index,Q228-$Q$1,,InterestRatesTrigger),_xll.qlIndexFixing(Index,Q228,,InterestRatesTrigger))</f>
        <v>6.5411842855844782E-3</v>
      </c>
    </row>
    <row r="229" spans="16:18" x14ac:dyDescent="0.2">
      <c r="P229" s="138" t="s">
        <v>87</v>
      </c>
      <c r="Q229" s="139">
        <f>_xll.qlCalendarAdvance(Calendar,Q228,P229,"f")</f>
        <v>42993</v>
      </c>
      <c r="R229" s="140">
        <f>IF((ISERR(_xll.qlIndexFixing(Index,Q229,,InterestRatesTrigger))),_xll.qlIndexFixing(Index,Q229-$Q$1,,InterestRatesTrigger),_xll.qlIndexFixing(Index,Q229,,InterestRatesTrigger))</f>
        <v>6.5413031393379839E-3</v>
      </c>
    </row>
    <row r="230" spans="16:18" x14ac:dyDescent="0.2">
      <c r="P230" s="138" t="s">
        <v>87</v>
      </c>
      <c r="Q230" s="139">
        <f>_xll.qlCalendarAdvance(Calendar,Q229,P230,"f")</f>
        <v>42996</v>
      </c>
      <c r="R230" s="140">
        <f>IF((ISERR(_xll.qlIndexFixing(Index,Q230,,InterestRatesTrigger))),_xll.qlIndexFixing(Index,Q230-$Q$1,,InterestRatesTrigger),_xll.qlIndexFixing(Index,Q230,,InterestRatesTrigger))</f>
        <v>6.5411842855844782E-3</v>
      </c>
    </row>
    <row r="231" spans="16:18" x14ac:dyDescent="0.2">
      <c r="P231" s="138" t="s">
        <v>87</v>
      </c>
      <c r="Q231" s="139">
        <f>_xll.qlCalendarAdvance(Calendar,Q230,P231,"f")</f>
        <v>42997</v>
      </c>
      <c r="R231" s="140">
        <f>IF((ISERR(_xll.qlIndexFixing(Index,Q231,,InterestRatesTrigger))),_xll.qlIndexFixing(Index,Q231-$Q$1,,InterestRatesTrigger),_xll.qlIndexFixing(Index,Q231,,InterestRatesTrigger))</f>
        <v>6.5411842855844782E-3</v>
      </c>
    </row>
    <row r="232" spans="16:18" x14ac:dyDescent="0.2">
      <c r="P232" s="138" t="s">
        <v>87</v>
      </c>
      <c r="Q232" s="139">
        <f>_xll.qlCalendarAdvance(Calendar,Q231,P232,"f")</f>
        <v>42998</v>
      </c>
      <c r="R232" s="140">
        <f>IF((ISERR(_xll.qlIndexFixing(Index,Q232,,InterestRatesTrigger))),_xll.qlIndexFixing(Index,Q232-$Q$1,,InterestRatesTrigger),_xll.qlIndexFixing(Index,Q232,,InterestRatesTrigger))</f>
        <v>6.5411842855844782E-3</v>
      </c>
    </row>
    <row r="233" spans="16:18" x14ac:dyDescent="0.2">
      <c r="P233" s="138" t="s">
        <v>87</v>
      </c>
      <c r="Q233" s="139">
        <f>_xll.qlCalendarAdvance(Calendar,Q232,P233,"f")</f>
        <v>42999</v>
      </c>
      <c r="R233" s="140">
        <f>IF((ISERR(_xll.qlIndexFixing(Index,Q233,,InterestRatesTrigger))),_xll.qlIndexFixing(Index,Q233-$Q$1,,InterestRatesTrigger),_xll.qlIndexFixing(Index,Q233,,InterestRatesTrigger))</f>
        <v>6.7836454093228582E-3</v>
      </c>
    </row>
    <row r="234" spans="16:18" x14ac:dyDescent="0.2">
      <c r="P234" s="138" t="s">
        <v>87</v>
      </c>
      <c r="Q234" s="139">
        <f>_xll.qlCalendarAdvance(Calendar,Q233,P234,"f")</f>
        <v>43000</v>
      </c>
      <c r="R234" s="140">
        <f>IF((ISERR(_xll.qlIndexFixing(Index,Q234,,InterestRatesTrigger))),_xll.qlIndexFixing(Index,Q234-$Q$1,,InterestRatesTrigger),_xll.qlIndexFixing(Index,Q234,,InterestRatesTrigger))</f>
        <v>6.7837732374975701E-3</v>
      </c>
    </row>
    <row r="235" spans="16:18" x14ac:dyDescent="0.2">
      <c r="P235" s="138" t="s">
        <v>87</v>
      </c>
      <c r="Q235" s="139">
        <f>_xll.qlCalendarAdvance(Calendar,Q234,P235,"f")</f>
        <v>43003</v>
      </c>
      <c r="R235" s="140">
        <f>IF((ISERR(_xll.qlIndexFixing(Index,Q235,,InterestRatesTrigger))),_xll.qlIndexFixing(Index,Q235-$Q$1,,InterestRatesTrigger),_xll.qlIndexFixing(Index,Q235,,InterestRatesTrigger))</f>
        <v>6.7836454093228582E-3</v>
      </c>
    </row>
    <row r="236" spans="16:18" x14ac:dyDescent="0.2">
      <c r="P236" s="138" t="s">
        <v>87</v>
      </c>
      <c r="Q236" s="139">
        <f>_xll.qlCalendarAdvance(Calendar,Q235,P236,"f")</f>
        <v>43004</v>
      </c>
      <c r="R236" s="140">
        <f>IF((ISERR(_xll.qlIndexFixing(Index,Q236,,InterestRatesTrigger))),_xll.qlIndexFixing(Index,Q236-$Q$1,,InterestRatesTrigger),_xll.qlIndexFixing(Index,Q236,,InterestRatesTrigger))</f>
        <v>6.7836454093228582E-3</v>
      </c>
    </row>
    <row r="237" spans="16:18" x14ac:dyDescent="0.2">
      <c r="P237" s="138" t="s">
        <v>87</v>
      </c>
      <c r="Q237" s="139">
        <f>_xll.qlCalendarAdvance(Calendar,Q236,P237,"f")</f>
        <v>43005</v>
      </c>
      <c r="R237" s="140">
        <f>IF((ISERR(_xll.qlIndexFixing(Index,Q237,,InterestRatesTrigger))),_xll.qlIndexFixing(Index,Q237-$Q$1,,InterestRatesTrigger),_xll.qlIndexFixing(Index,Q237,,InterestRatesTrigger))</f>
        <v>6.7836454094027943E-3</v>
      </c>
    </row>
    <row r="238" spans="16:18" x14ac:dyDescent="0.2">
      <c r="P238" s="138" t="s">
        <v>87</v>
      </c>
      <c r="Q238" s="139">
        <f>_xll.qlCalendarAdvance(Calendar,Q237,P238,"f")</f>
        <v>43006</v>
      </c>
      <c r="R238" s="140">
        <f>IF((ISERR(_xll.qlIndexFixing(Index,Q238,,InterestRatesTrigger))),_xll.qlIndexFixing(Index,Q238-$Q$1,,InterestRatesTrigger),_xll.qlIndexFixing(Index,Q238,,InterestRatesTrigger))</f>
        <v>6.7836454093228582E-3</v>
      </c>
    </row>
    <row r="239" spans="16:18" x14ac:dyDescent="0.2">
      <c r="P239" s="138" t="s">
        <v>87</v>
      </c>
      <c r="Q239" s="139">
        <f>_xll.qlCalendarAdvance(Calendar,Q238,P239,"f")</f>
        <v>43007</v>
      </c>
      <c r="R239" s="140">
        <f>IF((ISERR(_xll.qlIndexFixing(Index,Q239,,InterestRatesTrigger))),_xll.qlIndexFixing(Index,Q239-$Q$1,,InterestRatesTrigger),_xll.qlIndexFixing(Index,Q239,,InterestRatesTrigger))</f>
        <v>6.7837732374975701E-3</v>
      </c>
    </row>
    <row r="240" spans="16:18" x14ac:dyDescent="0.2">
      <c r="P240" s="138" t="s">
        <v>87</v>
      </c>
      <c r="Q240" s="139">
        <f>_xll.qlCalendarAdvance(Calendar,Q239,P240,"f")</f>
        <v>43010</v>
      </c>
      <c r="R240" s="140">
        <f>IF((ISERR(_xll.qlIndexFixing(Index,Q240,,InterestRatesTrigger))),_xll.qlIndexFixing(Index,Q240-$Q$1,,InterestRatesTrigger),_xll.qlIndexFixing(Index,Q240,,InterestRatesTrigger))</f>
        <v>6.7836454093228582E-3</v>
      </c>
    </row>
    <row r="241" spans="16:18" x14ac:dyDescent="0.2">
      <c r="P241" s="138" t="s">
        <v>87</v>
      </c>
      <c r="Q241" s="139">
        <f>_xll.qlCalendarAdvance(Calendar,Q240,P241,"f")</f>
        <v>43011</v>
      </c>
      <c r="R241" s="140">
        <f>IF((ISERR(_xll.qlIndexFixing(Index,Q241,,InterestRatesTrigger))),_xll.qlIndexFixing(Index,Q241-$Q$1,,InterestRatesTrigger),_xll.qlIndexFixing(Index,Q241,,InterestRatesTrigger))</f>
        <v>6.7836454093228582E-3</v>
      </c>
    </row>
    <row r="242" spans="16:18" x14ac:dyDescent="0.2">
      <c r="P242" s="138" t="s">
        <v>87</v>
      </c>
      <c r="Q242" s="139">
        <f>_xll.qlCalendarAdvance(Calendar,Q241,P242,"f")</f>
        <v>43012</v>
      </c>
      <c r="R242" s="140">
        <f>IF((ISERR(_xll.qlIndexFixing(Index,Q242,,InterestRatesTrigger))),_xll.qlIndexFixing(Index,Q242-$Q$1,,InterestRatesTrigger),_xll.qlIndexFixing(Index,Q242,,InterestRatesTrigger))</f>
        <v>6.7836454093228582E-3</v>
      </c>
    </row>
    <row r="243" spans="16:18" x14ac:dyDescent="0.2">
      <c r="P243" s="138" t="s">
        <v>87</v>
      </c>
      <c r="Q243" s="139">
        <f>_xll.qlCalendarAdvance(Calendar,Q242,P243,"f")</f>
        <v>43013</v>
      </c>
      <c r="R243" s="140">
        <f>IF((ISERR(_xll.qlIndexFixing(Index,Q243,,InterestRatesTrigger))),_xll.qlIndexFixing(Index,Q243-$Q$1,,InterestRatesTrigger),_xll.qlIndexFixing(Index,Q243,,InterestRatesTrigger))</f>
        <v>6.7836454094027943E-3</v>
      </c>
    </row>
    <row r="244" spans="16:18" x14ac:dyDescent="0.2">
      <c r="P244" s="138" t="s">
        <v>87</v>
      </c>
      <c r="Q244" s="139">
        <f>_xll.qlCalendarAdvance(Calendar,Q243,P244,"f")</f>
        <v>43014</v>
      </c>
      <c r="R244" s="140">
        <f>IF((ISERR(_xll.qlIndexFixing(Index,Q244,,InterestRatesTrigger))),_xll.qlIndexFixing(Index,Q244-$Q$1,,InterestRatesTrigger),_xll.qlIndexFixing(Index,Q244,,InterestRatesTrigger))</f>
        <v>6.7838371527639829E-3</v>
      </c>
    </row>
    <row r="245" spans="16:18" x14ac:dyDescent="0.2">
      <c r="P245" s="138" t="s">
        <v>87</v>
      </c>
      <c r="Q245" s="139">
        <f>_xll.qlCalendarAdvance(Calendar,Q244,P245,"f")</f>
        <v>43018</v>
      </c>
      <c r="R245" s="140">
        <f>IF((ISERR(_xll.qlIndexFixing(Index,Q245,,InterestRatesTrigger))),_xll.qlIndexFixing(Index,Q245-$Q$1,,InterestRatesTrigger),_xll.qlIndexFixing(Index,Q245,,InterestRatesTrigger))</f>
        <v>6.7836454093228582E-3</v>
      </c>
    </row>
    <row r="246" spans="16:18" x14ac:dyDescent="0.2">
      <c r="P246" s="138" t="s">
        <v>87</v>
      </c>
      <c r="Q246" s="139">
        <f>_xll.qlCalendarAdvance(Calendar,Q245,P246,"f")</f>
        <v>43019</v>
      </c>
      <c r="R246" s="140">
        <f>IF((ISERR(_xll.qlIndexFixing(Index,Q246,,InterestRatesTrigger))),_xll.qlIndexFixing(Index,Q246-$Q$1,,InterestRatesTrigger),_xll.qlIndexFixing(Index,Q246,,InterestRatesTrigger))</f>
        <v>6.7836454093228582E-3</v>
      </c>
    </row>
    <row r="247" spans="16:18" x14ac:dyDescent="0.2">
      <c r="P247" s="138" t="s">
        <v>87</v>
      </c>
      <c r="Q247" s="139">
        <f>_xll.qlCalendarAdvance(Calendar,Q246,P247,"f")</f>
        <v>43020</v>
      </c>
      <c r="R247" s="140">
        <f>IF((ISERR(_xll.qlIndexFixing(Index,Q247,,InterestRatesTrigger))),_xll.qlIndexFixing(Index,Q247-$Q$1,,InterestRatesTrigger),_xll.qlIndexFixing(Index,Q247,,InterestRatesTrigger))</f>
        <v>6.7836454093228582E-3</v>
      </c>
    </row>
    <row r="248" spans="16:18" x14ac:dyDescent="0.2">
      <c r="P248" s="138" t="s">
        <v>87</v>
      </c>
      <c r="Q248" s="139">
        <f>_xll.qlCalendarAdvance(Calendar,Q247,P248,"f")</f>
        <v>43021</v>
      </c>
      <c r="R248" s="140">
        <f>IF((ISERR(_xll.qlIndexFixing(Index,Q248,,InterestRatesTrigger))),_xll.qlIndexFixing(Index,Q248-$Q$1,,InterestRatesTrigger),_xll.qlIndexFixing(Index,Q248,,InterestRatesTrigger))</f>
        <v>6.7837732374709248E-3</v>
      </c>
    </row>
    <row r="249" spans="16:18" x14ac:dyDescent="0.2">
      <c r="P249" s="138" t="s">
        <v>87</v>
      </c>
      <c r="Q249" s="139">
        <f>_xll.qlCalendarAdvance(Calendar,Q248,P249,"f")</f>
        <v>43024</v>
      </c>
      <c r="R249" s="140">
        <f>IF((ISERR(_xll.qlIndexFixing(Index,Q249,,InterestRatesTrigger))),_xll.qlIndexFixing(Index,Q249-$Q$1,,InterestRatesTrigger),_xll.qlIndexFixing(Index,Q249,,InterestRatesTrigger))</f>
        <v>6.7836454093228582E-3</v>
      </c>
    </row>
    <row r="250" spans="16:18" x14ac:dyDescent="0.2">
      <c r="P250" s="138" t="s">
        <v>87</v>
      </c>
      <c r="Q250" s="139">
        <f>_xll.qlCalendarAdvance(Calendar,Q249,P250,"f")</f>
        <v>43025</v>
      </c>
      <c r="R250" s="140">
        <f>IF((ISERR(_xll.qlIndexFixing(Index,Q250,,InterestRatesTrigger))),_xll.qlIndexFixing(Index,Q250-$Q$1,,InterestRatesTrigger),_xll.qlIndexFixing(Index,Q250,,InterestRatesTrigger))</f>
        <v>6.7836454093228582E-3</v>
      </c>
    </row>
    <row r="251" spans="16:18" x14ac:dyDescent="0.2">
      <c r="P251" s="138" t="s">
        <v>87</v>
      </c>
      <c r="Q251" s="139">
        <f>_xll.qlCalendarAdvance(Calendar,Q250,P251,"f")</f>
        <v>43026</v>
      </c>
      <c r="R251" s="140">
        <f>IF((ISERR(_xll.qlIndexFixing(Index,Q251,,InterestRatesTrigger))),_xll.qlIndexFixing(Index,Q251-$Q$1,,InterestRatesTrigger),_xll.qlIndexFixing(Index,Q251,,InterestRatesTrigger))</f>
        <v>6.7836454093228582E-3</v>
      </c>
    </row>
    <row r="252" spans="16:18" x14ac:dyDescent="0.2">
      <c r="P252" s="138" t="s">
        <v>87</v>
      </c>
      <c r="Q252" s="139">
        <f>_xll.qlCalendarAdvance(Calendar,Q251,P252,"f")</f>
        <v>43027</v>
      </c>
      <c r="R252" s="140">
        <f>IF((ISERR(_xll.qlIndexFixing(Index,Q252,,InterestRatesTrigger))),_xll.qlIndexFixing(Index,Q252-$Q$1,,InterestRatesTrigger),_xll.qlIndexFixing(Index,Q252,,InterestRatesTrigger))</f>
        <v>6.7836454093228582E-3</v>
      </c>
    </row>
    <row r="253" spans="16:18" x14ac:dyDescent="0.2">
      <c r="P253" s="138" t="s">
        <v>87</v>
      </c>
      <c r="Q253" s="139">
        <f>_xll.qlCalendarAdvance(Calendar,Q252,P253,"f")</f>
        <v>43028</v>
      </c>
      <c r="R253" s="140">
        <f>IF((ISERR(_xll.qlIndexFixing(Index,Q253,,InterestRatesTrigger))),_xll.qlIndexFixing(Index,Q253-$Q$1,,InterestRatesTrigger),_xll.qlIndexFixing(Index,Q253,,InterestRatesTrigger))</f>
        <v>6.7837732374975701E-3</v>
      </c>
    </row>
    <row r="254" spans="16:18" x14ac:dyDescent="0.2">
      <c r="P254" s="138" t="s">
        <v>87</v>
      </c>
      <c r="Q254" s="139">
        <f>_xll.qlCalendarAdvance(Calendar,Q253,P254,"f")</f>
        <v>43031</v>
      </c>
      <c r="R254" s="140">
        <f>IF((ISERR(_xll.qlIndexFixing(Index,Q254,,InterestRatesTrigger))),_xll.qlIndexFixing(Index,Q254-$Q$1,,InterestRatesTrigger),_xll.qlIndexFixing(Index,Q254,,InterestRatesTrigger))</f>
        <v>7.1807817433811039E-3</v>
      </c>
    </row>
    <row r="255" spans="16:18" x14ac:dyDescent="0.2">
      <c r="P255" s="138" t="s">
        <v>87</v>
      </c>
      <c r="Q255" s="139">
        <f>_xll.qlCalendarAdvance(Calendar,Q254,P255,"f")</f>
        <v>43032</v>
      </c>
      <c r="R255" s="140">
        <f>IF((ISERR(_xll.qlIndexFixing(Index,Q255,,InterestRatesTrigger))),_xll.qlIndexFixing(Index,Q255-$Q$1,,InterestRatesTrigger),_xll.qlIndexFixing(Index,Q255,,InterestRatesTrigger))</f>
        <v>7.1807817434610399E-3</v>
      </c>
    </row>
    <row r="256" spans="16:18" x14ac:dyDescent="0.2">
      <c r="P256" s="138" t="s">
        <v>87</v>
      </c>
      <c r="Q256" s="139">
        <f>_xll.qlCalendarAdvance(Calendar,Q255,P256,"f")</f>
        <v>43033</v>
      </c>
      <c r="R256" s="140">
        <f>IF((ISERR(_xll.qlIndexFixing(Index,Q256,,InterestRatesTrigger))),_xll.qlIndexFixing(Index,Q256-$Q$1,,InterestRatesTrigger),_xll.qlIndexFixing(Index,Q256,,InterestRatesTrigger))</f>
        <v>7.1807817433811039E-3</v>
      </c>
    </row>
    <row r="257" spans="16:18" x14ac:dyDescent="0.2">
      <c r="P257" s="138" t="s">
        <v>87</v>
      </c>
      <c r="Q257" s="139">
        <f>_xll.qlCalendarAdvance(Calendar,Q256,P257,"f")</f>
        <v>43034</v>
      </c>
      <c r="R257" s="140">
        <f>IF((ISERR(_xll.qlIndexFixing(Index,Q257,,InterestRatesTrigger))),_xll.qlIndexFixing(Index,Q257-$Q$1,,InterestRatesTrigger),_xll.qlIndexFixing(Index,Q257,,InterestRatesTrigger))</f>
        <v>7.1807817433811039E-3</v>
      </c>
    </row>
    <row r="258" spans="16:18" x14ac:dyDescent="0.2">
      <c r="P258" s="138" t="s">
        <v>87</v>
      </c>
      <c r="Q258" s="139">
        <f>_xll.qlCalendarAdvance(Calendar,Q257,P258,"f")</f>
        <v>43035</v>
      </c>
      <c r="R258" s="140">
        <f>IF((ISERR(_xll.qlIndexFixing(Index,Q258,,InterestRatesTrigger))),_xll.qlIndexFixing(Index,Q258-$Q$1,,InterestRatesTrigger),_xll.qlIndexFixing(Index,Q258,,InterestRatesTrigger))</f>
        <v>7.180924976699643E-3</v>
      </c>
    </row>
    <row r="259" spans="16:18" x14ac:dyDescent="0.2">
      <c r="P259" s="138" t="s">
        <v>87</v>
      </c>
      <c r="Q259" s="139">
        <f>_xll.qlCalendarAdvance(Calendar,Q258,P259,"f")</f>
        <v>43038</v>
      </c>
      <c r="R259" s="140">
        <f>IF((ISERR(_xll.qlIndexFixing(Index,Q259,,InterestRatesTrigger))),_xll.qlIndexFixing(Index,Q259-$Q$1,,InterestRatesTrigger),_xll.qlIndexFixing(Index,Q259,,InterestRatesTrigger))</f>
        <v>7.1807817434610399E-3</v>
      </c>
    </row>
    <row r="260" spans="16:18" x14ac:dyDescent="0.2">
      <c r="P260" s="138" t="s">
        <v>87</v>
      </c>
      <c r="Q260" s="139">
        <f>_xll.qlCalendarAdvance(Calendar,Q259,P260,"f")</f>
        <v>43039</v>
      </c>
      <c r="R260" s="140">
        <f>IF((ISERR(_xll.qlIndexFixing(Index,Q260,,InterestRatesTrigger))),_xll.qlIndexFixing(Index,Q260-$Q$1,,InterestRatesTrigger),_xll.qlIndexFixing(Index,Q260,,InterestRatesTrigger))</f>
        <v>7.1807817433811039E-3</v>
      </c>
    </row>
    <row r="261" spans="16:18" x14ac:dyDescent="0.2">
      <c r="P261" s="138" t="s">
        <v>87</v>
      </c>
      <c r="Q261" s="139">
        <f>_xll.qlCalendarAdvance(Calendar,Q260,P261,"f")</f>
        <v>43040</v>
      </c>
      <c r="R261" s="140">
        <f>IF((ISERR(_xll.qlIndexFixing(Index,Q261,,InterestRatesTrigger))),_xll.qlIndexFixing(Index,Q261-$Q$1,,InterestRatesTrigger),_xll.qlIndexFixing(Index,Q261,,InterestRatesTrigger))</f>
        <v>7.1807817434610399E-3</v>
      </c>
    </row>
    <row r="262" spans="16:18" x14ac:dyDescent="0.2">
      <c r="P262" s="138" t="s">
        <v>87</v>
      </c>
      <c r="Q262" s="139">
        <f>_xll.qlCalendarAdvance(Calendar,Q261,P262,"f")</f>
        <v>43041</v>
      </c>
      <c r="R262" s="140">
        <f>IF((ISERR(_xll.qlIndexFixing(Index,Q262,,InterestRatesTrigger))),_xll.qlIndexFixing(Index,Q262-$Q$1,,InterestRatesTrigger),_xll.qlIndexFixing(Index,Q262,,InterestRatesTrigger))</f>
        <v>7.1807817434610399E-3</v>
      </c>
    </row>
    <row r="263" spans="16:18" x14ac:dyDescent="0.2">
      <c r="P263" s="138" t="s">
        <v>87</v>
      </c>
      <c r="Q263" s="139">
        <f>_xll.qlCalendarAdvance(Calendar,Q262,P263,"f")</f>
        <v>43042</v>
      </c>
      <c r="R263" s="140">
        <f>IF((ISERR(_xll.qlIndexFixing(Index,Q263,,InterestRatesTrigger))),_xll.qlIndexFixing(Index,Q263-$Q$1,,InterestRatesTrigger),_xll.qlIndexFixing(Index,Q263,,InterestRatesTrigger))</f>
        <v>7.1809249766729977E-3</v>
      </c>
    </row>
    <row r="264" spans="16:18" x14ac:dyDescent="0.2">
      <c r="P264" s="138" t="s">
        <v>87</v>
      </c>
      <c r="Q264" s="139">
        <f>_xll.qlCalendarAdvance(Calendar,Q263,P264,"f")</f>
        <v>43045</v>
      </c>
      <c r="R264" s="140">
        <f>IF((ISERR(_xll.qlIndexFixing(Index,Q264,,InterestRatesTrigger))),_xll.qlIndexFixing(Index,Q264-$Q$1,,InterestRatesTrigger),_xll.qlIndexFixing(Index,Q264,,InterestRatesTrigger))</f>
        <v>7.1807817434610399E-3</v>
      </c>
    </row>
    <row r="265" spans="16:18" x14ac:dyDescent="0.2">
      <c r="P265" s="138" t="s">
        <v>87</v>
      </c>
      <c r="Q265" s="139">
        <f>_xll.qlCalendarAdvance(Calendar,Q264,P265,"f")</f>
        <v>43046</v>
      </c>
      <c r="R265" s="140">
        <f>IF((ISERR(_xll.qlIndexFixing(Index,Q265,,InterestRatesTrigger))),_xll.qlIndexFixing(Index,Q265-$Q$1,,InterestRatesTrigger),_xll.qlIndexFixing(Index,Q265,,InterestRatesTrigger))</f>
        <v>7.1807817434610399E-3</v>
      </c>
    </row>
    <row r="266" spans="16:18" x14ac:dyDescent="0.2">
      <c r="P266" s="138" t="s">
        <v>87</v>
      </c>
      <c r="Q266" s="139">
        <f>_xll.qlCalendarAdvance(Calendar,Q265,P266,"f")</f>
        <v>43047</v>
      </c>
      <c r="R266" s="140">
        <f>IF((ISERR(_xll.qlIndexFixing(Index,Q266,,InterestRatesTrigger))),_xll.qlIndexFixing(Index,Q266-$Q$1,,InterestRatesTrigger),_xll.qlIndexFixing(Index,Q266,,InterestRatesTrigger))</f>
        <v>7.1807817433811039E-3</v>
      </c>
    </row>
    <row r="267" spans="16:18" x14ac:dyDescent="0.2">
      <c r="P267" s="138" t="s">
        <v>87</v>
      </c>
      <c r="Q267" s="139">
        <f>_xll.qlCalendarAdvance(Calendar,Q266,P267,"f")</f>
        <v>43048</v>
      </c>
      <c r="R267" s="140">
        <f>IF((ISERR(_xll.qlIndexFixing(Index,Q267,,InterestRatesTrigger))),_xll.qlIndexFixing(Index,Q267-$Q$1,,InterestRatesTrigger),_xll.qlIndexFixing(Index,Q267,,InterestRatesTrigger))</f>
        <v>7.1809965947378096E-3</v>
      </c>
    </row>
    <row r="268" spans="16:18" x14ac:dyDescent="0.2">
      <c r="P268" s="138" t="s">
        <v>87</v>
      </c>
      <c r="Q268" s="139">
        <f>_xll.qlCalendarAdvance(Calendar,Q267,P268,"f")</f>
        <v>43052</v>
      </c>
      <c r="R268" s="140">
        <f>IF((ISERR(_xll.qlIndexFixing(Index,Q268,,InterestRatesTrigger))),_xll.qlIndexFixing(Index,Q268-$Q$1,,InterestRatesTrigger),_xll.qlIndexFixing(Index,Q268,,InterestRatesTrigger))</f>
        <v>7.1807817434610399E-3</v>
      </c>
    </row>
    <row r="269" spans="16:18" x14ac:dyDescent="0.2">
      <c r="P269" s="138" t="s">
        <v>87</v>
      </c>
      <c r="Q269" s="139">
        <f>_xll.qlCalendarAdvance(Calendar,Q268,P269,"f")</f>
        <v>43053</v>
      </c>
      <c r="R269" s="140">
        <f>IF((ISERR(_xll.qlIndexFixing(Index,Q269,,InterestRatesTrigger))),_xll.qlIndexFixing(Index,Q269-$Q$1,,InterestRatesTrigger),_xll.qlIndexFixing(Index,Q269,,InterestRatesTrigger))</f>
        <v>7.1807817434610399E-3</v>
      </c>
    </row>
    <row r="270" spans="16:18" x14ac:dyDescent="0.2">
      <c r="P270" s="138" t="s">
        <v>87</v>
      </c>
      <c r="Q270" s="139">
        <f>_xll.qlCalendarAdvance(Calendar,Q269,P270,"f")</f>
        <v>43054</v>
      </c>
      <c r="R270" s="140">
        <f>IF((ISERR(_xll.qlIndexFixing(Index,Q270,,InterestRatesTrigger))),_xll.qlIndexFixing(Index,Q270-$Q$1,,InterestRatesTrigger),_xll.qlIndexFixing(Index,Q270,,InterestRatesTrigger))</f>
        <v>7.1807817434610399E-3</v>
      </c>
    </row>
    <row r="271" spans="16:18" x14ac:dyDescent="0.2">
      <c r="P271" s="138" t="s">
        <v>87</v>
      </c>
      <c r="Q271" s="139">
        <f>_xll.qlCalendarAdvance(Calendar,Q270,P271,"f")</f>
        <v>43055</v>
      </c>
      <c r="R271" s="140">
        <f>IF((ISERR(_xll.qlIndexFixing(Index,Q271,,InterestRatesTrigger))),_xll.qlIndexFixing(Index,Q271-$Q$1,,InterestRatesTrigger),_xll.qlIndexFixing(Index,Q271,,InterestRatesTrigger))</f>
        <v>7.1807817434610399E-3</v>
      </c>
    </row>
    <row r="272" spans="16:18" x14ac:dyDescent="0.2">
      <c r="P272" s="138" t="s">
        <v>87</v>
      </c>
      <c r="Q272" s="139">
        <f>_xll.qlCalendarAdvance(Calendar,Q271,P272,"f")</f>
        <v>43056</v>
      </c>
      <c r="R272" s="140">
        <f>IF((ISERR(_xll.qlIndexFixing(Index,Q272,,InterestRatesTrigger))),_xll.qlIndexFixing(Index,Q272-$Q$1,,InterestRatesTrigger),_xll.qlIndexFixing(Index,Q272,,InterestRatesTrigger))</f>
        <v>7.1809249766729977E-3</v>
      </c>
    </row>
    <row r="273" spans="16:18" x14ac:dyDescent="0.2">
      <c r="P273" s="138" t="s">
        <v>87</v>
      </c>
      <c r="Q273" s="139">
        <f>_xll.qlCalendarAdvance(Calendar,Q272,P273,"f")</f>
        <v>43059</v>
      </c>
      <c r="R273" s="140">
        <f>IF((ISERR(_xll.qlIndexFixing(Index,Q273,,InterestRatesTrigger))),_xll.qlIndexFixing(Index,Q273-$Q$1,,InterestRatesTrigger),_xll.qlIndexFixing(Index,Q273,,InterestRatesTrigger))</f>
        <v>7.1807817434610399E-3</v>
      </c>
    </row>
    <row r="274" spans="16:18" x14ac:dyDescent="0.2">
      <c r="P274" s="138" t="s">
        <v>87</v>
      </c>
      <c r="Q274" s="139">
        <f>_xll.qlCalendarAdvance(Calendar,Q273,P274,"f")</f>
        <v>43060</v>
      </c>
      <c r="R274" s="140">
        <f>IF((ISERR(_xll.qlIndexFixing(Index,Q274,,InterestRatesTrigger))),_xll.qlIndexFixing(Index,Q274-$Q$1,,InterestRatesTrigger),_xll.qlIndexFixing(Index,Q274,,InterestRatesTrigger))</f>
        <v>7.1807817434610399E-3</v>
      </c>
    </row>
    <row r="275" spans="16:18" x14ac:dyDescent="0.2">
      <c r="P275" s="138" t="s">
        <v>87</v>
      </c>
      <c r="Q275" s="139">
        <f>_xll.qlCalendarAdvance(Calendar,Q274,P275,"f")</f>
        <v>43061</v>
      </c>
      <c r="R275" s="140">
        <f>IF((ISERR(_xll.qlIndexFixing(Index,Q275,,InterestRatesTrigger))),_xll.qlIndexFixing(Index,Q275-$Q$1,,InterestRatesTrigger),_xll.qlIndexFixing(Index,Q275,,InterestRatesTrigger))</f>
        <v>7.1808533595740798E-3</v>
      </c>
    </row>
    <row r="276" spans="16:18" x14ac:dyDescent="0.2">
      <c r="P276" s="138" t="s">
        <v>87</v>
      </c>
      <c r="Q276" s="139">
        <f>_xll.qlCalendarAdvance(Calendar,Q275,P276,"f")</f>
        <v>43063</v>
      </c>
      <c r="R276" s="140">
        <f>IF((ISERR(_xll.qlIndexFixing(Index,Q276,,InterestRatesTrigger))),_xll.qlIndexFixing(Index,Q276-$Q$1,,InterestRatesTrigger),_xll.qlIndexFixing(Index,Q276,,InterestRatesTrigger))</f>
        <v>7.180924976699643E-3</v>
      </c>
    </row>
    <row r="277" spans="16:18" x14ac:dyDescent="0.2">
      <c r="P277" s="138" t="s">
        <v>87</v>
      </c>
      <c r="Q277" s="139">
        <f>_xll.qlCalendarAdvance(Calendar,Q276,P277,"f")</f>
        <v>43066</v>
      </c>
      <c r="R277" s="140">
        <f>IF((ISERR(_xll.qlIndexFixing(Index,Q277,,InterestRatesTrigger))),_xll.qlIndexFixing(Index,Q277-$Q$1,,InterestRatesTrigger),_xll.qlIndexFixing(Index,Q277,,InterestRatesTrigger))</f>
        <v>7.1807817434610399E-3</v>
      </c>
    </row>
    <row r="278" spans="16:18" x14ac:dyDescent="0.2">
      <c r="P278" s="138" t="s">
        <v>87</v>
      </c>
      <c r="Q278" s="139">
        <f>_xll.qlCalendarAdvance(Calendar,Q277,P278,"f")</f>
        <v>43067</v>
      </c>
      <c r="R278" s="140">
        <f>IF((ISERR(_xll.qlIndexFixing(Index,Q278,,InterestRatesTrigger))),_xll.qlIndexFixing(Index,Q278-$Q$1,,InterestRatesTrigger),_xll.qlIndexFixing(Index,Q278,,InterestRatesTrigger))</f>
        <v>7.1807817434610399E-3</v>
      </c>
    </row>
    <row r="279" spans="16:18" x14ac:dyDescent="0.2">
      <c r="P279" s="138" t="s">
        <v>87</v>
      </c>
      <c r="Q279" s="139">
        <f>_xll.qlCalendarAdvance(Calendar,Q278,P279,"f")</f>
        <v>43068</v>
      </c>
      <c r="R279" s="140">
        <f>IF((ISERR(_xll.qlIndexFixing(Index,Q279,,InterestRatesTrigger))),_xll.qlIndexFixing(Index,Q279-$Q$1,,InterestRatesTrigger),_xll.qlIndexFixing(Index,Q279,,InterestRatesTrigger))</f>
        <v>7.1807817434610399E-3</v>
      </c>
    </row>
    <row r="280" spans="16:18" x14ac:dyDescent="0.2">
      <c r="P280" s="138" t="s">
        <v>87</v>
      </c>
      <c r="Q280" s="139">
        <f>_xll.qlCalendarAdvance(Calendar,Q279,P280,"f")</f>
        <v>43069</v>
      </c>
      <c r="R280" s="140">
        <f>IF((ISERR(_xll.qlIndexFixing(Index,Q280,,InterestRatesTrigger))),_xll.qlIndexFixing(Index,Q280-$Q$1,,InterestRatesTrigger),_xll.qlIndexFixing(Index,Q280,,InterestRatesTrigger))</f>
        <v>7.1807817434610399E-3</v>
      </c>
    </row>
    <row r="281" spans="16:18" x14ac:dyDescent="0.2">
      <c r="P281" s="138" t="s">
        <v>87</v>
      </c>
      <c r="Q281" s="139">
        <f>_xll.qlCalendarAdvance(Calendar,Q280,P281,"f")</f>
        <v>43070</v>
      </c>
      <c r="R281" s="140">
        <f>IF((ISERR(_xll.qlIndexFixing(Index,Q281,,InterestRatesTrigger))),_xll.qlIndexFixing(Index,Q281-$Q$1,,InterestRatesTrigger),_xll.qlIndexFixing(Index,Q281,,InterestRatesTrigger))</f>
        <v>7.1809249766729977E-3</v>
      </c>
    </row>
    <row r="282" spans="16:18" x14ac:dyDescent="0.2">
      <c r="P282" s="138" t="s">
        <v>87</v>
      </c>
      <c r="Q282" s="139">
        <f>_xll.qlCalendarAdvance(Calendar,Q281,P282,"f")</f>
        <v>43073</v>
      </c>
      <c r="R282" s="140">
        <f>IF((ISERR(_xll.qlIndexFixing(Index,Q282,,InterestRatesTrigger))),_xll.qlIndexFixing(Index,Q282-$Q$1,,InterestRatesTrigger),_xll.qlIndexFixing(Index,Q282,,InterestRatesTrigger))</f>
        <v>7.1807817433811039E-3</v>
      </c>
    </row>
    <row r="283" spans="16:18" x14ac:dyDescent="0.2">
      <c r="P283" s="138" t="s">
        <v>87</v>
      </c>
      <c r="Q283" s="139">
        <f>_xll.qlCalendarAdvance(Calendar,Q282,P283,"f")</f>
        <v>43074</v>
      </c>
      <c r="R283" s="140">
        <f>IF((ISERR(_xll.qlIndexFixing(Index,Q283,,InterestRatesTrigger))),_xll.qlIndexFixing(Index,Q283-$Q$1,,InterestRatesTrigger),_xll.qlIndexFixing(Index,Q283,,InterestRatesTrigger))</f>
        <v>7.1807817434610399E-3</v>
      </c>
    </row>
    <row r="284" spans="16:18" x14ac:dyDescent="0.2">
      <c r="P284" s="138" t="s">
        <v>87</v>
      </c>
      <c r="Q284" s="139">
        <f>_xll.qlCalendarAdvance(Calendar,Q283,P284,"f")</f>
        <v>43075</v>
      </c>
      <c r="R284" s="140">
        <f>IF((ISERR(_xll.qlIndexFixing(Index,Q284,,InterestRatesTrigger))),_xll.qlIndexFixing(Index,Q284-$Q$1,,InterestRatesTrigger),_xll.qlIndexFixing(Index,Q284,,InterestRatesTrigger))</f>
        <v>7.1807817433811039E-3</v>
      </c>
    </row>
    <row r="285" spans="16:18" x14ac:dyDescent="0.2">
      <c r="P285" s="138" t="s">
        <v>87</v>
      </c>
      <c r="Q285" s="139">
        <f>_xll.qlCalendarAdvance(Calendar,Q284,P285,"f")</f>
        <v>43076</v>
      </c>
      <c r="R285" s="140">
        <f>IF((ISERR(_xll.qlIndexFixing(Index,Q285,,InterestRatesTrigger))),_xll.qlIndexFixing(Index,Q285-$Q$1,,InterestRatesTrigger),_xll.qlIndexFixing(Index,Q285,,InterestRatesTrigger))</f>
        <v>7.1807817434610399E-3</v>
      </c>
    </row>
    <row r="286" spans="16:18" x14ac:dyDescent="0.2">
      <c r="P286" s="138" t="s">
        <v>87</v>
      </c>
      <c r="Q286" s="139">
        <f>_xll.qlCalendarAdvance(Calendar,Q285,P286,"f")</f>
        <v>43077</v>
      </c>
      <c r="R286" s="140">
        <f>IF((ISERR(_xll.qlIndexFixing(Index,Q286,,InterestRatesTrigger))),_xll.qlIndexFixing(Index,Q286-$Q$1,,InterestRatesTrigger),_xll.qlIndexFixing(Index,Q286,,InterestRatesTrigger))</f>
        <v>7.180924976699643E-3</v>
      </c>
    </row>
    <row r="287" spans="16:18" x14ac:dyDescent="0.2">
      <c r="P287" s="138" t="s">
        <v>87</v>
      </c>
      <c r="Q287" s="139">
        <f>_xll.qlCalendarAdvance(Calendar,Q286,P287,"f")</f>
        <v>43080</v>
      </c>
      <c r="R287" s="140">
        <f>IF((ISERR(_xll.qlIndexFixing(Index,Q287,,InterestRatesTrigger))),_xll.qlIndexFixing(Index,Q287-$Q$1,,InterestRatesTrigger),_xll.qlIndexFixing(Index,Q287,,InterestRatesTrigger))</f>
        <v>7.1807817434610399E-3</v>
      </c>
    </row>
    <row r="288" spans="16:18" x14ac:dyDescent="0.2">
      <c r="P288" s="138" t="s">
        <v>87</v>
      </c>
      <c r="Q288" s="139">
        <f>_xll.qlCalendarAdvance(Calendar,Q287,P288,"f")</f>
        <v>43081</v>
      </c>
      <c r="R288" s="140">
        <f>IF((ISERR(_xll.qlIndexFixing(Index,Q288,,InterestRatesTrigger))),_xll.qlIndexFixing(Index,Q288-$Q$1,,InterestRatesTrigger),_xll.qlIndexFixing(Index,Q288,,InterestRatesTrigger))</f>
        <v>7.1807817433811039E-3</v>
      </c>
    </row>
    <row r="289" spans="16:18" x14ac:dyDescent="0.2">
      <c r="P289" s="138" t="s">
        <v>87</v>
      </c>
      <c r="Q289" s="139">
        <f>_xll.qlCalendarAdvance(Calendar,Q288,P289,"f")</f>
        <v>43082</v>
      </c>
      <c r="R289" s="140">
        <f>IF((ISERR(_xll.qlIndexFixing(Index,Q289,,InterestRatesTrigger))),_xll.qlIndexFixing(Index,Q289-$Q$1,,InterestRatesTrigger),_xll.qlIndexFixing(Index,Q289,,InterestRatesTrigger))</f>
        <v>7.1807817434610399E-3</v>
      </c>
    </row>
    <row r="290" spans="16:18" x14ac:dyDescent="0.2">
      <c r="P290" s="138" t="s">
        <v>87</v>
      </c>
      <c r="Q290" s="139">
        <f>_xll.qlCalendarAdvance(Calendar,Q289,P290,"f")</f>
        <v>43083</v>
      </c>
      <c r="R290" s="140">
        <f>IF((ISERR(_xll.qlIndexFixing(Index,Q290,,InterestRatesTrigger))),_xll.qlIndexFixing(Index,Q290-$Q$1,,InterestRatesTrigger),_xll.qlIndexFixing(Index,Q290,,InterestRatesTrigger))</f>
        <v>7.1807817433811039E-3</v>
      </c>
    </row>
    <row r="291" spans="16:18" x14ac:dyDescent="0.2">
      <c r="P291" s="138" t="s">
        <v>87</v>
      </c>
      <c r="Q291" s="139">
        <f>_xll.qlCalendarAdvance(Calendar,Q290,P291,"f")</f>
        <v>43084</v>
      </c>
      <c r="R291" s="140">
        <f>IF((ISERR(_xll.qlIndexFixing(Index,Q291,,InterestRatesTrigger))),_xll.qlIndexFixing(Index,Q291-$Q$1,,InterestRatesTrigger),_xll.qlIndexFixing(Index,Q291,,InterestRatesTrigger))</f>
        <v>7.1809249766729977E-3</v>
      </c>
    </row>
    <row r="292" spans="16:18" x14ac:dyDescent="0.2">
      <c r="P292" s="138" t="s">
        <v>87</v>
      </c>
      <c r="Q292" s="139">
        <f>_xll.qlCalendarAdvance(Calendar,Q291,P292,"f")</f>
        <v>43087</v>
      </c>
      <c r="R292" s="140">
        <f>IF((ISERR(_xll.qlIndexFixing(Index,Q292,,InterestRatesTrigger))),_xll.qlIndexFixing(Index,Q292-$Q$1,,InterestRatesTrigger),_xll.qlIndexFixing(Index,Q292,,InterestRatesTrigger))</f>
        <v>7.1807817434610399E-3</v>
      </c>
    </row>
    <row r="293" spans="16:18" x14ac:dyDescent="0.2">
      <c r="P293" s="138" t="s">
        <v>87</v>
      </c>
      <c r="Q293" s="139">
        <f>_xll.qlCalendarAdvance(Calendar,Q292,P293,"f")</f>
        <v>43088</v>
      </c>
      <c r="R293" s="140">
        <f>IF((ISERR(_xll.qlIndexFixing(Index,Q293,,InterestRatesTrigger))),_xll.qlIndexFixing(Index,Q293-$Q$1,,InterestRatesTrigger),_xll.qlIndexFixing(Index,Q293,,InterestRatesTrigger))</f>
        <v>7.1807817434610399E-3</v>
      </c>
    </row>
    <row r="294" spans="16:18" x14ac:dyDescent="0.2">
      <c r="P294" s="138" t="s">
        <v>87</v>
      </c>
      <c r="Q294" s="139">
        <f>_xll.qlCalendarAdvance(Calendar,Q293,P294,"f")</f>
        <v>43089</v>
      </c>
      <c r="R294" s="140">
        <f>IF((ISERR(_xll.qlIndexFixing(Index,Q294,,InterestRatesTrigger))),_xll.qlIndexFixing(Index,Q294-$Q$1,,InterestRatesTrigger),_xll.qlIndexFixing(Index,Q294,,InterestRatesTrigger))</f>
        <v>7.1807817433811039E-3</v>
      </c>
    </row>
    <row r="295" spans="16:18" x14ac:dyDescent="0.2">
      <c r="P295" s="138" t="s">
        <v>87</v>
      </c>
      <c r="Q295" s="139">
        <f>_xll.qlCalendarAdvance(Calendar,Q294,P295,"f")</f>
        <v>43090</v>
      </c>
      <c r="R295" s="140">
        <f>IF((ISERR(_xll.qlIndexFixing(Index,Q295,,InterestRatesTrigger))),_xll.qlIndexFixing(Index,Q295-$Q$1,,InterestRatesTrigger),_xll.qlIndexFixing(Index,Q295,,InterestRatesTrigger))</f>
        <v>7.1807817433811039E-3</v>
      </c>
    </row>
    <row r="296" spans="16:18" x14ac:dyDescent="0.2">
      <c r="P296" s="138" t="s">
        <v>87</v>
      </c>
      <c r="Q296" s="139">
        <f>_xll.qlCalendarAdvance(Calendar,Q295,P296,"f")</f>
        <v>43091</v>
      </c>
      <c r="R296" s="140">
        <f>IF((ISERR(_xll.qlIndexFixing(Index,Q296,,InterestRatesTrigger))),_xll.qlIndexFixing(Index,Q296-$Q$1,,InterestRatesTrigger),_xll.qlIndexFixing(Index,Q296,,InterestRatesTrigger))</f>
        <v>7.1809965947378096E-3</v>
      </c>
    </row>
    <row r="297" spans="16:18" x14ac:dyDescent="0.2">
      <c r="P297" s="138" t="s">
        <v>87</v>
      </c>
      <c r="Q297" s="139">
        <f>_xll.qlCalendarAdvance(Calendar,Q296,P297,"f")</f>
        <v>43095</v>
      </c>
      <c r="R297" s="140">
        <f>IF((ISERR(_xll.qlIndexFixing(Index,Q297,,InterestRatesTrigger))),_xll.qlIndexFixing(Index,Q297-$Q$1,,InterestRatesTrigger),_xll.qlIndexFixing(Index,Q297,,InterestRatesTrigger))</f>
        <v>7.1807817433811039E-3</v>
      </c>
    </row>
    <row r="298" spans="16:18" x14ac:dyDescent="0.2">
      <c r="P298" s="138" t="s">
        <v>87</v>
      </c>
      <c r="Q298" s="139">
        <f>_xll.qlCalendarAdvance(Calendar,Q297,P298,"f")</f>
        <v>43096</v>
      </c>
      <c r="R298" s="140">
        <f>IF((ISERR(_xll.qlIndexFixing(Index,Q298,,InterestRatesTrigger))),_xll.qlIndexFixing(Index,Q298-$Q$1,,InterestRatesTrigger),_xll.qlIndexFixing(Index,Q298,,InterestRatesTrigger))</f>
        <v>7.1807817434610399E-3</v>
      </c>
    </row>
    <row r="299" spans="16:18" x14ac:dyDescent="0.2">
      <c r="P299" s="138" t="s">
        <v>87</v>
      </c>
      <c r="Q299" s="139">
        <f>_xll.qlCalendarAdvance(Calendar,Q298,P299,"f")</f>
        <v>43097</v>
      </c>
      <c r="R299" s="140">
        <f>IF((ISERR(_xll.qlIndexFixing(Index,Q299,,InterestRatesTrigger))),_xll.qlIndexFixing(Index,Q299-$Q$1,,InterestRatesTrigger),_xll.qlIndexFixing(Index,Q299,,InterestRatesTrigger))</f>
        <v>7.1807817434610399E-3</v>
      </c>
    </row>
    <row r="300" spans="16:18" x14ac:dyDescent="0.2">
      <c r="P300" s="138" t="s">
        <v>87</v>
      </c>
      <c r="Q300" s="139">
        <f>_xll.qlCalendarAdvance(Calendar,Q299,P300,"f")</f>
        <v>43098</v>
      </c>
      <c r="R300" s="140">
        <f>IF((ISERR(_xll.qlIndexFixing(Index,Q300,,InterestRatesTrigger))),_xll.qlIndexFixing(Index,Q300-$Q$1,,InterestRatesTrigger),_xll.qlIndexFixing(Index,Q300,,InterestRatesTrigger))</f>
        <v>7.1809965947178256E-3</v>
      </c>
    </row>
    <row r="301" spans="16:18" x14ac:dyDescent="0.2">
      <c r="P301" s="138" t="s">
        <v>87</v>
      </c>
      <c r="Q301" s="139">
        <f>_xll.qlCalendarAdvance(Calendar,Q300,P301,"f")</f>
        <v>43102</v>
      </c>
      <c r="R301" s="140">
        <f>IF((ISERR(_xll.qlIndexFixing(Index,Q301,,InterestRatesTrigger))),_xll.qlIndexFixing(Index,Q301-$Q$1,,InterestRatesTrigger),_xll.qlIndexFixing(Index,Q301,,InterestRatesTrigger))</f>
        <v>7.1807817434610399E-3</v>
      </c>
    </row>
    <row r="302" spans="16:18" x14ac:dyDescent="0.2">
      <c r="P302" s="138" t="s">
        <v>87</v>
      </c>
      <c r="Q302" s="139">
        <f>_xll.qlCalendarAdvance(Calendar,Q301,P302,"f")</f>
        <v>43103</v>
      </c>
      <c r="R302" s="140">
        <f>IF((ISERR(_xll.qlIndexFixing(Index,Q302,,InterestRatesTrigger))),_xll.qlIndexFixing(Index,Q302-$Q$1,,InterestRatesTrigger),_xll.qlIndexFixing(Index,Q302,,InterestRatesTrigger))</f>
        <v>7.1807817434610399E-3</v>
      </c>
    </row>
    <row r="303" spans="16:18" x14ac:dyDescent="0.2">
      <c r="P303" s="138" t="s">
        <v>87</v>
      </c>
      <c r="Q303" s="139">
        <f>_xll.qlCalendarAdvance(Calendar,Q302,P303,"f")</f>
        <v>43104</v>
      </c>
      <c r="R303" s="140">
        <f>IF((ISERR(_xll.qlIndexFixing(Index,Q303,,InterestRatesTrigger))),_xll.qlIndexFixing(Index,Q303-$Q$1,,InterestRatesTrigger),_xll.qlIndexFixing(Index,Q303,,InterestRatesTrigger))</f>
        <v>7.1807817434610399E-3</v>
      </c>
    </row>
    <row r="304" spans="16:18" x14ac:dyDescent="0.2">
      <c r="P304" s="138" t="s">
        <v>87</v>
      </c>
      <c r="Q304" s="139">
        <f>_xll.qlCalendarAdvance(Calendar,Q303,P304,"f")</f>
        <v>43105</v>
      </c>
      <c r="R304" s="140">
        <f>IF((ISERR(_xll.qlIndexFixing(Index,Q304,,InterestRatesTrigger))),_xll.qlIndexFixing(Index,Q304-$Q$1,,InterestRatesTrigger),_xll.qlIndexFixing(Index,Q304,,InterestRatesTrigger))</f>
        <v>7.180924976699643E-3</v>
      </c>
    </row>
    <row r="305" spans="16:18" x14ac:dyDescent="0.2">
      <c r="P305" s="138" t="s">
        <v>87</v>
      </c>
      <c r="Q305" s="139">
        <f>_xll.qlCalendarAdvance(Calendar,Q304,P305,"f")</f>
        <v>43108</v>
      </c>
      <c r="R305" s="140">
        <f>IF((ISERR(_xll.qlIndexFixing(Index,Q305,,InterestRatesTrigger))),_xll.qlIndexFixing(Index,Q305-$Q$1,,InterestRatesTrigger),_xll.qlIndexFixing(Index,Q305,,InterestRatesTrigger))</f>
        <v>7.1807817433811039E-3</v>
      </c>
    </row>
    <row r="306" spans="16:18" x14ac:dyDescent="0.2">
      <c r="P306" s="138" t="s">
        <v>87</v>
      </c>
      <c r="Q306" s="139">
        <f>_xll.qlCalendarAdvance(Calendar,Q305,P306,"f")</f>
        <v>43109</v>
      </c>
      <c r="R306" s="140">
        <f>IF((ISERR(_xll.qlIndexFixing(Index,Q306,,InterestRatesTrigger))),_xll.qlIndexFixing(Index,Q306-$Q$1,,InterestRatesTrigger),_xll.qlIndexFixing(Index,Q306,,InterestRatesTrigger))</f>
        <v>7.1807817433811039E-3</v>
      </c>
    </row>
    <row r="307" spans="16:18" x14ac:dyDescent="0.2">
      <c r="P307" s="138" t="s">
        <v>87</v>
      </c>
      <c r="Q307" s="139">
        <f>_xll.qlCalendarAdvance(Calendar,Q306,P307,"f")</f>
        <v>43110</v>
      </c>
      <c r="R307" s="140">
        <f>IF((ISERR(_xll.qlIndexFixing(Index,Q307,,InterestRatesTrigger))),_xll.qlIndexFixing(Index,Q307-$Q$1,,InterestRatesTrigger),_xll.qlIndexFixing(Index,Q307,,InterestRatesTrigger))</f>
        <v>7.1807817434610399E-3</v>
      </c>
    </row>
    <row r="308" spans="16:18" x14ac:dyDescent="0.2">
      <c r="P308" s="138" t="s">
        <v>87</v>
      </c>
      <c r="Q308" s="139">
        <f>_xll.qlCalendarAdvance(Calendar,Q307,P308,"f")</f>
        <v>43111</v>
      </c>
      <c r="R308" s="140">
        <f>IF((ISERR(_xll.qlIndexFixing(Index,Q308,,InterestRatesTrigger))),_xll.qlIndexFixing(Index,Q308-$Q$1,,InterestRatesTrigger),_xll.qlIndexFixing(Index,Q308,,InterestRatesTrigger))</f>
        <v>7.1807817434610399E-3</v>
      </c>
    </row>
    <row r="309" spans="16:18" x14ac:dyDescent="0.2">
      <c r="P309" s="138" t="s">
        <v>87</v>
      </c>
      <c r="Q309" s="139">
        <f>_xll.qlCalendarAdvance(Calendar,Q308,P309,"f")</f>
        <v>43112</v>
      </c>
      <c r="R309" s="140">
        <f>IF((ISERR(_xll.qlIndexFixing(Index,Q309,,InterestRatesTrigger))),_xll.qlIndexFixing(Index,Q309-$Q$1,,InterestRatesTrigger),_xll.qlIndexFixing(Index,Q309,,InterestRatesTrigger))</f>
        <v>7.1809965947378096E-3</v>
      </c>
    </row>
    <row r="310" spans="16:18" x14ac:dyDescent="0.2">
      <c r="P310" s="138" t="s">
        <v>87</v>
      </c>
      <c r="Q310" s="139">
        <f>_xll.qlCalendarAdvance(Calendar,Q309,P310,"f")</f>
        <v>43116</v>
      </c>
      <c r="R310" s="140">
        <f>IF((ISERR(_xll.qlIndexFixing(Index,Q310,,InterestRatesTrigger))),_xll.qlIndexFixing(Index,Q310-$Q$1,,InterestRatesTrigger),_xll.qlIndexFixing(Index,Q310,,InterestRatesTrigger))</f>
        <v>7.1807817433811039E-3</v>
      </c>
    </row>
    <row r="311" spans="16:18" x14ac:dyDescent="0.2">
      <c r="P311" s="138" t="s">
        <v>87</v>
      </c>
      <c r="Q311" s="139">
        <f>_xll.qlCalendarAdvance(Calendar,Q310,P311,"f")</f>
        <v>43117</v>
      </c>
      <c r="R311" s="140">
        <f>IF((ISERR(_xll.qlIndexFixing(Index,Q311,,InterestRatesTrigger))),_xll.qlIndexFixing(Index,Q311-$Q$1,,InterestRatesTrigger),_xll.qlIndexFixing(Index,Q311,,InterestRatesTrigger))</f>
        <v>7.1807817434610399E-3</v>
      </c>
    </row>
    <row r="312" spans="16:18" x14ac:dyDescent="0.2">
      <c r="P312" s="138" t="s">
        <v>87</v>
      </c>
      <c r="Q312" s="139">
        <f>_xll.qlCalendarAdvance(Calendar,Q311,P312,"f")</f>
        <v>43118</v>
      </c>
      <c r="R312" s="140">
        <f>IF((ISERR(_xll.qlIndexFixing(Index,Q312,,InterestRatesTrigger))),_xll.qlIndexFixing(Index,Q312-$Q$1,,InterestRatesTrigger),_xll.qlIndexFixing(Index,Q312,,InterestRatesTrigger))</f>
        <v>7.1807817434610399E-3</v>
      </c>
    </row>
    <row r="313" spans="16:18" x14ac:dyDescent="0.2">
      <c r="P313" s="138" t="s">
        <v>87</v>
      </c>
      <c r="Q313" s="139">
        <f>_xll.qlCalendarAdvance(Calendar,Q312,P313,"f")</f>
        <v>43119</v>
      </c>
      <c r="R313" s="140">
        <f>IF((ISERR(_xll.qlIndexFixing(Index,Q313,,InterestRatesTrigger))),_xll.qlIndexFixing(Index,Q313-$Q$1,,InterestRatesTrigger),_xll.qlIndexFixing(Index,Q313,,InterestRatesTrigger))</f>
        <v>7.180924976699643E-3</v>
      </c>
    </row>
    <row r="314" spans="16:18" x14ac:dyDescent="0.2">
      <c r="P314" s="138" t="s">
        <v>87</v>
      </c>
      <c r="Q314" s="139">
        <f>_xll.qlCalendarAdvance(Calendar,Q313,P314,"f")</f>
        <v>43122</v>
      </c>
      <c r="R314" s="140">
        <f>IF((ISERR(_xll.qlIndexFixing(Index,Q314,,InterestRatesTrigger))),_xll.qlIndexFixing(Index,Q314-$Q$1,,InterestRatesTrigger),_xll.qlIndexFixing(Index,Q314,,InterestRatesTrigger))</f>
        <v>7.5098554550212526E-3</v>
      </c>
    </row>
    <row r="315" spans="16:18" x14ac:dyDescent="0.2">
      <c r="P315" s="138" t="s">
        <v>87</v>
      </c>
      <c r="Q315" s="139">
        <f>_xll.qlCalendarAdvance(Calendar,Q314,P315,"f")</f>
        <v>43123</v>
      </c>
      <c r="R315" s="140">
        <f>IF((ISERR(_xll.qlIndexFixing(Index,Q315,,InterestRatesTrigger))),_xll.qlIndexFixing(Index,Q315-$Q$1,,InterestRatesTrigger),_xll.qlIndexFixing(Index,Q315,,InterestRatesTrigger))</f>
        <v>7.5098554550212526E-3</v>
      </c>
    </row>
    <row r="316" spans="16:18" x14ac:dyDescent="0.2">
      <c r="P316" s="138" t="s">
        <v>87</v>
      </c>
      <c r="Q316" s="139">
        <f>_xll.qlCalendarAdvance(Calendar,Q315,P316,"f")</f>
        <v>43124</v>
      </c>
      <c r="R316" s="140">
        <f>IF((ISERR(_xll.qlIndexFixing(Index,Q316,,InterestRatesTrigger))),_xll.qlIndexFixing(Index,Q316-$Q$1,,InterestRatesTrigger),_xll.qlIndexFixing(Index,Q316,,InterestRatesTrigger))</f>
        <v>7.5098554550212526E-3</v>
      </c>
    </row>
    <row r="317" spans="16:18" x14ac:dyDescent="0.2">
      <c r="P317" s="138" t="s">
        <v>87</v>
      </c>
      <c r="Q317" s="139">
        <f>_xll.qlCalendarAdvance(Calendar,Q316,P317,"f")</f>
        <v>43125</v>
      </c>
      <c r="R317" s="140">
        <f>IF((ISERR(_xll.qlIndexFixing(Index,Q317,,InterestRatesTrigger))),_xll.qlIndexFixing(Index,Q317-$Q$1,,InterestRatesTrigger),_xll.qlIndexFixing(Index,Q317,,InterestRatesTrigger))</f>
        <v>7.5098554549413166E-3</v>
      </c>
    </row>
    <row r="318" spans="16:18" x14ac:dyDescent="0.2">
      <c r="P318" s="138" t="s">
        <v>87</v>
      </c>
      <c r="Q318" s="139">
        <f>_xll.qlCalendarAdvance(Calendar,Q317,P318,"f")</f>
        <v>43126</v>
      </c>
      <c r="R318" s="140">
        <f>IF((ISERR(_xll.qlIndexFixing(Index,Q318,,InterestRatesTrigger))),_xll.qlIndexFixing(Index,Q318-$Q$1,,InterestRatesTrigger),_xll.qlIndexFixing(Index,Q318,,InterestRatesTrigger))</f>
        <v>7.5100121169846545E-3</v>
      </c>
    </row>
    <row r="319" spans="16:18" x14ac:dyDescent="0.2">
      <c r="P319" s="138" t="s">
        <v>87</v>
      </c>
      <c r="Q319" s="139">
        <f>_xll.qlCalendarAdvance(Calendar,Q318,P319,"f")</f>
        <v>43129</v>
      </c>
      <c r="R319" s="140">
        <f>IF((ISERR(_xll.qlIndexFixing(Index,Q319,,InterestRatesTrigger))),_xll.qlIndexFixing(Index,Q319-$Q$1,,InterestRatesTrigger),_xll.qlIndexFixing(Index,Q319,,InterestRatesTrigger))</f>
        <v>7.5098554550212526E-3</v>
      </c>
    </row>
    <row r="320" spans="16:18" x14ac:dyDescent="0.2">
      <c r="P320" s="138" t="s">
        <v>87</v>
      </c>
      <c r="Q320" s="139">
        <f>_xll.qlCalendarAdvance(Calendar,Q319,P320,"f")</f>
        <v>43130</v>
      </c>
      <c r="R320" s="140">
        <f>IF((ISERR(_xll.qlIndexFixing(Index,Q320,,InterestRatesTrigger))),_xll.qlIndexFixing(Index,Q320-$Q$1,,InterestRatesTrigger),_xll.qlIndexFixing(Index,Q320,,InterestRatesTrigger))</f>
        <v>7.5098554550212526E-3</v>
      </c>
    </row>
    <row r="321" spans="16:18" x14ac:dyDescent="0.2">
      <c r="P321" s="138" t="s">
        <v>87</v>
      </c>
      <c r="Q321" s="139">
        <f>_xll.qlCalendarAdvance(Calendar,Q320,P321,"f")</f>
        <v>43131</v>
      </c>
      <c r="R321" s="140">
        <f>IF((ISERR(_xll.qlIndexFixing(Index,Q321,,InterestRatesTrigger))),_xll.qlIndexFixing(Index,Q321-$Q$1,,InterestRatesTrigger),_xll.qlIndexFixing(Index,Q321,,InterestRatesTrigger))</f>
        <v>7.5098554550212526E-3</v>
      </c>
    </row>
    <row r="322" spans="16:18" x14ac:dyDescent="0.2">
      <c r="P322" s="138" t="s">
        <v>87</v>
      </c>
      <c r="Q322" s="139">
        <f>_xll.qlCalendarAdvance(Calendar,Q321,P322,"f")</f>
        <v>43132</v>
      </c>
      <c r="R322" s="140">
        <f>IF((ISERR(_xll.qlIndexFixing(Index,Q322,,InterestRatesTrigger))),_xll.qlIndexFixing(Index,Q322-$Q$1,,InterestRatesTrigger),_xll.qlIndexFixing(Index,Q322,,InterestRatesTrigger))</f>
        <v>7.5098554550212526E-3</v>
      </c>
    </row>
    <row r="323" spans="16:18" x14ac:dyDescent="0.2">
      <c r="P323" s="138" t="s">
        <v>87</v>
      </c>
      <c r="Q323" s="139">
        <f>_xll.qlCalendarAdvance(Calendar,Q322,P323,"f")</f>
        <v>43133</v>
      </c>
      <c r="R323" s="140">
        <f>IF((ISERR(_xll.qlIndexFixing(Index,Q323,,InterestRatesTrigger))),_xll.qlIndexFixing(Index,Q323-$Q$1,,InterestRatesTrigger),_xll.qlIndexFixing(Index,Q323,,InterestRatesTrigger))</f>
        <v>7.5100121169846545E-3</v>
      </c>
    </row>
    <row r="324" spans="16:18" x14ac:dyDescent="0.2">
      <c r="P324" s="138" t="s">
        <v>87</v>
      </c>
      <c r="Q324" s="139">
        <f>_xll.qlCalendarAdvance(Calendar,Q323,P324,"f")</f>
        <v>43136</v>
      </c>
      <c r="R324" s="140">
        <f>IF((ISERR(_xll.qlIndexFixing(Index,Q324,,InterestRatesTrigger))),_xll.qlIndexFixing(Index,Q324-$Q$1,,InterestRatesTrigger),_xll.qlIndexFixing(Index,Q324,,InterestRatesTrigger))</f>
        <v>7.5098554550212526E-3</v>
      </c>
    </row>
    <row r="325" spans="16:18" x14ac:dyDescent="0.2">
      <c r="P325" s="138" t="s">
        <v>87</v>
      </c>
      <c r="Q325" s="139">
        <f>_xll.qlCalendarAdvance(Calendar,Q324,P325,"f")</f>
        <v>43137</v>
      </c>
      <c r="R325" s="140">
        <f>IF((ISERR(_xll.qlIndexFixing(Index,Q325,,InterestRatesTrigger))),_xll.qlIndexFixing(Index,Q325-$Q$1,,InterestRatesTrigger),_xll.qlIndexFixing(Index,Q325,,InterestRatesTrigger))</f>
        <v>7.5098554549413166E-3</v>
      </c>
    </row>
    <row r="326" spans="16:18" x14ac:dyDescent="0.2">
      <c r="P326" s="138" t="s">
        <v>87</v>
      </c>
      <c r="Q326" s="139">
        <f>_xll.qlCalendarAdvance(Calendar,Q325,P326,"f")</f>
        <v>43138</v>
      </c>
      <c r="R326" s="140">
        <f>IF((ISERR(_xll.qlIndexFixing(Index,Q326,,InterestRatesTrigger))),_xll.qlIndexFixing(Index,Q326-$Q$1,,InterestRatesTrigger),_xll.qlIndexFixing(Index,Q326,,InterestRatesTrigger))</f>
        <v>7.5098554550212526E-3</v>
      </c>
    </row>
    <row r="327" spans="16:18" x14ac:dyDescent="0.2">
      <c r="P327" s="138" t="s">
        <v>87</v>
      </c>
      <c r="Q327" s="139">
        <f>_xll.qlCalendarAdvance(Calendar,Q326,P327,"f")</f>
        <v>43139</v>
      </c>
      <c r="R327" s="140">
        <f>IF((ISERR(_xll.qlIndexFixing(Index,Q327,,InterestRatesTrigger))),_xll.qlIndexFixing(Index,Q327-$Q$1,,InterestRatesTrigger),_xll.qlIndexFixing(Index,Q327,,InterestRatesTrigger))</f>
        <v>7.5098554549413166E-3</v>
      </c>
    </row>
    <row r="328" spans="16:18" x14ac:dyDescent="0.2">
      <c r="P328" s="138" t="s">
        <v>87</v>
      </c>
      <c r="Q328" s="139">
        <f>_xll.qlCalendarAdvance(Calendar,Q327,P328,"f")</f>
        <v>43140</v>
      </c>
      <c r="R328" s="140">
        <f>IF((ISERR(_xll.qlIndexFixing(Index,Q328,,InterestRatesTrigger))),_xll.qlIndexFixing(Index,Q328-$Q$1,,InterestRatesTrigger),_xll.qlIndexFixing(Index,Q328,,InterestRatesTrigger))</f>
        <v>7.5100121169846545E-3</v>
      </c>
    </row>
    <row r="329" spans="16:18" x14ac:dyDescent="0.2">
      <c r="P329" s="138" t="s">
        <v>87</v>
      </c>
      <c r="Q329" s="139">
        <f>_xll.qlCalendarAdvance(Calendar,Q328,P329,"f")</f>
        <v>43143</v>
      </c>
      <c r="R329" s="140">
        <f>IF((ISERR(_xll.qlIndexFixing(Index,Q329,,InterestRatesTrigger))),_xll.qlIndexFixing(Index,Q329-$Q$1,,InterestRatesTrigger),_xll.qlIndexFixing(Index,Q329,,InterestRatesTrigger))</f>
        <v>7.5098554549413166E-3</v>
      </c>
    </row>
    <row r="330" spans="16:18" x14ac:dyDescent="0.2">
      <c r="P330" s="138" t="s">
        <v>87</v>
      </c>
      <c r="Q330" s="139">
        <f>_xll.qlCalendarAdvance(Calendar,Q329,P330,"f")</f>
        <v>43144</v>
      </c>
      <c r="R330" s="140">
        <f>IF((ISERR(_xll.qlIndexFixing(Index,Q330,,InterestRatesTrigger))),_xll.qlIndexFixing(Index,Q330-$Q$1,,InterestRatesTrigger),_xll.qlIndexFixing(Index,Q330,,InterestRatesTrigger))</f>
        <v>7.5098554550212526E-3</v>
      </c>
    </row>
    <row r="331" spans="16:18" x14ac:dyDescent="0.2">
      <c r="P331" s="138" t="s">
        <v>87</v>
      </c>
      <c r="Q331" s="139">
        <f>_xll.qlCalendarAdvance(Calendar,Q330,P331,"f")</f>
        <v>43145</v>
      </c>
      <c r="R331" s="140">
        <f>IF((ISERR(_xll.qlIndexFixing(Index,Q331,,InterestRatesTrigger))),_xll.qlIndexFixing(Index,Q331-$Q$1,,InterestRatesTrigger),_xll.qlIndexFixing(Index,Q331,,InterestRatesTrigger))</f>
        <v>7.5098554549413166E-3</v>
      </c>
    </row>
    <row r="332" spans="16:18" x14ac:dyDescent="0.2">
      <c r="P332" s="138" t="s">
        <v>87</v>
      </c>
      <c r="Q332" s="139">
        <f>_xll.qlCalendarAdvance(Calendar,Q331,P332,"f")</f>
        <v>43146</v>
      </c>
      <c r="R332" s="140">
        <f>IF((ISERR(_xll.qlIndexFixing(Index,Q332,,InterestRatesTrigger))),_xll.qlIndexFixing(Index,Q332-$Q$1,,InterestRatesTrigger),_xll.qlIndexFixing(Index,Q332,,InterestRatesTrigger))</f>
        <v>7.5098554550212526E-3</v>
      </c>
    </row>
    <row r="333" spans="16:18" x14ac:dyDescent="0.2">
      <c r="P333" s="138" t="s">
        <v>87</v>
      </c>
      <c r="Q333" s="139">
        <f>_xll.qlCalendarAdvance(Calendar,Q332,P333,"f")</f>
        <v>43147</v>
      </c>
      <c r="R333" s="140">
        <f>IF((ISERR(_xll.qlIndexFixing(Index,Q333,,InterestRatesTrigger))),_xll.qlIndexFixing(Index,Q333-$Q$1,,InterestRatesTrigger),_xll.qlIndexFixing(Index,Q333,,InterestRatesTrigger))</f>
        <v>7.5100904496250287E-3</v>
      </c>
    </row>
    <row r="334" spans="16:18" x14ac:dyDescent="0.2">
      <c r="P334" s="138" t="s">
        <v>87</v>
      </c>
      <c r="Q334" s="139">
        <f>_xll.qlCalendarAdvance(Calendar,Q333,P334,"f")</f>
        <v>43151</v>
      </c>
      <c r="R334" s="140">
        <f>IF((ISERR(_xll.qlIndexFixing(Index,Q334,,InterestRatesTrigger))),_xll.qlIndexFixing(Index,Q334-$Q$1,,InterestRatesTrigger),_xll.qlIndexFixing(Index,Q334,,InterestRatesTrigger))</f>
        <v>7.5098554549413166E-3</v>
      </c>
    </row>
    <row r="335" spans="16:18" x14ac:dyDescent="0.2">
      <c r="P335" s="138" t="s">
        <v>87</v>
      </c>
      <c r="Q335" s="139">
        <f>_xll.qlCalendarAdvance(Calendar,Q334,P335,"f")</f>
        <v>43152</v>
      </c>
      <c r="R335" s="140">
        <f>IF((ISERR(_xll.qlIndexFixing(Index,Q335,,InterestRatesTrigger))),_xll.qlIndexFixing(Index,Q335-$Q$1,,InterestRatesTrigger),_xll.qlIndexFixing(Index,Q335,,InterestRatesTrigger))</f>
        <v>7.5098554550212526E-3</v>
      </c>
    </row>
    <row r="336" spans="16:18" x14ac:dyDescent="0.2">
      <c r="P336" s="138" t="s">
        <v>87</v>
      </c>
      <c r="Q336" s="139">
        <f>_xll.qlCalendarAdvance(Calendar,Q335,P336,"f")</f>
        <v>43153</v>
      </c>
      <c r="R336" s="140">
        <f>IF((ISERR(_xll.qlIndexFixing(Index,Q336,,InterestRatesTrigger))),_xll.qlIndexFixing(Index,Q336-$Q$1,,InterestRatesTrigger),_xll.qlIndexFixing(Index,Q336,,InterestRatesTrigger))</f>
        <v>7.5098554550212526E-3</v>
      </c>
    </row>
    <row r="337" spans="16:18" x14ac:dyDescent="0.2">
      <c r="P337" s="138" t="s">
        <v>87</v>
      </c>
      <c r="Q337" s="139">
        <f>_xll.qlCalendarAdvance(Calendar,Q336,P337,"f")</f>
        <v>43154</v>
      </c>
      <c r="R337" s="140">
        <f>IF((ISERR(_xll.qlIndexFixing(Index,Q337,,InterestRatesTrigger))),_xll.qlIndexFixing(Index,Q337-$Q$1,,InterestRatesTrigger),_xll.qlIndexFixing(Index,Q337,,InterestRatesTrigger))</f>
        <v>7.5100121169846545E-3</v>
      </c>
    </row>
    <row r="338" spans="16:18" x14ac:dyDescent="0.2">
      <c r="P338" s="138" t="s">
        <v>87</v>
      </c>
      <c r="Q338" s="139">
        <f>_xll.qlCalendarAdvance(Calendar,Q337,P338,"f")</f>
        <v>43157</v>
      </c>
      <c r="R338" s="140">
        <f>IF((ISERR(_xll.qlIndexFixing(Index,Q338,,InterestRatesTrigger))),_xll.qlIndexFixing(Index,Q338-$Q$1,,InterestRatesTrigger),_xll.qlIndexFixing(Index,Q338,,InterestRatesTrigger))</f>
        <v>7.5098554549413166E-3</v>
      </c>
    </row>
    <row r="339" spans="16:18" x14ac:dyDescent="0.2">
      <c r="P339" s="138" t="s">
        <v>87</v>
      </c>
      <c r="Q339" s="139">
        <f>_xll.qlCalendarAdvance(Calendar,Q338,P339,"f")</f>
        <v>43158</v>
      </c>
      <c r="R339" s="140">
        <f>IF((ISERR(_xll.qlIndexFixing(Index,Q339,,InterestRatesTrigger))),_xll.qlIndexFixing(Index,Q339-$Q$1,,InterestRatesTrigger),_xll.qlIndexFixing(Index,Q339,,InterestRatesTrigger))</f>
        <v>7.5098554550212526E-3</v>
      </c>
    </row>
    <row r="340" spans="16:18" x14ac:dyDescent="0.2">
      <c r="P340" s="138" t="s">
        <v>87</v>
      </c>
      <c r="Q340" s="139">
        <f>_xll.qlCalendarAdvance(Calendar,Q339,P340,"f")</f>
        <v>43159</v>
      </c>
      <c r="R340" s="140">
        <f>IF((ISERR(_xll.qlIndexFixing(Index,Q340,,InterestRatesTrigger))),_xll.qlIndexFixing(Index,Q340-$Q$1,,InterestRatesTrigger),_xll.qlIndexFixing(Index,Q340,,InterestRatesTrigger))</f>
        <v>7.5098554550212526E-3</v>
      </c>
    </row>
    <row r="341" spans="16:18" x14ac:dyDescent="0.2">
      <c r="P341" s="138" t="s">
        <v>87</v>
      </c>
      <c r="Q341" s="139">
        <f>_xll.qlCalendarAdvance(Calendar,Q340,P341,"f")</f>
        <v>43160</v>
      </c>
      <c r="R341" s="140">
        <f>IF((ISERR(_xll.qlIndexFixing(Index,Q341,,InterestRatesTrigger))),_xll.qlIndexFixing(Index,Q341-$Q$1,,InterestRatesTrigger),_xll.qlIndexFixing(Index,Q341,,InterestRatesTrigger))</f>
        <v>7.5098554549413166E-3</v>
      </c>
    </row>
    <row r="342" spans="16:18" x14ac:dyDescent="0.2">
      <c r="P342" s="138" t="s">
        <v>87</v>
      </c>
      <c r="Q342" s="139">
        <f>_xll.qlCalendarAdvance(Calendar,Q341,P342,"f")</f>
        <v>43161</v>
      </c>
      <c r="R342" s="140">
        <f>IF((ISERR(_xll.qlIndexFixing(Index,Q342,,InterestRatesTrigger))),_xll.qlIndexFixing(Index,Q342-$Q$1,,InterestRatesTrigger),_xll.qlIndexFixing(Index,Q342,,InterestRatesTrigger))</f>
        <v>7.5100121169846545E-3</v>
      </c>
    </row>
    <row r="343" spans="16:18" x14ac:dyDescent="0.2">
      <c r="P343" s="138" t="s">
        <v>87</v>
      </c>
      <c r="Q343" s="139">
        <f>_xll.qlCalendarAdvance(Calendar,Q342,P343,"f")</f>
        <v>43164</v>
      </c>
      <c r="R343" s="140">
        <f>IF((ISERR(_xll.qlIndexFixing(Index,Q343,,InterestRatesTrigger))),_xll.qlIndexFixing(Index,Q343-$Q$1,,InterestRatesTrigger),_xll.qlIndexFixing(Index,Q343,,InterestRatesTrigger))</f>
        <v>7.5098554550212526E-3</v>
      </c>
    </row>
    <row r="344" spans="16:18" x14ac:dyDescent="0.2">
      <c r="P344" s="138" t="s">
        <v>87</v>
      </c>
      <c r="Q344" s="139">
        <f>_xll.qlCalendarAdvance(Calendar,Q343,P344,"f")</f>
        <v>43165</v>
      </c>
      <c r="R344" s="140">
        <f>IF((ISERR(_xll.qlIndexFixing(Index,Q344,,InterestRatesTrigger))),_xll.qlIndexFixing(Index,Q344-$Q$1,,InterestRatesTrigger),_xll.qlIndexFixing(Index,Q344,,InterestRatesTrigger))</f>
        <v>7.5098554549413166E-3</v>
      </c>
    </row>
    <row r="345" spans="16:18" x14ac:dyDescent="0.2">
      <c r="P345" s="138" t="s">
        <v>87</v>
      </c>
      <c r="Q345" s="139">
        <f>_xll.qlCalendarAdvance(Calendar,Q344,P345,"f")</f>
        <v>43166</v>
      </c>
      <c r="R345" s="140">
        <f>IF((ISERR(_xll.qlIndexFixing(Index,Q345,,InterestRatesTrigger))),_xll.qlIndexFixing(Index,Q345-$Q$1,,InterestRatesTrigger),_xll.qlIndexFixing(Index,Q345,,InterestRatesTrigger))</f>
        <v>7.5098554550212526E-3</v>
      </c>
    </row>
    <row r="346" spans="16:18" x14ac:dyDescent="0.2">
      <c r="P346" s="138" t="s">
        <v>87</v>
      </c>
      <c r="Q346" s="139">
        <f>_xll.qlCalendarAdvance(Calendar,Q345,P346,"f")</f>
        <v>43167</v>
      </c>
      <c r="R346" s="140">
        <f>IF((ISERR(_xll.qlIndexFixing(Index,Q346,,InterestRatesTrigger))),_xll.qlIndexFixing(Index,Q346-$Q$1,,InterestRatesTrigger),_xll.qlIndexFixing(Index,Q346,,InterestRatesTrigger))</f>
        <v>7.5098554549413166E-3</v>
      </c>
    </row>
    <row r="347" spans="16:18" x14ac:dyDescent="0.2">
      <c r="P347" s="138" t="s">
        <v>87</v>
      </c>
      <c r="Q347" s="139">
        <f>_xll.qlCalendarAdvance(Calendar,Q346,P347,"f")</f>
        <v>43168</v>
      </c>
      <c r="R347" s="140">
        <f>IF((ISERR(_xll.qlIndexFixing(Index,Q347,,InterestRatesTrigger))),_xll.qlIndexFixing(Index,Q347-$Q$1,,InterestRatesTrigger),_xll.qlIndexFixing(Index,Q347,,InterestRatesTrigger))</f>
        <v>7.5100121169846545E-3</v>
      </c>
    </row>
    <row r="348" spans="16:18" x14ac:dyDescent="0.2">
      <c r="P348" s="138" t="s">
        <v>87</v>
      </c>
      <c r="Q348" s="139">
        <f>_xll.qlCalendarAdvance(Calendar,Q347,P348,"f")</f>
        <v>43171</v>
      </c>
      <c r="R348" s="140">
        <f>IF((ISERR(_xll.qlIndexFixing(Index,Q348,,InterestRatesTrigger))),_xll.qlIndexFixing(Index,Q348-$Q$1,,InterestRatesTrigger),_xll.qlIndexFixing(Index,Q348,,InterestRatesTrigger))</f>
        <v>7.5098554550212526E-3</v>
      </c>
    </row>
    <row r="349" spans="16:18" x14ac:dyDescent="0.2">
      <c r="P349" s="138" t="s">
        <v>87</v>
      </c>
      <c r="Q349" s="139">
        <f>_xll.qlCalendarAdvance(Calendar,Q348,P349,"f")</f>
        <v>43172</v>
      </c>
      <c r="R349" s="140">
        <f>IF((ISERR(_xll.qlIndexFixing(Index,Q349,,InterestRatesTrigger))),_xll.qlIndexFixing(Index,Q349-$Q$1,,InterestRatesTrigger),_xll.qlIndexFixing(Index,Q349,,InterestRatesTrigger))</f>
        <v>7.5098554549413166E-3</v>
      </c>
    </row>
    <row r="350" spans="16:18" x14ac:dyDescent="0.2">
      <c r="P350" s="138" t="s">
        <v>87</v>
      </c>
      <c r="Q350" s="139">
        <f>_xll.qlCalendarAdvance(Calendar,Q349,P350,"f")</f>
        <v>43173</v>
      </c>
      <c r="R350" s="140">
        <f>IF((ISERR(_xll.qlIndexFixing(Index,Q350,,InterestRatesTrigger))),_xll.qlIndexFixing(Index,Q350-$Q$1,,InterestRatesTrigger),_xll.qlIndexFixing(Index,Q350,,InterestRatesTrigger))</f>
        <v>7.5098554550212526E-3</v>
      </c>
    </row>
    <row r="351" spans="16:18" x14ac:dyDescent="0.2">
      <c r="P351" s="138" t="s">
        <v>87</v>
      </c>
      <c r="Q351" s="139">
        <f>_xll.qlCalendarAdvance(Calendar,Q350,P351,"f")</f>
        <v>43174</v>
      </c>
      <c r="R351" s="140">
        <f>IF((ISERR(_xll.qlIndexFixing(Index,Q351,,InterestRatesTrigger))),_xll.qlIndexFixing(Index,Q351-$Q$1,,InterestRatesTrigger),_xll.qlIndexFixing(Index,Q351,,InterestRatesTrigger))</f>
        <v>7.5098554549413166E-3</v>
      </c>
    </row>
    <row r="352" spans="16:18" x14ac:dyDescent="0.2">
      <c r="P352" s="138" t="s">
        <v>87</v>
      </c>
      <c r="Q352" s="139">
        <f>_xll.qlCalendarAdvance(Calendar,Q351,P352,"f")</f>
        <v>43175</v>
      </c>
      <c r="R352" s="140">
        <f>IF((ISERR(_xll.qlIndexFixing(Index,Q352,,InterestRatesTrigger))),_xll.qlIndexFixing(Index,Q352-$Q$1,,InterestRatesTrigger),_xll.qlIndexFixing(Index,Q352,,InterestRatesTrigger))</f>
        <v>7.5100121169846545E-3</v>
      </c>
    </row>
    <row r="353" spans="16:18" x14ac:dyDescent="0.2">
      <c r="P353" s="138" t="s">
        <v>87</v>
      </c>
      <c r="Q353" s="139">
        <f>_xll.qlCalendarAdvance(Calendar,Q352,P353,"f")</f>
        <v>43178</v>
      </c>
      <c r="R353" s="140">
        <f>IF((ISERR(_xll.qlIndexFixing(Index,Q353,,InterestRatesTrigger))),_xll.qlIndexFixing(Index,Q353-$Q$1,,InterestRatesTrigger),_xll.qlIndexFixing(Index,Q353,,InterestRatesTrigger))</f>
        <v>7.5098554550212526E-3</v>
      </c>
    </row>
    <row r="354" spans="16:18" x14ac:dyDescent="0.2">
      <c r="P354" s="138" t="s">
        <v>87</v>
      </c>
      <c r="Q354" s="139">
        <f>_xll.qlCalendarAdvance(Calendar,Q353,P354,"f")</f>
        <v>43179</v>
      </c>
      <c r="R354" s="140">
        <f>IF((ISERR(_xll.qlIndexFixing(Index,Q354,,InterestRatesTrigger))),_xll.qlIndexFixing(Index,Q354-$Q$1,,InterestRatesTrigger),_xll.qlIndexFixing(Index,Q354,,InterestRatesTrigger))</f>
        <v>7.5098554549413166E-3</v>
      </c>
    </row>
    <row r="355" spans="16:18" x14ac:dyDescent="0.2">
      <c r="P355" s="138" t="s">
        <v>87</v>
      </c>
      <c r="Q355" s="139">
        <f>_xll.qlCalendarAdvance(Calendar,Q354,P355,"f")</f>
        <v>43180</v>
      </c>
      <c r="R355" s="140">
        <f>IF((ISERR(_xll.qlIndexFixing(Index,Q355,,InterestRatesTrigger))),_xll.qlIndexFixing(Index,Q355-$Q$1,,InterestRatesTrigger),_xll.qlIndexFixing(Index,Q355,,InterestRatesTrigger))</f>
        <v>7.5098554550212526E-3</v>
      </c>
    </row>
    <row r="356" spans="16:18" x14ac:dyDescent="0.2">
      <c r="P356" s="138" t="s">
        <v>87</v>
      </c>
      <c r="Q356" s="139">
        <f>_xll.qlCalendarAdvance(Calendar,Q355,P356,"f")</f>
        <v>43181</v>
      </c>
      <c r="R356" s="140">
        <f>IF((ISERR(_xll.qlIndexFixing(Index,Q356,,InterestRatesTrigger))),_xll.qlIndexFixing(Index,Q356-$Q$1,,InterestRatesTrigger),_xll.qlIndexFixing(Index,Q356,,InterestRatesTrigger))</f>
        <v>7.5098554550212526E-3</v>
      </c>
    </row>
    <row r="357" spans="16:18" x14ac:dyDescent="0.2">
      <c r="P357" s="138" t="s">
        <v>87</v>
      </c>
      <c r="Q357" s="139">
        <f>_xll.qlCalendarAdvance(Calendar,Q356,P357,"f")</f>
        <v>43182</v>
      </c>
      <c r="R357" s="140">
        <f>IF((ISERR(_xll.qlIndexFixing(Index,Q357,,InterestRatesTrigger))),_xll.qlIndexFixing(Index,Q357-$Q$1,,InterestRatesTrigger),_xll.qlIndexFixing(Index,Q357,,InterestRatesTrigger))</f>
        <v>7.5100121169846545E-3</v>
      </c>
    </row>
    <row r="358" spans="16:18" x14ac:dyDescent="0.2">
      <c r="P358" s="138" t="s">
        <v>87</v>
      </c>
      <c r="Q358" s="139">
        <f>_xll.qlCalendarAdvance(Calendar,Q357,P358,"f")</f>
        <v>43185</v>
      </c>
      <c r="R358" s="140">
        <f>IF((ISERR(_xll.qlIndexFixing(Index,Q358,,InterestRatesTrigger))),_xll.qlIndexFixing(Index,Q358-$Q$1,,InterestRatesTrigger),_xll.qlIndexFixing(Index,Q358,,InterestRatesTrigger))</f>
        <v>7.5098554550212526E-3</v>
      </c>
    </row>
    <row r="359" spans="16:18" x14ac:dyDescent="0.2">
      <c r="P359" s="138" t="s">
        <v>87</v>
      </c>
      <c r="Q359" s="139">
        <f>_xll.qlCalendarAdvance(Calendar,Q358,P359,"f")</f>
        <v>43186</v>
      </c>
      <c r="R359" s="140">
        <f>IF((ISERR(_xll.qlIndexFixing(Index,Q359,,InterestRatesTrigger))),_xll.qlIndexFixing(Index,Q359-$Q$1,,InterestRatesTrigger),_xll.qlIndexFixing(Index,Q359,,InterestRatesTrigger))</f>
        <v>7.5098554549413166E-3</v>
      </c>
    </row>
    <row r="360" spans="16:18" x14ac:dyDescent="0.2">
      <c r="P360" s="138" t="s">
        <v>87</v>
      </c>
      <c r="Q360" s="139">
        <f>_xll.qlCalendarAdvance(Calendar,Q359,P360,"f")</f>
        <v>43187</v>
      </c>
      <c r="R360" s="140">
        <f>IF((ISERR(_xll.qlIndexFixing(Index,Q360,,InterestRatesTrigger))),_xll.qlIndexFixing(Index,Q360-$Q$1,,InterestRatesTrigger),_xll.qlIndexFixing(Index,Q360,,InterestRatesTrigger))</f>
        <v>7.5098554549413166E-3</v>
      </c>
    </row>
    <row r="361" spans="16:18" x14ac:dyDescent="0.2">
      <c r="P361" s="138" t="s">
        <v>87</v>
      </c>
      <c r="Q361" s="139">
        <f>_xll.qlCalendarAdvance(Calendar,Q360,P361,"f")</f>
        <v>43188</v>
      </c>
      <c r="R361" s="140">
        <f>IF((ISERR(_xll.qlIndexFixing(Index,Q361,,InterestRatesTrigger))),_xll.qlIndexFixing(Index,Q361-$Q$1,,InterestRatesTrigger),_xll.qlIndexFixing(Index,Q361,,InterestRatesTrigger))</f>
        <v>7.5098554550212526E-3</v>
      </c>
    </row>
    <row r="362" spans="16:18" x14ac:dyDescent="0.2">
      <c r="P362" s="138" t="s">
        <v>87</v>
      </c>
      <c r="Q362" s="139">
        <f>_xll.qlCalendarAdvance(Calendar,Q361,P362,"f")</f>
        <v>43189</v>
      </c>
      <c r="R362" s="140">
        <f>IF((ISERR(_xll.qlIndexFixing(Index,Q362,,InterestRatesTrigger))),_xll.qlIndexFixing(Index,Q362-$Q$1,,InterestRatesTrigger),_xll.qlIndexFixing(Index,Q362,,InterestRatesTrigger))</f>
        <v>7.5100121169846545E-3</v>
      </c>
    </row>
    <row r="363" spans="16:18" x14ac:dyDescent="0.2">
      <c r="P363" s="138" t="s">
        <v>87</v>
      </c>
      <c r="Q363" s="139">
        <f>_xll.qlCalendarAdvance(Calendar,Q362,P363,"f")</f>
        <v>43192</v>
      </c>
      <c r="R363" s="140">
        <f>IF((ISERR(_xll.qlIndexFixing(Index,Q363,,InterestRatesTrigger))),_xll.qlIndexFixing(Index,Q363-$Q$1,,InterestRatesTrigger),_xll.qlIndexFixing(Index,Q363,,InterestRatesTrigger))</f>
        <v>7.5098554550212526E-3</v>
      </c>
    </row>
    <row r="364" spans="16:18" x14ac:dyDescent="0.2">
      <c r="P364" s="138" t="s">
        <v>87</v>
      </c>
      <c r="Q364" s="139">
        <f>_xll.qlCalendarAdvance(Calendar,Q363,P364,"f")</f>
        <v>43193</v>
      </c>
      <c r="R364" s="140">
        <f>IF((ISERR(_xll.qlIndexFixing(Index,Q364,,InterestRatesTrigger))),_xll.qlIndexFixing(Index,Q364-$Q$1,,InterestRatesTrigger),_xll.qlIndexFixing(Index,Q364,,InterestRatesTrigger))</f>
        <v>7.5098554550212526E-3</v>
      </c>
    </row>
    <row r="365" spans="16:18" x14ac:dyDescent="0.2">
      <c r="P365" s="138" t="s">
        <v>87</v>
      </c>
      <c r="Q365" s="139">
        <f>_xll.qlCalendarAdvance(Calendar,Q364,P365,"f")</f>
        <v>43194</v>
      </c>
      <c r="R365" s="140">
        <f>IF((ISERR(_xll.qlIndexFixing(Index,Q365,,InterestRatesTrigger))),_xll.qlIndexFixing(Index,Q365-$Q$1,,InterestRatesTrigger),_xll.qlIndexFixing(Index,Q365,,InterestRatesTrigger))</f>
        <v>7.5098554549413166E-3</v>
      </c>
    </row>
    <row r="366" spans="16:18" x14ac:dyDescent="0.2">
      <c r="P366" s="138" t="s">
        <v>87</v>
      </c>
      <c r="Q366" s="139">
        <f>_xll.qlCalendarAdvance(Calendar,Q365,P366,"f")</f>
        <v>43195</v>
      </c>
      <c r="R366" s="140">
        <f>IF((ISERR(_xll.qlIndexFixing(Index,Q366,,InterestRatesTrigger))),_xll.qlIndexFixing(Index,Q366-$Q$1,,InterestRatesTrigger),_xll.qlIndexFixing(Index,Q366,,InterestRatesTrigger))</f>
        <v>7.5098554549413166E-3</v>
      </c>
    </row>
    <row r="367" spans="16:18" x14ac:dyDescent="0.2">
      <c r="P367" s="138" t="s">
        <v>87</v>
      </c>
      <c r="Q367" s="139">
        <f>_xll.qlCalendarAdvance(Calendar,Q366,P367,"f")</f>
        <v>43196</v>
      </c>
      <c r="R367" s="140">
        <f>IF((ISERR(_xll.qlIndexFixing(Index,Q367,,InterestRatesTrigger))),_xll.qlIndexFixing(Index,Q367-$Q$1,,InterestRatesTrigger),_xll.qlIndexFixing(Index,Q367,,InterestRatesTrigger))</f>
        <v>7.5100121169846545E-3</v>
      </c>
    </row>
    <row r="368" spans="16:18" x14ac:dyDescent="0.2">
      <c r="P368" s="138" t="s">
        <v>87</v>
      </c>
      <c r="Q368" s="139">
        <f>_xll.qlCalendarAdvance(Calendar,Q367,P368,"f")</f>
        <v>43199</v>
      </c>
      <c r="R368" s="140">
        <f>IF((ISERR(_xll.qlIndexFixing(Index,Q368,,InterestRatesTrigger))),_xll.qlIndexFixing(Index,Q368-$Q$1,,InterestRatesTrigger),_xll.qlIndexFixing(Index,Q368,,InterestRatesTrigger))</f>
        <v>7.5098554549413166E-3</v>
      </c>
    </row>
    <row r="369" spans="16:18" x14ac:dyDescent="0.2">
      <c r="P369" s="138" t="s">
        <v>87</v>
      </c>
      <c r="Q369" s="139">
        <f>_xll.qlCalendarAdvance(Calendar,Q368,P369,"f")</f>
        <v>43200</v>
      </c>
      <c r="R369" s="140">
        <f>IF((ISERR(_xll.qlIndexFixing(Index,Q369,,InterestRatesTrigger))),_xll.qlIndexFixing(Index,Q369-$Q$1,,InterestRatesTrigger),_xll.qlIndexFixing(Index,Q369,,InterestRatesTrigger))</f>
        <v>7.5098554550212526E-3</v>
      </c>
    </row>
    <row r="370" spans="16:18" x14ac:dyDescent="0.2">
      <c r="P370" s="138" t="s">
        <v>87</v>
      </c>
      <c r="Q370" s="139">
        <f>_xll.qlCalendarAdvance(Calendar,Q369,P370,"f")</f>
        <v>43201</v>
      </c>
      <c r="R370" s="140">
        <f>IF((ISERR(_xll.qlIndexFixing(Index,Q370,,InterestRatesTrigger))),_xll.qlIndexFixing(Index,Q370-$Q$1,,InterestRatesTrigger),_xll.qlIndexFixing(Index,Q370,,InterestRatesTrigger))</f>
        <v>7.5098554550212526E-3</v>
      </c>
    </row>
    <row r="371" spans="16:18" x14ac:dyDescent="0.2">
      <c r="P371" s="138" t="s">
        <v>87</v>
      </c>
      <c r="Q371" s="139">
        <f>_xll.qlCalendarAdvance(Calendar,Q370,P371,"f")</f>
        <v>43202</v>
      </c>
      <c r="R371" s="140">
        <f>IF((ISERR(_xll.qlIndexFixing(Index,Q371,,InterestRatesTrigger))),_xll.qlIndexFixing(Index,Q371-$Q$1,,InterestRatesTrigger),_xll.qlIndexFixing(Index,Q371,,InterestRatesTrigger))</f>
        <v>7.5098554550212526E-3</v>
      </c>
    </row>
    <row r="372" spans="16:18" x14ac:dyDescent="0.2">
      <c r="P372" s="138" t="s">
        <v>87</v>
      </c>
      <c r="Q372" s="139">
        <f>_xll.qlCalendarAdvance(Calendar,Q371,P372,"f")</f>
        <v>43203</v>
      </c>
      <c r="R372" s="140">
        <f>IF((ISERR(_xll.qlIndexFixing(Index,Q372,,InterestRatesTrigger))),_xll.qlIndexFixing(Index,Q372-$Q$1,,InterestRatesTrigger),_xll.qlIndexFixing(Index,Q372,,InterestRatesTrigger))</f>
        <v>7.5100121169846545E-3</v>
      </c>
    </row>
    <row r="373" spans="16:18" x14ac:dyDescent="0.2">
      <c r="P373" s="138" t="s">
        <v>87</v>
      </c>
      <c r="Q373" s="139">
        <f>_xll.qlCalendarAdvance(Calendar,Q372,P373,"f")</f>
        <v>43206</v>
      </c>
      <c r="R373" s="140">
        <f>IF((ISERR(_xll.qlIndexFixing(Index,Q373,,InterestRatesTrigger))),_xll.qlIndexFixing(Index,Q373-$Q$1,,InterestRatesTrigger),_xll.qlIndexFixing(Index,Q373,,InterestRatesTrigger))</f>
        <v>7.5098554550212526E-3</v>
      </c>
    </row>
    <row r="374" spans="16:18" x14ac:dyDescent="0.2">
      <c r="P374" s="138" t="s">
        <v>87</v>
      </c>
      <c r="Q374" s="139">
        <f>_xll.qlCalendarAdvance(Calendar,Q373,P374,"f")</f>
        <v>43207</v>
      </c>
      <c r="R374" s="140">
        <f>IF((ISERR(_xll.qlIndexFixing(Index,Q374,,InterestRatesTrigger))),_xll.qlIndexFixing(Index,Q374-$Q$1,,InterestRatesTrigger),_xll.qlIndexFixing(Index,Q374,,InterestRatesTrigger))</f>
        <v>7.5098554550212526E-3</v>
      </c>
    </row>
    <row r="375" spans="16:18" x14ac:dyDescent="0.2">
      <c r="P375" s="138" t="s">
        <v>87</v>
      </c>
      <c r="Q375" s="139">
        <f>_xll.qlCalendarAdvance(Calendar,Q374,P375,"f")</f>
        <v>43208</v>
      </c>
      <c r="R375" s="140">
        <f>IF((ISERR(_xll.qlIndexFixing(Index,Q375,,InterestRatesTrigger))),_xll.qlIndexFixing(Index,Q375-$Q$1,,InterestRatesTrigger),_xll.qlIndexFixing(Index,Q375,,InterestRatesTrigger))</f>
        <v>7.5098554549413166E-3</v>
      </c>
    </row>
    <row r="376" spans="16:18" x14ac:dyDescent="0.2">
      <c r="P376" s="138" t="s">
        <v>87</v>
      </c>
      <c r="Q376" s="139">
        <f>_xll.qlCalendarAdvance(Calendar,Q375,P376,"f")</f>
        <v>43209</v>
      </c>
      <c r="R376" s="140">
        <f>IF((ISERR(_xll.qlIndexFixing(Index,Q376,,InterestRatesTrigger))),_xll.qlIndexFixing(Index,Q376-$Q$1,,InterestRatesTrigger),_xll.qlIndexFixing(Index,Q376,,InterestRatesTrigger))</f>
        <v>7.5098554550212526E-3</v>
      </c>
    </row>
    <row r="377" spans="16:18" x14ac:dyDescent="0.2">
      <c r="P377" s="138" t="s">
        <v>87</v>
      </c>
      <c r="Q377" s="139">
        <f>_xll.qlCalendarAdvance(Calendar,Q376,P377,"f")</f>
        <v>43210</v>
      </c>
      <c r="R377" s="140">
        <f>IF((ISERR(_xll.qlIndexFixing(Index,Q377,,InterestRatesTrigger))),_xll.qlIndexFixing(Index,Q377-$Q$1,,InterestRatesTrigger),_xll.qlIndexFixing(Index,Q377,,InterestRatesTrigger))</f>
        <v>7.5100121169580092E-3</v>
      </c>
    </row>
    <row r="378" spans="16:18" x14ac:dyDescent="0.2">
      <c r="P378" s="138" t="s">
        <v>87</v>
      </c>
      <c r="Q378" s="139">
        <f>_xll.qlCalendarAdvance(Calendar,Q377,P378,"f")</f>
        <v>43213</v>
      </c>
      <c r="R378" s="140">
        <f>IF((ISERR(_xll.qlIndexFixing(Index,Q378,,InterestRatesTrigger))),_xll.qlIndexFixing(Index,Q378-$Q$1,,InterestRatesTrigger),_xll.qlIndexFixing(Index,Q378,,InterestRatesTrigger))</f>
        <v>7.8203797971809763E-3</v>
      </c>
    </row>
    <row r="379" spans="16:18" x14ac:dyDescent="0.2">
      <c r="P379" s="138" t="s">
        <v>87</v>
      </c>
      <c r="Q379" s="139">
        <f>_xll.qlCalendarAdvance(Calendar,Q378,P379,"f")</f>
        <v>43214</v>
      </c>
      <c r="R379" s="140">
        <f>IF((ISERR(_xll.qlIndexFixing(Index,Q379,,InterestRatesTrigger))),_xll.qlIndexFixing(Index,Q379-$Q$1,,InterestRatesTrigger),_xll.qlIndexFixing(Index,Q379,,InterestRatesTrigger))</f>
        <v>7.8203797971010403E-3</v>
      </c>
    </row>
    <row r="380" spans="16:18" x14ac:dyDescent="0.2">
      <c r="P380" s="138" t="s">
        <v>87</v>
      </c>
      <c r="Q380" s="139">
        <f>_xll.qlCalendarAdvance(Calendar,Q379,P380,"f")</f>
        <v>43215</v>
      </c>
      <c r="R380" s="140">
        <f>IF((ISERR(_xll.qlIndexFixing(Index,Q380,,InterestRatesTrigger))),_xll.qlIndexFixing(Index,Q380-$Q$1,,InterestRatesTrigger),_xll.qlIndexFixing(Index,Q380,,InterestRatesTrigger))</f>
        <v>7.8203797971010403E-3</v>
      </c>
    </row>
    <row r="381" spans="16:18" x14ac:dyDescent="0.2">
      <c r="P381" s="138" t="s">
        <v>87</v>
      </c>
      <c r="Q381" s="139">
        <f>_xll.qlCalendarAdvance(Calendar,Q380,P381,"f")</f>
        <v>43216</v>
      </c>
      <c r="R381" s="140">
        <f>IF((ISERR(_xll.qlIndexFixing(Index,Q381,,InterestRatesTrigger))),_xll.qlIndexFixing(Index,Q381-$Q$1,,InterestRatesTrigger),_xll.qlIndexFixing(Index,Q381,,InterestRatesTrigger))</f>
        <v>7.8203797971010403E-3</v>
      </c>
    </row>
    <row r="382" spans="16:18" x14ac:dyDescent="0.2">
      <c r="P382" s="138" t="s">
        <v>87</v>
      </c>
      <c r="Q382" s="139">
        <f>_xll.qlCalendarAdvance(Calendar,Q381,P382,"f")</f>
        <v>43217</v>
      </c>
      <c r="R382" s="140">
        <f>IF((ISERR(_xll.qlIndexFixing(Index,Q382,,InterestRatesTrigger))),_xll.qlIndexFixing(Index,Q382-$Q$1,,InterestRatesTrigger),_xll.qlIndexFixing(Index,Q382,,InterestRatesTrigger))</f>
        <v>7.820549682620026E-3</v>
      </c>
    </row>
    <row r="383" spans="16:18" x14ac:dyDescent="0.2">
      <c r="P383" s="138" t="s">
        <v>87</v>
      </c>
      <c r="Q383" s="139">
        <f>_xll.qlCalendarAdvance(Calendar,Q382,P383,"f")</f>
        <v>43220</v>
      </c>
      <c r="R383" s="140">
        <f>IF((ISERR(_xll.qlIndexFixing(Index,Q383,,InterestRatesTrigger))),_xll.qlIndexFixing(Index,Q383-$Q$1,,InterestRatesTrigger),_xll.qlIndexFixing(Index,Q383,,InterestRatesTrigger))</f>
        <v>7.8203797971010403E-3</v>
      </c>
    </row>
    <row r="384" spans="16:18" x14ac:dyDescent="0.2">
      <c r="P384" s="138" t="s">
        <v>87</v>
      </c>
      <c r="Q384" s="139">
        <f>_xll.qlCalendarAdvance(Calendar,Q383,P384,"f")</f>
        <v>43221</v>
      </c>
      <c r="R384" s="140">
        <f>IF((ISERR(_xll.qlIndexFixing(Index,Q384,,InterestRatesTrigger))),_xll.qlIndexFixing(Index,Q384-$Q$1,,InterestRatesTrigger),_xll.qlIndexFixing(Index,Q384,,InterestRatesTrigger))</f>
        <v>7.8203797971809763E-3</v>
      </c>
    </row>
    <row r="385" spans="16:18" x14ac:dyDescent="0.2">
      <c r="P385" s="138" t="s">
        <v>87</v>
      </c>
      <c r="Q385" s="139">
        <f>_xll.qlCalendarAdvance(Calendar,Q384,P385,"f")</f>
        <v>43222</v>
      </c>
      <c r="R385" s="140">
        <f>IF((ISERR(_xll.qlIndexFixing(Index,Q385,,InterestRatesTrigger))),_xll.qlIndexFixing(Index,Q385-$Q$1,,InterestRatesTrigger),_xll.qlIndexFixing(Index,Q385,,InterestRatesTrigger))</f>
        <v>7.8203797971010403E-3</v>
      </c>
    </row>
    <row r="386" spans="16:18" x14ac:dyDescent="0.2">
      <c r="P386" s="138" t="s">
        <v>87</v>
      </c>
      <c r="Q386" s="139">
        <f>_xll.qlCalendarAdvance(Calendar,Q385,P386,"f")</f>
        <v>43223</v>
      </c>
      <c r="R386" s="140">
        <f>IF((ISERR(_xll.qlIndexFixing(Index,Q386,,InterestRatesTrigger))),_xll.qlIndexFixing(Index,Q386-$Q$1,,InterestRatesTrigger),_xll.qlIndexFixing(Index,Q386,,InterestRatesTrigger))</f>
        <v>7.8203797971010403E-3</v>
      </c>
    </row>
    <row r="387" spans="16:18" x14ac:dyDescent="0.2">
      <c r="P387" s="138" t="s">
        <v>87</v>
      </c>
      <c r="Q387" s="139">
        <f>_xll.qlCalendarAdvance(Calendar,Q386,P387,"f")</f>
        <v>43224</v>
      </c>
      <c r="R387" s="140">
        <f>IF((ISERR(_xll.qlIndexFixing(Index,Q387,,InterestRatesTrigger))),_xll.qlIndexFixing(Index,Q387-$Q$1,,InterestRatesTrigger),_xll.qlIndexFixing(Index,Q387,,InterestRatesTrigger))</f>
        <v>7.8205496825933807E-3</v>
      </c>
    </row>
    <row r="388" spans="16:18" x14ac:dyDescent="0.2">
      <c r="P388" s="138" t="s">
        <v>87</v>
      </c>
      <c r="Q388" s="139">
        <f>_xll.qlCalendarAdvance(Calendar,Q387,P388,"f")</f>
        <v>43227</v>
      </c>
      <c r="R388" s="140">
        <f>IF((ISERR(_xll.qlIndexFixing(Index,Q388,,InterestRatesTrigger))),_xll.qlIndexFixing(Index,Q388-$Q$1,,InterestRatesTrigger),_xll.qlIndexFixing(Index,Q388,,InterestRatesTrigger))</f>
        <v>7.8203797971809763E-3</v>
      </c>
    </row>
    <row r="389" spans="16:18" x14ac:dyDescent="0.2">
      <c r="P389" s="138" t="s">
        <v>87</v>
      </c>
      <c r="Q389" s="139">
        <f>_xll.qlCalendarAdvance(Calendar,Q388,P389,"f")</f>
        <v>43228</v>
      </c>
      <c r="R389" s="140">
        <f>IF((ISERR(_xll.qlIndexFixing(Index,Q389,,InterestRatesTrigger))),_xll.qlIndexFixing(Index,Q389-$Q$1,,InterestRatesTrigger),_xll.qlIndexFixing(Index,Q389,,InterestRatesTrigger))</f>
        <v>7.8203797971010403E-3</v>
      </c>
    </row>
    <row r="390" spans="16:18" x14ac:dyDescent="0.2">
      <c r="P390" s="138" t="s">
        <v>87</v>
      </c>
      <c r="Q390" s="139">
        <f>_xll.qlCalendarAdvance(Calendar,Q389,P390,"f")</f>
        <v>43229</v>
      </c>
      <c r="R390" s="140">
        <f>IF((ISERR(_xll.qlIndexFixing(Index,Q390,,InterestRatesTrigger))),_xll.qlIndexFixing(Index,Q390-$Q$1,,InterestRatesTrigger),_xll.qlIndexFixing(Index,Q390,,InterestRatesTrigger))</f>
        <v>7.8203797971010403E-3</v>
      </c>
    </row>
    <row r="391" spans="16:18" x14ac:dyDescent="0.2">
      <c r="P391" s="138" t="s">
        <v>87</v>
      </c>
      <c r="Q391" s="139">
        <f>_xll.qlCalendarAdvance(Calendar,Q390,P391,"f")</f>
        <v>43230</v>
      </c>
      <c r="R391" s="140">
        <f>IF((ISERR(_xll.qlIndexFixing(Index,Q391,,InterestRatesTrigger))),_xll.qlIndexFixing(Index,Q391-$Q$1,,InterestRatesTrigger),_xll.qlIndexFixing(Index,Q391,,InterestRatesTrigger))</f>
        <v>7.8203797971809763E-3</v>
      </c>
    </row>
    <row r="392" spans="16:18" x14ac:dyDescent="0.2">
      <c r="P392" s="138" t="s">
        <v>87</v>
      </c>
      <c r="Q392" s="139">
        <f>_xll.qlCalendarAdvance(Calendar,Q391,P392,"f")</f>
        <v>43231</v>
      </c>
      <c r="R392" s="140">
        <f>IF((ISERR(_xll.qlIndexFixing(Index,Q392,,InterestRatesTrigger))),_xll.qlIndexFixing(Index,Q392-$Q$1,,InterestRatesTrigger),_xll.qlIndexFixing(Index,Q392,,InterestRatesTrigger))</f>
        <v>7.820549682620026E-3</v>
      </c>
    </row>
    <row r="393" spans="16:18" x14ac:dyDescent="0.2">
      <c r="P393" s="138" t="s">
        <v>87</v>
      </c>
      <c r="Q393" s="139">
        <f>_xll.qlCalendarAdvance(Calendar,Q392,P393,"f")</f>
        <v>43234</v>
      </c>
      <c r="R393" s="140">
        <f>IF((ISERR(_xll.qlIndexFixing(Index,Q393,,InterestRatesTrigger))),_xll.qlIndexFixing(Index,Q393-$Q$1,,InterestRatesTrigger),_xll.qlIndexFixing(Index,Q393,,InterestRatesTrigger))</f>
        <v>7.8203797971809763E-3</v>
      </c>
    </row>
    <row r="394" spans="16:18" x14ac:dyDescent="0.2">
      <c r="P394" s="138" t="s">
        <v>87</v>
      </c>
      <c r="Q394" s="139">
        <f>_xll.qlCalendarAdvance(Calendar,Q393,P394,"f")</f>
        <v>43235</v>
      </c>
      <c r="R394" s="140">
        <f>IF((ISERR(_xll.qlIndexFixing(Index,Q394,,InterestRatesTrigger))),_xll.qlIndexFixing(Index,Q394-$Q$1,,InterestRatesTrigger),_xll.qlIndexFixing(Index,Q394,,InterestRatesTrigger))</f>
        <v>7.8203797971010403E-3</v>
      </c>
    </row>
    <row r="395" spans="16:18" x14ac:dyDescent="0.2">
      <c r="P395" s="138" t="s">
        <v>87</v>
      </c>
      <c r="Q395" s="139">
        <f>_xll.qlCalendarAdvance(Calendar,Q394,P395,"f")</f>
        <v>43236</v>
      </c>
      <c r="R395" s="140">
        <f>IF((ISERR(_xll.qlIndexFixing(Index,Q395,,InterestRatesTrigger))),_xll.qlIndexFixing(Index,Q395-$Q$1,,InterestRatesTrigger),_xll.qlIndexFixing(Index,Q395,,InterestRatesTrigger))</f>
        <v>7.8203797971809763E-3</v>
      </c>
    </row>
    <row r="396" spans="16:18" x14ac:dyDescent="0.2">
      <c r="P396" s="138" t="s">
        <v>87</v>
      </c>
      <c r="Q396" s="139">
        <f>_xll.qlCalendarAdvance(Calendar,Q395,P396,"f")</f>
        <v>43237</v>
      </c>
      <c r="R396" s="140">
        <f>IF((ISERR(_xll.qlIndexFixing(Index,Q396,,InterestRatesTrigger))),_xll.qlIndexFixing(Index,Q396-$Q$1,,InterestRatesTrigger),_xll.qlIndexFixing(Index,Q396,,InterestRatesTrigger))</f>
        <v>7.8203797971010403E-3</v>
      </c>
    </row>
    <row r="397" spans="16:18" x14ac:dyDescent="0.2">
      <c r="P397" s="138" t="s">
        <v>87</v>
      </c>
      <c r="Q397" s="139">
        <f>_xll.qlCalendarAdvance(Calendar,Q396,P397,"f")</f>
        <v>43238</v>
      </c>
      <c r="R397" s="140">
        <f>IF((ISERR(_xll.qlIndexFixing(Index,Q397,,InterestRatesTrigger))),_xll.qlIndexFixing(Index,Q397-$Q$1,,InterestRatesTrigger),_xll.qlIndexFixing(Index,Q397,,InterestRatesTrigger))</f>
        <v>7.820549682620026E-3</v>
      </c>
    </row>
    <row r="398" spans="16:18" x14ac:dyDescent="0.2">
      <c r="P398" s="138" t="s">
        <v>87</v>
      </c>
      <c r="Q398" s="139">
        <f>_xll.qlCalendarAdvance(Calendar,Q397,P398,"f")</f>
        <v>43241</v>
      </c>
      <c r="R398" s="140">
        <f>IF((ISERR(_xll.qlIndexFixing(Index,Q398,,InterestRatesTrigger))),_xll.qlIndexFixing(Index,Q398-$Q$1,,InterestRatesTrigger),_xll.qlIndexFixing(Index,Q398,,InterestRatesTrigger))</f>
        <v>7.8203797971010403E-3</v>
      </c>
    </row>
    <row r="399" spans="16:18" x14ac:dyDescent="0.2">
      <c r="P399" s="138" t="s">
        <v>87</v>
      </c>
      <c r="Q399" s="139">
        <f>_xll.qlCalendarAdvance(Calendar,Q398,P399,"f")</f>
        <v>43242</v>
      </c>
      <c r="R399" s="140">
        <f>IF((ISERR(_xll.qlIndexFixing(Index,Q399,,InterestRatesTrigger))),_xll.qlIndexFixing(Index,Q399-$Q$1,,InterestRatesTrigger),_xll.qlIndexFixing(Index,Q399,,InterestRatesTrigger))</f>
        <v>7.8203797971010403E-3</v>
      </c>
    </row>
    <row r="400" spans="16:18" x14ac:dyDescent="0.2">
      <c r="P400" s="138" t="s">
        <v>87</v>
      </c>
      <c r="Q400" s="139">
        <f>_xll.qlCalendarAdvance(Calendar,Q399,P400,"f")</f>
        <v>43243</v>
      </c>
      <c r="R400" s="140">
        <f>IF((ISERR(_xll.qlIndexFixing(Index,Q400,,InterestRatesTrigger))),_xll.qlIndexFixing(Index,Q400-$Q$1,,InterestRatesTrigger),_xll.qlIndexFixing(Index,Q400,,InterestRatesTrigger))</f>
        <v>7.8203797971010403E-3</v>
      </c>
    </row>
    <row r="401" spans="16:18" x14ac:dyDescent="0.2">
      <c r="P401" s="138" t="s">
        <v>87</v>
      </c>
      <c r="Q401" s="139">
        <f>_xll.qlCalendarAdvance(Calendar,Q400,P401,"f")</f>
        <v>43244</v>
      </c>
      <c r="R401" s="140">
        <f>IF((ISERR(_xll.qlIndexFixing(Index,Q401,,InterestRatesTrigger))),_xll.qlIndexFixing(Index,Q401-$Q$1,,InterestRatesTrigger),_xll.qlIndexFixing(Index,Q401,,InterestRatesTrigger))</f>
        <v>7.8203797971010403E-3</v>
      </c>
    </row>
    <row r="402" spans="16:18" x14ac:dyDescent="0.2">
      <c r="P402" s="138" t="s">
        <v>87</v>
      </c>
      <c r="Q402" s="139">
        <f>_xll.qlCalendarAdvance(Calendar,Q401,P402,"f")</f>
        <v>43245</v>
      </c>
      <c r="R402" s="140">
        <f>IF((ISERR(_xll.qlIndexFixing(Index,Q402,,InterestRatesTrigger))),_xll.qlIndexFixing(Index,Q402-$Q$1,,InterestRatesTrigger),_xll.qlIndexFixing(Index,Q402,,InterestRatesTrigger))</f>
        <v>7.8206346272180483E-3</v>
      </c>
    </row>
    <row r="403" spans="16:18" x14ac:dyDescent="0.2">
      <c r="P403" s="138" t="s">
        <v>87</v>
      </c>
      <c r="Q403" s="139">
        <f>_xll.qlCalendarAdvance(Calendar,Q402,P403,"f")</f>
        <v>43249</v>
      </c>
      <c r="R403" s="140">
        <f>IF((ISERR(_xll.qlIndexFixing(Index,Q403,,InterestRatesTrigger))),_xll.qlIndexFixing(Index,Q403-$Q$1,,InterestRatesTrigger),_xll.qlIndexFixing(Index,Q403,,InterestRatesTrigger))</f>
        <v>7.8203797971010403E-3</v>
      </c>
    </row>
    <row r="404" spans="16:18" x14ac:dyDescent="0.2">
      <c r="P404" s="138" t="s">
        <v>87</v>
      </c>
      <c r="Q404" s="139">
        <f>_xll.qlCalendarAdvance(Calendar,Q403,P404,"f")</f>
        <v>43250</v>
      </c>
      <c r="R404" s="140">
        <f>IF((ISERR(_xll.qlIndexFixing(Index,Q404,,InterestRatesTrigger))),_xll.qlIndexFixing(Index,Q404-$Q$1,,InterestRatesTrigger),_xll.qlIndexFixing(Index,Q404,,InterestRatesTrigger))</f>
        <v>7.8203797971010403E-3</v>
      </c>
    </row>
    <row r="405" spans="16:18" x14ac:dyDescent="0.2">
      <c r="P405" s="138" t="s">
        <v>87</v>
      </c>
      <c r="Q405" s="139">
        <f>_xll.qlCalendarAdvance(Calendar,Q404,P405,"f")</f>
        <v>43251</v>
      </c>
      <c r="R405" s="140">
        <f>IF((ISERR(_xll.qlIndexFixing(Index,Q405,,InterestRatesTrigger))),_xll.qlIndexFixing(Index,Q405-$Q$1,,InterestRatesTrigger),_xll.qlIndexFixing(Index,Q405,,InterestRatesTrigger))</f>
        <v>7.8203797971010403E-3</v>
      </c>
    </row>
    <row r="406" spans="16:18" x14ac:dyDescent="0.2">
      <c r="P406" s="138" t="s">
        <v>87</v>
      </c>
      <c r="Q406" s="139">
        <f>_xll.qlCalendarAdvance(Calendar,Q405,P406,"f")</f>
        <v>43252</v>
      </c>
      <c r="R406" s="140">
        <f>IF((ISERR(_xll.qlIndexFixing(Index,Q406,,InterestRatesTrigger))),_xll.qlIndexFixing(Index,Q406-$Q$1,,InterestRatesTrigger),_xll.qlIndexFixing(Index,Q406,,InterestRatesTrigger))</f>
        <v>7.820549682620026E-3</v>
      </c>
    </row>
    <row r="407" spans="16:18" x14ac:dyDescent="0.2">
      <c r="P407" s="138" t="s">
        <v>87</v>
      </c>
      <c r="Q407" s="139">
        <f>_xll.qlCalendarAdvance(Calendar,Q406,P407,"f")</f>
        <v>43255</v>
      </c>
      <c r="R407" s="140">
        <f>IF((ISERR(_xll.qlIndexFixing(Index,Q407,,InterestRatesTrigger))),_xll.qlIndexFixing(Index,Q407-$Q$1,,InterestRatesTrigger),_xll.qlIndexFixing(Index,Q407,,InterestRatesTrigger))</f>
        <v>7.8203797971809763E-3</v>
      </c>
    </row>
    <row r="408" spans="16:18" x14ac:dyDescent="0.2">
      <c r="P408" s="138" t="s">
        <v>87</v>
      </c>
      <c r="Q408" s="139">
        <f>_xll.qlCalendarAdvance(Calendar,Q407,P408,"f")</f>
        <v>43256</v>
      </c>
      <c r="R408" s="140">
        <f>IF((ISERR(_xll.qlIndexFixing(Index,Q408,,InterestRatesTrigger))),_xll.qlIndexFixing(Index,Q408-$Q$1,,InterestRatesTrigger),_xll.qlIndexFixing(Index,Q408,,InterestRatesTrigger))</f>
        <v>7.8203797971010403E-3</v>
      </c>
    </row>
    <row r="409" spans="16:18" x14ac:dyDescent="0.2">
      <c r="P409" s="138" t="s">
        <v>87</v>
      </c>
      <c r="Q409" s="139">
        <f>_xll.qlCalendarAdvance(Calendar,Q408,P409,"f")</f>
        <v>43257</v>
      </c>
      <c r="R409" s="140">
        <f>IF((ISERR(_xll.qlIndexFixing(Index,Q409,,InterestRatesTrigger))),_xll.qlIndexFixing(Index,Q409-$Q$1,,InterestRatesTrigger),_xll.qlIndexFixing(Index,Q409,,InterestRatesTrigger))</f>
        <v>7.8203797971010403E-3</v>
      </c>
    </row>
    <row r="410" spans="16:18" x14ac:dyDescent="0.2">
      <c r="P410" s="138" t="s">
        <v>87</v>
      </c>
      <c r="Q410" s="139">
        <f>_xll.qlCalendarAdvance(Calendar,Q409,P410,"f")</f>
        <v>43258</v>
      </c>
      <c r="R410" s="140">
        <f>IF((ISERR(_xll.qlIndexFixing(Index,Q410,,InterestRatesTrigger))),_xll.qlIndexFixing(Index,Q410-$Q$1,,InterestRatesTrigger),_xll.qlIndexFixing(Index,Q410,,InterestRatesTrigger))</f>
        <v>7.8203797971010403E-3</v>
      </c>
    </row>
    <row r="411" spans="16:18" x14ac:dyDescent="0.2">
      <c r="P411" s="138" t="s">
        <v>87</v>
      </c>
      <c r="Q411" s="139">
        <f>_xll.qlCalendarAdvance(Calendar,Q410,P411,"f")</f>
        <v>43259</v>
      </c>
      <c r="R411" s="140">
        <f>IF((ISERR(_xll.qlIndexFixing(Index,Q411,,InterestRatesTrigger))),_xll.qlIndexFixing(Index,Q411-$Q$1,,InterestRatesTrigger),_xll.qlIndexFixing(Index,Q411,,InterestRatesTrigger))</f>
        <v>7.8205496826466714E-3</v>
      </c>
    </row>
    <row r="412" spans="16:18" x14ac:dyDescent="0.2">
      <c r="P412" s="138" t="s">
        <v>87</v>
      </c>
      <c r="Q412" s="139">
        <f>_xll.qlCalendarAdvance(Calendar,Q411,P412,"f")</f>
        <v>43262</v>
      </c>
      <c r="R412" s="140">
        <f>IF((ISERR(_xll.qlIndexFixing(Index,Q412,,InterestRatesTrigger))),_xll.qlIndexFixing(Index,Q412-$Q$1,,InterestRatesTrigger),_xll.qlIndexFixing(Index,Q412,,InterestRatesTrigger))</f>
        <v>7.8203797971010403E-3</v>
      </c>
    </row>
    <row r="413" spans="16:18" x14ac:dyDescent="0.2">
      <c r="P413" s="138" t="s">
        <v>87</v>
      </c>
      <c r="Q413" s="139">
        <f>_xll.qlCalendarAdvance(Calendar,Q412,P413,"f")</f>
        <v>43263</v>
      </c>
      <c r="R413" s="140">
        <f>IF((ISERR(_xll.qlIndexFixing(Index,Q413,,InterestRatesTrigger))),_xll.qlIndexFixing(Index,Q413-$Q$1,,InterestRatesTrigger),_xll.qlIndexFixing(Index,Q413,,InterestRatesTrigger))</f>
        <v>7.8203797971809763E-3</v>
      </c>
    </row>
    <row r="414" spans="16:18" x14ac:dyDescent="0.2">
      <c r="P414" s="138" t="s">
        <v>87</v>
      </c>
      <c r="Q414" s="139">
        <f>_xll.qlCalendarAdvance(Calendar,Q413,P414,"f")</f>
        <v>43264</v>
      </c>
      <c r="R414" s="140">
        <f>IF((ISERR(_xll.qlIndexFixing(Index,Q414,,InterestRatesTrigger))),_xll.qlIndexFixing(Index,Q414-$Q$1,,InterestRatesTrigger),_xll.qlIndexFixing(Index,Q414,,InterestRatesTrigger))</f>
        <v>7.8203797971010403E-3</v>
      </c>
    </row>
    <row r="415" spans="16:18" x14ac:dyDescent="0.2">
      <c r="P415" s="138" t="s">
        <v>87</v>
      </c>
      <c r="Q415" s="139">
        <f>_xll.qlCalendarAdvance(Calendar,Q414,P415,"f")</f>
        <v>43265</v>
      </c>
      <c r="R415" s="140">
        <f>IF((ISERR(_xll.qlIndexFixing(Index,Q415,,InterestRatesTrigger))),_xll.qlIndexFixing(Index,Q415-$Q$1,,InterestRatesTrigger),_xll.qlIndexFixing(Index,Q415,,InterestRatesTrigger))</f>
        <v>7.8203797971809763E-3</v>
      </c>
    </row>
    <row r="416" spans="16:18" x14ac:dyDescent="0.2">
      <c r="P416" s="138" t="s">
        <v>87</v>
      </c>
      <c r="Q416" s="139">
        <f>_xll.qlCalendarAdvance(Calendar,Q415,P416,"f")</f>
        <v>43266</v>
      </c>
      <c r="R416" s="140">
        <f>IF((ISERR(_xll.qlIndexFixing(Index,Q416,,InterestRatesTrigger))),_xll.qlIndexFixing(Index,Q416-$Q$1,,InterestRatesTrigger),_xll.qlIndexFixing(Index,Q416,,InterestRatesTrigger))</f>
        <v>7.820549682620026E-3</v>
      </c>
    </row>
    <row r="417" spans="16:18" x14ac:dyDescent="0.2">
      <c r="P417" s="138" t="s">
        <v>87</v>
      </c>
      <c r="Q417" s="139">
        <f>_xll.qlCalendarAdvance(Calendar,Q416,P417,"f")</f>
        <v>43269</v>
      </c>
      <c r="R417" s="140">
        <f>IF((ISERR(_xll.qlIndexFixing(Index,Q417,,InterestRatesTrigger))),_xll.qlIndexFixing(Index,Q417-$Q$1,,InterestRatesTrigger),_xll.qlIndexFixing(Index,Q417,,InterestRatesTrigger))</f>
        <v>7.8203797971010403E-3</v>
      </c>
    </row>
    <row r="418" spans="16:18" x14ac:dyDescent="0.2">
      <c r="P418" s="138" t="s">
        <v>87</v>
      </c>
      <c r="Q418" s="139">
        <f>_xll.qlCalendarAdvance(Calendar,Q417,P418,"f")</f>
        <v>43270</v>
      </c>
      <c r="R418" s="140">
        <f>IF((ISERR(_xll.qlIndexFixing(Index,Q418,,InterestRatesTrigger))),_xll.qlIndexFixing(Index,Q418-$Q$1,,InterestRatesTrigger),_xll.qlIndexFixing(Index,Q418,,InterestRatesTrigger))</f>
        <v>7.8203797971809763E-3</v>
      </c>
    </row>
    <row r="419" spans="16:18" x14ac:dyDescent="0.2">
      <c r="P419" s="138" t="s">
        <v>87</v>
      </c>
      <c r="Q419" s="139">
        <f>_xll.qlCalendarAdvance(Calendar,Q418,P419,"f")</f>
        <v>43271</v>
      </c>
      <c r="R419" s="140">
        <f>IF((ISERR(_xll.qlIndexFixing(Index,Q419,,InterestRatesTrigger))),_xll.qlIndexFixing(Index,Q419-$Q$1,,InterestRatesTrigger),_xll.qlIndexFixing(Index,Q419,,InterestRatesTrigger))</f>
        <v>7.8203797971010403E-3</v>
      </c>
    </row>
    <row r="420" spans="16:18" x14ac:dyDescent="0.2">
      <c r="P420" s="138" t="s">
        <v>87</v>
      </c>
      <c r="Q420" s="139">
        <f>_xll.qlCalendarAdvance(Calendar,Q419,P420,"f")</f>
        <v>43272</v>
      </c>
      <c r="R420" s="140">
        <f>IF((ISERR(_xll.qlIndexFixing(Index,Q420,,InterestRatesTrigger))),_xll.qlIndexFixing(Index,Q420-$Q$1,,InterestRatesTrigger),_xll.qlIndexFixing(Index,Q420,,InterestRatesTrigger))</f>
        <v>7.8203797971010403E-3</v>
      </c>
    </row>
    <row r="421" spans="16:18" x14ac:dyDescent="0.2">
      <c r="P421" s="138" t="s">
        <v>87</v>
      </c>
      <c r="Q421" s="139">
        <f>_xll.qlCalendarAdvance(Calendar,Q420,P421,"f")</f>
        <v>43273</v>
      </c>
      <c r="R421" s="140">
        <f>IF((ISERR(_xll.qlIndexFixing(Index,Q421,,InterestRatesTrigger))),_xll.qlIndexFixing(Index,Q421-$Q$1,,InterestRatesTrigger),_xll.qlIndexFixing(Index,Q421,,InterestRatesTrigger))</f>
        <v>7.820549682620026E-3</v>
      </c>
    </row>
    <row r="422" spans="16:18" x14ac:dyDescent="0.2">
      <c r="P422" s="138" t="s">
        <v>87</v>
      </c>
      <c r="Q422" s="139">
        <f>_xll.qlCalendarAdvance(Calendar,Q421,P422,"f")</f>
        <v>43276</v>
      </c>
      <c r="R422" s="140">
        <f>IF((ISERR(_xll.qlIndexFixing(Index,Q422,,InterestRatesTrigger))),_xll.qlIndexFixing(Index,Q422-$Q$1,,InterestRatesTrigger),_xll.qlIndexFixing(Index,Q422,,InterestRatesTrigger))</f>
        <v>7.8203797971010403E-3</v>
      </c>
    </row>
    <row r="423" spans="16:18" x14ac:dyDescent="0.2">
      <c r="P423" s="138" t="s">
        <v>87</v>
      </c>
      <c r="Q423" s="139">
        <f>_xll.qlCalendarAdvance(Calendar,Q422,P423,"f")</f>
        <v>43277</v>
      </c>
      <c r="R423" s="140">
        <f>IF((ISERR(_xll.qlIndexFixing(Index,Q423,,InterestRatesTrigger))),_xll.qlIndexFixing(Index,Q423-$Q$1,,InterestRatesTrigger),_xll.qlIndexFixing(Index,Q423,,InterestRatesTrigger))</f>
        <v>7.8203797971809763E-3</v>
      </c>
    </row>
    <row r="424" spans="16:18" x14ac:dyDescent="0.2">
      <c r="P424" s="138" t="s">
        <v>87</v>
      </c>
      <c r="Q424" s="139">
        <f>_xll.qlCalendarAdvance(Calendar,Q423,P424,"f")</f>
        <v>43278</v>
      </c>
      <c r="R424" s="140">
        <f>IF((ISERR(_xll.qlIndexFixing(Index,Q424,,InterestRatesTrigger))),_xll.qlIndexFixing(Index,Q424-$Q$1,,InterestRatesTrigger),_xll.qlIndexFixing(Index,Q424,,InterestRatesTrigger))</f>
        <v>7.8203797971010403E-3</v>
      </c>
    </row>
    <row r="425" spans="16:18" x14ac:dyDescent="0.2">
      <c r="P425" s="138" t="s">
        <v>87</v>
      </c>
      <c r="Q425" s="139">
        <f>_xll.qlCalendarAdvance(Calendar,Q424,P425,"f")</f>
        <v>43279</v>
      </c>
      <c r="R425" s="140">
        <f>IF((ISERR(_xll.qlIndexFixing(Index,Q425,,InterestRatesTrigger))),_xll.qlIndexFixing(Index,Q425-$Q$1,,InterestRatesTrigger),_xll.qlIndexFixing(Index,Q425,,InterestRatesTrigger))</f>
        <v>7.8203797971010403E-3</v>
      </c>
    </row>
    <row r="426" spans="16:18" x14ac:dyDescent="0.2">
      <c r="P426" s="138" t="s">
        <v>87</v>
      </c>
      <c r="Q426" s="139">
        <f>_xll.qlCalendarAdvance(Calendar,Q425,P426,"f")</f>
        <v>43280</v>
      </c>
      <c r="R426" s="140">
        <f>IF((ISERR(_xll.qlIndexFixing(Index,Q426,,InterestRatesTrigger))),_xll.qlIndexFixing(Index,Q426-$Q$1,,InterestRatesTrigger),_xll.qlIndexFixing(Index,Q426,,InterestRatesTrigger))</f>
        <v>7.820549682620026E-3</v>
      </c>
    </row>
    <row r="427" spans="16:18" x14ac:dyDescent="0.2">
      <c r="P427" s="138" t="s">
        <v>87</v>
      </c>
      <c r="Q427" s="139">
        <f>_xll.qlCalendarAdvance(Calendar,Q426,P427,"f")</f>
        <v>43283</v>
      </c>
      <c r="R427" s="140">
        <f>IF((ISERR(_xll.qlIndexFixing(Index,Q427,,InterestRatesTrigger))),_xll.qlIndexFixing(Index,Q427-$Q$1,,InterestRatesTrigger),_xll.qlIndexFixing(Index,Q427,,InterestRatesTrigger))</f>
        <v>7.8203797971010403E-3</v>
      </c>
    </row>
    <row r="428" spans="16:18" x14ac:dyDescent="0.2">
      <c r="P428" s="138" t="s">
        <v>87</v>
      </c>
      <c r="Q428" s="139">
        <f>_xll.qlCalendarAdvance(Calendar,Q427,P428,"f")</f>
        <v>43284</v>
      </c>
      <c r="R428" s="140">
        <f>IF((ISERR(_xll.qlIndexFixing(Index,Q428,,InterestRatesTrigger))),_xll.qlIndexFixing(Index,Q428-$Q$1,,InterestRatesTrigger),_xll.qlIndexFixing(Index,Q428,,InterestRatesTrigger))</f>
        <v>7.8204647392343674E-3</v>
      </c>
    </row>
    <row r="429" spans="16:18" x14ac:dyDescent="0.2">
      <c r="P429" s="138" t="s">
        <v>87</v>
      </c>
      <c r="Q429" s="139">
        <f>_xll.qlCalendarAdvance(Calendar,Q428,P429,"f")</f>
        <v>43286</v>
      </c>
      <c r="R429" s="140">
        <f>IF((ISERR(_xll.qlIndexFixing(Index,Q429,,InterestRatesTrigger))),_xll.qlIndexFixing(Index,Q429-$Q$1,,InterestRatesTrigger),_xll.qlIndexFixing(Index,Q429,,InterestRatesTrigger))</f>
        <v>7.8203797971010403E-3</v>
      </c>
    </row>
    <row r="430" spans="16:18" x14ac:dyDescent="0.2">
      <c r="P430" s="138" t="s">
        <v>87</v>
      </c>
      <c r="Q430" s="139">
        <f>_xll.qlCalendarAdvance(Calendar,Q429,P430,"f")</f>
        <v>43287</v>
      </c>
      <c r="R430" s="140">
        <f>IF((ISERR(_xll.qlIndexFixing(Index,Q430,,InterestRatesTrigger))),_xll.qlIndexFixing(Index,Q430-$Q$1,,InterestRatesTrigger),_xll.qlIndexFixing(Index,Q430,,InterestRatesTrigger))</f>
        <v>7.820549682620026E-3</v>
      </c>
    </row>
    <row r="431" spans="16:18" x14ac:dyDescent="0.2">
      <c r="P431" s="138" t="s">
        <v>87</v>
      </c>
      <c r="Q431" s="139">
        <f>_xll.qlCalendarAdvance(Calendar,Q430,P431,"f")</f>
        <v>43290</v>
      </c>
      <c r="R431" s="140">
        <f>IF((ISERR(_xll.qlIndexFixing(Index,Q431,,InterestRatesTrigger))),_xll.qlIndexFixing(Index,Q431-$Q$1,,InterestRatesTrigger),_xll.qlIndexFixing(Index,Q431,,InterestRatesTrigger))</f>
        <v>7.8203797971010403E-3</v>
      </c>
    </row>
    <row r="432" spans="16:18" x14ac:dyDescent="0.2">
      <c r="P432" s="138" t="s">
        <v>87</v>
      </c>
      <c r="Q432" s="139">
        <f>_xll.qlCalendarAdvance(Calendar,Q431,P432,"f")</f>
        <v>43291</v>
      </c>
      <c r="R432" s="140">
        <f>IF((ISERR(_xll.qlIndexFixing(Index,Q432,,InterestRatesTrigger))),_xll.qlIndexFixing(Index,Q432-$Q$1,,InterestRatesTrigger),_xll.qlIndexFixing(Index,Q432,,InterestRatesTrigger))</f>
        <v>7.8203797971809763E-3</v>
      </c>
    </row>
    <row r="433" spans="16:18" x14ac:dyDescent="0.2">
      <c r="P433" s="138" t="s">
        <v>87</v>
      </c>
      <c r="Q433" s="139">
        <f>_xll.qlCalendarAdvance(Calendar,Q432,P433,"f")</f>
        <v>43292</v>
      </c>
      <c r="R433" s="140">
        <f>IF((ISERR(_xll.qlIndexFixing(Index,Q433,,InterestRatesTrigger))),_xll.qlIndexFixing(Index,Q433-$Q$1,,InterestRatesTrigger),_xll.qlIndexFixing(Index,Q433,,InterestRatesTrigger))</f>
        <v>7.8203797971010403E-3</v>
      </c>
    </row>
    <row r="434" spans="16:18" x14ac:dyDescent="0.2">
      <c r="P434" s="138" t="s">
        <v>87</v>
      </c>
      <c r="Q434" s="139">
        <f>_xll.qlCalendarAdvance(Calendar,Q433,P434,"f")</f>
        <v>43293</v>
      </c>
      <c r="R434" s="140">
        <f>IF((ISERR(_xll.qlIndexFixing(Index,Q434,,InterestRatesTrigger))),_xll.qlIndexFixing(Index,Q434-$Q$1,,InterestRatesTrigger),_xll.qlIndexFixing(Index,Q434,,InterestRatesTrigger))</f>
        <v>7.8203797971010403E-3</v>
      </c>
    </row>
    <row r="435" spans="16:18" x14ac:dyDescent="0.2">
      <c r="P435" s="138" t="s">
        <v>87</v>
      </c>
      <c r="Q435" s="139">
        <f>_xll.qlCalendarAdvance(Calendar,Q434,P435,"f")</f>
        <v>43294</v>
      </c>
      <c r="R435" s="140">
        <f>IF((ISERR(_xll.qlIndexFixing(Index,Q435,,InterestRatesTrigger))),_xll.qlIndexFixing(Index,Q435-$Q$1,,InterestRatesTrigger),_xll.qlIndexFixing(Index,Q435,,InterestRatesTrigger))</f>
        <v>7.820549682620026E-3</v>
      </c>
    </row>
    <row r="436" spans="16:18" x14ac:dyDescent="0.2">
      <c r="P436" s="138" t="s">
        <v>87</v>
      </c>
      <c r="Q436" s="139">
        <f>_xll.qlCalendarAdvance(Calendar,Q435,P436,"f")</f>
        <v>43297</v>
      </c>
      <c r="R436" s="140">
        <f>IF((ISERR(_xll.qlIndexFixing(Index,Q436,,InterestRatesTrigger))),_xll.qlIndexFixing(Index,Q436-$Q$1,,InterestRatesTrigger),_xll.qlIndexFixing(Index,Q436,,InterestRatesTrigger))</f>
        <v>7.8203797971010403E-3</v>
      </c>
    </row>
    <row r="437" spans="16:18" x14ac:dyDescent="0.2">
      <c r="P437" s="138" t="s">
        <v>87</v>
      </c>
      <c r="Q437" s="139">
        <f>_xll.qlCalendarAdvance(Calendar,Q436,P437,"f")</f>
        <v>43298</v>
      </c>
      <c r="R437" s="140">
        <f>IF((ISERR(_xll.qlIndexFixing(Index,Q437,,InterestRatesTrigger))),_xll.qlIndexFixing(Index,Q437-$Q$1,,InterestRatesTrigger),_xll.qlIndexFixing(Index,Q437,,InterestRatesTrigger))</f>
        <v>7.8203797971010403E-3</v>
      </c>
    </row>
    <row r="438" spans="16:18" x14ac:dyDescent="0.2">
      <c r="P438" s="138" t="s">
        <v>87</v>
      </c>
      <c r="Q438" s="139">
        <f>_xll.qlCalendarAdvance(Calendar,Q437,P438,"f")</f>
        <v>43299</v>
      </c>
      <c r="R438" s="140">
        <f>IF((ISERR(_xll.qlIndexFixing(Index,Q438,,InterestRatesTrigger))),_xll.qlIndexFixing(Index,Q438-$Q$1,,InterestRatesTrigger),_xll.qlIndexFixing(Index,Q438,,InterestRatesTrigger))</f>
        <v>7.8203797971010403E-3</v>
      </c>
    </row>
    <row r="439" spans="16:18" x14ac:dyDescent="0.2">
      <c r="P439" s="138" t="s">
        <v>87</v>
      </c>
      <c r="Q439" s="139">
        <f>_xll.qlCalendarAdvance(Calendar,Q438,P439,"f")</f>
        <v>43300</v>
      </c>
      <c r="R439" s="140">
        <f>IF((ISERR(_xll.qlIndexFixing(Index,Q439,,InterestRatesTrigger))),_xll.qlIndexFixing(Index,Q439-$Q$1,,InterestRatesTrigger),_xll.qlIndexFixing(Index,Q439,,InterestRatesTrigger))</f>
        <v>7.8203797971010403E-3</v>
      </c>
    </row>
    <row r="440" spans="16:18" x14ac:dyDescent="0.2">
      <c r="P440" s="138" t="s">
        <v>87</v>
      </c>
      <c r="Q440" s="139">
        <f>_xll.qlCalendarAdvance(Calendar,Q439,P440,"f")</f>
        <v>43301</v>
      </c>
      <c r="R440" s="140">
        <f>IF((ISERR(_xll.qlIndexFixing(Index,Q440,,InterestRatesTrigger))),_xll.qlIndexFixing(Index,Q440-$Q$1,,InterestRatesTrigger),_xll.qlIndexFixing(Index,Q440,,InterestRatesTrigger))</f>
        <v>7.820549682620026E-3</v>
      </c>
    </row>
    <row r="441" spans="16:18" x14ac:dyDescent="0.2">
      <c r="P441" s="138" t="s">
        <v>87</v>
      </c>
      <c r="Q441" s="139">
        <f>_xll.qlCalendarAdvance(Calendar,Q440,P441,"f")</f>
        <v>43304</v>
      </c>
      <c r="R441" s="140">
        <f>IF((ISERR(_xll.qlIndexFixing(Index,Q441,,InterestRatesTrigger))),_xll.qlIndexFixing(Index,Q441-$Q$1,,InterestRatesTrigger),_xll.qlIndexFixing(Index,Q441,,InterestRatesTrigger))</f>
        <v>8.1481109071912527E-3</v>
      </c>
    </row>
    <row r="442" spans="16:18" x14ac:dyDescent="0.2">
      <c r="P442" s="138" t="s">
        <v>87</v>
      </c>
      <c r="Q442" s="139">
        <f>_xll.qlCalendarAdvance(Calendar,Q441,P442,"f")</f>
        <v>43305</v>
      </c>
      <c r="R442" s="140">
        <f>IF((ISERR(_xll.qlIndexFixing(Index,Q442,,InterestRatesTrigger))),_xll.qlIndexFixing(Index,Q442-$Q$1,,InterestRatesTrigger),_xll.qlIndexFixing(Index,Q442,,InterestRatesTrigger))</f>
        <v>8.1481109071912527E-3</v>
      </c>
    </row>
    <row r="443" spans="16:18" x14ac:dyDescent="0.2">
      <c r="P443" s="138" t="s">
        <v>87</v>
      </c>
      <c r="Q443" s="139">
        <f>_xll.qlCalendarAdvance(Calendar,Q442,P443,"f")</f>
        <v>43306</v>
      </c>
      <c r="R443" s="140">
        <f>IF((ISERR(_xll.qlIndexFixing(Index,Q443,,InterestRatesTrigger))),_xll.qlIndexFixing(Index,Q443-$Q$1,,InterestRatesTrigger),_xll.qlIndexFixing(Index,Q443,,InterestRatesTrigger))</f>
        <v>8.1481109071912527E-3</v>
      </c>
    </row>
    <row r="444" spans="16:18" x14ac:dyDescent="0.2">
      <c r="P444" s="138" t="s">
        <v>87</v>
      </c>
      <c r="Q444" s="139">
        <f>_xll.qlCalendarAdvance(Calendar,Q443,P444,"f")</f>
        <v>43307</v>
      </c>
      <c r="R444" s="140">
        <f>IF((ISERR(_xll.qlIndexFixing(Index,Q444,,InterestRatesTrigger))),_xll.qlIndexFixing(Index,Q444-$Q$1,,InterestRatesTrigger),_xll.qlIndexFixing(Index,Q444,,InterestRatesTrigger))</f>
        <v>8.1481109071113167E-3</v>
      </c>
    </row>
    <row r="445" spans="16:18" x14ac:dyDescent="0.2">
      <c r="P445" s="138" t="s">
        <v>87</v>
      </c>
      <c r="Q445" s="139">
        <f>_xll.qlCalendarAdvance(Calendar,Q444,P445,"f")</f>
        <v>43308</v>
      </c>
      <c r="R445" s="140">
        <f>IF((ISERR(_xll.qlIndexFixing(Index,Q445,,InterestRatesTrigger))),_xll.qlIndexFixing(Index,Q445-$Q$1,,InterestRatesTrigger),_xll.qlIndexFixing(Index,Q445,,InterestRatesTrigger))</f>
        <v>8.1482953299882865E-3</v>
      </c>
    </row>
    <row r="446" spans="16:18" x14ac:dyDescent="0.2">
      <c r="P446" s="138" t="s">
        <v>87</v>
      </c>
      <c r="Q446" s="139">
        <f>_xll.qlCalendarAdvance(Calendar,Q445,P446,"f")</f>
        <v>43311</v>
      </c>
      <c r="R446" s="140">
        <f>IF((ISERR(_xll.qlIndexFixing(Index,Q446,,InterestRatesTrigger))),_xll.qlIndexFixing(Index,Q446-$Q$1,,InterestRatesTrigger),_xll.qlIndexFixing(Index,Q446,,InterestRatesTrigger))</f>
        <v>8.1481109071113167E-3</v>
      </c>
    </row>
    <row r="447" spans="16:18" x14ac:dyDescent="0.2">
      <c r="P447" s="138" t="s">
        <v>87</v>
      </c>
      <c r="Q447" s="139">
        <f>_xll.qlCalendarAdvance(Calendar,Q446,P447,"f")</f>
        <v>43312</v>
      </c>
      <c r="R447" s="140">
        <f>IF((ISERR(_xll.qlIndexFixing(Index,Q447,,InterestRatesTrigger))),_xll.qlIndexFixing(Index,Q447-$Q$1,,InterestRatesTrigger),_xll.qlIndexFixing(Index,Q447,,InterestRatesTrigger))</f>
        <v>8.1481109071912527E-3</v>
      </c>
    </row>
    <row r="448" spans="16:18" x14ac:dyDescent="0.2">
      <c r="P448" s="138" t="s">
        <v>87</v>
      </c>
      <c r="Q448" s="139">
        <f>_xll.qlCalendarAdvance(Calendar,Q447,P448,"f")</f>
        <v>43313</v>
      </c>
      <c r="R448" s="140">
        <f>IF((ISERR(_xll.qlIndexFixing(Index,Q448,,InterestRatesTrigger))),_xll.qlIndexFixing(Index,Q448-$Q$1,,InterestRatesTrigger),_xll.qlIndexFixing(Index,Q448,,InterestRatesTrigger))</f>
        <v>8.1481109071113167E-3</v>
      </c>
    </row>
    <row r="449" spans="16:18" x14ac:dyDescent="0.2">
      <c r="P449" s="138" t="s">
        <v>87</v>
      </c>
      <c r="Q449" s="139">
        <f>_xll.qlCalendarAdvance(Calendar,Q448,P449,"f")</f>
        <v>43314</v>
      </c>
      <c r="R449" s="140">
        <f>IF((ISERR(_xll.qlIndexFixing(Index,Q449,,InterestRatesTrigger))),_xll.qlIndexFixing(Index,Q449-$Q$1,,InterestRatesTrigger),_xll.qlIndexFixing(Index,Q449,,InterestRatesTrigger))</f>
        <v>8.1481109071912527E-3</v>
      </c>
    </row>
    <row r="450" spans="16:18" x14ac:dyDescent="0.2">
      <c r="P450" s="138" t="s">
        <v>87</v>
      </c>
      <c r="Q450" s="139">
        <f>_xll.qlCalendarAdvance(Calendar,Q449,P450,"f")</f>
        <v>43315</v>
      </c>
      <c r="R450" s="140">
        <f>IF((ISERR(_xll.qlIndexFixing(Index,Q450,,InterestRatesTrigger))),_xll.qlIndexFixing(Index,Q450-$Q$1,,InterestRatesTrigger),_xll.qlIndexFixing(Index,Q450,,InterestRatesTrigger))</f>
        <v>8.1482953299882865E-3</v>
      </c>
    </row>
    <row r="451" spans="16:18" x14ac:dyDescent="0.2">
      <c r="P451" s="138" t="s">
        <v>87</v>
      </c>
      <c r="Q451" s="139">
        <f>_xll.qlCalendarAdvance(Calendar,Q450,P451,"f")</f>
        <v>43318</v>
      </c>
      <c r="R451" s="140">
        <f>IF((ISERR(_xll.qlIndexFixing(Index,Q451,,InterestRatesTrigger))),_xll.qlIndexFixing(Index,Q451-$Q$1,,InterestRatesTrigger),_xll.qlIndexFixing(Index,Q451,,InterestRatesTrigger))</f>
        <v>8.1481109071113167E-3</v>
      </c>
    </row>
    <row r="452" spans="16:18" x14ac:dyDescent="0.2">
      <c r="P452" s="138" t="s">
        <v>87</v>
      </c>
      <c r="Q452" s="139">
        <f>_xll.qlCalendarAdvance(Calendar,Q451,P452,"f")</f>
        <v>43319</v>
      </c>
      <c r="R452" s="140">
        <f>IF((ISERR(_xll.qlIndexFixing(Index,Q452,,InterestRatesTrigger))),_xll.qlIndexFixing(Index,Q452-$Q$1,,InterestRatesTrigger),_xll.qlIndexFixing(Index,Q452,,InterestRatesTrigger))</f>
        <v>8.1481109071912527E-3</v>
      </c>
    </row>
    <row r="453" spans="16:18" x14ac:dyDescent="0.2">
      <c r="P453" s="138" t="s">
        <v>87</v>
      </c>
      <c r="Q453" s="139">
        <f>_xll.qlCalendarAdvance(Calendar,Q452,P453,"f")</f>
        <v>43320</v>
      </c>
      <c r="R453" s="140">
        <f>IF((ISERR(_xll.qlIndexFixing(Index,Q453,,InterestRatesTrigger))),_xll.qlIndexFixing(Index,Q453-$Q$1,,InterestRatesTrigger),_xll.qlIndexFixing(Index,Q453,,InterestRatesTrigger))</f>
        <v>8.1481109071912527E-3</v>
      </c>
    </row>
    <row r="454" spans="16:18" x14ac:dyDescent="0.2">
      <c r="P454" s="138" t="s">
        <v>87</v>
      </c>
      <c r="Q454" s="139">
        <f>_xll.qlCalendarAdvance(Calendar,Q453,P454,"f")</f>
        <v>43321</v>
      </c>
      <c r="R454" s="140">
        <f>IF((ISERR(_xll.qlIndexFixing(Index,Q454,,InterestRatesTrigger))),_xll.qlIndexFixing(Index,Q454-$Q$1,,InterestRatesTrigger),_xll.qlIndexFixing(Index,Q454,,InterestRatesTrigger))</f>
        <v>8.1481109071113167E-3</v>
      </c>
    </row>
    <row r="455" spans="16:18" x14ac:dyDescent="0.2">
      <c r="P455" s="138" t="s">
        <v>87</v>
      </c>
      <c r="Q455" s="139">
        <f>_xll.qlCalendarAdvance(Calendar,Q454,P455,"f")</f>
        <v>43322</v>
      </c>
      <c r="R455" s="140">
        <f>IF((ISERR(_xll.qlIndexFixing(Index,Q455,,InterestRatesTrigger))),_xll.qlIndexFixing(Index,Q455-$Q$1,,InterestRatesTrigger),_xll.qlIndexFixing(Index,Q455,,InterestRatesTrigger))</f>
        <v>8.1482953299882865E-3</v>
      </c>
    </row>
    <row r="456" spans="16:18" x14ac:dyDescent="0.2">
      <c r="P456" s="138" t="s">
        <v>87</v>
      </c>
      <c r="Q456" s="139">
        <f>_xll.qlCalendarAdvance(Calendar,Q455,P456,"f")</f>
        <v>43325</v>
      </c>
      <c r="R456" s="140">
        <f>IF((ISERR(_xll.qlIndexFixing(Index,Q456,,InterestRatesTrigger))),_xll.qlIndexFixing(Index,Q456-$Q$1,,InterestRatesTrigger),_xll.qlIndexFixing(Index,Q456,,InterestRatesTrigger))</f>
        <v>8.1481109071912527E-3</v>
      </c>
    </row>
    <row r="457" spans="16:18" x14ac:dyDescent="0.2">
      <c r="P457" s="138" t="s">
        <v>87</v>
      </c>
      <c r="Q457" s="139">
        <f>_xll.qlCalendarAdvance(Calendar,Q456,P457,"f")</f>
        <v>43326</v>
      </c>
      <c r="R457" s="140">
        <f>IF((ISERR(_xll.qlIndexFixing(Index,Q457,,InterestRatesTrigger))),_xll.qlIndexFixing(Index,Q457-$Q$1,,InterestRatesTrigger),_xll.qlIndexFixing(Index,Q457,,InterestRatesTrigger))</f>
        <v>8.1481109071912527E-3</v>
      </c>
    </row>
    <row r="458" spans="16:18" x14ac:dyDescent="0.2">
      <c r="P458" s="138" t="s">
        <v>87</v>
      </c>
      <c r="Q458" s="139">
        <f>_xll.qlCalendarAdvance(Calendar,Q457,P458,"f")</f>
        <v>43327</v>
      </c>
      <c r="R458" s="140">
        <f>IF((ISERR(_xll.qlIndexFixing(Index,Q458,,InterestRatesTrigger))),_xll.qlIndexFixing(Index,Q458-$Q$1,,InterestRatesTrigger),_xll.qlIndexFixing(Index,Q458,,InterestRatesTrigger))</f>
        <v>8.1481109071912527E-3</v>
      </c>
    </row>
    <row r="459" spans="16:18" x14ac:dyDescent="0.2">
      <c r="P459" s="138" t="s">
        <v>87</v>
      </c>
      <c r="Q459" s="139">
        <f>_xll.qlCalendarAdvance(Calendar,Q458,P459,"f")</f>
        <v>43328</v>
      </c>
      <c r="R459" s="140">
        <f>IF((ISERR(_xll.qlIndexFixing(Index,Q459,,InterestRatesTrigger))),_xll.qlIndexFixing(Index,Q459-$Q$1,,InterestRatesTrigger),_xll.qlIndexFixing(Index,Q459,,InterestRatesTrigger))</f>
        <v>8.1481109071912527E-3</v>
      </c>
    </row>
    <row r="460" spans="16:18" x14ac:dyDescent="0.2">
      <c r="P460" s="138" t="s">
        <v>87</v>
      </c>
      <c r="Q460" s="139">
        <f>_xll.qlCalendarAdvance(Calendar,Q459,P460,"f")</f>
        <v>43329</v>
      </c>
      <c r="R460" s="140">
        <f>IF((ISERR(_xll.qlIndexFixing(Index,Q460,,InterestRatesTrigger))),_xll.qlIndexFixing(Index,Q460-$Q$1,,InterestRatesTrigger),_xll.qlIndexFixing(Index,Q460,,InterestRatesTrigger))</f>
        <v>8.1482953299616412E-3</v>
      </c>
    </row>
    <row r="461" spans="16:18" x14ac:dyDescent="0.2">
      <c r="P461" s="138" t="s">
        <v>87</v>
      </c>
      <c r="Q461" s="139">
        <f>_xll.qlCalendarAdvance(Calendar,Q460,P461,"f")</f>
        <v>43332</v>
      </c>
      <c r="R461" s="140">
        <f>IF((ISERR(_xll.qlIndexFixing(Index,Q461,,InterestRatesTrigger))),_xll.qlIndexFixing(Index,Q461-$Q$1,,InterestRatesTrigger),_xll.qlIndexFixing(Index,Q461,,InterestRatesTrigger))</f>
        <v>8.1481109071912527E-3</v>
      </c>
    </row>
    <row r="462" spans="16:18" x14ac:dyDescent="0.2">
      <c r="P462" s="138" t="s">
        <v>87</v>
      </c>
      <c r="Q462" s="139">
        <f>_xll.qlCalendarAdvance(Calendar,Q461,P462,"f")</f>
        <v>43333</v>
      </c>
      <c r="R462" s="140">
        <f>IF((ISERR(_xll.qlIndexFixing(Index,Q462,,InterestRatesTrigger))),_xll.qlIndexFixing(Index,Q462-$Q$1,,InterestRatesTrigger),_xll.qlIndexFixing(Index,Q462,,InterestRatesTrigger))</f>
        <v>8.1481109071912527E-3</v>
      </c>
    </row>
    <row r="463" spans="16:18" x14ac:dyDescent="0.2">
      <c r="P463" s="138" t="s">
        <v>87</v>
      </c>
      <c r="Q463" s="139">
        <f>_xll.qlCalendarAdvance(Calendar,Q462,P463,"f")</f>
        <v>43334</v>
      </c>
      <c r="R463" s="140">
        <f>IF((ISERR(_xll.qlIndexFixing(Index,Q463,,InterestRatesTrigger))),_xll.qlIndexFixing(Index,Q463-$Q$1,,InterestRatesTrigger),_xll.qlIndexFixing(Index,Q463,,InterestRatesTrigger))</f>
        <v>8.1481109071912527E-3</v>
      </c>
    </row>
    <row r="464" spans="16:18" x14ac:dyDescent="0.2">
      <c r="P464" s="138" t="s">
        <v>87</v>
      </c>
      <c r="Q464" s="139">
        <f>_xll.qlCalendarAdvance(Calendar,Q463,P464,"f")</f>
        <v>43335</v>
      </c>
      <c r="R464" s="140">
        <f>IF((ISERR(_xll.qlIndexFixing(Index,Q464,,InterestRatesTrigger))),_xll.qlIndexFixing(Index,Q464-$Q$1,,InterestRatesTrigger),_xll.qlIndexFixing(Index,Q464,,InterestRatesTrigger))</f>
        <v>8.1481109071912527E-3</v>
      </c>
    </row>
    <row r="465" spans="16:18" x14ac:dyDescent="0.2">
      <c r="P465" s="138" t="s">
        <v>87</v>
      </c>
      <c r="Q465" s="139">
        <f>_xll.qlCalendarAdvance(Calendar,Q464,P465,"f")</f>
        <v>43336</v>
      </c>
      <c r="R465" s="140">
        <f>IF((ISERR(_xll.qlIndexFixing(Index,Q465,,InterestRatesTrigger))),_xll.qlIndexFixing(Index,Q465-$Q$1,,InterestRatesTrigger),_xll.qlIndexFixing(Index,Q465,,InterestRatesTrigger))</f>
        <v>8.1482953299616412E-3</v>
      </c>
    </row>
    <row r="466" spans="16:18" x14ac:dyDescent="0.2">
      <c r="P466" s="138" t="s">
        <v>87</v>
      </c>
      <c r="Q466" s="139">
        <f>_xll.qlCalendarAdvance(Calendar,Q465,P466,"f")</f>
        <v>43339</v>
      </c>
      <c r="R466" s="140">
        <f>IF((ISERR(_xll.qlIndexFixing(Index,Q466,,InterestRatesTrigger))),_xll.qlIndexFixing(Index,Q466-$Q$1,,InterestRatesTrigger),_xll.qlIndexFixing(Index,Q466,,InterestRatesTrigger))</f>
        <v>8.1481109071912527E-3</v>
      </c>
    </row>
    <row r="467" spans="16:18" x14ac:dyDescent="0.2">
      <c r="P467" s="138" t="s">
        <v>87</v>
      </c>
      <c r="Q467" s="139">
        <f>_xll.qlCalendarAdvance(Calendar,Q466,P467,"f")</f>
        <v>43340</v>
      </c>
      <c r="R467" s="140">
        <f>IF((ISERR(_xll.qlIndexFixing(Index,Q467,,InterestRatesTrigger))),_xll.qlIndexFixing(Index,Q467-$Q$1,,InterestRatesTrigger),_xll.qlIndexFixing(Index,Q467,,InterestRatesTrigger))</f>
        <v>8.1481109071113167E-3</v>
      </c>
    </row>
    <row r="468" spans="16:18" x14ac:dyDescent="0.2">
      <c r="P468" s="138" t="s">
        <v>87</v>
      </c>
      <c r="Q468" s="139">
        <f>_xll.qlCalendarAdvance(Calendar,Q467,P468,"f")</f>
        <v>43341</v>
      </c>
      <c r="R468" s="140">
        <f>IF((ISERR(_xll.qlIndexFixing(Index,Q468,,InterestRatesTrigger))),_xll.qlIndexFixing(Index,Q468-$Q$1,,InterestRatesTrigger),_xll.qlIndexFixing(Index,Q468,,InterestRatesTrigger))</f>
        <v>8.1481109071113167E-3</v>
      </c>
    </row>
    <row r="469" spans="16:18" x14ac:dyDescent="0.2">
      <c r="P469" s="138" t="s">
        <v>87</v>
      </c>
      <c r="Q469" s="139">
        <f>_xll.qlCalendarAdvance(Calendar,Q468,P469,"f")</f>
        <v>43342</v>
      </c>
      <c r="R469" s="140">
        <f>IF((ISERR(_xll.qlIndexFixing(Index,Q469,,InterestRatesTrigger))),_xll.qlIndexFixing(Index,Q469-$Q$1,,InterestRatesTrigger),_xll.qlIndexFixing(Index,Q469,,InterestRatesTrigger))</f>
        <v>8.1481109071912527E-3</v>
      </c>
    </row>
    <row r="470" spans="16:18" x14ac:dyDescent="0.2">
      <c r="P470" s="138" t="s">
        <v>87</v>
      </c>
      <c r="Q470" s="139">
        <f>_xll.qlCalendarAdvance(Calendar,Q469,P470,"f")</f>
        <v>43343</v>
      </c>
      <c r="R470" s="140">
        <f>IF((ISERR(_xll.qlIndexFixing(Index,Q470,,InterestRatesTrigger))),_xll.qlIndexFixing(Index,Q470-$Q$1,,InterestRatesTrigger),_xll.qlIndexFixing(Index,Q470,,InterestRatesTrigger))</f>
        <v>8.1483875434651409E-3</v>
      </c>
    </row>
    <row r="471" spans="16:18" x14ac:dyDescent="0.2">
      <c r="P471" s="138" t="s">
        <v>87</v>
      </c>
      <c r="Q471" s="139">
        <f>_xll.qlCalendarAdvance(Calendar,Q470,P471,"f")</f>
        <v>43347</v>
      </c>
      <c r="R471" s="140">
        <f>IF((ISERR(_xll.qlIndexFixing(Index,Q471,,InterestRatesTrigger))),_xll.qlIndexFixing(Index,Q471-$Q$1,,InterestRatesTrigger),_xll.qlIndexFixing(Index,Q471,,InterestRatesTrigger))</f>
        <v>8.1481109071113167E-3</v>
      </c>
    </row>
    <row r="472" spans="16:18" x14ac:dyDescent="0.2">
      <c r="P472" s="138" t="s">
        <v>87</v>
      </c>
      <c r="Q472" s="139">
        <f>_xll.qlCalendarAdvance(Calendar,Q471,P472,"f")</f>
        <v>43348</v>
      </c>
      <c r="R472" s="140">
        <f>IF((ISERR(_xll.qlIndexFixing(Index,Q472,,InterestRatesTrigger))),_xll.qlIndexFixing(Index,Q472-$Q$1,,InterestRatesTrigger),_xll.qlIndexFixing(Index,Q472,,InterestRatesTrigger))</f>
        <v>8.1481109071912527E-3</v>
      </c>
    </row>
    <row r="473" spans="16:18" x14ac:dyDescent="0.2">
      <c r="P473" s="138" t="s">
        <v>87</v>
      </c>
      <c r="Q473" s="139">
        <f>_xll.qlCalendarAdvance(Calendar,Q472,P473,"f")</f>
        <v>43349</v>
      </c>
      <c r="R473" s="140">
        <f>IF((ISERR(_xll.qlIndexFixing(Index,Q473,,InterestRatesTrigger))),_xll.qlIndexFixing(Index,Q473-$Q$1,,InterestRatesTrigger),_xll.qlIndexFixing(Index,Q473,,InterestRatesTrigger))</f>
        <v>8.1481109071912527E-3</v>
      </c>
    </row>
    <row r="474" spans="16:18" x14ac:dyDescent="0.2">
      <c r="P474" s="138" t="s">
        <v>87</v>
      </c>
      <c r="Q474" s="139">
        <f>_xll.qlCalendarAdvance(Calendar,Q473,P474,"f")</f>
        <v>43350</v>
      </c>
      <c r="R474" s="140">
        <f>IF((ISERR(_xll.qlIndexFixing(Index,Q474,,InterestRatesTrigger))),_xll.qlIndexFixing(Index,Q474-$Q$1,,InterestRatesTrigger),_xll.qlIndexFixing(Index,Q474,,InterestRatesTrigger))</f>
        <v>8.1482953299616412E-3</v>
      </c>
    </row>
    <row r="475" spans="16:18" x14ac:dyDescent="0.2">
      <c r="P475" s="138" t="s">
        <v>87</v>
      </c>
      <c r="Q475" s="139">
        <f>_xll.qlCalendarAdvance(Calendar,Q474,P475,"f")</f>
        <v>43353</v>
      </c>
      <c r="R475" s="140">
        <f>IF((ISERR(_xll.qlIndexFixing(Index,Q475,,InterestRatesTrigger))),_xll.qlIndexFixing(Index,Q475-$Q$1,,InterestRatesTrigger),_xll.qlIndexFixing(Index,Q475,,InterestRatesTrigger))</f>
        <v>8.1481109071912527E-3</v>
      </c>
    </row>
    <row r="476" spans="16:18" x14ac:dyDescent="0.2">
      <c r="P476" s="138" t="s">
        <v>87</v>
      </c>
      <c r="Q476" s="139">
        <f>_xll.qlCalendarAdvance(Calendar,Q475,P476,"f")</f>
        <v>43354</v>
      </c>
      <c r="R476" s="140">
        <f>IF((ISERR(_xll.qlIndexFixing(Index,Q476,,InterestRatesTrigger))),_xll.qlIndexFixing(Index,Q476-$Q$1,,InterestRatesTrigger),_xll.qlIndexFixing(Index,Q476,,InterestRatesTrigger))</f>
        <v>8.1481109071912527E-3</v>
      </c>
    </row>
    <row r="477" spans="16:18" x14ac:dyDescent="0.2">
      <c r="P477" s="138" t="s">
        <v>87</v>
      </c>
      <c r="Q477" s="139">
        <f>_xll.qlCalendarAdvance(Calendar,Q476,P477,"f")</f>
        <v>43355</v>
      </c>
      <c r="R477" s="140">
        <f>IF((ISERR(_xll.qlIndexFixing(Index,Q477,,InterestRatesTrigger))),_xll.qlIndexFixing(Index,Q477-$Q$1,,InterestRatesTrigger),_xll.qlIndexFixing(Index,Q477,,InterestRatesTrigger))</f>
        <v>8.1481109071113167E-3</v>
      </c>
    </row>
    <row r="478" spans="16:18" x14ac:dyDescent="0.2">
      <c r="P478" s="138" t="s">
        <v>87</v>
      </c>
      <c r="Q478" s="139">
        <f>_xll.qlCalendarAdvance(Calendar,Q477,P478,"f")</f>
        <v>43356</v>
      </c>
      <c r="R478" s="140">
        <f>IF((ISERR(_xll.qlIndexFixing(Index,Q478,,InterestRatesTrigger))),_xll.qlIndexFixing(Index,Q478-$Q$1,,InterestRatesTrigger),_xll.qlIndexFixing(Index,Q478,,InterestRatesTrigger))</f>
        <v>8.1481109071912527E-3</v>
      </c>
    </row>
    <row r="479" spans="16:18" x14ac:dyDescent="0.2">
      <c r="P479" s="138" t="s">
        <v>87</v>
      </c>
      <c r="Q479" s="139">
        <f>_xll.qlCalendarAdvance(Calendar,Q478,P479,"f")</f>
        <v>43357</v>
      </c>
      <c r="R479" s="140">
        <f>IF((ISERR(_xll.qlIndexFixing(Index,Q479,,InterestRatesTrigger))),_xll.qlIndexFixing(Index,Q479-$Q$1,,InterestRatesTrigger),_xll.qlIndexFixing(Index,Q479,,InterestRatesTrigger))</f>
        <v>8.1482953299882865E-3</v>
      </c>
    </row>
    <row r="480" spans="16:18" x14ac:dyDescent="0.2">
      <c r="P480" s="138" t="s">
        <v>87</v>
      </c>
      <c r="Q480" s="139">
        <f>_xll.qlCalendarAdvance(Calendar,Q479,P480,"f")</f>
        <v>43360</v>
      </c>
      <c r="R480" s="140">
        <f>IF((ISERR(_xll.qlIndexFixing(Index,Q480,,InterestRatesTrigger))),_xll.qlIndexFixing(Index,Q480-$Q$1,,InterestRatesTrigger),_xll.qlIndexFixing(Index,Q480,,InterestRatesTrigger))</f>
        <v>8.1481109071113167E-3</v>
      </c>
    </row>
    <row r="481" spans="16:18" x14ac:dyDescent="0.2">
      <c r="P481" s="138" t="s">
        <v>87</v>
      </c>
      <c r="Q481" s="139">
        <f>_xll.qlCalendarAdvance(Calendar,Q480,P481,"f")</f>
        <v>43361</v>
      </c>
      <c r="R481" s="140">
        <f>IF((ISERR(_xll.qlIndexFixing(Index,Q481,,InterestRatesTrigger))),_xll.qlIndexFixing(Index,Q481-$Q$1,,InterestRatesTrigger),_xll.qlIndexFixing(Index,Q481,,InterestRatesTrigger))</f>
        <v>8.1481109071912527E-3</v>
      </c>
    </row>
    <row r="482" spans="16:18" x14ac:dyDescent="0.2">
      <c r="P482" s="138" t="s">
        <v>87</v>
      </c>
      <c r="Q482" s="139">
        <f>_xll.qlCalendarAdvance(Calendar,Q481,P482,"f")</f>
        <v>43362</v>
      </c>
      <c r="R482" s="140">
        <f>IF((ISERR(_xll.qlIndexFixing(Index,Q482,,InterestRatesTrigger))),_xll.qlIndexFixing(Index,Q482-$Q$1,,InterestRatesTrigger),_xll.qlIndexFixing(Index,Q482,,InterestRatesTrigger))</f>
        <v>8.1481109071113167E-3</v>
      </c>
    </row>
    <row r="483" spans="16:18" x14ac:dyDescent="0.2">
      <c r="P483" s="138" t="s">
        <v>87</v>
      </c>
      <c r="Q483" s="139">
        <f>_xll.qlCalendarAdvance(Calendar,Q482,P483,"f")</f>
        <v>43363</v>
      </c>
      <c r="R483" s="140">
        <f>IF((ISERR(_xll.qlIndexFixing(Index,Q483,,InterestRatesTrigger))),_xll.qlIndexFixing(Index,Q483-$Q$1,,InterestRatesTrigger),_xll.qlIndexFixing(Index,Q483,,InterestRatesTrigger))</f>
        <v>8.1481109071912527E-3</v>
      </c>
    </row>
    <row r="484" spans="16:18" x14ac:dyDescent="0.2">
      <c r="P484" s="138" t="s">
        <v>87</v>
      </c>
      <c r="Q484" s="139">
        <f>_xll.qlCalendarAdvance(Calendar,Q483,P484,"f")</f>
        <v>43364</v>
      </c>
      <c r="R484" s="140">
        <f>IF((ISERR(_xll.qlIndexFixing(Index,Q484,,InterestRatesTrigger))),_xll.qlIndexFixing(Index,Q484-$Q$1,,InterestRatesTrigger),_xll.qlIndexFixing(Index,Q484,,InterestRatesTrigger))</f>
        <v>8.1482953299616412E-3</v>
      </c>
    </row>
    <row r="485" spans="16:18" x14ac:dyDescent="0.2">
      <c r="P485" s="138" t="s">
        <v>87</v>
      </c>
      <c r="Q485" s="139">
        <f>_xll.qlCalendarAdvance(Calendar,Q484,P485,"f")</f>
        <v>43367</v>
      </c>
      <c r="R485" s="140">
        <f>IF((ISERR(_xll.qlIndexFixing(Index,Q485,,InterestRatesTrigger))),_xll.qlIndexFixing(Index,Q485-$Q$1,,InterestRatesTrigger),_xll.qlIndexFixing(Index,Q485,,InterestRatesTrigger))</f>
        <v>8.1481109071113167E-3</v>
      </c>
    </row>
    <row r="486" spans="16:18" x14ac:dyDescent="0.2">
      <c r="P486" s="138" t="s">
        <v>87</v>
      </c>
      <c r="Q486" s="139">
        <f>_xll.qlCalendarAdvance(Calendar,Q485,P486,"f")</f>
        <v>43368</v>
      </c>
      <c r="R486" s="140">
        <f>IF((ISERR(_xll.qlIndexFixing(Index,Q486,,InterestRatesTrigger))),_xll.qlIndexFixing(Index,Q486-$Q$1,,InterestRatesTrigger),_xll.qlIndexFixing(Index,Q486,,InterestRatesTrigger))</f>
        <v>8.1481109071912527E-3</v>
      </c>
    </row>
    <row r="487" spans="16:18" x14ac:dyDescent="0.2">
      <c r="P487" s="138" t="s">
        <v>87</v>
      </c>
      <c r="Q487" s="139">
        <f>_xll.qlCalendarAdvance(Calendar,Q486,P487,"f")</f>
        <v>43369</v>
      </c>
      <c r="R487" s="140">
        <f>IF((ISERR(_xll.qlIndexFixing(Index,Q487,,InterestRatesTrigger))),_xll.qlIndexFixing(Index,Q487-$Q$1,,InterestRatesTrigger),_xll.qlIndexFixing(Index,Q487,,InterestRatesTrigger))</f>
        <v>8.1481109071912527E-3</v>
      </c>
    </row>
    <row r="488" spans="16:18" x14ac:dyDescent="0.2">
      <c r="P488" s="138" t="s">
        <v>87</v>
      </c>
      <c r="Q488" s="139">
        <f>_xll.qlCalendarAdvance(Calendar,Q487,P488,"f")</f>
        <v>43370</v>
      </c>
      <c r="R488" s="140">
        <f>IF((ISERR(_xll.qlIndexFixing(Index,Q488,,InterestRatesTrigger))),_xll.qlIndexFixing(Index,Q488-$Q$1,,InterestRatesTrigger),_xll.qlIndexFixing(Index,Q488,,InterestRatesTrigger))</f>
        <v>8.1481109071113167E-3</v>
      </c>
    </row>
    <row r="489" spans="16:18" x14ac:dyDescent="0.2">
      <c r="P489" s="138" t="s">
        <v>87</v>
      </c>
      <c r="Q489" s="139">
        <f>_xll.qlCalendarAdvance(Calendar,Q488,P489,"f")</f>
        <v>43371</v>
      </c>
      <c r="R489" s="140">
        <f>IF((ISERR(_xll.qlIndexFixing(Index,Q489,,InterestRatesTrigger))),_xll.qlIndexFixing(Index,Q489-$Q$1,,InterestRatesTrigger),_xll.qlIndexFixing(Index,Q489,,InterestRatesTrigger))</f>
        <v>8.1482953299616412E-3</v>
      </c>
    </row>
    <row r="490" spans="16:18" x14ac:dyDescent="0.2">
      <c r="P490" s="138" t="s">
        <v>87</v>
      </c>
      <c r="Q490" s="139">
        <f>_xll.qlCalendarAdvance(Calendar,Q489,P490,"f")</f>
        <v>43374</v>
      </c>
      <c r="R490" s="140">
        <f>IF((ISERR(_xll.qlIndexFixing(Index,Q490,,InterestRatesTrigger))),_xll.qlIndexFixing(Index,Q490-$Q$1,,InterestRatesTrigger),_xll.qlIndexFixing(Index,Q490,,InterestRatesTrigger))</f>
        <v>8.1481109071912527E-3</v>
      </c>
    </row>
    <row r="491" spans="16:18" x14ac:dyDescent="0.2">
      <c r="P491" s="138" t="s">
        <v>87</v>
      </c>
      <c r="Q491" s="139">
        <f>_xll.qlCalendarAdvance(Calendar,Q490,P491,"f")</f>
        <v>43375</v>
      </c>
      <c r="R491" s="140">
        <f>IF((ISERR(_xll.qlIndexFixing(Index,Q491,,InterestRatesTrigger))),_xll.qlIndexFixing(Index,Q491-$Q$1,,InterestRatesTrigger),_xll.qlIndexFixing(Index,Q491,,InterestRatesTrigger))</f>
        <v>8.1481109071912527E-3</v>
      </c>
    </row>
    <row r="492" spans="16:18" x14ac:dyDescent="0.2">
      <c r="P492" s="138" t="s">
        <v>87</v>
      </c>
      <c r="Q492" s="139">
        <f>_xll.qlCalendarAdvance(Calendar,Q491,P492,"f")</f>
        <v>43376</v>
      </c>
      <c r="R492" s="140">
        <f>IF((ISERR(_xll.qlIndexFixing(Index,Q492,,InterestRatesTrigger))),_xll.qlIndexFixing(Index,Q492-$Q$1,,InterestRatesTrigger),_xll.qlIndexFixing(Index,Q492,,InterestRatesTrigger))</f>
        <v>8.1481109071912527E-3</v>
      </c>
    </row>
    <row r="493" spans="16:18" x14ac:dyDescent="0.2">
      <c r="P493" s="138" t="s">
        <v>87</v>
      </c>
      <c r="Q493" s="139">
        <f>_xll.qlCalendarAdvance(Calendar,Q492,P493,"f")</f>
        <v>43377</v>
      </c>
      <c r="R493" s="140">
        <f>IF((ISERR(_xll.qlIndexFixing(Index,Q493,,InterestRatesTrigger))),_xll.qlIndexFixing(Index,Q493-$Q$1,,InterestRatesTrigger),_xll.qlIndexFixing(Index,Q493,,InterestRatesTrigger))</f>
        <v>8.1481109071912527E-3</v>
      </c>
    </row>
    <row r="494" spans="16:18" x14ac:dyDescent="0.2">
      <c r="P494" s="138" t="s">
        <v>87</v>
      </c>
      <c r="Q494" s="139">
        <f>_xll.qlCalendarAdvance(Calendar,Q493,P494,"f")</f>
        <v>43378</v>
      </c>
      <c r="R494" s="140">
        <f>IF((ISERR(_xll.qlIndexFixing(Index,Q494,,InterestRatesTrigger))),_xll.qlIndexFixing(Index,Q494-$Q$1,,InterestRatesTrigger),_xll.qlIndexFixing(Index,Q494,,InterestRatesTrigger))</f>
        <v>8.1483875434651409E-3</v>
      </c>
    </row>
    <row r="495" spans="16:18" x14ac:dyDescent="0.2">
      <c r="P495" s="138" t="s">
        <v>87</v>
      </c>
      <c r="Q495" s="139">
        <f>_xll.qlCalendarAdvance(Calendar,Q494,P495,"f")</f>
        <v>43382</v>
      </c>
      <c r="R495" s="140">
        <f>IF((ISERR(_xll.qlIndexFixing(Index,Q495,,InterestRatesTrigger))),_xll.qlIndexFixing(Index,Q495-$Q$1,,InterestRatesTrigger),_xll.qlIndexFixing(Index,Q495,,InterestRatesTrigger))</f>
        <v>8.1481109071912527E-3</v>
      </c>
    </row>
    <row r="496" spans="16:18" x14ac:dyDescent="0.2">
      <c r="P496" s="138" t="s">
        <v>87</v>
      </c>
      <c r="Q496" s="139">
        <f>_xll.qlCalendarAdvance(Calendar,Q495,P496,"f")</f>
        <v>43383</v>
      </c>
      <c r="R496" s="140">
        <f>IF((ISERR(_xll.qlIndexFixing(Index,Q496,,InterestRatesTrigger))),_xll.qlIndexFixing(Index,Q496-$Q$1,,InterestRatesTrigger),_xll.qlIndexFixing(Index,Q496,,InterestRatesTrigger))</f>
        <v>8.1481109071912527E-3</v>
      </c>
    </row>
    <row r="497" spans="16:18" x14ac:dyDescent="0.2">
      <c r="P497" s="138" t="s">
        <v>87</v>
      </c>
      <c r="Q497" s="139">
        <f>_xll.qlCalendarAdvance(Calendar,Q496,P497,"f")</f>
        <v>43384</v>
      </c>
      <c r="R497" s="140">
        <f>IF((ISERR(_xll.qlIndexFixing(Index,Q497,,InterestRatesTrigger))),_xll.qlIndexFixing(Index,Q497-$Q$1,,InterestRatesTrigger),_xll.qlIndexFixing(Index,Q497,,InterestRatesTrigger))</f>
        <v>8.1481109071113167E-3</v>
      </c>
    </row>
    <row r="498" spans="16:18" x14ac:dyDescent="0.2">
      <c r="P498" s="138" t="s">
        <v>87</v>
      </c>
      <c r="Q498" s="139">
        <f>_xll.qlCalendarAdvance(Calendar,Q497,P498,"f")</f>
        <v>43385</v>
      </c>
      <c r="R498" s="140">
        <f>IF((ISERR(_xll.qlIndexFixing(Index,Q498,,InterestRatesTrigger))),_xll.qlIndexFixing(Index,Q498-$Q$1,,InterestRatesTrigger),_xll.qlIndexFixing(Index,Q498,,InterestRatesTrigger))</f>
        <v>8.1482953299882865E-3</v>
      </c>
    </row>
    <row r="499" spans="16:18" x14ac:dyDescent="0.2">
      <c r="P499" s="138" t="s">
        <v>87</v>
      </c>
      <c r="Q499" s="139">
        <f>_xll.qlCalendarAdvance(Calendar,Q498,P499,"f")</f>
        <v>43388</v>
      </c>
      <c r="R499" s="140">
        <f>IF((ISERR(_xll.qlIndexFixing(Index,Q499,,InterestRatesTrigger))),_xll.qlIndexFixing(Index,Q499-$Q$1,,InterestRatesTrigger),_xll.qlIndexFixing(Index,Q499,,InterestRatesTrigger))</f>
        <v>8.1481109071113167E-3</v>
      </c>
    </row>
    <row r="500" spans="16:18" x14ac:dyDescent="0.2">
      <c r="P500" s="138" t="s">
        <v>87</v>
      </c>
      <c r="Q500" s="139">
        <f>_xll.qlCalendarAdvance(Calendar,Q499,P500,"f")</f>
        <v>43389</v>
      </c>
      <c r="R500" s="140">
        <f>IF((ISERR(_xll.qlIndexFixing(Index,Q500,,InterestRatesTrigger))),_xll.qlIndexFixing(Index,Q500-$Q$1,,InterestRatesTrigger),_xll.qlIndexFixing(Index,Q500,,InterestRatesTrigger))</f>
        <v>8.1481109071912527E-3</v>
      </c>
    </row>
    <row r="501" spans="16:18" x14ac:dyDescent="0.2">
      <c r="P501" s="138" t="s">
        <v>87</v>
      </c>
      <c r="Q501" s="139">
        <f>_xll.qlCalendarAdvance(Calendar,Q500,P501,"f")</f>
        <v>43390</v>
      </c>
      <c r="R501" s="140">
        <f>IF((ISERR(_xll.qlIndexFixing(Index,Q501,,InterestRatesTrigger))),_xll.qlIndexFixing(Index,Q501-$Q$1,,InterestRatesTrigger),_xll.qlIndexFixing(Index,Q501,,InterestRatesTrigger))</f>
        <v>8.1481109071113167E-3</v>
      </c>
    </row>
    <row r="502" spans="16:18" x14ac:dyDescent="0.2">
      <c r="P502" s="138" t="s">
        <v>87</v>
      </c>
      <c r="Q502" s="139">
        <f>_xll.qlCalendarAdvance(Calendar,Q501,P502,"f")</f>
        <v>43391</v>
      </c>
      <c r="R502" s="140">
        <f>IF((ISERR(_xll.qlIndexFixing(Index,Q502,,InterestRatesTrigger))),_xll.qlIndexFixing(Index,Q502-$Q$1,,InterestRatesTrigger),_xll.qlIndexFixing(Index,Q502,,InterestRatesTrigger))</f>
        <v>8.1481109071113167E-3</v>
      </c>
    </row>
    <row r="503" spans="16:18" x14ac:dyDescent="0.2">
      <c r="P503" s="138" t="s">
        <v>87</v>
      </c>
      <c r="Q503" s="139">
        <f>_xll.qlCalendarAdvance(Calendar,Q502,P503,"f")</f>
        <v>43392</v>
      </c>
      <c r="R503" s="140">
        <f>IF((ISERR(_xll.qlIndexFixing(Index,Q503,,InterestRatesTrigger))),_xll.qlIndexFixing(Index,Q503-$Q$1,,InterestRatesTrigger),_xll.qlIndexFixing(Index,Q503,,InterestRatesTrigger))</f>
        <v>8.1482953299882865E-3</v>
      </c>
    </row>
    <row r="504" spans="16:18" x14ac:dyDescent="0.2">
      <c r="P504" s="138" t="s">
        <v>87</v>
      </c>
      <c r="Q504" s="139">
        <f>_xll.qlCalendarAdvance(Calendar,Q503,P504,"f")</f>
        <v>43395</v>
      </c>
      <c r="R504" s="140">
        <f>IF((ISERR(_xll.qlIndexFixing(Index,Q504,,InterestRatesTrigger))),_xll.qlIndexFixing(Index,Q504-$Q$1,,InterestRatesTrigger),_xll.qlIndexFixing(Index,Q504,,InterestRatesTrigger))</f>
        <v>8.1481109071113167E-3</v>
      </c>
    </row>
    <row r="505" spans="16:18" x14ac:dyDescent="0.2">
      <c r="P505" s="153"/>
      <c r="Q505" s="153"/>
      <c r="R505" s="153"/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91</vt:i4>
      </vt:variant>
    </vt:vector>
  </HeadingPairs>
  <TitlesOfParts>
    <vt:vector size="95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JumpDate14</vt:lpstr>
      <vt:lpstr>JumpDate15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Jumpoverwrite14</vt:lpstr>
      <vt:lpstr>Jumpoverwrite15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JumpSize14</vt:lpstr>
      <vt:lpstr>JumpSize15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JumpValue14</vt:lpstr>
      <vt:lpstr>JumpValue15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BERTOCCHI NICHOLAS</cp:lastModifiedBy>
  <cp:lastPrinted>2009-10-19T16:16:39Z</cp:lastPrinted>
  <dcterms:created xsi:type="dcterms:W3CDTF">2006-04-26T09:45:07Z</dcterms:created>
  <dcterms:modified xsi:type="dcterms:W3CDTF">2016-10-19T13:49:37Z</dcterms:modified>
</cp:coreProperties>
</file>