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45" windowWidth="18990" windowHeight="11655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  <externalReference r:id="rId6"/>
  </externalReferences>
  <definedNames>
    <definedName name="Accuracy">'General Settings'!$D$14</definedName>
    <definedName name="AreaTable">'[1]General Settings'!$C$34:$D$49</definedName>
    <definedName name="Calendar">'General Settings'!$D$12</definedName>
    <definedName name="Contributor">#REF!</definedName>
    <definedName name="ContributorTable">'[1]General Settings'!$C$23:$D$29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14">Calculation!$BM$2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14">Contribution!$F$16</definedName>
    <definedName name="Jumpoverwrite15">Contribution!$F$17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14">Calculation!$BO$4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14">Calculation!$BO$1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">Contribution!$D$3:$D$16</definedName>
    <definedName name="LiveDataFeed">'General Settings'!$D$24</definedName>
    <definedName name="MinDistance">RateHelpers!$G$2:$G$36</definedName>
    <definedName name="NDays">'General Settings'!$D$11</definedName>
    <definedName name="ObjectOverwrite">'[1]General Settings'!$I$14</definedName>
    <definedName name="OvernightIndex">'General Settings'!$D$6</definedName>
    <definedName name="Permanent">'[1]General Settings'!$I$13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RateHelpers!$D$2:$D$36</definedName>
    <definedName name="RateHelpersIncluded">RateHelpers!$E$2:$E$36</definedName>
    <definedName name="RateHelpersPriority">RateHelpers!$F$2:$F$36</definedName>
    <definedName name="RateTickValue">'[1]General Settings'!$I$16</definedName>
    <definedName name="ReutersRtMode">'[1]General Settings'!$I$18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1" i="2" l="1"/>
  <c r="D2" i="2" s="1"/>
  <c r="C2" i="2"/>
  <c r="H2" i="2"/>
  <c r="I2" i="2"/>
  <c r="J16" i="6" l="1"/>
  <c r="K16" i="6"/>
  <c r="C24" i="2" l="1"/>
  <c r="C23" i="2"/>
  <c r="C22" i="2"/>
  <c r="C21" i="2"/>
  <c r="C18" i="2"/>
  <c r="C17" i="2"/>
  <c r="C16" i="2"/>
  <c r="C15" i="2"/>
  <c r="C13" i="2"/>
  <c r="C10" i="2"/>
  <c r="C7" i="2"/>
  <c r="C6" i="2"/>
  <c r="C5" i="2"/>
  <c r="C8" i="2"/>
  <c r="C9" i="2"/>
  <c r="C14" i="2"/>
  <c r="C20" i="2"/>
  <c r="C25" i="2"/>
  <c r="C19" i="2"/>
  <c r="C3" i="2"/>
  <c r="C4" i="2"/>
  <c r="C11" i="2"/>
  <c r="C12" i="2"/>
  <c r="C26" i="2"/>
  <c r="C27" i="2"/>
  <c r="C28" i="2"/>
  <c r="C29" i="2"/>
  <c r="D19" i="2"/>
  <c r="H19" i="2"/>
  <c r="D5" i="2"/>
  <c r="D21" i="2"/>
  <c r="H21" i="2"/>
  <c r="D28" i="2"/>
  <c r="D29" i="2"/>
  <c r="I21" i="2"/>
  <c r="D14" i="2"/>
  <c r="D9" i="2"/>
  <c r="D10" i="2"/>
  <c r="H10" i="2" s="1"/>
  <c r="D27" i="2"/>
  <c r="H27" i="2" s="1"/>
  <c r="D16" i="2"/>
  <c r="I16" i="2" s="1"/>
  <c r="D11" i="2"/>
  <c r="D8" i="2"/>
  <c r="H8" i="2" s="1"/>
  <c r="D26" i="2"/>
  <c r="D6" i="2"/>
  <c r="I9" i="2"/>
  <c r="D20" i="2"/>
  <c r="H20" i="2"/>
  <c r="D18" i="2"/>
  <c r="H28" i="2"/>
  <c r="D15" i="2"/>
  <c r="D17" i="2"/>
  <c r="D13" i="2"/>
  <c r="D25" i="2"/>
  <c r="H25" i="2" s="1"/>
  <c r="D3" i="2"/>
  <c r="D24" i="2"/>
  <c r="I24" i="2" s="1"/>
  <c r="I8" i="2"/>
  <c r="I19" i="2"/>
  <c r="H6" i="2"/>
  <c r="D4" i="2"/>
  <c r="I10" i="2"/>
  <c r="I27" i="2"/>
  <c r="H24" i="2"/>
  <c r="I25" i="2"/>
  <c r="D22" i="2"/>
  <c r="I28" i="2"/>
  <c r="I5" i="2"/>
  <c r="H16" i="2"/>
  <c r="D7" i="2"/>
  <c r="H5" i="2"/>
  <c r="D12" i="2"/>
  <c r="D23" i="2"/>
  <c r="H29" i="2"/>
  <c r="H14" i="2"/>
  <c r="I11" i="2"/>
  <c r="H11" i="2"/>
  <c r="I26" i="2"/>
  <c r="H26" i="2"/>
  <c r="H18" i="2"/>
  <c r="I18" i="2"/>
  <c r="H15" i="2"/>
  <c r="I15" i="2"/>
  <c r="H17" i="2"/>
  <c r="H13" i="2"/>
  <c r="H3" i="2"/>
  <c r="I3" i="2"/>
  <c r="H4" i="2"/>
  <c r="I4" i="2"/>
  <c r="I22" i="2"/>
  <c r="H22" i="2"/>
  <c r="I7" i="2"/>
  <c r="I12" i="2"/>
  <c r="H12" i="2"/>
  <c r="H23" i="2"/>
  <c r="I23" i="2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H7" i="2"/>
  <c r="I13" i="2"/>
  <c r="I17" i="2"/>
  <c r="I20" i="2"/>
  <c r="I6" i="2"/>
  <c r="H9" i="2"/>
  <c r="I14" i="2"/>
  <c r="I29" i="2"/>
  <c r="D14" i="3" l="1"/>
  <c r="K10" i="6"/>
  <c r="K6" i="6"/>
  <c r="K14" i="6"/>
  <c r="K3" i="6"/>
  <c r="K8" i="6"/>
  <c r="K13" i="6"/>
  <c r="I4" i="3"/>
  <c r="K5" i="6"/>
  <c r="K11" i="6"/>
  <c r="K7" i="6"/>
  <c r="B1" i="3"/>
  <c r="K9" i="6"/>
  <c r="K12" i="6"/>
  <c r="K4" i="6"/>
  <c r="I5" i="3"/>
  <c r="K15" i="6"/>
  <c r="Q3" i="6" l="1"/>
  <c r="Q4" i="6"/>
  <c r="BI2" i="4"/>
  <c r="BM2" i="4"/>
  <c r="BO2" i="4" s="1"/>
  <c r="BK2" i="4"/>
  <c r="C16" i="6" l="1"/>
  <c r="C15" i="6"/>
  <c r="Q5" i="6"/>
  <c r="Q6" i="6"/>
  <c r="Q7" i="6" s="1"/>
  <c r="Q8" i="6"/>
  <c r="Q9" i="6" s="1"/>
  <c r="E6" i="2" l="1"/>
  <c r="E8" i="2"/>
  <c r="Q10" i="6"/>
  <c r="E7" i="2" l="1"/>
  <c r="E9" i="2"/>
  <c r="E10" i="2"/>
  <c r="Q11" i="6"/>
  <c r="E11" i="2" l="1"/>
  <c r="Q12" i="6"/>
  <c r="E12" i="2" l="1"/>
  <c r="Q13" i="6"/>
  <c r="A5" i="4" a="1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C72" i="4"/>
  <c r="C43" i="4"/>
  <c r="C119" i="4"/>
  <c r="C52" i="4"/>
  <c r="D42" i="4"/>
  <c r="C12" i="4"/>
  <c r="C85" i="4"/>
  <c r="C54" i="4"/>
  <c r="D74" i="4"/>
  <c r="D60" i="4"/>
  <c r="C58" i="4"/>
  <c r="C31" i="4"/>
  <c r="C42" i="4"/>
  <c r="D30" i="4"/>
  <c r="D110" i="4"/>
  <c r="C87" i="4"/>
  <c r="D11" i="4"/>
  <c r="D18" i="4"/>
  <c r="D47" i="4"/>
  <c r="D64" i="4"/>
  <c r="C129" i="4"/>
  <c r="D117" i="4"/>
  <c r="D120" i="4"/>
  <c r="C111" i="4"/>
  <c r="D95" i="4"/>
  <c r="D108" i="4"/>
  <c r="D102" i="4"/>
  <c r="D28" i="4"/>
  <c r="D90" i="4"/>
  <c r="C102" i="4"/>
  <c r="D48" i="4"/>
  <c r="D33" i="4"/>
  <c r="D7" i="4"/>
  <c r="C34" i="4"/>
  <c r="D27" i="4"/>
  <c r="C117" i="4"/>
  <c r="D9" i="4"/>
  <c r="C53" i="4"/>
  <c r="C60" i="4"/>
  <c r="D49" i="4"/>
  <c r="D77" i="4"/>
  <c r="C38" i="4"/>
  <c r="D87" i="4"/>
  <c r="D121" i="4"/>
  <c r="C67" i="4"/>
  <c r="C17" i="4"/>
  <c r="C32" i="4"/>
  <c r="D89" i="4"/>
  <c r="D118" i="4"/>
  <c r="D103" i="4"/>
  <c r="C19" i="4"/>
  <c r="C40" i="4"/>
  <c r="D113" i="4"/>
  <c r="C125" i="4"/>
  <c r="C101" i="4"/>
  <c r="C123" i="4"/>
  <c r="D13" i="4"/>
  <c r="D67" i="4"/>
  <c r="C73" i="4"/>
  <c r="C13" i="4"/>
  <c r="D25" i="4"/>
  <c r="D104" i="4"/>
  <c r="D91" i="4"/>
  <c r="C116" i="4"/>
  <c r="D72" i="4"/>
  <c r="C76" i="4"/>
  <c r="D19" i="4"/>
  <c r="C81" i="4"/>
  <c r="C118" i="4"/>
  <c r="C84" i="4"/>
  <c r="D56" i="4"/>
  <c r="C121" i="4"/>
  <c r="D109" i="4"/>
  <c r="D125" i="4"/>
  <c r="D38" i="4"/>
  <c r="D69" i="4"/>
  <c r="C51" i="4"/>
  <c r="D10" i="4"/>
  <c r="C24" i="4"/>
  <c r="C122" i="4"/>
  <c r="D51" i="4"/>
  <c r="D26" i="4"/>
  <c r="D21" i="4"/>
  <c r="C47" i="4"/>
  <c r="D80" i="4"/>
  <c r="D70" i="4"/>
  <c r="D123" i="4"/>
  <c r="D36" i="4"/>
  <c r="D22" i="4"/>
  <c r="C45" i="4"/>
  <c r="C106" i="4"/>
  <c r="C124" i="4"/>
  <c r="C15" i="4"/>
  <c r="C7" i="4"/>
  <c r="C16" i="4"/>
  <c r="D35" i="4"/>
  <c r="C10" i="4"/>
  <c r="C128" i="4"/>
  <c r="C22" i="4"/>
  <c r="D32" i="4"/>
  <c r="D84" i="4"/>
  <c r="C93" i="4"/>
  <c r="C75" i="4"/>
  <c r="D40" i="4"/>
  <c r="D88" i="4"/>
  <c r="C80" i="4"/>
  <c r="C113" i="4"/>
  <c r="D115" i="4"/>
  <c r="C109" i="4"/>
  <c r="C9" i="4"/>
  <c r="C29" i="4"/>
  <c r="C82" i="4"/>
  <c r="D73" i="4"/>
  <c r="D106" i="4"/>
  <c r="C33" i="4"/>
  <c r="C64" i="4"/>
  <c r="D59" i="4"/>
  <c r="D94" i="4"/>
  <c r="D119" i="4"/>
  <c r="C120" i="4"/>
  <c r="C89" i="4"/>
  <c r="C50" i="4"/>
  <c r="C114" i="4"/>
  <c r="C5" i="4"/>
  <c r="D65" i="4"/>
  <c r="C66" i="4"/>
  <c r="D114" i="4"/>
  <c r="D71" i="4"/>
  <c r="C100" i="4"/>
  <c r="C6" i="4"/>
  <c r="C92" i="4"/>
  <c r="G19" i="4"/>
  <c r="D63" i="4"/>
  <c r="D55" i="4"/>
  <c r="C88" i="4"/>
  <c r="D54" i="4"/>
  <c r="C91" i="4"/>
  <c r="D107" i="4"/>
  <c r="C36" i="4"/>
  <c r="D96" i="4"/>
  <c r="C63" i="4"/>
  <c r="D66" i="4"/>
  <c r="C21" i="4"/>
  <c r="D62" i="4"/>
  <c r="Q14" i="6"/>
  <c r="D111" i="4"/>
  <c r="D92" i="4"/>
  <c r="D129" i="4"/>
  <c r="C65" i="4"/>
  <c r="D81" i="4"/>
  <c r="D12" i="4"/>
  <c r="D105" i="4"/>
  <c r="C108" i="4"/>
  <c r="D82" i="4"/>
  <c r="C71" i="4"/>
  <c r="C55" i="4"/>
  <c r="D101" i="4"/>
  <c r="C79" i="4"/>
  <c r="D61" i="4"/>
  <c r="C104" i="4"/>
  <c r="C37" i="4"/>
  <c r="D52" i="4"/>
  <c r="D122" i="4"/>
  <c r="C8" i="4"/>
  <c r="D79" i="4"/>
  <c r="C18" i="4"/>
  <c r="D127" i="4"/>
  <c r="D53" i="4"/>
  <c r="C99" i="4"/>
  <c r="C11" i="4"/>
  <c r="D6" i="4"/>
  <c r="C14" i="4"/>
  <c r="C20" i="4"/>
  <c r="C56" i="4"/>
  <c r="C97" i="4"/>
  <c r="C96" i="4"/>
  <c r="C61" i="4"/>
  <c r="D37" i="4"/>
  <c r="D20" i="4"/>
  <c r="D97" i="4"/>
  <c r="C59" i="4"/>
  <c r="D126" i="4"/>
  <c r="C90" i="4"/>
  <c r="C78" i="4"/>
  <c r="D50" i="4"/>
  <c r="D31" i="4"/>
  <c r="D99" i="4"/>
  <c r="C69" i="4"/>
  <c r="C98" i="4"/>
  <c r="C25" i="4"/>
  <c r="D17" i="4"/>
  <c r="D68" i="4"/>
  <c r="D45" i="4"/>
  <c r="D58" i="4"/>
  <c r="D8" i="4"/>
  <c r="D57" i="4"/>
  <c r="C30" i="4"/>
  <c r="C44" i="4"/>
  <c r="D75" i="4"/>
  <c r="C77" i="4"/>
  <c r="C126" i="4"/>
  <c r="C94" i="4"/>
  <c r="C107" i="4"/>
  <c r="C74" i="4"/>
  <c r="D76" i="4"/>
  <c r="C26" i="4"/>
  <c r="D5" i="4"/>
  <c r="C48" i="4"/>
  <c r="C39" i="4"/>
  <c r="C28" i="4"/>
  <c r="C115" i="4"/>
  <c r="C46" i="4"/>
  <c r="C95" i="4"/>
  <c r="D29" i="4"/>
  <c r="D112" i="4"/>
  <c r="C110" i="4"/>
  <c r="D15" i="4"/>
  <c r="C127" i="4"/>
  <c r="C62" i="4"/>
  <c r="D116" i="4"/>
  <c r="D16" i="4"/>
  <c r="C49" i="4"/>
  <c r="C103" i="4"/>
  <c r="D128" i="4"/>
  <c r="C83" i="4"/>
  <c r="C112" i="4"/>
  <c r="D93" i="4"/>
  <c r="D23" i="4"/>
  <c r="C35" i="4"/>
  <c r="D78" i="4"/>
  <c r="D98" i="4"/>
  <c r="D85" i="4"/>
  <c r="D86" i="4"/>
  <c r="D14" i="4"/>
  <c r="D34" i="4"/>
  <c r="D41" i="4"/>
  <c r="C86" i="4"/>
  <c r="C68" i="4"/>
  <c r="C23" i="4"/>
  <c r="D83" i="4"/>
  <c r="C57" i="4"/>
  <c r="D124" i="4"/>
  <c r="D46" i="4"/>
  <c r="D39" i="4"/>
  <c r="C41" i="4"/>
  <c r="C27" i="4"/>
  <c r="C70" i="4"/>
  <c r="D100" i="4"/>
  <c r="G100" i="4" s="1"/>
  <c r="C105" i="4"/>
  <c r="D24" i="4"/>
  <c r="G87" i="4"/>
  <c r="D44" i="4"/>
  <c r="D43" i="4"/>
  <c r="B81" i="4"/>
  <c r="B58" i="4"/>
  <c r="B34" i="4"/>
  <c r="B63" i="4"/>
  <c r="B101" i="4"/>
  <c r="B95" i="4"/>
  <c r="B57" i="4"/>
  <c r="B121" i="4"/>
  <c r="B38" i="4"/>
  <c r="B87" i="4"/>
  <c r="B98" i="4"/>
  <c r="B68" i="4"/>
  <c r="B109" i="4"/>
  <c r="B110" i="4"/>
  <c r="B115" i="4"/>
  <c r="B47" i="4"/>
  <c r="B72" i="4"/>
  <c r="B67" i="4"/>
  <c r="B112" i="4"/>
  <c r="B103" i="4"/>
  <c r="B56" i="4"/>
  <c r="B65" i="4"/>
  <c r="B105" i="4"/>
  <c r="B43" i="4"/>
  <c r="B83" i="4"/>
  <c r="B102" i="4"/>
  <c r="B127" i="4"/>
  <c r="B125" i="4"/>
  <c r="B106" i="4"/>
  <c r="B49" i="4"/>
  <c r="B129" i="4"/>
  <c r="B74" i="4"/>
  <c r="B111" i="4"/>
  <c r="B64" i="4"/>
  <c r="B36" i="4"/>
  <c r="B99" i="4"/>
  <c r="B88" i="4"/>
  <c r="B41" i="4"/>
  <c r="B92" i="4"/>
  <c r="B66" i="4"/>
  <c r="B113" i="4"/>
  <c r="B118" i="4"/>
  <c r="B79" i="4"/>
  <c r="B50" i="4"/>
  <c r="B73" i="4"/>
  <c r="B39" i="4"/>
  <c r="B59" i="4"/>
  <c r="B70" i="4"/>
  <c r="B54" i="4"/>
  <c r="B78" i="4"/>
  <c r="B114" i="4"/>
  <c r="B55" i="4"/>
  <c r="B108" i="4"/>
  <c r="B82" i="4"/>
  <c r="B42" i="4"/>
  <c r="B97" i="4"/>
  <c r="B46" i="4"/>
  <c r="B62" i="4"/>
  <c r="B120" i="4"/>
  <c r="B69" i="4"/>
  <c r="B77" i="4"/>
  <c r="B124" i="4"/>
  <c r="B104" i="4"/>
  <c r="B44" i="4"/>
  <c r="B40" i="4"/>
  <c r="B76" i="4"/>
  <c r="B94" i="4"/>
  <c r="B100" i="4"/>
  <c r="B53" i="4"/>
  <c r="B45" i="4"/>
  <c r="B60" i="4"/>
  <c r="B75" i="4"/>
  <c r="B52" i="4"/>
  <c r="B117" i="4"/>
  <c r="B128" i="4"/>
  <c r="B116" i="4"/>
  <c r="B93" i="4"/>
  <c r="B35" i="4"/>
  <c r="B86" i="4"/>
  <c r="B33" i="4"/>
  <c r="B48" i="4"/>
  <c r="B96" i="4"/>
  <c r="B61" i="4"/>
  <c r="B119" i="4"/>
  <c r="B85" i="4"/>
  <c r="B71" i="4"/>
  <c r="B80" i="4"/>
  <c r="B90" i="4"/>
  <c r="B107" i="4"/>
  <c r="B123" i="4"/>
  <c r="B91" i="4"/>
  <c r="B37" i="4"/>
  <c r="B89" i="4"/>
  <c r="B84" i="4"/>
  <c r="B126" i="4"/>
  <c r="B51" i="4"/>
  <c r="B122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BM5" i="4" s="1"/>
  <c r="F105" i="4"/>
  <c r="K105" i="4"/>
  <c r="BI105" i="4" s="1"/>
  <c r="F6" i="4"/>
  <c r="K6" i="4"/>
  <c r="BI6" i="4" s="1"/>
  <c r="BM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BI8" i="4" s="1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BI11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G18" i="4"/>
  <c r="G44" i="4"/>
  <c r="G54" i="4"/>
  <c r="G73" i="4"/>
  <c r="G86" i="4"/>
  <c r="G111" i="4"/>
  <c r="G36" i="4"/>
  <c r="G108" i="4"/>
  <c r="G46" i="4"/>
  <c r="G52" i="4"/>
  <c r="G32" i="4"/>
  <c r="G43" i="4"/>
  <c r="G40" i="4"/>
  <c r="G120" i="4"/>
  <c r="G106" i="4"/>
  <c r="G33" i="4"/>
  <c r="G8" i="4"/>
  <c r="G15" i="4"/>
  <c r="G39" i="4"/>
  <c r="G49" i="4"/>
  <c r="G105" i="4"/>
  <c r="G23" i="4"/>
  <c r="G63" i="4"/>
  <c r="G117" i="4"/>
  <c r="G75" i="4"/>
  <c r="G84" i="4"/>
  <c r="G126" i="4"/>
  <c r="G12" i="4"/>
  <c r="G20" i="4"/>
  <c r="G7" i="4"/>
  <c r="G77" i="4"/>
  <c r="G53" i="4"/>
  <c r="G92" i="4"/>
  <c r="G48" i="4"/>
  <c r="G103" i="4"/>
  <c r="G28" i="4"/>
  <c r="G62" i="4"/>
  <c r="G112" i="4"/>
  <c r="G97" i="4"/>
  <c r="G74" i="4"/>
  <c r="G89" i="4"/>
  <c r="G50" i="4"/>
  <c r="G101" i="4"/>
  <c r="G42" i="4"/>
  <c r="G67" i="4"/>
  <c r="G104" i="4"/>
  <c r="G80" i="4"/>
  <c r="G107" i="4"/>
  <c r="G59" i="4"/>
  <c r="G96" i="4"/>
  <c r="G119" i="4"/>
  <c r="G27" i="4"/>
  <c r="G81" i="4"/>
  <c r="G122" i="4"/>
  <c r="G6" i="4"/>
  <c r="G66" i="4"/>
  <c r="G94" i="4"/>
  <c r="G9" i="4"/>
  <c r="G85" i="4"/>
  <c r="Q15" i="6"/>
  <c r="G91" i="4"/>
  <c r="G41" i="4"/>
  <c r="G35" i="4"/>
  <c r="G58" i="4"/>
  <c r="G61" i="4"/>
  <c r="G16" i="4"/>
  <c r="G88" i="4"/>
  <c r="G47" i="4"/>
  <c r="G124" i="4"/>
  <c r="G115" i="4"/>
  <c r="G72" i="4"/>
  <c r="G11" i="4"/>
  <c r="G64" i="4"/>
  <c r="G123" i="4"/>
  <c r="G45" i="4"/>
  <c r="G22" i="4"/>
  <c r="G90" i="4"/>
  <c r="G78" i="4"/>
  <c r="G31" i="4"/>
  <c r="G82" i="4"/>
  <c r="G17" i="4"/>
  <c r="G98" i="4"/>
  <c r="G71" i="4"/>
  <c r="G121" i="4"/>
  <c r="G109" i="4"/>
  <c r="G21" i="4"/>
  <c r="G38" i="4"/>
  <c r="G68" i="4"/>
  <c r="G13" i="4"/>
  <c r="G26" i="4"/>
  <c r="G65" i="4"/>
  <c r="G83" i="4"/>
  <c r="G95" i="4"/>
  <c r="G79" i="4"/>
  <c r="G25" i="4"/>
  <c r="G93" i="4"/>
  <c r="G125" i="4"/>
  <c r="G129" i="4"/>
  <c r="G114" i="4"/>
  <c r="G102" i="4"/>
  <c r="G113" i="4"/>
  <c r="G10" i="4"/>
  <c r="G34" i="4"/>
  <c r="G51" i="4"/>
  <c r="G30" i="4"/>
  <c r="G76" i="4"/>
  <c r="G60" i="4"/>
  <c r="G37" i="4"/>
  <c r="G24" i="4"/>
  <c r="G29" i="4"/>
  <c r="G118" i="4"/>
  <c r="G57" i="4"/>
  <c r="G70" i="4"/>
  <c r="G110" i="4"/>
  <c r="G69" i="4"/>
  <c r="G127" i="4"/>
  <c r="G14" i="4"/>
  <c r="G116" i="4"/>
  <c r="G56" i="4"/>
  <c r="G55" i="4"/>
  <c r="G128" i="4"/>
  <c r="G99" i="4"/>
  <c r="BM16" i="4" l="1"/>
  <c r="BM9" i="4"/>
  <c r="BM10" i="4"/>
  <c r="BO6" i="4"/>
  <c r="BM8" i="4"/>
  <c r="BM13" i="4"/>
  <c r="BM11" i="4"/>
  <c r="BM14" i="4"/>
  <c r="BM12" i="4"/>
  <c r="BM15" i="4"/>
  <c r="BM7" i="4"/>
  <c r="BO5" i="4"/>
  <c r="BI72" i="4"/>
  <c r="BI104" i="4"/>
  <c r="BI90" i="4"/>
  <c r="BI119" i="4"/>
  <c r="BK16" i="4"/>
  <c r="BK8" i="4"/>
  <c r="BK6" i="4"/>
  <c r="I68" i="4"/>
  <c r="BK10" i="4"/>
  <c r="BK13" i="4"/>
  <c r="BK14" i="4"/>
  <c r="BK15" i="4"/>
  <c r="BK9" i="4"/>
  <c r="BK11" i="4"/>
  <c r="BK12" i="4"/>
  <c r="BK7" i="4"/>
  <c r="I76" i="4"/>
  <c r="BI69" i="4"/>
  <c r="I37" i="4"/>
  <c r="BI125" i="4"/>
  <c r="I23" i="4"/>
  <c r="I96" i="4"/>
  <c r="I124" i="4"/>
  <c r="BI108" i="4"/>
  <c r="I113" i="4"/>
  <c r="BI122" i="4"/>
  <c r="I12" i="4"/>
  <c r="I63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M18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Q16" i="6"/>
  <c r="C19" i="3"/>
  <c r="B28" i="4"/>
  <c r="B30" i="4"/>
  <c r="B31" i="4"/>
  <c r="B29" i="4"/>
  <c r="B32" i="4"/>
  <c r="B27" i="4"/>
  <c r="BM28" i="4" l="1"/>
  <c r="BM27" i="4"/>
  <c r="BM20" i="4"/>
  <c r="BM21" i="4"/>
  <c r="BM94" i="4"/>
  <c r="BM33" i="4"/>
  <c r="BM44" i="4"/>
  <c r="BM77" i="4"/>
  <c r="BM40" i="4"/>
  <c r="BM36" i="4"/>
  <c r="BM26" i="4"/>
  <c r="BM31" i="4"/>
  <c r="BM34" i="4"/>
  <c r="BM24" i="4"/>
  <c r="BM29" i="4"/>
  <c r="BM35" i="4"/>
  <c r="BM48" i="4"/>
  <c r="BM73" i="4"/>
  <c r="BM108" i="4"/>
  <c r="BO15" i="4"/>
  <c r="BM75" i="4"/>
  <c r="BM112" i="4"/>
  <c r="BM118" i="4"/>
  <c r="BM60" i="4"/>
  <c r="BM58" i="4"/>
  <c r="BM46" i="4"/>
  <c r="BM106" i="4"/>
  <c r="BM121" i="4"/>
  <c r="BO7" i="4"/>
  <c r="BO12" i="4"/>
  <c r="BM123" i="4"/>
  <c r="BM98" i="4"/>
  <c r="BM114" i="4"/>
  <c r="BM97" i="4"/>
  <c r="BM78" i="4"/>
  <c r="BM100" i="4"/>
  <c r="BK17" i="4"/>
  <c r="BM17" i="4"/>
  <c r="BO18" i="4" s="1"/>
  <c r="BM61" i="4"/>
  <c r="BM125" i="4"/>
  <c r="BM119" i="4"/>
  <c r="BM87" i="4"/>
  <c r="BO13" i="4"/>
  <c r="BO9" i="4"/>
  <c r="BM126" i="4"/>
  <c r="BM107" i="4"/>
  <c r="BM23" i="4"/>
  <c r="BM66" i="4"/>
  <c r="BM51" i="4"/>
  <c r="BM54" i="4"/>
  <c r="BM67" i="4"/>
  <c r="BM80" i="4"/>
  <c r="BM111" i="4"/>
  <c r="BM76" i="4"/>
  <c r="BM49" i="4"/>
  <c r="BM55" i="4"/>
  <c r="BM53" i="4"/>
  <c r="BM50" i="4"/>
  <c r="BM103" i="4"/>
  <c r="BM63" i="4"/>
  <c r="BM99" i="4"/>
  <c r="BM64" i="4"/>
  <c r="BM115" i="4"/>
  <c r="BM59" i="4"/>
  <c r="BM41" i="4"/>
  <c r="BM85" i="4"/>
  <c r="BM124" i="4"/>
  <c r="BM83" i="4"/>
  <c r="BM86" i="4"/>
  <c r="BM116" i="4"/>
  <c r="BM52" i="4"/>
  <c r="BM79" i="4"/>
  <c r="BO14" i="4"/>
  <c r="BM127" i="4"/>
  <c r="BM128" i="4"/>
  <c r="BO10" i="4"/>
  <c r="BM71" i="4"/>
  <c r="BM68" i="4"/>
  <c r="BO11" i="4"/>
  <c r="BM110" i="4"/>
  <c r="BM82" i="4"/>
  <c r="BO16" i="4"/>
  <c r="BM95" i="4"/>
  <c r="BM56" i="4"/>
  <c r="BM90" i="4"/>
  <c r="BM47" i="4"/>
  <c r="BM120" i="4"/>
  <c r="BM57" i="4"/>
  <c r="BM105" i="4"/>
  <c r="BM88" i="4"/>
  <c r="BM25" i="4"/>
  <c r="BM91" i="4"/>
  <c r="BM102" i="4"/>
  <c r="BM122" i="4"/>
  <c r="BM69" i="4"/>
  <c r="BM104" i="4"/>
  <c r="BM37" i="4"/>
  <c r="BM109" i="4"/>
  <c r="BM96" i="4"/>
  <c r="BM84" i="4"/>
  <c r="BM92" i="4"/>
  <c r="BM117" i="4"/>
  <c r="BM45" i="4"/>
  <c r="BM62" i="4"/>
  <c r="BM39" i="4"/>
  <c r="BM38" i="4"/>
  <c r="BM74" i="4"/>
  <c r="BM32" i="4"/>
  <c r="BM93" i="4"/>
  <c r="BM129" i="4"/>
  <c r="BM19" i="4"/>
  <c r="BM101" i="4"/>
  <c r="BM89" i="4"/>
  <c r="BM72" i="4"/>
  <c r="BM70" i="4"/>
  <c r="BM65" i="4"/>
  <c r="BM113" i="4"/>
  <c r="BM22" i="4"/>
  <c r="BM30" i="4"/>
  <c r="BO8" i="4"/>
  <c r="BM42" i="4"/>
  <c r="BM81" i="4"/>
  <c r="BM43" i="4"/>
  <c r="BK45" i="4"/>
  <c r="BK29" i="4"/>
  <c r="BK118" i="4"/>
  <c r="BK49" i="4"/>
  <c r="BK67" i="4"/>
  <c r="BK46" i="4"/>
  <c r="BK31" i="4"/>
  <c r="BK34" i="4"/>
  <c r="BK53" i="4"/>
  <c r="BK80" i="4"/>
  <c r="BK112" i="4"/>
  <c r="BK99" i="4"/>
  <c r="BK64" i="4"/>
  <c r="BK60" i="4"/>
  <c r="BK114" i="4"/>
  <c r="BK79" i="4"/>
  <c r="BK76" i="4"/>
  <c r="BK92" i="4"/>
  <c r="BK90" i="4"/>
  <c r="BK75" i="4"/>
  <c r="BK71" i="4"/>
  <c r="BK97" i="4"/>
  <c r="BK78" i="4"/>
  <c r="BK47" i="4"/>
  <c r="BK84" i="4"/>
  <c r="BK85" i="4"/>
  <c r="BK57" i="4"/>
  <c r="BK95" i="4"/>
  <c r="BK126" i="4"/>
  <c r="BK61" i="4"/>
  <c r="BK125" i="4"/>
  <c r="BK109" i="4"/>
  <c r="BK124" i="4"/>
  <c r="BK113" i="4"/>
  <c r="BK42" i="4"/>
  <c r="BK88" i="4"/>
  <c r="BK51" i="4"/>
  <c r="BK56" i="4"/>
  <c r="BK37" i="4"/>
  <c r="BK73" i="4"/>
  <c r="BK108" i="4"/>
  <c r="BK117" i="4"/>
  <c r="BK127" i="4"/>
  <c r="BK104" i="4"/>
  <c r="BK106" i="4"/>
  <c r="BK121" i="4"/>
  <c r="BK55" i="4"/>
  <c r="BK128" i="4"/>
  <c r="BK98" i="4"/>
  <c r="BK83" i="4"/>
  <c r="BK86" i="4"/>
  <c r="BK87" i="4"/>
  <c r="BK63" i="4"/>
  <c r="BK58" i="4"/>
  <c r="BK110" i="4"/>
  <c r="BK116" i="4"/>
  <c r="BK52" i="4"/>
  <c r="BK68" i="4"/>
  <c r="BK119" i="4"/>
  <c r="BK43" i="4"/>
  <c r="BK120" i="4"/>
  <c r="BK39" i="4"/>
  <c r="BK107" i="4"/>
  <c r="BK96" i="4"/>
  <c r="BK115" i="4"/>
  <c r="BK91" i="4"/>
  <c r="BK102" i="4"/>
  <c r="BK82" i="4"/>
  <c r="BK100" i="4"/>
  <c r="BK28" i="4"/>
  <c r="BK26" i="4"/>
  <c r="BK30" i="4"/>
  <c r="BK41" i="4"/>
  <c r="BK38" i="4"/>
  <c r="BK74" i="4"/>
  <c r="BK32" i="4"/>
  <c r="BK93" i="4"/>
  <c r="BK129" i="4"/>
  <c r="BK122" i="4"/>
  <c r="BK69" i="4"/>
  <c r="BK70" i="4"/>
  <c r="BK50" i="4"/>
  <c r="BK27" i="4"/>
  <c r="BK65" i="4"/>
  <c r="BK103" i="4"/>
  <c r="BK33" i="4"/>
  <c r="BK81" i="4"/>
  <c r="BK44" i="4"/>
  <c r="BK77" i="4"/>
  <c r="BK48" i="4"/>
  <c r="BK54" i="4"/>
  <c r="BK94" i="4"/>
  <c r="BK40" i="4"/>
  <c r="BK36" i="4"/>
  <c r="BK101" i="4"/>
  <c r="BK89" i="4"/>
  <c r="BK111" i="4"/>
  <c r="BK105" i="4"/>
  <c r="BK66" i="4"/>
  <c r="BK123" i="4"/>
  <c r="BK59" i="4"/>
  <c r="BK35" i="4"/>
  <c r="BK62" i="4"/>
  <c r="BK72" i="4"/>
  <c r="I8" i="3"/>
  <c r="Q17" i="6"/>
  <c r="D9" i="3"/>
  <c r="C18" i="3"/>
  <c r="B25" i="4"/>
  <c r="B16" i="4"/>
  <c r="B9" i="4"/>
  <c r="B23" i="4"/>
  <c r="B8" i="4"/>
  <c r="B19" i="4"/>
  <c r="B15" i="4"/>
  <c r="B21" i="4"/>
  <c r="B10" i="4"/>
  <c r="B11" i="4"/>
  <c r="B12" i="4"/>
  <c r="B13" i="4"/>
  <c r="B22" i="4"/>
  <c r="B5" i="4"/>
  <c r="B6" i="4"/>
  <c r="B26" i="4"/>
  <c r="B18" i="4"/>
  <c r="B17" i="4"/>
  <c r="B20" i="4"/>
  <c r="B24" i="4"/>
  <c r="B14" i="4"/>
  <c r="B7" i="4"/>
  <c r="D18" i="3"/>
  <c r="D19" i="3"/>
  <c r="D4" i="4" l="1"/>
  <c r="BO21" i="4"/>
  <c r="BO22" i="4"/>
  <c r="BO36" i="4"/>
  <c r="BO113" i="4"/>
  <c r="BO84" i="4"/>
  <c r="BO129" i="4"/>
  <c r="BO47" i="4"/>
  <c r="BO53" i="4"/>
  <c r="BO102" i="4"/>
  <c r="BO86" i="4"/>
  <c r="BO54" i="4"/>
  <c r="BO35" i="4"/>
  <c r="BO32" i="4"/>
  <c r="BO99" i="4"/>
  <c r="BO108" i="4"/>
  <c r="BO74" i="4"/>
  <c r="BO128" i="4"/>
  <c r="BO76" i="4"/>
  <c r="BO60" i="4"/>
  <c r="BO38" i="4"/>
  <c r="BO125" i="4"/>
  <c r="BO37" i="4"/>
  <c r="BO117" i="4"/>
  <c r="BO116" i="4"/>
  <c r="BO123" i="4"/>
  <c r="BO93" i="4"/>
  <c r="BO90" i="4"/>
  <c r="BO64" i="4"/>
  <c r="BO100" i="4"/>
  <c r="BO27" i="4"/>
  <c r="BO65" i="4"/>
  <c r="BO56" i="4"/>
  <c r="BO49" i="4"/>
  <c r="BO77" i="4"/>
  <c r="BO31" i="4"/>
  <c r="BO43" i="4"/>
  <c r="BO96" i="4"/>
  <c r="BO95" i="4"/>
  <c r="BO63" i="4"/>
  <c r="BO119" i="4"/>
  <c r="BO28" i="4"/>
  <c r="BO73" i="4"/>
  <c r="BO81" i="4"/>
  <c r="BO109" i="4"/>
  <c r="BO127" i="4"/>
  <c r="BO85" i="4"/>
  <c r="BO26" i="4"/>
  <c r="BO118" i="4"/>
  <c r="BO89" i="4"/>
  <c r="BO105" i="4"/>
  <c r="BO111" i="4"/>
  <c r="BO61" i="4"/>
  <c r="BO112" i="4"/>
  <c r="BO62" i="4"/>
  <c r="BO103" i="4"/>
  <c r="BO122" i="4"/>
  <c r="BO68" i="4"/>
  <c r="BO34" i="4"/>
  <c r="BO58" i="4"/>
  <c r="BO92" i="4"/>
  <c r="BO71" i="4"/>
  <c r="BO55" i="4"/>
  <c r="BO91" i="4"/>
  <c r="BO83" i="4"/>
  <c r="BO87" i="4"/>
  <c r="BO24" i="4"/>
  <c r="BO70" i="4"/>
  <c r="BO25" i="4"/>
  <c r="BO124" i="4"/>
  <c r="BO51" i="4"/>
  <c r="BO72" i="4"/>
  <c r="BO88" i="4"/>
  <c r="BO66" i="4"/>
  <c r="BO78" i="4"/>
  <c r="BO121" i="4"/>
  <c r="BO40" i="4"/>
  <c r="BO42" i="4"/>
  <c r="BO39" i="4"/>
  <c r="BO82" i="4"/>
  <c r="BO41" i="4"/>
  <c r="BO23" i="4"/>
  <c r="BO97" i="4"/>
  <c r="BO106" i="4"/>
  <c r="BO48" i="4"/>
  <c r="BO101" i="4"/>
  <c r="BO104" i="4"/>
  <c r="BO57" i="4"/>
  <c r="BO110" i="4"/>
  <c r="BO79" i="4"/>
  <c r="BO59" i="4"/>
  <c r="BO80" i="4"/>
  <c r="BO107" i="4"/>
  <c r="BO17" i="4"/>
  <c r="BO114" i="4"/>
  <c r="BO46" i="4"/>
  <c r="BO33" i="4"/>
  <c r="BO44" i="4"/>
  <c r="BO30" i="4"/>
  <c r="BO45" i="4"/>
  <c r="BO69" i="4"/>
  <c r="BO120" i="4"/>
  <c r="BO52" i="4"/>
  <c r="BO115" i="4"/>
  <c r="BO50" i="4"/>
  <c r="BO67" i="4"/>
  <c r="BO126" i="4"/>
  <c r="BO98" i="4"/>
  <c r="BO29" i="4"/>
  <c r="BO75" i="4"/>
  <c r="BO94" i="4"/>
  <c r="F5" i="4"/>
  <c r="Q18" i="6"/>
  <c r="Q19" i="6" s="1"/>
  <c r="Q20" i="6"/>
  <c r="H18" i="3"/>
  <c r="G5" i="4"/>
  <c r="H19" i="3"/>
  <c r="K4" i="4" l="1"/>
  <c r="I5" i="4" s="1"/>
  <c r="Q21" i="6"/>
  <c r="I2" i="4"/>
  <c r="M7" i="4" l="1"/>
  <c r="M54" i="4"/>
  <c r="M39" i="4"/>
  <c r="M18" i="4"/>
  <c r="M31" i="4"/>
  <c r="M108" i="4"/>
  <c r="M23" i="4"/>
  <c r="M83" i="4"/>
  <c r="M15" i="4"/>
  <c r="M53" i="4"/>
  <c r="M9" i="4"/>
  <c r="M8" i="4"/>
  <c r="M32" i="4"/>
  <c r="M89" i="4"/>
  <c r="M47" i="4"/>
  <c r="M57" i="4"/>
  <c r="M123" i="4"/>
  <c r="M52" i="4"/>
  <c r="M26" i="4"/>
  <c r="M16" i="4"/>
  <c r="M100" i="4"/>
  <c r="M36" i="4"/>
  <c r="M27" i="4"/>
  <c r="M78" i="4"/>
  <c r="M10" i="4"/>
  <c r="M69" i="4"/>
  <c r="M126" i="4"/>
  <c r="M68" i="4"/>
  <c r="M111" i="4"/>
  <c r="M113" i="4"/>
  <c r="M45" i="4"/>
  <c r="M122" i="4"/>
  <c r="M120" i="4"/>
  <c r="M33" i="4"/>
  <c r="M99" i="4"/>
  <c r="M24" i="4"/>
  <c r="M90" i="4"/>
  <c r="M14" i="4"/>
  <c r="M80" i="4"/>
  <c r="M5" i="4"/>
  <c r="M73" i="4"/>
  <c r="M121" i="4"/>
  <c r="M74" i="4"/>
  <c r="M60" i="4"/>
  <c r="M70" i="4"/>
  <c r="M13" i="4"/>
  <c r="M86" i="4"/>
  <c r="M82" i="4"/>
  <c r="M65" i="4"/>
  <c r="M85" i="4"/>
  <c r="M105" i="4"/>
  <c r="M76" i="4"/>
  <c r="M64" i="4"/>
  <c r="M67" i="4"/>
  <c r="M96" i="4"/>
  <c r="M58" i="4"/>
  <c r="M46" i="4"/>
  <c r="M49" i="4"/>
  <c r="M91" i="4"/>
  <c r="M21" i="4"/>
  <c r="M114" i="4"/>
  <c r="M55" i="4"/>
  <c r="M94" i="4"/>
  <c r="M30" i="4"/>
  <c r="M116" i="4"/>
  <c r="M12" i="4"/>
  <c r="M81" i="4"/>
  <c r="M6" i="4"/>
  <c r="M44" i="4"/>
  <c r="M59" i="4"/>
  <c r="M129" i="4"/>
  <c r="M50" i="4"/>
  <c r="M101" i="4"/>
  <c r="M41" i="4"/>
  <c r="M28" i="4"/>
  <c r="M119" i="4"/>
  <c r="M42" i="4"/>
  <c r="M92" i="4"/>
  <c r="M66" i="4"/>
  <c r="M125" i="4"/>
  <c r="M97" i="4"/>
  <c r="M128" i="4"/>
  <c r="M72" i="4"/>
  <c r="M112" i="4"/>
  <c r="M37" i="4"/>
  <c r="M102" i="4"/>
  <c r="M95" i="4"/>
  <c r="M93" i="4"/>
  <c r="M71" i="4"/>
  <c r="M63" i="4"/>
  <c r="M34" i="4"/>
  <c r="M98" i="4"/>
  <c r="M20" i="4"/>
  <c r="M17" i="4"/>
  <c r="M118" i="4"/>
  <c r="M61" i="4"/>
  <c r="M110" i="4"/>
  <c r="M79" i="4"/>
  <c r="M124" i="4"/>
  <c r="M109" i="4"/>
  <c r="M48" i="4"/>
  <c r="M29" i="4"/>
  <c r="M106" i="4"/>
  <c r="M19" i="4"/>
  <c r="M104" i="4"/>
  <c r="M103" i="4"/>
  <c r="M87" i="4"/>
  <c r="M62" i="4"/>
  <c r="M115" i="4"/>
  <c r="M75" i="4"/>
  <c r="M117" i="4"/>
  <c r="M127" i="4"/>
  <c r="M56" i="4"/>
  <c r="M35" i="4"/>
  <c r="M43" i="4"/>
  <c r="M25" i="4"/>
  <c r="M77" i="4"/>
  <c r="M84" i="4"/>
  <c r="M51" i="4"/>
  <c r="M107" i="4"/>
  <c r="M38" i="4"/>
  <c r="M88" i="4"/>
  <c r="M11" i="4"/>
  <c r="M22" i="4"/>
  <c r="M40" i="4"/>
  <c r="Q22" i="6"/>
  <c r="M2" i="4"/>
  <c r="O2" i="4"/>
  <c r="Q5" i="4" l="1"/>
  <c r="S5" i="4" s="1"/>
  <c r="C3" i="6"/>
  <c r="O127" i="4"/>
  <c r="Q127" i="4"/>
  <c r="O93" i="4"/>
  <c r="Q93" i="4"/>
  <c r="O50" i="4"/>
  <c r="Q50" i="4"/>
  <c r="Q82" i="4"/>
  <c r="O82" i="4"/>
  <c r="Q78" i="4"/>
  <c r="O78" i="4"/>
  <c r="Q117" i="4"/>
  <c r="O117" i="4"/>
  <c r="O129" i="4"/>
  <c r="Q129" i="4"/>
  <c r="Q86" i="4"/>
  <c r="O86" i="4"/>
  <c r="O47" i="4"/>
  <c r="Q47" i="4"/>
  <c r="Q75" i="4"/>
  <c r="O75" i="4"/>
  <c r="Q17" i="4"/>
  <c r="O17" i="4"/>
  <c r="O67" i="4"/>
  <c r="Q67" i="4"/>
  <c r="Q108" i="4"/>
  <c r="O108" i="4"/>
  <c r="O40" i="4"/>
  <c r="Q40" i="4"/>
  <c r="O48" i="4"/>
  <c r="Q48" i="4"/>
  <c r="O42" i="4"/>
  <c r="Q42" i="4"/>
  <c r="Q64" i="4"/>
  <c r="O64" i="4"/>
  <c r="O32" i="4"/>
  <c r="Q32" i="4"/>
  <c r="O61" i="4"/>
  <c r="Q61" i="4"/>
  <c r="Q57" i="4"/>
  <c r="O57" i="4"/>
  <c r="U5" i="4"/>
  <c r="W5" i="4" s="1"/>
  <c r="O106" i="4"/>
  <c r="Q106" i="4"/>
  <c r="O95" i="4"/>
  <c r="Q95" i="4"/>
  <c r="Q96" i="4"/>
  <c r="O96" i="4"/>
  <c r="Q27" i="4"/>
  <c r="O27" i="4"/>
  <c r="Q102" i="4"/>
  <c r="O102" i="4"/>
  <c r="Q59" i="4"/>
  <c r="O59" i="4"/>
  <c r="O13" i="4"/>
  <c r="Q13" i="4"/>
  <c r="Q89" i="4"/>
  <c r="O89" i="4"/>
  <c r="Q77" i="4"/>
  <c r="O77" i="4"/>
  <c r="Q20" i="4"/>
  <c r="O20" i="4"/>
  <c r="Q44" i="4"/>
  <c r="O44" i="4"/>
  <c r="Q70" i="4"/>
  <c r="O70" i="4"/>
  <c r="O100" i="4"/>
  <c r="Q100" i="4"/>
  <c r="O25" i="4"/>
  <c r="Q25" i="4"/>
  <c r="O109" i="4"/>
  <c r="Q109" i="4"/>
  <c r="O119" i="4"/>
  <c r="Q119" i="4"/>
  <c r="O76" i="4"/>
  <c r="Q76" i="4"/>
  <c r="O24" i="4"/>
  <c r="Q24" i="4"/>
  <c r="Q8" i="4"/>
  <c r="O11" i="4"/>
  <c r="Q11" i="4"/>
  <c r="Q124" i="4"/>
  <c r="O124" i="4"/>
  <c r="Q34" i="4"/>
  <c r="O34" i="4"/>
  <c r="O28" i="4"/>
  <c r="Q28" i="4"/>
  <c r="O91" i="4"/>
  <c r="Q91" i="4"/>
  <c r="Q74" i="4"/>
  <c r="O74" i="4"/>
  <c r="Q9" i="4"/>
  <c r="O103" i="4"/>
  <c r="Q103" i="4"/>
  <c r="Q128" i="4"/>
  <c r="O128" i="4"/>
  <c r="O12" i="4"/>
  <c r="Q12" i="4"/>
  <c r="O85" i="4"/>
  <c r="Q85" i="4"/>
  <c r="Q33" i="4"/>
  <c r="O33" i="4"/>
  <c r="O52" i="4"/>
  <c r="Q52" i="4"/>
  <c r="O54" i="4"/>
  <c r="Q54" i="4"/>
  <c r="O107" i="4"/>
  <c r="Q107" i="4"/>
  <c r="Q19" i="4"/>
  <c r="O19" i="4"/>
  <c r="Q125" i="4"/>
  <c r="O125" i="4"/>
  <c r="O30" i="4"/>
  <c r="Q30" i="4"/>
  <c r="O58" i="4"/>
  <c r="Q58" i="4"/>
  <c r="O122" i="4"/>
  <c r="Q122" i="4"/>
  <c r="Q83" i="4"/>
  <c r="O83" i="4"/>
  <c r="O51" i="4"/>
  <c r="Q51" i="4"/>
  <c r="Q118" i="4"/>
  <c r="O118" i="4"/>
  <c r="Q66" i="4"/>
  <c r="O66" i="4"/>
  <c r="O94" i="4"/>
  <c r="Q94" i="4"/>
  <c r="Q80" i="4"/>
  <c r="O80" i="4"/>
  <c r="O45" i="4"/>
  <c r="Q45" i="4"/>
  <c r="Q23" i="4"/>
  <c r="O23" i="4"/>
  <c r="O84" i="4"/>
  <c r="Q84" i="4"/>
  <c r="Q29" i="4"/>
  <c r="O29" i="4"/>
  <c r="O92" i="4"/>
  <c r="Q92" i="4"/>
  <c r="Q55" i="4"/>
  <c r="O55" i="4"/>
  <c r="O14" i="4"/>
  <c r="Q14" i="4"/>
  <c r="O113" i="4"/>
  <c r="Q113" i="4"/>
  <c r="Q36" i="4"/>
  <c r="O36" i="4"/>
  <c r="O115" i="4"/>
  <c r="Q115" i="4"/>
  <c r="O37" i="4"/>
  <c r="Q37" i="4"/>
  <c r="Q114" i="4"/>
  <c r="O114" i="4"/>
  <c r="O90" i="4"/>
  <c r="Q90" i="4"/>
  <c r="O111" i="4"/>
  <c r="Q111" i="4"/>
  <c r="O31" i="4"/>
  <c r="Q31" i="4"/>
  <c r="O22" i="4"/>
  <c r="Q22" i="4"/>
  <c r="O62" i="4"/>
  <c r="Q62" i="4"/>
  <c r="Q98" i="4"/>
  <c r="O98" i="4"/>
  <c r="O112" i="4"/>
  <c r="Q112" i="4"/>
  <c r="Q6" i="4"/>
  <c r="U6" i="4" s="1"/>
  <c r="O21" i="4"/>
  <c r="Q21" i="4"/>
  <c r="O60" i="4"/>
  <c r="Q60" i="4"/>
  <c r="Q68" i="4"/>
  <c r="O68" i="4"/>
  <c r="O16" i="4"/>
  <c r="Q16" i="4"/>
  <c r="O18" i="4"/>
  <c r="Q18" i="4"/>
  <c r="O43" i="4"/>
  <c r="Q43" i="4"/>
  <c r="O87" i="4"/>
  <c r="Q87" i="4"/>
  <c r="O72" i="4"/>
  <c r="Q72" i="4"/>
  <c r="Q81" i="4"/>
  <c r="O81" i="4"/>
  <c r="Q105" i="4"/>
  <c r="O105" i="4"/>
  <c r="Q99" i="4"/>
  <c r="O99" i="4"/>
  <c r="O126" i="4"/>
  <c r="Q126" i="4"/>
  <c r="O26" i="4"/>
  <c r="Q26" i="4"/>
  <c r="Q39" i="4"/>
  <c r="O39" i="4"/>
  <c r="O88" i="4"/>
  <c r="Q88" i="4"/>
  <c r="O35" i="4"/>
  <c r="Q35" i="4"/>
  <c r="Q79" i="4"/>
  <c r="O79" i="4"/>
  <c r="O63" i="4"/>
  <c r="Q63" i="4"/>
  <c r="O41" i="4"/>
  <c r="Q41" i="4"/>
  <c r="O49" i="4"/>
  <c r="Q49" i="4"/>
  <c r="O121" i="4"/>
  <c r="Q121" i="4"/>
  <c r="O69" i="4"/>
  <c r="Q69" i="4"/>
  <c r="O53" i="4"/>
  <c r="Q53" i="4"/>
  <c r="O38" i="4"/>
  <c r="Q38" i="4"/>
  <c r="O56" i="4"/>
  <c r="Q56" i="4"/>
  <c r="O104" i="4"/>
  <c r="Q104" i="4"/>
  <c r="O110" i="4"/>
  <c r="Q110" i="4"/>
  <c r="O71" i="4"/>
  <c r="Q71" i="4"/>
  <c r="Q97" i="4"/>
  <c r="O97" i="4"/>
  <c r="Q101" i="4"/>
  <c r="O101" i="4"/>
  <c r="Q116" i="4"/>
  <c r="O116" i="4"/>
  <c r="O46" i="4"/>
  <c r="Q46" i="4"/>
  <c r="Q65" i="4"/>
  <c r="O65" i="4"/>
  <c r="Q73" i="4"/>
  <c r="O73" i="4"/>
  <c r="O120" i="4"/>
  <c r="Q120" i="4"/>
  <c r="Q10" i="4"/>
  <c r="O10" i="4"/>
  <c r="O123" i="4"/>
  <c r="Q123" i="4"/>
  <c r="O15" i="4"/>
  <c r="Q15" i="4"/>
  <c r="Q7" i="4"/>
  <c r="Q2" i="4"/>
  <c r="S2" i="4"/>
  <c r="Q23" i="6"/>
  <c r="C4" i="6" l="1"/>
  <c r="Y5" i="4"/>
  <c r="AA5" i="4" s="1"/>
  <c r="W6" i="4"/>
  <c r="Y6" i="4"/>
  <c r="AA6" i="4" s="1"/>
  <c r="U99" i="4"/>
  <c r="S99" i="4"/>
  <c r="S68" i="4"/>
  <c r="U68" i="4"/>
  <c r="U83" i="4"/>
  <c r="S83" i="4"/>
  <c r="U125" i="4"/>
  <c r="S125" i="4"/>
  <c r="S128" i="4"/>
  <c r="U128" i="4"/>
  <c r="U70" i="4"/>
  <c r="S70" i="4"/>
  <c r="U89" i="4"/>
  <c r="S89" i="4"/>
  <c r="U27" i="4"/>
  <c r="S27" i="4"/>
  <c r="U42" i="4"/>
  <c r="S42" i="4"/>
  <c r="S67" i="4"/>
  <c r="U67" i="4"/>
  <c r="S15" i="4"/>
  <c r="U15" i="4"/>
  <c r="U104" i="4"/>
  <c r="S104" i="4"/>
  <c r="U69" i="4"/>
  <c r="S69" i="4"/>
  <c r="U63" i="4"/>
  <c r="S63" i="4"/>
  <c r="U43" i="4"/>
  <c r="S43" i="4"/>
  <c r="U60" i="4"/>
  <c r="S60" i="4"/>
  <c r="S111" i="4"/>
  <c r="U111" i="4"/>
  <c r="U115" i="4"/>
  <c r="S115" i="4"/>
  <c r="S122" i="4"/>
  <c r="U122" i="4"/>
  <c r="S103" i="4"/>
  <c r="U103" i="4"/>
  <c r="S28" i="4"/>
  <c r="U28" i="4"/>
  <c r="U8" i="4"/>
  <c r="S109" i="4"/>
  <c r="U109" i="4"/>
  <c r="S13" i="4"/>
  <c r="U13" i="4"/>
  <c r="U57" i="4"/>
  <c r="S57" i="4"/>
  <c r="S86" i="4"/>
  <c r="U86" i="4"/>
  <c r="U82" i="4"/>
  <c r="S82" i="4"/>
  <c r="S101" i="4"/>
  <c r="U101" i="4"/>
  <c r="U123" i="4"/>
  <c r="S123" i="4"/>
  <c r="S121" i="4"/>
  <c r="U121" i="4"/>
  <c r="S26" i="4"/>
  <c r="U26" i="4"/>
  <c r="U18" i="4"/>
  <c r="S18" i="4"/>
  <c r="U21" i="4"/>
  <c r="S21" i="4"/>
  <c r="U62" i="4"/>
  <c r="S62" i="4"/>
  <c r="S90" i="4"/>
  <c r="U90" i="4"/>
  <c r="U92" i="4"/>
  <c r="S92" i="4"/>
  <c r="S45" i="4"/>
  <c r="U45" i="4"/>
  <c r="S58" i="4"/>
  <c r="U58" i="4"/>
  <c r="U107" i="4"/>
  <c r="S107" i="4"/>
  <c r="U85" i="4"/>
  <c r="S85" i="4"/>
  <c r="U9" i="4"/>
  <c r="U24" i="4"/>
  <c r="S24" i="4"/>
  <c r="U25" i="4"/>
  <c r="S25" i="4"/>
  <c r="U95" i="4"/>
  <c r="S95" i="4"/>
  <c r="U17" i="4"/>
  <c r="S17" i="4"/>
  <c r="S116" i="4"/>
  <c r="U116" i="4"/>
  <c r="U73" i="4"/>
  <c r="S73" i="4"/>
  <c r="S36" i="4"/>
  <c r="U36" i="4"/>
  <c r="U118" i="4"/>
  <c r="S118" i="4"/>
  <c r="S34" i="4"/>
  <c r="U34" i="4"/>
  <c r="U20" i="4"/>
  <c r="S20" i="4"/>
  <c r="S59" i="4"/>
  <c r="U59" i="4"/>
  <c r="S32" i="4"/>
  <c r="U32" i="4"/>
  <c r="U40" i="4"/>
  <c r="S40" i="4"/>
  <c r="S93" i="4"/>
  <c r="U93" i="4"/>
  <c r="U39" i="4"/>
  <c r="S39" i="4"/>
  <c r="S66" i="4"/>
  <c r="U66" i="4"/>
  <c r="S48" i="4"/>
  <c r="U48" i="4"/>
  <c r="U50" i="4"/>
  <c r="S50" i="4"/>
  <c r="U56" i="4"/>
  <c r="S56" i="4"/>
  <c r="S79" i="4"/>
  <c r="U79" i="4"/>
  <c r="U46" i="4"/>
  <c r="S46" i="4"/>
  <c r="S71" i="4"/>
  <c r="U71" i="4"/>
  <c r="S38" i="4"/>
  <c r="U38" i="4"/>
  <c r="U49" i="4"/>
  <c r="S49" i="4"/>
  <c r="S35" i="4"/>
  <c r="U35" i="4"/>
  <c r="S126" i="4"/>
  <c r="U126" i="4"/>
  <c r="S72" i="4"/>
  <c r="U72" i="4"/>
  <c r="U16" i="4"/>
  <c r="S16" i="4"/>
  <c r="U22" i="4"/>
  <c r="S22" i="4"/>
  <c r="U113" i="4"/>
  <c r="S113" i="4"/>
  <c r="S51" i="4"/>
  <c r="U51" i="4"/>
  <c r="S30" i="4"/>
  <c r="U30" i="4"/>
  <c r="S54" i="4"/>
  <c r="U54" i="4"/>
  <c r="U12" i="4"/>
  <c r="S12" i="4"/>
  <c r="S76" i="4"/>
  <c r="U76" i="4"/>
  <c r="U100" i="4"/>
  <c r="S100" i="4"/>
  <c r="S106" i="4"/>
  <c r="U106" i="4"/>
  <c r="U75" i="4"/>
  <c r="S75" i="4"/>
  <c r="S117" i="4"/>
  <c r="U117" i="4"/>
  <c r="S105" i="4"/>
  <c r="U105" i="4"/>
  <c r="S98" i="4"/>
  <c r="U98" i="4"/>
  <c r="S33" i="4"/>
  <c r="U33" i="4"/>
  <c r="U44" i="4"/>
  <c r="S44" i="4"/>
  <c r="S61" i="4"/>
  <c r="U61" i="4"/>
  <c r="U65" i="4"/>
  <c r="S65" i="4"/>
  <c r="S114" i="4"/>
  <c r="U114" i="4"/>
  <c r="U29" i="4"/>
  <c r="S29" i="4"/>
  <c r="U80" i="4"/>
  <c r="S80" i="4"/>
  <c r="S74" i="4"/>
  <c r="U74" i="4"/>
  <c r="S124" i="4"/>
  <c r="U124" i="4"/>
  <c r="U77" i="4"/>
  <c r="S77" i="4"/>
  <c r="S102" i="4"/>
  <c r="U102" i="4"/>
  <c r="S47" i="4"/>
  <c r="U47" i="4"/>
  <c r="U127" i="4"/>
  <c r="S127" i="4"/>
  <c r="U7" i="4"/>
  <c r="Y7" i="4" s="1"/>
  <c r="U55" i="4"/>
  <c r="S55" i="4"/>
  <c r="U23" i="4"/>
  <c r="S23" i="4"/>
  <c r="S19" i="4"/>
  <c r="U19" i="4"/>
  <c r="S96" i="4"/>
  <c r="U96" i="4"/>
  <c r="U129" i="4"/>
  <c r="S129" i="4"/>
  <c r="S97" i="4"/>
  <c r="U97" i="4"/>
  <c r="S81" i="4"/>
  <c r="U81" i="4"/>
  <c r="U10" i="4"/>
  <c r="U120" i="4"/>
  <c r="S120" i="4"/>
  <c r="S110" i="4"/>
  <c r="U110" i="4"/>
  <c r="S53" i="4"/>
  <c r="U53" i="4"/>
  <c r="U41" i="4"/>
  <c r="S41" i="4"/>
  <c r="U88" i="4"/>
  <c r="S88" i="4"/>
  <c r="U87" i="4"/>
  <c r="S87" i="4"/>
  <c r="S112" i="4"/>
  <c r="U112" i="4"/>
  <c r="S31" i="4"/>
  <c r="U31" i="4"/>
  <c r="S37" i="4"/>
  <c r="U37" i="4"/>
  <c r="U14" i="4"/>
  <c r="S14" i="4"/>
  <c r="S84" i="4"/>
  <c r="U84" i="4"/>
  <c r="U94" i="4"/>
  <c r="S94" i="4"/>
  <c r="U52" i="4"/>
  <c r="S52" i="4"/>
  <c r="S91" i="4"/>
  <c r="U91" i="4"/>
  <c r="U11" i="4"/>
  <c r="S11" i="4"/>
  <c r="U119" i="4"/>
  <c r="S119" i="4"/>
  <c r="U64" i="4"/>
  <c r="S64" i="4"/>
  <c r="U108" i="4"/>
  <c r="S108" i="4"/>
  <c r="S78" i="4"/>
  <c r="U78" i="4"/>
  <c r="AC5" i="4"/>
  <c r="AE5" i="4" s="1"/>
  <c r="U2" i="4"/>
  <c r="W2" i="4"/>
  <c r="Q24" i="6"/>
  <c r="Y2" i="4"/>
  <c r="AA2" i="4"/>
  <c r="AC2" i="4"/>
  <c r="AE2" i="4"/>
  <c r="C7" i="6" l="1"/>
  <c r="C6" i="6"/>
  <c r="C5" i="6"/>
  <c r="AC7" i="4"/>
  <c r="AC6" i="4"/>
  <c r="AG6" i="4" s="1"/>
  <c r="AA7" i="4"/>
  <c r="Y52" i="4"/>
  <c r="W52" i="4"/>
  <c r="Y120" i="4"/>
  <c r="W120" i="4"/>
  <c r="Y80" i="4"/>
  <c r="W80" i="4"/>
  <c r="Y49" i="4"/>
  <c r="W49" i="4"/>
  <c r="Y123" i="4"/>
  <c r="W123" i="4"/>
  <c r="Y57" i="4"/>
  <c r="W57" i="4"/>
  <c r="W103" i="4"/>
  <c r="Y103" i="4"/>
  <c r="Y31" i="4"/>
  <c r="W31" i="4"/>
  <c r="Y10" i="4"/>
  <c r="Y96" i="4"/>
  <c r="W96" i="4"/>
  <c r="W117" i="4"/>
  <c r="Y117" i="4"/>
  <c r="Y76" i="4"/>
  <c r="W76" i="4"/>
  <c r="W51" i="4"/>
  <c r="Y51" i="4"/>
  <c r="Y72" i="4"/>
  <c r="W72" i="4"/>
  <c r="W38" i="4"/>
  <c r="Y38" i="4"/>
  <c r="W59" i="4"/>
  <c r="Y59" i="4"/>
  <c r="W36" i="4"/>
  <c r="Y36" i="4"/>
  <c r="W101" i="4"/>
  <c r="Y101" i="4"/>
  <c r="W13" i="4"/>
  <c r="Y13" i="4"/>
  <c r="Y60" i="4"/>
  <c r="W60" i="4"/>
  <c r="W104" i="4"/>
  <c r="Y104" i="4"/>
  <c r="W27" i="4"/>
  <c r="Y27" i="4"/>
  <c r="W125" i="4"/>
  <c r="Y125" i="4"/>
  <c r="W119" i="4"/>
  <c r="Y119" i="4"/>
  <c r="Y94" i="4"/>
  <c r="W94" i="4"/>
  <c r="W41" i="4"/>
  <c r="Y41" i="4"/>
  <c r="W77" i="4"/>
  <c r="Y77" i="4"/>
  <c r="W29" i="4"/>
  <c r="Y29" i="4"/>
  <c r="W44" i="4"/>
  <c r="Y44" i="4"/>
  <c r="Y56" i="4"/>
  <c r="W56" i="4"/>
  <c r="W39" i="4"/>
  <c r="Y39" i="4"/>
  <c r="Y95" i="4"/>
  <c r="W95" i="4"/>
  <c r="W85" i="4"/>
  <c r="Y85" i="4"/>
  <c r="W92" i="4"/>
  <c r="Y92" i="4"/>
  <c r="Y18" i="4"/>
  <c r="W18" i="4"/>
  <c r="W122" i="4"/>
  <c r="Y122" i="4"/>
  <c r="W15" i="4"/>
  <c r="Y15" i="4"/>
  <c r="Y118" i="4"/>
  <c r="W118" i="4"/>
  <c r="W84" i="4"/>
  <c r="Y84" i="4"/>
  <c r="Y112" i="4"/>
  <c r="W112" i="4"/>
  <c r="Y53" i="4"/>
  <c r="W53" i="4"/>
  <c r="W81" i="4"/>
  <c r="Y81" i="4"/>
  <c r="W19" i="4"/>
  <c r="Y19" i="4"/>
  <c r="W124" i="4"/>
  <c r="Y124" i="4"/>
  <c r="W114" i="4"/>
  <c r="Y114" i="4"/>
  <c r="Y33" i="4"/>
  <c r="W33" i="4"/>
  <c r="W126" i="4"/>
  <c r="Y126" i="4"/>
  <c r="Y71" i="4"/>
  <c r="W71" i="4"/>
  <c r="Y93" i="4"/>
  <c r="W93" i="4"/>
  <c r="W90" i="4"/>
  <c r="Y90" i="4"/>
  <c r="W26" i="4"/>
  <c r="Y26" i="4"/>
  <c r="Y109" i="4"/>
  <c r="W109" i="4"/>
  <c r="Y43" i="4"/>
  <c r="W43" i="4"/>
  <c r="W89" i="4"/>
  <c r="Y89" i="4"/>
  <c r="W83" i="4"/>
  <c r="Y83" i="4"/>
  <c r="Y127" i="4"/>
  <c r="W127" i="4"/>
  <c r="W75" i="4"/>
  <c r="Y75" i="4"/>
  <c r="W12" i="4"/>
  <c r="Y12" i="4"/>
  <c r="W113" i="4"/>
  <c r="Y113" i="4"/>
  <c r="Y50" i="4"/>
  <c r="W50" i="4"/>
  <c r="Y20" i="4"/>
  <c r="W20" i="4"/>
  <c r="W73" i="4"/>
  <c r="Y73" i="4"/>
  <c r="Y25" i="4"/>
  <c r="W25" i="4"/>
  <c r="Y107" i="4"/>
  <c r="W107" i="4"/>
  <c r="W82" i="4"/>
  <c r="Y82" i="4"/>
  <c r="Y67" i="4"/>
  <c r="W67" i="4"/>
  <c r="W68" i="4"/>
  <c r="Y68" i="4"/>
  <c r="Y100" i="4"/>
  <c r="W100" i="4"/>
  <c r="Y21" i="4"/>
  <c r="W21" i="4"/>
  <c r="Y91" i="4"/>
  <c r="W91" i="4"/>
  <c r="W110" i="4"/>
  <c r="Y110" i="4"/>
  <c r="W97" i="4"/>
  <c r="Y97" i="4"/>
  <c r="Y47" i="4"/>
  <c r="W47" i="4"/>
  <c r="Y74" i="4"/>
  <c r="W74" i="4"/>
  <c r="Y98" i="4"/>
  <c r="W98" i="4"/>
  <c r="W106" i="4"/>
  <c r="Y106" i="4"/>
  <c r="Y54" i="4"/>
  <c r="W54" i="4"/>
  <c r="W35" i="4"/>
  <c r="Y35" i="4"/>
  <c r="W48" i="4"/>
  <c r="Y48" i="4"/>
  <c r="W34" i="4"/>
  <c r="Y34" i="4"/>
  <c r="Y116" i="4"/>
  <c r="W116" i="4"/>
  <c r="W58" i="4"/>
  <c r="Y58" i="4"/>
  <c r="W121" i="4"/>
  <c r="Y121" i="4"/>
  <c r="Y86" i="4"/>
  <c r="W86" i="4"/>
  <c r="Y8" i="4"/>
  <c r="AC8" i="4" s="1"/>
  <c r="W115" i="4"/>
  <c r="Y115" i="4"/>
  <c r="Y63" i="4"/>
  <c r="W63" i="4"/>
  <c r="W70" i="4"/>
  <c r="Y70" i="4"/>
  <c r="Y64" i="4"/>
  <c r="W64" i="4"/>
  <c r="W129" i="4"/>
  <c r="Y129" i="4"/>
  <c r="Y16" i="4"/>
  <c r="W16" i="4"/>
  <c r="Y78" i="4"/>
  <c r="W78" i="4"/>
  <c r="Y11" i="4"/>
  <c r="W108" i="4"/>
  <c r="Y108" i="4"/>
  <c r="Y14" i="4"/>
  <c r="W14" i="4"/>
  <c r="Y87" i="4"/>
  <c r="W87" i="4"/>
  <c r="Y23" i="4"/>
  <c r="W23" i="4"/>
  <c r="W65" i="4"/>
  <c r="Y65" i="4"/>
  <c r="W22" i="4"/>
  <c r="Y22" i="4"/>
  <c r="W46" i="4"/>
  <c r="Y46" i="4"/>
  <c r="W40" i="4"/>
  <c r="Y40" i="4"/>
  <c r="W24" i="4"/>
  <c r="Y24" i="4"/>
  <c r="Y62" i="4"/>
  <c r="W62" i="4"/>
  <c r="Y28" i="4"/>
  <c r="W28" i="4"/>
  <c r="W111" i="4"/>
  <c r="Y111" i="4"/>
  <c r="W128" i="4"/>
  <c r="Y128" i="4"/>
  <c r="W88" i="4"/>
  <c r="Y88" i="4"/>
  <c r="W55" i="4"/>
  <c r="Y55" i="4"/>
  <c r="W17" i="4"/>
  <c r="Y17" i="4"/>
  <c r="Y37" i="4"/>
  <c r="W37" i="4"/>
  <c r="W102" i="4"/>
  <c r="Y102" i="4"/>
  <c r="Y61" i="4"/>
  <c r="W61" i="4"/>
  <c r="W105" i="4"/>
  <c r="Y105" i="4"/>
  <c r="W30" i="4"/>
  <c r="Y30" i="4"/>
  <c r="W79" i="4"/>
  <c r="Y79" i="4"/>
  <c r="W66" i="4"/>
  <c r="Y66" i="4"/>
  <c r="W32" i="4"/>
  <c r="Y32" i="4"/>
  <c r="Y9" i="4"/>
  <c r="W45" i="4"/>
  <c r="Y45" i="4"/>
  <c r="W69" i="4"/>
  <c r="Y69" i="4"/>
  <c r="W42" i="4"/>
  <c r="Y42" i="4"/>
  <c r="Y99" i="4"/>
  <c r="W99" i="4"/>
  <c r="AE6" i="4"/>
  <c r="AG5" i="4"/>
  <c r="AI5" i="4" s="1"/>
  <c r="AG2" i="4"/>
  <c r="Q25" i="6"/>
  <c r="AI2" i="4"/>
  <c r="AK2" i="4"/>
  <c r="AM2" i="4"/>
  <c r="AO2" i="4"/>
  <c r="AQ2" i="4"/>
  <c r="AG8" i="4" l="1"/>
  <c r="C10" i="6"/>
  <c r="C9" i="6"/>
  <c r="C8" i="6"/>
  <c r="AG7" i="4"/>
  <c r="AK8" i="4" s="1"/>
  <c r="AE7" i="4"/>
  <c r="AE8" i="4"/>
  <c r="AC45" i="4"/>
  <c r="AA45" i="4"/>
  <c r="AC66" i="4"/>
  <c r="AA66" i="4"/>
  <c r="AC55" i="4"/>
  <c r="AA55" i="4"/>
  <c r="AC46" i="4"/>
  <c r="AA46" i="4"/>
  <c r="AC70" i="4"/>
  <c r="AA70" i="4"/>
  <c r="AC34" i="4"/>
  <c r="AA34" i="4"/>
  <c r="AC106" i="4"/>
  <c r="AA106" i="4"/>
  <c r="AA97" i="4"/>
  <c r="AC97" i="4"/>
  <c r="AC124" i="4"/>
  <c r="AA124" i="4"/>
  <c r="AC122" i="4"/>
  <c r="AA122" i="4"/>
  <c r="AC29" i="4"/>
  <c r="AA29" i="4"/>
  <c r="AC119" i="4"/>
  <c r="AA119" i="4"/>
  <c r="AC59" i="4"/>
  <c r="AA59" i="4"/>
  <c r="AA69" i="4"/>
  <c r="AC69" i="4"/>
  <c r="AC61" i="4"/>
  <c r="AA61" i="4"/>
  <c r="AC28" i="4"/>
  <c r="AA28" i="4"/>
  <c r="AA87" i="4"/>
  <c r="AC87" i="4"/>
  <c r="AC78" i="4"/>
  <c r="AA78" i="4"/>
  <c r="AC86" i="4"/>
  <c r="AA86" i="4"/>
  <c r="AC100" i="4"/>
  <c r="AA100" i="4"/>
  <c r="AA107" i="4"/>
  <c r="AC107" i="4"/>
  <c r="AC50" i="4"/>
  <c r="AA50" i="4"/>
  <c r="AA127" i="4"/>
  <c r="AC127" i="4"/>
  <c r="AA109" i="4"/>
  <c r="AC109" i="4"/>
  <c r="AA71" i="4"/>
  <c r="AC71" i="4"/>
  <c r="AA112" i="4"/>
  <c r="AC112" i="4"/>
  <c r="AA95" i="4"/>
  <c r="AC95" i="4"/>
  <c r="AA60" i="4"/>
  <c r="AC60" i="4"/>
  <c r="AA76" i="4"/>
  <c r="AC76" i="4"/>
  <c r="AC31" i="4"/>
  <c r="AA31" i="4"/>
  <c r="AA49" i="4"/>
  <c r="AC49" i="4"/>
  <c r="AC79" i="4"/>
  <c r="AA79" i="4"/>
  <c r="AC102" i="4"/>
  <c r="AA102" i="4"/>
  <c r="AC88" i="4"/>
  <c r="AA88" i="4"/>
  <c r="AC22" i="4"/>
  <c r="AA22" i="4"/>
  <c r="AC121" i="4"/>
  <c r="AA121" i="4"/>
  <c r="AC48" i="4"/>
  <c r="AA48" i="4"/>
  <c r="AA110" i="4"/>
  <c r="AC110" i="4"/>
  <c r="AA68" i="4"/>
  <c r="AC68" i="4"/>
  <c r="AC113" i="4"/>
  <c r="AA113" i="4"/>
  <c r="AA83" i="4"/>
  <c r="AC83" i="4"/>
  <c r="AA26" i="4"/>
  <c r="AC26" i="4"/>
  <c r="AC126" i="4"/>
  <c r="AA126" i="4"/>
  <c r="AA19" i="4"/>
  <c r="AC19" i="4"/>
  <c r="AA84" i="4"/>
  <c r="AC84" i="4"/>
  <c r="AA39" i="4"/>
  <c r="AC39" i="4"/>
  <c r="AA77" i="4"/>
  <c r="AC77" i="4"/>
  <c r="AC125" i="4"/>
  <c r="AA125" i="4"/>
  <c r="AA13" i="4"/>
  <c r="AC13" i="4"/>
  <c r="AC38" i="4"/>
  <c r="AA38" i="4"/>
  <c r="AC117" i="4"/>
  <c r="AA117" i="4"/>
  <c r="AA103" i="4"/>
  <c r="AC103" i="4"/>
  <c r="AC62" i="4"/>
  <c r="AA62" i="4"/>
  <c r="AA14" i="4"/>
  <c r="AC14" i="4"/>
  <c r="AA16" i="4"/>
  <c r="AC16" i="4"/>
  <c r="AA63" i="4"/>
  <c r="AC63" i="4"/>
  <c r="AC98" i="4"/>
  <c r="AA98" i="4"/>
  <c r="AC25" i="4"/>
  <c r="AA25" i="4"/>
  <c r="AC18" i="4"/>
  <c r="AA18" i="4"/>
  <c r="AC80" i="4"/>
  <c r="AA80" i="4"/>
  <c r="AA30" i="4"/>
  <c r="AC30" i="4"/>
  <c r="AC128" i="4"/>
  <c r="AA128" i="4"/>
  <c r="AA24" i="4"/>
  <c r="AC24" i="4"/>
  <c r="AC65" i="4"/>
  <c r="AA65" i="4"/>
  <c r="AA108" i="4"/>
  <c r="AC108" i="4"/>
  <c r="AA129" i="4"/>
  <c r="AC129" i="4"/>
  <c r="AA115" i="4"/>
  <c r="AC115" i="4"/>
  <c r="AC58" i="4"/>
  <c r="AA58" i="4"/>
  <c r="AC35" i="4"/>
  <c r="AA35" i="4"/>
  <c r="AC73" i="4"/>
  <c r="AA73" i="4"/>
  <c r="AC12" i="4"/>
  <c r="AC89" i="4"/>
  <c r="AA89" i="4"/>
  <c r="AA90" i="4"/>
  <c r="AC90" i="4"/>
  <c r="AA81" i="4"/>
  <c r="AC81" i="4"/>
  <c r="AC92" i="4"/>
  <c r="AA92" i="4"/>
  <c r="AA41" i="4"/>
  <c r="AC41" i="4"/>
  <c r="AC27" i="4"/>
  <c r="AA27" i="4"/>
  <c r="AA101" i="4"/>
  <c r="AC101" i="4"/>
  <c r="AC9" i="4"/>
  <c r="AG9" i="4" s="1"/>
  <c r="AA37" i="4"/>
  <c r="AC37" i="4"/>
  <c r="AC74" i="4"/>
  <c r="AA74" i="4"/>
  <c r="AC91" i="4"/>
  <c r="AA91" i="4"/>
  <c r="AC67" i="4"/>
  <c r="AA67" i="4"/>
  <c r="AC33" i="4"/>
  <c r="AA33" i="4"/>
  <c r="AC118" i="4"/>
  <c r="AA118" i="4"/>
  <c r="AC56" i="4"/>
  <c r="AA56" i="4"/>
  <c r="AC72" i="4"/>
  <c r="AA72" i="4"/>
  <c r="AC96" i="4"/>
  <c r="AA96" i="4"/>
  <c r="AC57" i="4"/>
  <c r="AA57" i="4"/>
  <c r="AA120" i="4"/>
  <c r="AC120" i="4"/>
  <c r="AA99" i="4"/>
  <c r="AC99" i="4"/>
  <c r="AA105" i="4"/>
  <c r="AC105" i="4"/>
  <c r="AA17" i="4"/>
  <c r="AC17" i="4"/>
  <c r="AA111" i="4"/>
  <c r="AC111" i="4"/>
  <c r="AA40" i="4"/>
  <c r="AC40" i="4"/>
  <c r="AC11" i="4"/>
  <c r="AA82" i="4"/>
  <c r="AC82" i="4"/>
  <c r="AA75" i="4"/>
  <c r="AC75" i="4"/>
  <c r="AA114" i="4"/>
  <c r="AC114" i="4"/>
  <c r="AA15" i="4"/>
  <c r="AC15" i="4"/>
  <c r="AC85" i="4"/>
  <c r="AA85" i="4"/>
  <c r="AA44" i="4"/>
  <c r="AC44" i="4"/>
  <c r="AC104" i="4"/>
  <c r="AA104" i="4"/>
  <c r="AC36" i="4"/>
  <c r="AA36" i="4"/>
  <c r="AA51" i="4"/>
  <c r="AC51" i="4"/>
  <c r="AC10" i="4"/>
  <c r="AC32" i="4"/>
  <c r="AA32" i="4"/>
  <c r="AC42" i="4"/>
  <c r="AA42" i="4"/>
  <c r="AA23" i="4"/>
  <c r="AC23" i="4"/>
  <c r="AA64" i="4"/>
  <c r="AC64" i="4"/>
  <c r="AC116" i="4"/>
  <c r="AA116" i="4"/>
  <c r="AA54" i="4"/>
  <c r="AC54" i="4"/>
  <c r="AC47" i="4"/>
  <c r="AA47" i="4"/>
  <c r="AC21" i="4"/>
  <c r="AA21" i="4"/>
  <c r="AC20" i="4"/>
  <c r="AA20" i="4"/>
  <c r="AC43" i="4"/>
  <c r="AA43" i="4"/>
  <c r="AA93" i="4"/>
  <c r="AC93" i="4"/>
  <c r="AA53" i="4"/>
  <c r="AC53" i="4"/>
  <c r="AA94" i="4"/>
  <c r="AC94" i="4"/>
  <c r="AC123" i="4"/>
  <c r="AA123" i="4"/>
  <c r="AA52" i="4"/>
  <c r="AC52" i="4"/>
  <c r="AI6" i="4"/>
  <c r="AI8" i="4"/>
  <c r="AK6" i="4"/>
  <c r="AK5" i="4"/>
  <c r="AM5" i="4" s="1"/>
  <c r="AS2" i="4"/>
  <c r="Q26" i="6"/>
  <c r="Q27" i="6" s="1"/>
  <c r="J4" i="4" a="1"/>
  <c r="AU2" i="4"/>
  <c r="AW2" i="4"/>
  <c r="AY2" i="4"/>
  <c r="AI7" i="4" l="1"/>
  <c r="AK9" i="4"/>
  <c r="AK7" i="4"/>
  <c r="AO7" i="4" s="1"/>
  <c r="C12" i="6"/>
  <c r="C11" i="6"/>
  <c r="AE126" i="4"/>
  <c r="AG126" i="4"/>
  <c r="AG47" i="4"/>
  <c r="AE47" i="4"/>
  <c r="AE15" i="4"/>
  <c r="AG15" i="4"/>
  <c r="AG11" i="4"/>
  <c r="AE105" i="4"/>
  <c r="AG105" i="4"/>
  <c r="AG37" i="4"/>
  <c r="AE37" i="4"/>
  <c r="AG41" i="4"/>
  <c r="AE41" i="4"/>
  <c r="AE63" i="4"/>
  <c r="AG63" i="4"/>
  <c r="AG103" i="4"/>
  <c r="AE103" i="4"/>
  <c r="AE19" i="4"/>
  <c r="AG19" i="4"/>
  <c r="AG60" i="4"/>
  <c r="AE60" i="4"/>
  <c r="AE109" i="4"/>
  <c r="AG109" i="4"/>
  <c r="AG97" i="4"/>
  <c r="AE97" i="4"/>
  <c r="AG117" i="4"/>
  <c r="AE117" i="4"/>
  <c r="AG36" i="4"/>
  <c r="AE36" i="4"/>
  <c r="AE96" i="4"/>
  <c r="AG96" i="4"/>
  <c r="AG33" i="4"/>
  <c r="AE33" i="4"/>
  <c r="AE89" i="4"/>
  <c r="AG89" i="4"/>
  <c r="AE58" i="4"/>
  <c r="AG58" i="4"/>
  <c r="AE65" i="4"/>
  <c r="AG65" i="4"/>
  <c r="AG80" i="4"/>
  <c r="AE80" i="4"/>
  <c r="AG125" i="4"/>
  <c r="AE125" i="4"/>
  <c r="AE113" i="4"/>
  <c r="AG113" i="4"/>
  <c r="AG121" i="4"/>
  <c r="AE121" i="4"/>
  <c r="AE79" i="4"/>
  <c r="AG79" i="4"/>
  <c r="AE100" i="4"/>
  <c r="AG100" i="4"/>
  <c r="AG28" i="4"/>
  <c r="AE28" i="4"/>
  <c r="AE119" i="4"/>
  <c r="AG119" i="4"/>
  <c r="AE46" i="4"/>
  <c r="AG46" i="4"/>
  <c r="AG94" i="4"/>
  <c r="AE94" i="4"/>
  <c r="AG67" i="4"/>
  <c r="AE67" i="4"/>
  <c r="AE22" i="4"/>
  <c r="AG22" i="4"/>
  <c r="AG54" i="4"/>
  <c r="AE54" i="4"/>
  <c r="AG123" i="4"/>
  <c r="AE123" i="4"/>
  <c r="AG43" i="4"/>
  <c r="AE43" i="4"/>
  <c r="AE42" i="4"/>
  <c r="AG42" i="4"/>
  <c r="AG114" i="4"/>
  <c r="AE114" i="4"/>
  <c r="AE40" i="4"/>
  <c r="AG40" i="4"/>
  <c r="AE99" i="4"/>
  <c r="AG99" i="4"/>
  <c r="AG12" i="4"/>
  <c r="AG115" i="4"/>
  <c r="AE115" i="4"/>
  <c r="AE24" i="4"/>
  <c r="AG24" i="4"/>
  <c r="AE16" i="4"/>
  <c r="AG16" i="4"/>
  <c r="AG77" i="4"/>
  <c r="AE77" i="4"/>
  <c r="AE68" i="4"/>
  <c r="AG68" i="4"/>
  <c r="AG49" i="4"/>
  <c r="AE49" i="4"/>
  <c r="AG95" i="4"/>
  <c r="AE95" i="4"/>
  <c r="AG127" i="4"/>
  <c r="AE127" i="4"/>
  <c r="AG92" i="4"/>
  <c r="AE92" i="4"/>
  <c r="AE18" i="4"/>
  <c r="AG18" i="4"/>
  <c r="AE86" i="4"/>
  <c r="AG86" i="4"/>
  <c r="AG61" i="4"/>
  <c r="AE61" i="4"/>
  <c r="AE29" i="4"/>
  <c r="AG29" i="4"/>
  <c r="AG106" i="4"/>
  <c r="AE106" i="4"/>
  <c r="AG55" i="4"/>
  <c r="AE55" i="4"/>
  <c r="AG20" i="4"/>
  <c r="AE20" i="4"/>
  <c r="AG116" i="4"/>
  <c r="AE116" i="4"/>
  <c r="AE32" i="4"/>
  <c r="AG32" i="4"/>
  <c r="AG44" i="4"/>
  <c r="AE44" i="4"/>
  <c r="AE75" i="4"/>
  <c r="AG75" i="4"/>
  <c r="AE111" i="4"/>
  <c r="AG111" i="4"/>
  <c r="AE120" i="4"/>
  <c r="AG120" i="4"/>
  <c r="AG101" i="4"/>
  <c r="AE101" i="4"/>
  <c r="AE81" i="4"/>
  <c r="AG81" i="4"/>
  <c r="AG129" i="4"/>
  <c r="AE129" i="4"/>
  <c r="AG14" i="4"/>
  <c r="AE14" i="4"/>
  <c r="AG39" i="4"/>
  <c r="AE39" i="4"/>
  <c r="AE26" i="4"/>
  <c r="AG26" i="4"/>
  <c r="AE110" i="4"/>
  <c r="AG110" i="4"/>
  <c r="AG112" i="4"/>
  <c r="AE112" i="4"/>
  <c r="AG69" i="4"/>
  <c r="AE69" i="4"/>
  <c r="AI9" i="4"/>
  <c r="AG53" i="4"/>
  <c r="AE53" i="4"/>
  <c r="AG64" i="4"/>
  <c r="AE64" i="4"/>
  <c r="AG10" i="4"/>
  <c r="AK10" i="4" s="1"/>
  <c r="AO10" i="4" s="1"/>
  <c r="AG56" i="4"/>
  <c r="AE56" i="4"/>
  <c r="AG91" i="4"/>
  <c r="AE91" i="4"/>
  <c r="AE73" i="4"/>
  <c r="AG73" i="4"/>
  <c r="AE128" i="4"/>
  <c r="AG128" i="4"/>
  <c r="AG25" i="4"/>
  <c r="AE25" i="4"/>
  <c r="AG38" i="4"/>
  <c r="AE38" i="4"/>
  <c r="AE88" i="4"/>
  <c r="AG88" i="4"/>
  <c r="AE31" i="4"/>
  <c r="AG31" i="4"/>
  <c r="AG50" i="4"/>
  <c r="AE50" i="4"/>
  <c r="AG78" i="4"/>
  <c r="AE78" i="4"/>
  <c r="AG122" i="4"/>
  <c r="AE122" i="4"/>
  <c r="AG34" i="4"/>
  <c r="AE34" i="4"/>
  <c r="AG66" i="4"/>
  <c r="AE66" i="4"/>
  <c r="AG51" i="4"/>
  <c r="AE51" i="4"/>
  <c r="AG82" i="4"/>
  <c r="AE82" i="4"/>
  <c r="AE17" i="4"/>
  <c r="AG17" i="4"/>
  <c r="AE90" i="4"/>
  <c r="AG90" i="4"/>
  <c r="AG108" i="4"/>
  <c r="AE108" i="4"/>
  <c r="AE30" i="4"/>
  <c r="AG30" i="4"/>
  <c r="AG13" i="4"/>
  <c r="AG84" i="4"/>
  <c r="AE84" i="4"/>
  <c r="AE83" i="4"/>
  <c r="AG83" i="4"/>
  <c r="AE76" i="4"/>
  <c r="AG76" i="4"/>
  <c r="AE71" i="4"/>
  <c r="AG71" i="4"/>
  <c r="AG107" i="4"/>
  <c r="AE107" i="4"/>
  <c r="AE87" i="4"/>
  <c r="AG87" i="4"/>
  <c r="AG104" i="4"/>
  <c r="AE104" i="4"/>
  <c r="AG72" i="4"/>
  <c r="AE72" i="4"/>
  <c r="AE21" i="4"/>
  <c r="AG21" i="4"/>
  <c r="AE52" i="4"/>
  <c r="AG52" i="4"/>
  <c r="AE93" i="4"/>
  <c r="AG93" i="4"/>
  <c r="AG23" i="4"/>
  <c r="AE23" i="4"/>
  <c r="AG85" i="4"/>
  <c r="AE85" i="4"/>
  <c r="AG57" i="4"/>
  <c r="AE57" i="4"/>
  <c r="AE118" i="4"/>
  <c r="AG118" i="4"/>
  <c r="AG74" i="4"/>
  <c r="AE74" i="4"/>
  <c r="AE27" i="4"/>
  <c r="AG27" i="4"/>
  <c r="AG35" i="4"/>
  <c r="AE35" i="4"/>
  <c r="AG98" i="4"/>
  <c r="AE98" i="4"/>
  <c r="AG62" i="4"/>
  <c r="AE62" i="4"/>
  <c r="AE48" i="4"/>
  <c r="AG48" i="4"/>
  <c r="AE102" i="4"/>
  <c r="AG102" i="4"/>
  <c r="AE59" i="4"/>
  <c r="AG59" i="4"/>
  <c r="AG124" i="4"/>
  <c r="AE124" i="4"/>
  <c r="AE70" i="4"/>
  <c r="AG70" i="4"/>
  <c r="AE45" i="4"/>
  <c r="AG45" i="4"/>
  <c r="AO5" i="4"/>
  <c r="AQ5" i="4" s="1"/>
  <c r="AM8" i="4"/>
  <c r="AO8" i="4"/>
  <c r="AM9" i="4"/>
  <c r="AO9" i="4"/>
  <c r="AM7" i="4"/>
  <c r="AM6" i="4"/>
  <c r="AO6" i="4"/>
  <c r="J108" i="4"/>
  <c r="J44" i="4"/>
  <c r="J102" i="4"/>
  <c r="J10" i="4"/>
  <c r="J97" i="4"/>
  <c r="J64" i="4"/>
  <c r="J68" i="4"/>
  <c r="J76" i="4"/>
  <c r="J91" i="4"/>
  <c r="J29" i="4"/>
  <c r="J72" i="4"/>
  <c r="J57" i="4"/>
  <c r="J12" i="4"/>
  <c r="J7" i="4"/>
  <c r="J88" i="4"/>
  <c r="J60" i="4"/>
  <c r="J48" i="4"/>
  <c r="J49" i="4"/>
  <c r="J59" i="4"/>
  <c r="J31" i="4"/>
  <c r="J78" i="4"/>
  <c r="J61" i="4"/>
  <c r="J109" i="4"/>
  <c r="J22" i="4"/>
  <c r="J116" i="4"/>
  <c r="J41" i="4"/>
  <c r="J43" i="4"/>
  <c r="J37" i="4"/>
  <c r="J121" i="4"/>
  <c r="J122" i="4"/>
  <c r="J39" i="4"/>
  <c r="J84" i="4"/>
  <c r="J25" i="4"/>
  <c r="J79" i="4"/>
  <c r="J16" i="4"/>
  <c r="J4" i="4"/>
  <c r="J111" i="4"/>
  <c r="J106" i="4"/>
  <c r="J8" i="4"/>
  <c r="J105" i="4"/>
  <c r="J30" i="4"/>
  <c r="J81" i="4"/>
  <c r="J27" i="4"/>
  <c r="J96" i="4"/>
  <c r="J19" i="4"/>
  <c r="BO19" i="4" s="1"/>
  <c r="J67" i="4"/>
  <c r="J56" i="4"/>
  <c r="J114" i="4"/>
  <c r="J65" i="4"/>
  <c r="J70" i="4"/>
  <c r="J123" i="4"/>
  <c r="J23" i="4"/>
  <c r="J95" i="4"/>
  <c r="J26" i="4"/>
  <c r="J77" i="4"/>
  <c r="J20" i="4"/>
  <c r="J34" i="4"/>
  <c r="J119" i="4"/>
  <c r="J112" i="4"/>
  <c r="J17" i="4"/>
  <c r="J128" i="4"/>
  <c r="J87" i="4"/>
  <c r="J124" i="4"/>
  <c r="J103" i="4"/>
  <c r="J38" i="4"/>
  <c r="J98" i="4"/>
  <c r="J85" i="4"/>
  <c r="J28" i="4"/>
  <c r="J99" i="4"/>
  <c r="J101" i="4"/>
  <c r="J73" i="4"/>
  <c r="J46" i="4"/>
  <c r="J58" i="4"/>
  <c r="J54" i="4"/>
  <c r="J9" i="4"/>
  <c r="J18" i="4"/>
  <c r="J92" i="4"/>
  <c r="J50" i="4"/>
  <c r="J5" i="4"/>
  <c r="J74" i="4"/>
  <c r="J32" i="4"/>
  <c r="J107" i="4"/>
  <c r="J33" i="4"/>
  <c r="J90" i="4"/>
  <c r="J94" i="4"/>
  <c r="J110" i="4"/>
  <c r="J83" i="4"/>
  <c r="J55" i="4"/>
  <c r="J71" i="4"/>
  <c r="J86" i="4"/>
  <c r="J24" i="4"/>
  <c r="J14" i="4"/>
  <c r="J63" i="4"/>
  <c r="J93" i="4"/>
  <c r="J51" i="4"/>
  <c r="J13" i="4"/>
  <c r="J36" i="4"/>
  <c r="J80" i="4"/>
  <c r="J6" i="4"/>
  <c r="J53" i="4"/>
  <c r="J35" i="4"/>
  <c r="J75" i="4"/>
  <c r="J66" i="4"/>
  <c r="J127" i="4"/>
  <c r="J113" i="4"/>
  <c r="J129" i="4"/>
  <c r="J125" i="4"/>
  <c r="J82" i="4"/>
  <c r="J40" i="4"/>
  <c r="J118" i="4"/>
  <c r="J47" i="4"/>
  <c r="J45" i="4"/>
  <c r="J11" i="4"/>
  <c r="J15" i="4"/>
  <c r="J69" i="4"/>
  <c r="J117" i="4"/>
  <c r="J126" i="4"/>
  <c r="J115" i="4"/>
  <c r="J104" i="4"/>
  <c r="J21" i="4"/>
  <c r="J120" i="4"/>
  <c r="J100" i="4"/>
  <c r="J42" i="4"/>
  <c r="J62" i="4"/>
  <c r="J52" i="4"/>
  <c r="J89" i="4"/>
  <c r="BA2" i="4"/>
  <c r="Q28" i="6"/>
  <c r="BC2" i="4"/>
  <c r="C13" i="6" l="1"/>
  <c r="BO20" i="4"/>
  <c r="O9" i="4"/>
  <c r="AM10" i="4"/>
  <c r="AI108" i="4"/>
  <c r="AK108" i="4"/>
  <c r="AI81" i="4"/>
  <c r="AK81" i="4"/>
  <c r="AI119" i="4"/>
  <c r="AK119" i="4"/>
  <c r="AK45" i="4"/>
  <c r="AI45" i="4"/>
  <c r="AI102" i="4"/>
  <c r="AK102" i="4"/>
  <c r="AK52" i="4"/>
  <c r="AI52" i="4"/>
  <c r="AI87" i="4"/>
  <c r="AK87" i="4"/>
  <c r="AK83" i="4"/>
  <c r="AI83" i="4"/>
  <c r="AI129" i="4"/>
  <c r="AK129" i="4"/>
  <c r="AI116" i="4"/>
  <c r="AK116" i="4"/>
  <c r="AI92" i="4"/>
  <c r="AK92" i="4"/>
  <c r="AK115" i="4"/>
  <c r="AI115" i="4"/>
  <c r="AK114" i="4"/>
  <c r="AI114" i="4"/>
  <c r="AK54" i="4"/>
  <c r="AI54" i="4"/>
  <c r="AI80" i="4"/>
  <c r="AK80" i="4"/>
  <c r="AK33" i="4"/>
  <c r="AI33" i="4"/>
  <c r="AI97" i="4"/>
  <c r="AK97" i="4"/>
  <c r="AI103" i="4"/>
  <c r="AK103" i="4"/>
  <c r="AK91" i="4"/>
  <c r="AI91" i="4"/>
  <c r="AI70" i="4"/>
  <c r="AK70" i="4"/>
  <c r="AI48" i="4"/>
  <c r="AK48" i="4"/>
  <c r="AI27" i="4"/>
  <c r="AK27" i="4"/>
  <c r="AI21" i="4"/>
  <c r="AK21" i="4"/>
  <c r="AK90" i="4"/>
  <c r="AI90" i="4"/>
  <c r="AI20" i="4"/>
  <c r="AK20" i="4"/>
  <c r="AK61" i="4"/>
  <c r="AI61" i="4"/>
  <c r="AK127" i="4"/>
  <c r="AI127" i="4"/>
  <c r="AK77" i="4"/>
  <c r="AI77" i="4"/>
  <c r="AK12" i="4"/>
  <c r="AI121" i="4"/>
  <c r="AK121" i="4"/>
  <c r="AI15" i="4"/>
  <c r="AK15" i="4"/>
  <c r="AK65" i="4"/>
  <c r="AI65" i="4"/>
  <c r="AI85" i="4"/>
  <c r="AK85" i="4"/>
  <c r="AI107" i="4"/>
  <c r="AK107" i="4"/>
  <c r="AI84" i="4"/>
  <c r="AK84" i="4"/>
  <c r="AK66" i="4"/>
  <c r="AI66" i="4"/>
  <c r="AI50" i="4"/>
  <c r="AK50" i="4"/>
  <c r="AI25" i="4"/>
  <c r="AK25" i="4"/>
  <c r="AK56" i="4"/>
  <c r="AI56" i="4"/>
  <c r="AI86" i="4"/>
  <c r="AK86" i="4"/>
  <c r="AI16" i="4"/>
  <c r="AK16" i="4"/>
  <c r="AI99" i="4"/>
  <c r="AK99" i="4"/>
  <c r="AK113" i="4"/>
  <c r="AI113" i="4"/>
  <c r="AI58" i="4"/>
  <c r="AK58" i="4"/>
  <c r="AI38" i="4"/>
  <c r="AK38" i="4"/>
  <c r="AK42" i="4"/>
  <c r="AI42" i="4"/>
  <c r="AK11" i="4"/>
  <c r="AO11" i="4" s="1"/>
  <c r="AS11" i="4" s="1"/>
  <c r="AK71" i="4"/>
  <c r="AI71" i="4"/>
  <c r="AK13" i="4"/>
  <c r="AI17" i="4"/>
  <c r="AK17" i="4"/>
  <c r="AK31" i="4"/>
  <c r="AI31" i="4"/>
  <c r="AK128" i="4"/>
  <c r="AI128" i="4"/>
  <c r="AK69" i="4"/>
  <c r="AI69" i="4"/>
  <c r="AK39" i="4"/>
  <c r="AI39" i="4"/>
  <c r="AI101" i="4"/>
  <c r="AK101" i="4"/>
  <c r="AI44" i="4"/>
  <c r="AK44" i="4"/>
  <c r="AI55" i="4"/>
  <c r="AK55" i="4"/>
  <c r="AK95" i="4"/>
  <c r="AI95" i="4"/>
  <c r="AI43" i="4"/>
  <c r="AK43" i="4"/>
  <c r="AK67" i="4"/>
  <c r="AI67" i="4"/>
  <c r="AK28" i="4"/>
  <c r="AI28" i="4"/>
  <c r="AI36" i="4"/>
  <c r="AK36" i="4"/>
  <c r="AK60" i="4"/>
  <c r="AI60" i="4"/>
  <c r="AI41" i="4"/>
  <c r="AK41" i="4"/>
  <c r="AK35" i="4"/>
  <c r="AI35" i="4"/>
  <c r="AI78" i="4"/>
  <c r="AK78" i="4"/>
  <c r="AI26" i="4"/>
  <c r="AK26" i="4"/>
  <c r="AI109" i="4"/>
  <c r="AK109" i="4"/>
  <c r="AK124" i="4"/>
  <c r="AI124" i="4"/>
  <c r="AI62" i="4"/>
  <c r="AK62" i="4"/>
  <c r="AK74" i="4"/>
  <c r="AI74" i="4"/>
  <c r="AI23" i="4"/>
  <c r="AK23" i="4"/>
  <c r="AK72" i="4"/>
  <c r="AI72" i="4"/>
  <c r="AI34" i="4"/>
  <c r="AK34" i="4"/>
  <c r="AK120" i="4"/>
  <c r="AI120" i="4"/>
  <c r="AI32" i="4"/>
  <c r="AK32" i="4"/>
  <c r="AI18" i="4"/>
  <c r="AK18" i="4"/>
  <c r="AI24" i="4"/>
  <c r="AK24" i="4"/>
  <c r="AI40" i="4"/>
  <c r="AK40" i="4"/>
  <c r="AI100" i="4"/>
  <c r="AK100" i="4"/>
  <c r="AI89" i="4"/>
  <c r="AK89" i="4"/>
  <c r="AK19" i="4"/>
  <c r="AI19" i="4"/>
  <c r="AK47" i="4"/>
  <c r="AI47" i="4"/>
  <c r="AI57" i="4"/>
  <c r="AK57" i="4"/>
  <c r="AK51" i="4"/>
  <c r="AI51" i="4"/>
  <c r="AK53" i="4"/>
  <c r="AI53" i="4"/>
  <c r="AI75" i="4"/>
  <c r="AK75" i="4"/>
  <c r="AK63" i="4"/>
  <c r="AI63" i="4"/>
  <c r="AI59" i="4"/>
  <c r="AK59" i="4"/>
  <c r="AI118" i="4"/>
  <c r="AK118" i="4"/>
  <c r="AK93" i="4"/>
  <c r="AI93" i="4"/>
  <c r="AI76" i="4"/>
  <c r="AK76" i="4"/>
  <c r="AI30" i="4"/>
  <c r="AK30" i="4"/>
  <c r="AK88" i="4"/>
  <c r="AI88" i="4"/>
  <c r="AI73" i="4"/>
  <c r="AK73" i="4"/>
  <c r="AI112" i="4"/>
  <c r="AK112" i="4"/>
  <c r="AK14" i="4"/>
  <c r="AK106" i="4"/>
  <c r="AI106" i="4"/>
  <c r="AI49" i="4"/>
  <c r="AK49" i="4"/>
  <c r="AK123" i="4"/>
  <c r="AI123" i="4"/>
  <c r="AK94" i="4"/>
  <c r="AI94" i="4"/>
  <c r="AK125" i="4"/>
  <c r="AI125" i="4"/>
  <c r="AK117" i="4"/>
  <c r="AI117" i="4"/>
  <c r="AI37" i="4"/>
  <c r="AK37" i="4"/>
  <c r="AK126" i="4"/>
  <c r="AI126" i="4"/>
  <c r="AK22" i="4"/>
  <c r="AI22" i="4"/>
  <c r="AI96" i="4"/>
  <c r="AK96" i="4"/>
  <c r="AK98" i="4"/>
  <c r="AI98" i="4"/>
  <c r="AI104" i="4"/>
  <c r="AK104" i="4"/>
  <c r="AK82" i="4"/>
  <c r="AI82" i="4"/>
  <c r="AK122" i="4"/>
  <c r="AI122" i="4"/>
  <c r="AI64" i="4"/>
  <c r="AK64" i="4"/>
  <c r="AK110" i="4"/>
  <c r="AI110" i="4"/>
  <c r="AK111" i="4"/>
  <c r="AI111" i="4"/>
  <c r="AK29" i="4"/>
  <c r="AI29" i="4"/>
  <c r="AI68" i="4"/>
  <c r="AK68" i="4"/>
  <c r="AK46" i="4"/>
  <c r="AI46" i="4"/>
  <c r="AK79" i="4"/>
  <c r="AI79" i="4"/>
  <c r="AK105" i="4"/>
  <c r="AI105" i="4"/>
  <c r="AS5" i="4"/>
  <c r="AU5" i="4" s="1"/>
  <c r="O7" i="4"/>
  <c r="AQ10" i="4"/>
  <c r="AS10" i="4"/>
  <c r="AQ6" i="4"/>
  <c r="AS6" i="4"/>
  <c r="AQ8" i="4"/>
  <c r="AS8" i="4"/>
  <c r="AQ7" i="4"/>
  <c r="AS7" i="4"/>
  <c r="AQ9" i="4"/>
  <c r="AS9" i="4"/>
  <c r="BE2" i="4"/>
  <c r="Q29" i="6"/>
  <c r="BG2" i="4"/>
  <c r="C14" i="6" l="1"/>
  <c r="BO4" i="4"/>
  <c r="E16" i="6" s="1"/>
  <c r="BO1" i="4"/>
  <c r="D16" i="6" s="1"/>
  <c r="AQ11" i="4"/>
  <c r="AO13" i="4"/>
  <c r="AM46" i="4"/>
  <c r="AO46" i="4"/>
  <c r="AM110" i="4"/>
  <c r="AO110" i="4"/>
  <c r="AM126" i="4"/>
  <c r="AO126" i="4"/>
  <c r="AM94" i="4"/>
  <c r="AO94" i="4"/>
  <c r="AO14" i="4"/>
  <c r="AO51" i="4"/>
  <c r="AM51" i="4"/>
  <c r="AM72" i="4"/>
  <c r="AO72" i="4"/>
  <c r="AM124" i="4"/>
  <c r="AO124" i="4"/>
  <c r="AM35" i="4"/>
  <c r="AO35" i="4"/>
  <c r="AO28" i="4"/>
  <c r="AM28" i="4"/>
  <c r="AM69" i="4"/>
  <c r="AO69" i="4"/>
  <c r="AM70" i="4"/>
  <c r="AO70" i="4"/>
  <c r="AM68" i="4"/>
  <c r="AO68" i="4"/>
  <c r="AM37" i="4"/>
  <c r="AO37" i="4"/>
  <c r="AO100" i="4"/>
  <c r="AM100" i="4"/>
  <c r="AO32" i="4"/>
  <c r="AM32" i="4"/>
  <c r="AM23" i="4"/>
  <c r="AO23" i="4"/>
  <c r="AO109" i="4"/>
  <c r="AM109" i="4"/>
  <c r="AO41" i="4"/>
  <c r="AM41" i="4"/>
  <c r="AO44" i="4"/>
  <c r="AM44" i="4"/>
  <c r="AM58" i="4"/>
  <c r="AO58" i="4"/>
  <c r="AO86" i="4"/>
  <c r="AM86" i="4"/>
  <c r="AM77" i="4"/>
  <c r="AO77" i="4"/>
  <c r="AO90" i="4"/>
  <c r="AM90" i="4"/>
  <c r="AM33" i="4"/>
  <c r="AO33" i="4"/>
  <c r="AO115" i="4"/>
  <c r="AM115" i="4"/>
  <c r="AM83" i="4"/>
  <c r="AO83" i="4"/>
  <c r="AM45" i="4"/>
  <c r="AO45" i="4"/>
  <c r="AM98" i="4"/>
  <c r="AO98" i="4"/>
  <c r="AO123" i="4"/>
  <c r="AM123" i="4"/>
  <c r="AO63" i="4"/>
  <c r="AM63" i="4"/>
  <c r="AM67" i="4"/>
  <c r="AO67" i="4"/>
  <c r="AO128" i="4"/>
  <c r="AM128" i="4"/>
  <c r="AM71" i="4"/>
  <c r="AO71" i="4"/>
  <c r="AO66" i="4"/>
  <c r="AM66" i="4"/>
  <c r="AM65" i="4"/>
  <c r="AO65" i="4"/>
  <c r="AO21" i="4"/>
  <c r="AM21" i="4"/>
  <c r="AO80" i="4"/>
  <c r="AM80" i="4"/>
  <c r="AO92" i="4"/>
  <c r="AM92" i="4"/>
  <c r="AO87" i="4"/>
  <c r="AM87" i="4"/>
  <c r="AM119" i="4"/>
  <c r="AO119" i="4"/>
  <c r="AM96" i="4"/>
  <c r="AO96" i="4"/>
  <c r="AO49" i="4"/>
  <c r="AM49" i="4"/>
  <c r="AM73" i="4"/>
  <c r="AO73" i="4"/>
  <c r="AM75" i="4"/>
  <c r="AO75" i="4"/>
  <c r="AO40" i="4"/>
  <c r="AM40" i="4"/>
  <c r="AM26" i="4"/>
  <c r="AO26" i="4"/>
  <c r="AO43" i="4"/>
  <c r="AM43" i="4"/>
  <c r="AM101" i="4"/>
  <c r="AO101" i="4"/>
  <c r="AO84" i="4"/>
  <c r="AM84" i="4"/>
  <c r="AO15" i="4"/>
  <c r="AM127" i="4"/>
  <c r="AO127" i="4"/>
  <c r="AO91" i="4"/>
  <c r="AM91" i="4"/>
  <c r="AM64" i="4"/>
  <c r="AO64" i="4"/>
  <c r="AO112" i="4"/>
  <c r="AM112" i="4"/>
  <c r="AM105" i="4"/>
  <c r="AO105" i="4"/>
  <c r="AM29" i="4"/>
  <c r="AO29" i="4"/>
  <c r="AO122" i="4"/>
  <c r="AM122" i="4"/>
  <c r="AM117" i="4"/>
  <c r="AO117" i="4"/>
  <c r="AO93" i="4"/>
  <c r="AM93" i="4"/>
  <c r="AO47" i="4"/>
  <c r="AM47" i="4"/>
  <c r="AO120" i="4"/>
  <c r="AM120" i="4"/>
  <c r="AM74" i="4"/>
  <c r="AO74" i="4"/>
  <c r="AO60" i="4"/>
  <c r="AM60" i="4"/>
  <c r="AM31" i="4"/>
  <c r="AO31" i="4"/>
  <c r="AM113" i="4"/>
  <c r="AO113" i="4"/>
  <c r="AM56" i="4"/>
  <c r="AO56" i="4"/>
  <c r="AM27" i="4"/>
  <c r="AO27" i="4"/>
  <c r="AO103" i="4"/>
  <c r="AM103" i="4"/>
  <c r="AM116" i="4"/>
  <c r="AO116" i="4"/>
  <c r="AM81" i="4"/>
  <c r="AO81" i="4"/>
  <c r="AO76" i="4"/>
  <c r="AM76" i="4"/>
  <c r="AO118" i="4"/>
  <c r="AM118" i="4"/>
  <c r="AM24" i="4"/>
  <c r="AO24" i="4"/>
  <c r="AM34" i="4"/>
  <c r="AO34" i="4"/>
  <c r="AM62" i="4"/>
  <c r="AO62" i="4"/>
  <c r="AM78" i="4"/>
  <c r="AO78" i="4"/>
  <c r="AM36" i="4"/>
  <c r="AO36" i="4"/>
  <c r="AM17" i="4"/>
  <c r="AO17" i="4"/>
  <c r="AM99" i="4"/>
  <c r="AO99" i="4"/>
  <c r="AO25" i="4"/>
  <c r="AM25" i="4"/>
  <c r="AO107" i="4"/>
  <c r="AM107" i="4"/>
  <c r="AO121" i="4"/>
  <c r="AM121" i="4"/>
  <c r="AO61" i="4"/>
  <c r="AM61" i="4"/>
  <c r="AM54" i="4"/>
  <c r="AO54" i="4"/>
  <c r="AM52" i="4"/>
  <c r="AO52" i="4"/>
  <c r="AO57" i="4"/>
  <c r="AM57" i="4"/>
  <c r="AW5" i="4"/>
  <c r="AY5" i="4" s="1"/>
  <c r="AM79" i="4"/>
  <c r="AO79" i="4"/>
  <c r="AO111" i="4"/>
  <c r="AM111" i="4"/>
  <c r="AO82" i="4"/>
  <c r="AM82" i="4"/>
  <c r="AM22" i="4"/>
  <c r="AO22" i="4"/>
  <c r="AO125" i="4"/>
  <c r="AM125" i="4"/>
  <c r="AM106" i="4"/>
  <c r="AO106" i="4"/>
  <c r="AM88" i="4"/>
  <c r="AO88" i="4"/>
  <c r="AM53" i="4"/>
  <c r="AO53" i="4"/>
  <c r="AO19" i="4"/>
  <c r="AM19" i="4"/>
  <c r="AO95" i="4"/>
  <c r="AM95" i="4"/>
  <c r="AM39" i="4"/>
  <c r="AO39" i="4"/>
  <c r="AO42" i="4"/>
  <c r="AM42" i="4"/>
  <c r="AM20" i="4"/>
  <c r="AO20" i="4"/>
  <c r="AO48" i="4"/>
  <c r="AM48" i="4"/>
  <c r="AM97" i="4"/>
  <c r="AO97" i="4"/>
  <c r="AM129" i="4"/>
  <c r="AO129" i="4"/>
  <c r="AO102" i="4"/>
  <c r="AM102" i="4"/>
  <c r="AO108" i="4"/>
  <c r="AM108" i="4"/>
  <c r="AO104" i="4"/>
  <c r="AM104" i="4"/>
  <c r="AO30" i="4"/>
  <c r="AM30" i="4"/>
  <c r="AO59" i="4"/>
  <c r="AM59" i="4"/>
  <c r="AM89" i="4"/>
  <c r="AO89" i="4"/>
  <c r="AO18" i="4"/>
  <c r="AM18" i="4"/>
  <c r="AO55" i="4"/>
  <c r="AM55" i="4"/>
  <c r="AM38" i="4"/>
  <c r="AO38" i="4"/>
  <c r="AM16" i="4"/>
  <c r="AO16" i="4"/>
  <c r="AO50" i="4"/>
  <c r="AM50" i="4"/>
  <c r="AO85" i="4"/>
  <c r="AM85" i="4"/>
  <c r="AO12" i="4"/>
  <c r="AO114" i="4"/>
  <c r="AM114" i="4"/>
  <c r="AU8" i="4"/>
  <c r="AW8" i="4"/>
  <c r="AU7" i="4"/>
  <c r="AW7" i="4"/>
  <c r="AU10" i="4"/>
  <c r="AW10" i="4"/>
  <c r="AU9" i="4"/>
  <c r="AW9" i="4"/>
  <c r="AU11" i="4"/>
  <c r="AW11" i="4"/>
  <c r="AU6" i="4"/>
  <c r="AW6" i="4"/>
  <c r="Q30" i="6"/>
  <c r="BA5" i="4" l="1"/>
  <c r="BE5" i="4" s="1"/>
  <c r="AQ42" i="4"/>
  <c r="AS42" i="4"/>
  <c r="AQ17" i="4"/>
  <c r="AS17" i="4"/>
  <c r="AS34" i="4"/>
  <c r="AQ34" i="4"/>
  <c r="AS76" i="4"/>
  <c r="AQ76" i="4"/>
  <c r="AQ60" i="4"/>
  <c r="AS60" i="4"/>
  <c r="AS93" i="4"/>
  <c r="AQ93" i="4"/>
  <c r="AS43" i="4"/>
  <c r="AQ43" i="4"/>
  <c r="AS87" i="4"/>
  <c r="AQ87" i="4"/>
  <c r="AQ90" i="4"/>
  <c r="AS90" i="4"/>
  <c r="AQ44" i="4"/>
  <c r="AS44" i="4"/>
  <c r="AS32" i="4"/>
  <c r="AQ32" i="4"/>
  <c r="AS97" i="4"/>
  <c r="AQ97" i="4"/>
  <c r="AQ57" i="4"/>
  <c r="AS57" i="4"/>
  <c r="AS121" i="4"/>
  <c r="AQ121" i="4"/>
  <c r="AQ81" i="4"/>
  <c r="AS81" i="4"/>
  <c r="AQ56" i="4"/>
  <c r="AS56" i="4"/>
  <c r="AQ74" i="4"/>
  <c r="AS74" i="4"/>
  <c r="AQ117" i="4"/>
  <c r="AS117" i="4"/>
  <c r="AS26" i="4"/>
  <c r="AQ26" i="4"/>
  <c r="AS83" i="4"/>
  <c r="AQ83" i="4"/>
  <c r="AS77" i="4"/>
  <c r="AQ77" i="4"/>
  <c r="AQ69" i="4"/>
  <c r="AS69" i="4"/>
  <c r="AS72" i="4"/>
  <c r="AQ72" i="4"/>
  <c r="AQ126" i="4"/>
  <c r="AS126" i="4"/>
  <c r="AS104" i="4"/>
  <c r="AQ104" i="4"/>
  <c r="AS16" i="4"/>
  <c r="AS89" i="4"/>
  <c r="AQ89" i="4"/>
  <c r="AS82" i="4"/>
  <c r="AQ82" i="4"/>
  <c r="AS52" i="4"/>
  <c r="AQ52" i="4"/>
  <c r="AQ36" i="4"/>
  <c r="AS36" i="4"/>
  <c r="AQ24" i="4"/>
  <c r="AS24" i="4"/>
  <c r="AS112" i="4"/>
  <c r="AQ112" i="4"/>
  <c r="AS15" i="4"/>
  <c r="AS49" i="4"/>
  <c r="AQ49" i="4"/>
  <c r="AQ92" i="4"/>
  <c r="AS92" i="4"/>
  <c r="AQ66" i="4"/>
  <c r="AS66" i="4"/>
  <c r="AQ63" i="4"/>
  <c r="AS63" i="4"/>
  <c r="AQ41" i="4"/>
  <c r="AS41" i="4"/>
  <c r="AS100" i="4"/>
  <c r="AQ100" i="4"/>
  <c r="AQ50" i="4"/>
  <c r="AS50" i="4"/>
  <c r="AS114" i="4"/>
  <c r="AQ114" i="4"/>
  <c r="AS106" i="4"/>
  <c r="AQ106" i="4"/>
  <c r="AQ107" i="4"/>
  <c r="AS107" i="4"/>
  <c r="AQ116" i="4"/>
  <c r="AS116" i="4"/>
  <c r="AQ113" i="4"/>
  <c r="AS113" i="4"/>
  <c r="AQ64" i="4"/>
  <c r="AS64" i="4"/>
  <c r="AQ96" i="4"/>
  <c r="AS96" i="4"/>
  <c r="AS71" i="4"/>
  <c r="AQ71" i="4"/>
  <c r="AQ37" i="4"/>
  <c r="AS37" i="4"/>
  <c r="AQ110" i="4"/>
  <c r="AS110" i="4"/>
  <c r="AS18" i="4"/>
  <c r="AQ18" i="4"/>
  <c r="AS12" i="4"/>
  <c r="AS13" i="4"/>
  <c r="AS38" i="4"/>
  <c r="AQ38" i="4"/>
  <c r="AS108" i="4"/>
  <c r="AQ108" i="4"/>
  <c r="AQ48" i="4"/>
  <c r="AS48" i="4"/>
  <c r="AS95" i="4"/>
  <c r="AQ95" i="4"/>
  <c r="AS111" i="4"/>
  <c r="AQ111" i="4"/>
  <c r="AS54" i="4"/>
  <c r="AQ54" i="4"/>
  <c r="AQ78" i="4"/>
  <c r="AS78" i="4"/>
  <c r="AS120" i="4"/>
  <c r="AQ120" i="4"/>
  <c r="AS122" i="4"/>
  <c r="AQ122" i="4"/>
  <c r="AS84" i="4"/>
  <c r="AQ84" i="4"/>
  <c r="AS40" i="4"/>
  <c r="AQ40" i="4"/>
  <c r="AS80" i="4"/>
  <c r="AQ80" i="4"/>
  <c r="AS123" i="4"/>
  <c r="AQ123" i="4"/>
  <c r="AS115" i="4"/>
  <c r="AQ115" i="4"/>
  <c r="AS86" i="4"/>
  <c r="AQ86" i="4"/>
  <c r="AS109" i="4"/>
  <c r="AQ109" i="4"/>
  <c r="AS28" i="4"/>
  <c r="AQ28" i="4"/>
  <c r="AS51" i="4"/>
  <c r="AQ51" i="4"/>
  <c r="AS88" i="4"/>
  <c r="AQ88" i="4"/>
  <c r="AS59" i="4"/>
  <c r="AQ59" i="4"/>
  <c r="AQ20" i="4"/>
  <c r="AS20" i="4"/>
  <c r="AS79" i="4"/>
  <c r="AQ79" i="4"/>
  <c r="AS25" i="4"/>
  <c r="AQ25" i="4"/>
  <c r="AS118" i="4"/>
  <c r="AQ118" i="4"/>
  <c r="AS31" i="4"/>
  <c r="AQ31" i="4"/>
  <c r="AQ29" i="4"/>
  <c r="AS29" i="4"/>
  <c r="AQ101" i="4"/>
  <c r="AS101" i="4"/>
  <c r="AS75" i="4"/>
  <c r="AQ75" i="4"/>
  <c r="AS119" i="4"/>
  <c r="AQ119" i="4"/>
  <c r="AS98" i="4"/>
  <c r="AQ98" i="4"/>
  <c r="AS33" i="4"/>
  <c r="AQ33" i="4"/>
  <c r="AQ58" i="4"/>
  <c r="AS58" i="4"/>
  <c r="AS23" i="4"/>
  <c r="AQ23" i="4"/>
  <c r="AQ68" i="4"/>
  <c r="AS68" i="4"/>
  <c r="AQ35" i="4"/>
  <c r="AS35" i="4"/>
  <c r="AS14" i="4"/>
  <c r="AQ46" i="4"/>
  <c r="AS46" i="4"/>
  <c r="AQ102" i="4"/>
  <c r="AS102" i="4"/>
  <c r="AS19" i="4"/>
  <c r="AQ19" i="4"/>
  <c r="AS125" i="4"/>
  <c r="AQ125" i="4"/>
  <c r="AS99" i="4"/>
  <c r="AQ99" i="4"/>
  <c r="AQ62" i="4"/>
  <c r="AS62" i="4"/>
  <c r="AS103" i="4"/>
  <c r="AQ103" i="4"/>
  <c r="AS47" i="4"/>
  <c r="AQ47" i="4"/>
  <c r="AQ91" i="4"/>
  <c r="AS91" i="4"/>
  <c r="AS21" i="4"/>
  <c r="AQ21" i="4"/>
  <c r="AS128" i="4"/>
  <c r="AQ128" i="4"/>
  <c r="AQ39" i="4"/>
  <c r="AS39" i="4"/>
  <c r="AQ85" i="4"/>
  <c r="AS85" i="4"/>
  <c r="AQ55" i="4"/>
  <c r="AS55" i="4"/>
  <c r="AS30" i="4"/>
  <c r="AQ30" i="4"/>
  <c r="AQ129" i="4"/>
  <c r="AS129" i="4"/>
  <c r="AQ53" i="4"/>
  <c r="AS53" i="4"/>
  <c r="AQ22" i="4"/>
  <c r="AS22" i="4"/>
  <c r="AS61" i="4"/>
  <c r="AQ61" i="4"/>
  <c r="AS27" i="4"/>
  <c r="AQ27" i="4"/>
  <c r="AQ105" i="4"/>
  <c r="AS105" i="4"/>
  <c r="AQ127" i="4"/>
  <c r="AS127" i="4"/>
  <c r="AS73" i="4"/>
  <c r="AQ73" i="4"/>
  <c r="AQ65" i="4"/>
  <c r="AS65" i="4"/>
  <c r="AQ67" i="4"/>
  <c r="AS67" i="4"/>
  <c r="AQ45" i="4"/>
  <c r="AS45" i="4"/>
  <c r="AS70" i="4"/>
  <c r="AQ70" i="4"/>
  <c r="AS124" i="4"/>
  <c r="AQ124" i="4"/>
  <c r="AQ94" i="4"/>
  <c r="AS94" i="4"/>
  <c r="AY10" i="4"/>
  <c r="BA10" i="4"/>
  <c r="BC5" i="4"/>
  <c r="AY8" i="4"/>
  <c r="BA8" i="4"/>
  <c r="AY7" i="4"/>
  <c r="BA7" i="4"/>
  <c r="AY11" i="4"/>
  <c r="BA11" i="4"/>
  <c r="AY9" i="4"/>
  <c r="BA9" i="4"/>
  <c r="AY6" i="4"/>
  <c r="BA6" i="4"/>
  <c r="Q31" i="6"/>
  <c r="AU58" i="4" l="1"/>
  <c r="AW58" i="4"/>
  <c r="AW13" i="4"/>
  <c r="AU116" i="4"/>
  <c r="AW116" i="4"/>
  <c r="AU50" i="4"/>
  <c r="AW50" i="4"/>
  <c r="AW66" i="4"/>
  <c r="AU66" i="4"/>
  <c r="AU126" i="4"/>
  <c r="AW126" i="4"/>
  <c r="AW56" i="4"/>
  <c r="AU56" i="4"/>
  <c r="AW75" i="4"/>
  <c r="AU75" i="4"/>
  <c r="AW80" i="4"/>
  <c r="AU80" i="4"/>
  <c r="AU71" i="4"/>
  <c r="AW71" i="4"/>
  <c r="AW112" i="4"/>
  <c r="AU112" i="4"/>
  <c r="AU82" i="4"/>
  <c r="AW82" i="4"/>
  <c r="AU83" i="4"/>
  <c r="AW83" i="4"/>
  <c r="AW97" i="4"/>
  <c r="AU97" i="4"/>
  <c r="AU87" i="4"/>
  <c r="AW87" i="4"/>
  <c r="AU76" i="4"/>
  <c r="AW76" i="4"/>
  <c r="AU125" i="4"/>
  <c r="AW125" i="4"/>
  <c r="AU59" i="4"/>
  <c r="AW59" i="4"/>
  <c r="AU35" i="4"/>
  <c r="AW35" i="4"/>
  <c r="AW101" i="4"/>
  <c r="AU101" i="4"/>
  <c r="AW78" i="4"/>
  <c r="AU78" i="4"/>
  <c r="AU48" i="4"/>
  <c r="AW48" i="4"/>
  <c r="AW96" i="4"/>
  <c r="AU96" i="4"/>
  <c r="AW107" i="4"/>
  <c r="AU107" i="4"/>
  <c r="AU92" i="4"/>
  <c r="AW92" i="4"/>
  <c r="AW24" i="4"/>
  <c r="AU24" i="4"/>
  <c r="AU81" i="4"/>
  <c r="AW81" i="4"/>
  <c r="AW65" i="4"/>
  <c r="AU65" i="4"/>
  <c r="AU27" i="4"/>
  <c r="AW27" i="4"/>
  <c r="AW118" i="4"/>
  <c r="AU118" i="4"/>
  <c r="AW70" i="4"/>
  <c r="AU70" i="4"/>
  <c r="AW73" i="4"/>
  <c r="AU73" i="4"/>
  <c r="AU61" i="4"/>
  <c r="AW61" i="4"/>
  <c r="AU30" i="4"/>
  <c r="AW30" i="4"/>
  <c r="AU128" i="4"/>
  <c r="AW128" i="4"/>
  <c r="AU103" i="4"/>
  <c r="AW103" i="4"/>
  <c r="AU19" i="4"/>
  <c r="AW19" i="4"/>
  <c r="AU33" i="4"/>
  <c r="AW33" i="4"/>
  <c r="AW25" i="4"/>
  <c r="AU25" i="4"/>
  <c r="AU88" i="4"/>
  <c r="AW88" i="4"/>
  <c r="AW86" i="4"/>
  <c r="AU86" i="4"/>
  <c r="AU40" i="4"/>
  <c r="AW40" i="4"/>
  <c r="AU18" i="4"/>
  <c r="AW18" i="4"/>
  <c r="AU100" i="4"/>
  <c r="AW100" i="4"/>
  <c r="AU89" i="4"/>
  <c r="AW89" i="4"/>
  <c r="AU72" i="4"/>
  <c r="AW72" i="4"/>
  <c r="AW26" i="4"/>
  <c r="AU26" i="4"/>
  <c r="AU32" i="4"/>
  <c r="AW32" i="4"/>
  <c r="AW43" i="4"/>
  <c r="AU43" i="4"/>
  <c r="AU34" i="4"/>
  <c r="AW34" i="4"/>
  <c r="AU109" i="4"/>
  <c r="AW109" i="4"/>
  <c r="AU127" i="4"/>
  <c r="AW127" i="4"/>
  <c r="AW62" i="4"/>
  <c r="AU62" i="4"/>
  <c r="AW102" i="4"/>
  <c r="AU102" i="4"/>
  <c r="AW68" i="4"/>
  <c r="AU68" i="4"/>
  <c r="AW29" i="4"/>
  <c r="AU29" i="4"/>
  <c r="AU110" i="4"/>
  <c r="AW110" i="4"/>
  <c r="AU64" i="4"/>
  <c r="AW64" i="4"/>
  <c r="AW41" i="4"/>
  <c r="AU41" i="4"/>
  <c r="AU36" i="4"/>
  <c r="AW36" i="4"/>
  <c r="AW16" i="4"/>
  <c r="AU69" i="4"/>
  <c r="AW69" i="4"/>
  <c r="AU117" i="4"/>
  <c r="AW117" i="4"/>
  <c r="AW44" i="4"/>
  <c r="AU44" i="4"/>
  <c r="AW17" i="4"/>
  <c r="AU39" i="4"/>
  <c r="AW39" i="4"/>
  <c r="AU12" i="4"/>
  <c r="AW12" i="4"/>
  <c r="AU45" i="4"/>
  <c r="AW45" i="4"/>
  <c r="AU21" i="4"/>
  <c r="AW21" i="4"/>
  <c r="AU98" i="4"/>
  <c r="AW98" i="4"/>
  <c r="AU79" i="4"/>
  <c r="AW79" i="4"/>
  <c r="AU51" i="4"/>
  <c r="AW51" i="4"/>
  <c r="AU115" i="4"/>
  <c r="AW115" i="4"/>
  <c r="AW84" i="4"/>
  <c r="AU84" i="4"/>
  <c r="AW54" i="4"/>
  <c r="AU54" i="4"/>
  <c r="AW108" i="4"/>
  <c r="AU108" i="4"/>
  <c r="AU106" i="4"/>
  <c r="AW106" i="4"/>
  <c r="AW49" i="4"/>
  <c r="AU49" i="4"/>
  <c r="AW121" i="4"/>
  <c r="AU121" i="4"/>
  <c r="AU93" i="4"/>
  <c r="AW93" i="4"/>
  <c r="AW124" i="4"/>
  <c r="AU124" i="4"/>
  <c r="AW14" i="4"/>
  <c r="AU95" i="4"/>
  <c r="AW95" i="4"/>
  <c r="AU55" i="4"/>
  <c r="AW55" i="4"/>
  <c r="AW94" i="4"/>
  <c r="AU94" i="4"/>
  <c r="AW67" i="4"/>
  <c r="AU67" i="4"/>
  <c r="AU105" i="4"/>
  <c r="AW105" i="4"/>
  <c r="AU53" i="4"/>
  <c r="AW53" i="4"/>
  <c r="AW85" i="4"/>
  <c r="AU85" i="4"/>
  <c r="AU91" i="4"/>
  <c r="AW91" i="4"/>
  <c r="AU46" i="4"/>
  <c r="AW46" i="4"/>
  <c r="AW20" i="4"/>
  <c r="AU20" i="4"/>
  <c r="AW37" i="4"/>
  <c r="AU37" i="4"/>
  <c r="AU113" i="4"/>
  <c r="AW113" i="4"/>
  <c r="AW63" i="4"/>
  <c r="AU63" i="4"/>
  <c r="AW15" i="4"/>
  <c r="AW74" i="4"/>
  <c r="AU74" i="4"/>
  <c r="AW57" i="4"/>
  <c r="AU57" i="4"/>
  <c r="AU90" i="4"/>
  <c r="AW90" i="4"/>
  <c r="AU60" i="4"/>
  <c r="AW60" i="4"/>
  <c r="AU42" i="4"/>
  <c r="AW42" i="4"/>
  <c r="AU129" i="4"/>
  <c r="AW129" i="4"/>
  <c r="AW47" i="4"/>
  <c r="AU47" i="4"/>
  <c r="AW120" i="4"/>
  <c r="AU120" i="4"/>
  <c r="AU22" i="4"/>
  <c r="AW22" i="4"/>
  <c r="AW99" i="4"/>
  <c r="AU99" i="4"/>
  <c r="AU23" i="4"/>
  <c r="AW23" i="4"/>
  <c r="AW119" i="4"/>
  <c r="AU119" i="4"/>
  <c r="AW31" i="4"/>
  <c r="AU31" i="4"/>
  <c r="AW28" i="4"/>
  <c r="AU28" i="4"/>
  <c r="AW123" i="4"/>
  <c r="AU123" i="4"/>
  <c r="AU122" i="4"/>
  <c r="AW122" i="4"/>
  <c r="AW111" i="4"/>
  <c r="AU111" i="4"/>
  <c r="AU38" i="4"/>
  <c r="AW38" i="4"/>
  <c r="AU114" i="4"/>
  <c r="AW114" i="4"/>
  <c r="AU52" i="4"/>
  <c r="AW52" i="4"/>
  <c r="AU104" i="4"/>
  <c r="AW104" i="4"/>
  <c r="AU77" i="4"/>
  <c r="AW77" i="4"/>
  <c r="BC6" i="4"/>
  <c r="BE6" i="4"/>
  <c r="BC11" i="4"/>
  <c r="BE11" i="4"/>
  <c r="BC9" i="4"/>
  <c r="BE9" i="4"/>
  <c r="BC10" i="4"/>
  <c r="BE10" i="4"/>
  <c r="BC7" i="4"/>
  <c r="BE7" i="4"/>
  <c r="BC8" i="4"/>
  <c r="BE8" i="4"/>
  <c r="BG5" i="4"/>
  <c r="Q32" i="6"/>
  <c r="BA94" i="4" l="1"/>
  <c r="AY94" i="4"/>
  <c r="AY124" i="4"/>
  <c r="BA124" i="4"/>
  <c r="AY62" i="4"/>
  <c r="BA62" i="4"/>
  <c r="BA43" i="4"/>
  <c r="AY43" i="4"/>
  <c r="BA86" i="4"/>
  <c r="AY86" i="4"/>
  <c r="AY78" i="4"/>
  <c r="BA78" i="4"/>
  <c r="BA80" i="4"/>
  <c r="AY80" i="4"/>
  <c r="AY66" i="4"/>
  <c r="BA66" i="4"/>
  <c r="BA122" i="4"/>
  <c r="AY122" i="4"/>
  <c r="BA53" i="4"/>
  <c r="AY53" i="4"/>
  <c r="AY36" i="4"/>
  <c r="BA36" i="4"/>
  <c r="AY127" i="4"/>
  <c r="BA127" i="4"/>
  <c r="BA76" i="4"/>
  <c r="AY76" i="4"/>
  <c r="AY82" i="4"/>
  <c r="BA82" i="4"/>
  <c r="AY50" i="4"/>
  <c r="BA50" i="4"/>
  <c r="BA55" i="4"/>
  <c r="AY55" i="4"/>
  <c r="BA32" i="4"/>
  <c r="AY32" i="4"/>
  <c r="AY119" i="4"/>
  <c r="BA119" i="4"/>
  <c r="BA120" i="4"/>
  <c r="AY120" i="4"/>
  <c r="BA15" i="4"/>
  <c r="AY20" i="4"/>
  <c r="BA20" i="4"/>
  <c r="AY108" i="4"/>
  <c r="BA108" i="4"/>
  <c r="BA44" i="4"/>
  <c r="AY44" i="4"/>
  <c r="AY29" i="4"/>
  <c r="BA29" i="4"/>
  <c r="BA73" i="4"/>
  <c r="AY73" i="4"/>
  <c r="BA65" i="4"/>
  <c r="AY65" i="4"/>
  <c r="BA107" i="4"/>
  <c r="AY107" i="4"/>
  <c r="BA101" i="4"/>
  <c r="AY101" i="4"/>
  <c r="AY75" i="4"/>
  <c r="BA75" i="4"/>
  <c r="AY111" i="4"/>
  <c r="BA111" i="4"/>
  <c r="BA52" i="4"/>
  <c r="AY52" i="4"/>
  <c r="BA93" i="4"/>
  <c r="AY93" i="4"/>
  <c r="AY100" i="4"/>
  <c r="BA100" i="4"/>
  <c r="BA90" i="4"/>
  <c r="AY90" i="4"/>
  <c r="AY46" i="4"/>
  <c r="BA46" i="4"/>
  <c r="AY105" i="4"/>
  <c r="BA105" i="4"/>
  <c r="BA95" i="4"/>
  <c r="AY95" i="4"/>
  <c r="BA79" i="4"/>
  <c r="AY79" i="4"/>
  <c r="BA12" i="4"/>
  <c r="AY12" i="4"/>
  <c r="BA117" i="4"/>
  <c r="AY117" i="4"/>
  <c r="BA109" i="4"/>
  <c r="AY109" i="4"/>
  <c r="BA18" i="4"/>
  <c r="AY128" i="4"/>
  <c r="BA128" i="4"/>
  <c r="BA81" i="4"/>
  <c r="AY81" i="4"/>
  <c r="BA35" i="4"/>
  <c r="AY35" i="4"/>
  <c r="BA87" i="4"/>
  <c r="AY87" i="4"/>
  <c r="AY116" i="4"/>
  <c r="BA116" i="4"/>
  <c r="AY31" i="4"/>
  <c r="BA31" i="4"/>
  <c r="AY88" i="4"/>
  <c r="BA88" i="4"/>
  <c r="AY121" i="4"/>
  <c r="BA121" i="4"/>
  <c r="BA54" i="4"/>
  <c r="AY54" i="4"/>
  <c r="BA41" i="4"/>
  <c r="AY41" i="4"/>
  <c r="AY68" i="4"/>
  <c r="BA68" i="4"/>
  <c r="AY26" i="4"/>
  <c r="BA26" i="4"/>
  <c r="BA25" i="4"/>
  <c r="AY25" i="4"/>
  <c r="AY70" i="4"/>
  <c r="BA70" i="4"/>
  <c r="AY96" i="4"/>
  <c r="BA96" i="4"/>
  <c r="AY112" i="4"/>
  <c r="BA112" i="4"/>
  <c r="AY56" i="4"/>
  <c r="BA56" i="4"/>
  <c r="BA74" i="4"/>
  <c r="AY74" i="4"/>
  <c r="AY45" i="4"/>
  <c r="BA45" i="4"/>
  <c r="AY23" i="4"/>
  <c r="BA23" i="4"/>
  <c r="BA63" i="4"/>
  <c r="AY63" i="4"/>
  <c r="AY77" i="4"/>
  <c r="BA77" i="4"/>
  <c r="BA38" i="4"/>
  <c r="AY38" i="4"/>
  <c r="AY129" i="4"/>
  <c r="BA129" i="4"/>
  <c r="BA113" i="4"/>
  <c r="AY113" i="4"/>
  <c r="AY91" i="4"/>
  <c r="BA91" i="4"/>
  <c r="BA14" i="4"/>
  <c r="BA98" i="4"/>
  <c r="AY98" i="4"/>
  <c r="AY39" i="4"/>
  <c r="BA39" i="4"/>
  <c r="BA69" i="4"/>
  <c r="AY69" i="4"/>
  <c r="AY64" i="4"/>
  <c r="BA64" i="4"/>
  <c r="AY34" i="4"/>
  <c r="BA34" i="4"/>
  <c r="AY72" i="4"/>
  <c r="BA72" i="4"/>
  <c r="AY40" i="4"/>
  <c r="BA40" i="4"/>
  <c r="BA33" i="4"/>
  <c r="AY33" i="4"/>
  <c r="AY30" i="4"/>
  <c r="BA30" i="4"/>
  <c r="BA48" i="4"/>
  <c r="AY48" i="4"/>
  <c r="AY59" i="4"/>
  <c r="BA59" i="4"/>
  <c r="AY71" i="4"/>
  <c r="BA71" i="4"/>
  <c r="BA126" i="4"/>
  <c r="AY126" i="4"/>
  <c r="AY13" i="4"/>
  <c r="BA13" i="4"/>
  <c r="AY85" i="4"/>
  <c r="BA85" i="4"/>
  <c r="BA60" i="4"/>
  <c r="AY60" i="4"/>
  <c r="BA103" i="4"/>
  <c r="AY103" i="4"/>
  <c r="BA114" i="4"/>
  <c r="AY114" i="4"/>
  <c r="AY123" i="4"/>
  <c r="BA123" i="4"/>
  <c r="AY47" i="4"/>
  <c r="BA47" i="4"/>
  <c r="BA28" i="4"/>
  <c r="AY28" i="4"/>
  <c r="AY99" i="4"/>
  <c r="BA99" i="4"/>
  <c r="AY57" i="4"/>
  <c r="BA57" i="4"/>
  <c r="AY67" i="4"/>
  <c r="BA67" i="4"/>
  <c r="AY49" i="4"/>
  <c r="BA49" i="4"/>
  <c r="AY84" i="4"/>
  <c r="BA84" i="4"/>
  <c r="BA102" i="4"/>
  <c r="AY102" i="4"/>
  <c r="AY118" i="4"/>
  <c r="BA118" i="4"/>
  <c r="AY24" i="4"/>
  <c r="BA24" i="4"/>
  <c r="BA97" i="4"/>
  <c r="AY97" i="4"/>
  <c r="AY58" i="4"/>
  <c r="BA58" i="4"/>
  <c r="BA37" i="4"/>
  <c r="AY37" i="4"/>
  <c r="AY51" i="4"/>
  <c r="BA51" i="4"/>
  <c r="AY104" i="4"/>
  <c r="BA104" i="4"/>
  <c r="AY22" i="4"/>
  <c r="BA22" i="4"/>
  <c r="AY42" i="4"/>
  <c r="BA42" i="4"/>
  <c r="BA106" i="4"/>
  <c r="AY106" i="4"/>
  <c r="BA115" i="4"/>
  <c r="AY115" i="4"/>
  <c r="BA21" i="4"/>
  <c r="AY21" i="4"/>
  <c r="BA17" i="4"/>
  <c r="BA16" i="4"/>
  <c r="BA110" i="4"/>
  <c r="AY110" i="4"/>
  <c r="BA89" i="4"/>
  <c r="AY89" i="4"/>
  <c r="BA19" i="4"/>
  <c r="AY19" i="4"/>
  <c r="AY61" i="4"/>
  <c r="BA61" i="4"/>
  <c r="AY27" i="4"/>
  <c r="BA27" i="4"/>
  <c r="BA92" i="4"/>
  <c r="AY92" i="4"/>
  <c r="BA125" i="4"/>
  <c r="AY125" i="4"/>
  <c r="AY83" i="4"/>
  <c r="BA83" i="4"/>
  <c r="BG8" i="4"/>
  <c r="BG10" i="4"/>
  <c r="BG9" i="4"/>
  <c r="BG11" i="4"/>
  <c r="BG6" i="4"/>
  <c r="BG7" i="4"/>
  <c r="Q33" i="6"/>
  <c r="BE19" i="4" l="1"/>
  <c r="BC37" i="4"/>
  <c r="BE37" i="4"/>
  <c r="BC60" i="4"/>
  <c r="BE60" i="4"/>
  <c r="BC33" i="4"/>
  <c r="BE33" i="4"/>
  <c r="BE91" i="4"/>
  <c r="BC91" i="4"/>
  <c r="BC77" i="4"/>
  <c r="BE77" i="4"/>
  <c r="BC70" i="4"/>
  <c r="BE70" i="4"/>
  <c r="BC31" i="4"/>
  <c r="BE31" i="4"/>
  <c r="BE105" i="4"/>
  <c r="BC105" i="4"/>
  <c r="BE29" i="4"/>
  <c r="BC29" i="4"/>
  <c r="BE15" i="4"/>
  <c r="BC127" i="4"/>
  <c r="BE127" i="4"/>
  <c r="BC66" i="4"/>
  <c r="BE66" i="4"/>
  <c r="BC22" i="4"/>
  <c r="BE22" i="4"/>
  <c r="BC58" i="4"/>
  <c r="BE58" i="4"/>
  <c r="BE57" i="4"/>
  <c r="BC57" i="4"/>
  <c r="BC123" i="4"/>
  <c r="BE123" i="4"/>
  <c r="BE85" i="4"/>
  <c r="BC85" i="4"/>
  <c r="BE59" i="4"/>
  <c r="BC59" i="4"/>
  <c r="BC40" i="4"/>
  <c r="BE40" i="4"/>
  <c r="BC74" i="4"/>
  <c r="BE74" i="4"/>
  <c r="BC41" i="4"/>
  <c r="BE41" i="4"/>
  <c r="BE81" i="4"/>
  <c r="BC81" i="4"/>
  <c r="BC117" i="4"/>
  <c r="BE117" i="4"/>
  <c r="BE93" i="4"/>
  <c r="BC93" i="4"/>
  <c r="BC101" i="4"/>
  <c r="BE101" i="4"/>
  <c r="BE55" i="4"/>
  <c r="BC55" i="4"/>
  <c r="BE43" i="4"/>
  <c r="BC43" i="4"/>
  <c r="BE92" i="4"/>
  <c r="BC92" i="4"/>
  <c r="BC89" i="4"/>
  <c r="BE89" i="4"/>
  <c r="BC21" i="4"/>
  <c r="BE21" i="4"/>
  <c r="BC102" i="4"/>
  <c r="BE102" i="4"/>
  <c r="BC69" i="4"/>
  <c r="BE69" i="4"/>
  <c r="BC56" i="4"/>
  <c r="BE56" i="4"/>
  <c r="BC116" i="4"/>
  <c r="BE116" i="4"/>
  <c r="BE128" i="4"/>
  <c r="BC128" i="4"/>
  <c r="BC46" i="4"/>
  <c r="BE46" i="4"/>
  <c r="BC50" i="4"/>
  <c r="BE50" i="4"/>
  <c r="BE36" i="4"/>
  <c r="BC36" i="4"/>
  <c r="BC62" i="4"/>
  <c r="BE62" i="4"/>
  <c r="BE27" i="4"/>
  <c r="BC27" i="4"/>
  <c r="BC104" i="4"/>
  <c r="BE104" i="4"/>
  <c r="BC84" i="4"/>
  <c r="BE84" i="4"/>
  <c r="BC99" i="4"/>
  <c r="BE99" i="4"/>
  <c r="BC13" i="4"/>
  <c r="BE13" i="4"/>
  <c r="BE72" i="4"/>
  <c r="BC72" i="4"/>
  <c r="BE39" i="4"/>
  <c r="BC39" i="4"/>
  <c r="BE113" i="4"/>
  <c r="BC113" i="4"/>
  <c r="BC63" i="4"/>
  <c r="BE63" i="4"/>
  <c r="BE25" i="4"/>
  <c r="BC25" i="4"/>
  <c r="BC54" i="4"/>
  <c r="BE54" i="4"/>
  <c r="BC12" i="4"/>
  <c r="BE12" i="4"/>
  <c r="BG12" i="4" s="1"/>
  <c r="BC52" i="4"/>
  <c r="BE52" i="4"/>
  <c r="BC107" i="4"/>
  <c r="BE107" i="4"/>
  <c r="BE44" i="4"/>
  <c r="BC44" i="4"/>
  <c r="BC120" i="4"/>
  <c r="BE120" i="4"/>
  <c r="BE80" i="4"/>
  <c r="BC80" i="4"/>
  <c r="BC110" i="4"/>
  <c r="BE110" i="4"/>
  <c r="BC115" i="4"/>
  <c r="BE115" i="4"/>
  <c r="BC97" i="4"/>
  <c r="BE97" i="4"/>
  <c r="BC114" i="4"/>
  <c r="BE114" i="4"/>
  <c r="BC48" i="4"/>
  <c r="BE48" i="4"/>
  <c r="BC129" i="4"/>
  <c r="BE129" i="4"/>
  <c r="BE23" i="4"/>
  <c r="BC23" i="4"/>
  <c r="BE112" i="4"/>
  <c r="BC112" i="4"/>
  <c r="BC26" i="4"/>
  <c r="BE26" i="4"/>
  <c r="BE121" i="4"/>
  <c r="BC121" i="4"/>
  <c r="BE18" i="4"/>
  <c r="BC111" i="4"/>
  <c r="BE111" i="4"/>
  <c r="BE108" i="4"/>
  <c r="BC108" i="4"/>
  <c r="BC119" i="4"/>
  <c r="BE119" i="4"/>
  <c r="BC82" i="4"/>
  <c r="BE82" i="4"/>
  <c r="BC78" i="4"/>
  <c r="BE78" i="4"/>
  <c r="BC124" i="4"/>
  <c r="BE124" i="4"/>
  <c r="BC83" i="4"/>
  <c r="BE83" i="4"/>
  <c r="BC61" i="4"/>
  <c r="BE61" i="4"/>
  <c r="BE16" i="4"/>
  <c r="BE51" i="4"/>
  <c r="BC51" i="4"/>
  <c r="BC24" i="4"/>
  <c r="BE24" i="4"/>
  <c r="BE49" i="4"/>
  <c r="BC49" i="4"/>
  <c r="BE30" i="4"/>
  <c r="BC30" i="4"/>
  <c r="BE34" i="4"/>
  <c r="BC34" i="4"/>
  <c r="BC87" i="4"/>
  <c r="BE87" i="4"/>
  <c r="BC79" i="4"/>
  <c r="BE79" i="4"/>
  <c r="BC90" i="4"/>
  <c r="BE90" i="4"/>
  <c r="BC65" i="4"/>
  <c r="BE65" i="4"/>
  <c r="BC53" i="4"/>
  <c r="BE53" i="4"/>
  <c r="BE125" i="4"/>
  <c r="BC125" i="4"/>
  <c r="BE106" i="4"/>
  <c r="BC106" i="4"/>
  <c r="BE28" i="4"/>
  <c r="BC28" i="4"/>
  <c r="BE103" i="4"/>
  <c r="BC103" i="4"/>
  <c r="BE126" i="4"/>
  <c r="BC126" i="4"/>
  <c r="BC98" i="4"/>
  <c r="BE98" i="4"/>
  <c r="BC45" i="4"/>
  <c r="BE45" i="4"/>
  <c r="BC96" i="4"/>
  <c r="BE96" i="4"/>
  <c r="BE68" i="4"/>
  <c r="BC68" i="4"/>
  <c r="BC88" i="4"/>
  <c r="BE88" i="4"/>
  <c r="BC100" i="4"/>
  <c r="BE100" i="4"/>
  <c r="BC75" i="4"/>
  <c r="BE75" i="4"/>
  <c r="BC20" i="4"/>
  <c r="BE20" i="4"/>
  <c r="BE17" i="4"/>
  <c r="BC42" i="4"/>
  <c r="BE42" i="4"/>
  <c r="BC118" i="4"/>
  <c r="BE118" i="4"/>
  <c r="BE67" i="4"/>
  <c r="BC67" i="4"/>
  <c r="BC47" i="4"/>
  <c r="BE47" i="4"/>
  <c r="BC71" i="4"/>
  <c r="BE71" i="4"/>
  <c r="BE64" i="4"/>
  <c r="BC64" i="4"/>
  <c r="BE14" i="4"/>
  <c r="BC14" i="4"/>
  <c r="BC38" i="4"/>
  <c r="BE38" i="4"/>
  <c r="BE35" i="4"/>
  <c r="BC35" i="4"/>
  <c r="BC109" i="4"/>
  <c r="BE109" i="4"/>
  <c r="BE95" i="4"/>
  <c r="BC95" i="4"/>
  <c r="BC73" i="4"/>
  <c r="BE73" i="4"/>
  <c r="BC32" i="4"/>
  <c r="BE32" i="4"/>
  <c r="BC76" i="4"/>
  <c r="BE76" i="4"/>
  <c r="BE122" i="4"/>
  <c r="BC122" i="4"/>
  <c r="BC86" i="4"/>
  <c r="BE86" i="4"/>
  <c r="BC94" i="4"/>
  <c r="BE94" i="4"/>
  <c r="Q34" i="6"/>
  <c r="Q35" i="6" s="1"/>
  <c r="BG106" i="4" l="1"/>
  <c r="BG30" i="4"/>
  <c r="BG109" i="4"/>
  <c r="BG75" i="4"/>
  <c r="BG28" i="4"/>
  <c r="BG14" i="4"/>
  <c r="BG24" i="4"/>
  <c r="BG76" i="4"/>
  <c r="BG27" i="4"/>
  <c r="BG92" i="4"/>
  <c r="BG93" i="4"/>
  <c r="BG31" i="4"/>
  <c r="BG33" i="4"/>
  <c r="BG79" i="4"/>
  <c r="BG61" i="4"/>
  <c r="BG82" i="4"/>
  <c r="BG97" i="4"/>
  <c r="BG120" i="4"/>
  <c r="BG99" i="4"/>
  <c r="BG62" i="4"/>
  <c r="BG102" i="4"/>
  <c r="BG117" i="4"/>
  <c r="BG40" i="4"/>
  <c r="BG127" i="4"/>
  <c r="BG112" i="4"/>
  <c r="BG80" i="4"/>
  <c r="BG122" i="4"/>
  <c r="BG95" i="4"/>
  <c r="BG67" i="4"/>
  <c r="BG68" i="4"/>
  <c r="BG126" i="4"/>
  <c r="BG125" i="4"/>
  <c r="BG49" i="4"/>
  <c r="BG23" i="4"/>
  <c r="BG113" i="4"/>
  <c r="BG128" i="4"/>
  <c r="BG43" i="4"/>
  <c r="BG57" i="4"/>
  <c r="BG70" i="4"/>
  <c r="BG60" i="4"/>
  <c r="BG83" i="4"/>
  <c r="BG129" i="4"/>
  <c r="BG54" i="4"/>
  <c r="BG116" i="4"/>
  <c r="BG21" i="4"/>
  <c r="BG58" i="4"/>
  <c r="BG15" i="4"/>
  <c r="BG96" i="4"/>
  <c r="BG53" i="4"/>
  <c r="BG84" i="4"/>
  <c r="BG103" i="4"/>
  <c r="BG121" i="4"/>
  <c r="BG44" i="4"/>
  <c r="BG39" i="4"/>
  <c r="BG36" i="4"/>
  <c r="BG55" i="4"/>
  <c r="BG81" i="4"/>
  <c r="BG59" i="4"/>
  <c r="BG77" i="4"/>
  <c r="BG37" i="4"/>
  <c r="BG118" i="4"/>
  <c r="BG87" i="4"/>
  <c r="BG119" i="4"/>
  <c r="BG115" i="4"/>
  <c r="BG64" i="4"/>
  <c r="BG94" i="4"/>
  <c r="BG32" i="4"/>
  <c r="BG71" i="4"/>
  <c r="BG42" i="4"/>
  <c r="BG100" i="4"/>
  <c r="BG45" i="4"/>
  <c r="BG65" i="4"/>
  <c r="BG124" i="4"/>
  <c r="BG26" i="4"/>
  <c r="BG48" i="4"/>
  <c r="BG110" i="4"/>
  <c r="BG107" i="4"/>
  <c r="BG104" i="4"/>
  <c r="BG50" i="4"/>
  <c r="BG56" i="4"/>
  <c r="BG89" i="4"/>
  <c r="BG101" i="4"/>
  <c r="BG41" i="4"/>
  <c r="BG22" i="4"/>
  <c r="BG29" i="4"/>
  <c r="BG35" i="4"/>
  <c r="BG51" i="4"/>
  <c r="BG108" i="4"/>
  <c r="BG72" i="4"/>
  <c r="BG85" i="4"/>
  <c r="BG34" i="4"/>
  <c r="BG25" i="4"/>
  <c r="BG86" i="4"/>
  <c r="BG73" i="4"/>
  <c r="BG38" i="4"/>
  <c r="BG47" i="4"/>
  <c r="BG88" i="4"/>
  <c r="BG98" i="4"/>
  <c r="BG90" i="4"/>
  <c r="BG78" i="4"/>
  <c r="BG111" i="4"/>
  <c r="BG114" i="4"/>
  <c r="BG52" i="4"/>
  <c r="BG63" i="4"/>
  <c r="BG13" i="4"/>
  <c r="BG46" i="4"/>
  <c r="BG69" i="4"/>
  <c r="BG74" i="4"/>
  <c r="BG123" i="4"/>
  <c r="BG66" i="4"/>
  <c r="BG105" i="4"/>
  <c r="BG91" i="4"/>
  <c r="Q36" i="6"/>
  <c r="Q37" i="6"/>
  <c r="S10" i="4" l="1"/>
  <c r="S9" i="4"/>
  <c r="Q38" i="6"/>
  <c r="W11" i="4" l="1"/>
  <c r="W10" i="4"/>
  <c r="S8" i="4"/>
  <c r="Q39" i="6"/>
  <c r="W9" i="4" l="1"/>
  <c r="Q40" i="6"/>
  <c r="AY16" i="4" l="1"/>
  <c r="AM13" i="4"/>
  <c r="Q41" i="6"/>
  <c r="Q42" i="6"/>
  <c r="Q43" i="6"/>
  <c r="Q44" i="6"/>
  <c r="AA11" i="4" l="1"/>
  <c r="AA10" i="4"/>
  <c r="Q45" i="6"/>
  <c r="AI12" i="4" l="1"/>
  <c r="Q46" i="6"/>
  <c r="AE13" i="4" l="1"/>
  <c r="AA12" i="4"/>
  <c r="AE12" i="4"/>
  <c r="AE11" i="4"/>
  <c r="AU15" i="4"/>
  <c r="BC17" i="4"/>
  <c r="BK20" i="4"/>
  <c r="AQ14" i="4"/>
  <c r="BG18" i="4"/>
  <c r="Q47" i="6"/>
  <c r="BK21" i="4" l="1"/>
  <c r="BK22" i="4"/>
  <c r="BK23" i="4"/>
  <c r="BK25" i="4"/>
  <c r="BG20" i="4"/>
  <c r="BC19" i="4"/>
  <c r="AY18" i="4"/>
  <c r="AU17" i="4"/>
  <c r="AQ16" i="4"/>
  <c r="AM15" i="4"/>
  <c r="AI14" i="4"/>
  <c r="BK24" i="4"/>
  <c r="BG19" i="4"/>
  <c r="BC18" i="4"/>
  <c r="AY17" i="4"/>
  <c r="AU16" i="4"/>
  <c r="AQ15" i="4"/>
  <c r="AM14" i="4"/>
  <c r="AI13" i="4"/>
  <c r="BK5" i="4"/>
  <c r="Q48" i="6"/>
  <c r="O8" i="4" l="1"/>
  <c r="Q49" i="6"/>
  <c r="Q50" i="6"/>
  <c r="Q51" i="6" s="1"/>
  <c r="Q52" i="6" s="1"/>
  <c r="Q53" i="6"/>
  <c r="Q54" i="6"/>
  <c r="Q55" i="6"/>
  <c r="L16" i="6" l="1"/>
  <c r="Q56" i="6"/>
  <c r="M1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 s="1"/>
  <c r="Q72" i="6"/>
  <c r="Q73" i="6" s="1"/>
  <c r="Q74" i="6" s="1"/>
  <c r="Q75" i="6" s="1"/>
  <c r="Q76" i="6" s="1"/>
  <c r="Q77" i="6"/>
  <c r="Q78" i="6"/>
  <c r="Q79" i="6"/>
  <c r="Q80" i="6"/>
  <c r="Q81" i="6"/>
  <c r="Q82" i="6"/>
  <c r="Q83" i="6" s="1"/>
  <c r="Q84" i="6" s="1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 s="1"/>
  <c r="Q127" i="6"/>
  <c r="Q128" i="6" s="1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 s="1"/>
  <c r="Q406" i="6" s="1"/>
  <c r="Q407" i="6" s="1"/>
  <c r="Q408" i="6" s="1"/>
  <c r="Q409" i="6" s="1"/>
  <c r="Q410" i="6" s="1"/>
  <c r="Q411" i="6" s="1"/>
  <c r="Q412" i="6"/>
  <c r="Q413" i="6" s="1"/>
  <c r="Q414" i="6" s="1"/>
  <c r="Q415" i="6" s="1"/>
  <c r="Q416" i="6" s="1"/>
  <c r="Q417" i="6" s="1"/>
  <c r="Q418" i="6" s="1"/>
  <c r="Q419" i="6" s="1"/>
  <c r="Q420" i="6"/>
  <c r="Q421" i="6" s="1"/>
  <c r="Q422" i="6"/>
  <c r="Q423" i="6" s="1"/>
  <c r="Q424" i="6" s="1"/>
  <c r="Q425" i="6" s="1"/>
  <c r="Q426" i="6" s="1"/>
  <c r="Q427" i="6" s="1"/>
  <c r="Q428" i="6" s="1"/>
  <c r="Q429" i="6" s="1"/>
  <c r="Q430" i="6" s="1"/>
  <c r="Q431" i="6"/>
  <c r="Q432" i="6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/>
  <c r="M3" i="4" l="1"/>
  <c r="N5" i="4"/>
  <c r="N59" i="4"/>
  <c r="N99" i="4"/>
  <c r="N25" i="4"/>
  <c r="N66" i="4"/>
  <c r="N105" i="4"/>
  <c r="N38" i="4"/>
  <c r="N72" i="4"/>
  <c r="N62" i="4"/>
  <c r="N6" i="4"/>
  <c r="N120" i="4"/>
  <c r="N44" i="4"/>
  <c r="N39" i="4"/>
  <c r="N121" i="4"/>
  <c r="N116" i="4"/>
  <c r="N16" i="4"/>
  <c r="N127" i="4"/>
  <c r="N56" i="4"/>
  <c r="N100" i="4"/>
  <c r="N60" i="4"/>
  <c r="N91" i="4"/>
  <c r="N46" i="4"/>
  <c r="N15" i="4"/>
  <c r="N21" i="4"/>
  <c r="N108" i="4"/>
  <c r="N117" i="4"/>
  <c r="N90" i="4"/>
  <c r="N87" i="4"/>
  <c r="N89" i="4"/>
  <c r="N107" i="4"/>
  <c r="N42" i="4"/>
  <c r="N109" i="4"/>
  <c r="N110" i="4"/>
  <c r="N23" i="4"/>
  <c r="N129" i="4"/>
  <c r="N22" i="4"/>
  <c r="N57" i="4"/>
  <c r="N52" i="4"/>
  <c r="N37" i="4"/>
  <c r="N65" i="4"/>
  <c r="N75" i="4"/>
  <c r="N94" i="4"/>
  <c r="N41" i="4"/>
  <c r="N45" i="4"/>
  <c r="N80" i="4"/>
  <c r="N73" i="4"/>
  <c r="N12" i="4"/>
  <c r="N93" i="4"/>
  <c r="N30" i="4"/>
  <c r="N61" i="4"/>
  <c r="N81" i="4"/>
  <c r="N118" i="4"/>
  <c r="N77" i="4"/>
  <c r="N74" i="4"/>
  <c r="N55" i="4"/>
  <c r="N51" i="4"/>
  <c r="N113" i="4"/>
  <c r="N64" i="4"/>
  <c r="N47" i="4"/>
  <c r="N71" i="4"/>
  <c r="N78" i="4"/>
  <c r="N97" i="4"/>
  <c r="N123" i="4"/>
  <c r="N29" i="4"/>
  <c r="N122" i="4"/>
  <c r="N35" i="4"/>
  <c r="N14" i="4"/>
  <c r="N28" i="4"/>
  <c r="N98" i="4"/>
  <c r="N111" i="4"/>
  <c r="N11" i="4"/>
  <c r="N85" i="4"/>
  <c r="N49" i="4"/>
  <c r="N104" i="4"/>
  <c r="N88" i="4"/>
  <c r="N82" i="4"/>
  <c r="N50" i="4"/>
  <c r="N54" i="4"/>
  <c r="N106" i="4"/>
  <c r="N32" i="4"/>
  <c r="N114" i="4"/>
  <c r="N40" i="4"/>
  <c r="N92" i="4"/>
  <c r="N102" i="4"/>
  <c r="N18" i="4"/>
  <c r="N19" i="4"/>
  <c r="N20" i="4"/>
  <c r="N34" i="4"/>
  <c r="N86" i="4"/>
  <c r="N124" i="4"/>
  <c r="N95" i="4"/>
  <c r="N24" i="4"/>
  <c r="N84" i="4"/>
  <c r="N96" i="4"/>
  <c r="N101" i="4"/>
  <c r="N103" i="4"/>
  <c r="N76" i="4"/>
  <c r="N31" i="4"/>
  <c r="N112" i="4"/>
  <c r="N69" i="4"/>
  <c r="N7" i="4"/>
  <c r="N126" i="4"/>
  <c r="N8" i="4"/>
  <c r="N36" i="4"/>
  <c r="N27" i="4"/>
  <c r="N53" i="4"/>
  <c r="N43" i="4"/>
  <c r="N33" i="4"/>
  <c r="N119" i="4"/>
  <c r="N9" i="4"/>
  <c r="N13" i="4"/>
  <c r="N128" i="4"/>
  <c r="N26" i="4"/>
  <c r="N10" i="4"/>
  <c r="N79" i="4"/>
  <c r="N83" i="4"/>
  <c r="N68" i="4"/>
  <c r="N125" i="4"/>
  <c r="N70" i="4"/>
  <c r="N67" i="4"/>
  <c r="N63" i="4"/>
  <c r="N115" i="4"/>
  <c r="N58" i="4"/>
  <c r="N48" i="4"/>
  <c r="N17" i="4"/>
  <c r="O5" i="4" l="1"/>
  <c r="L3" i="6" a="1"/>
  <c r="Q3" i="4"/>
  <c r="R6" i="4" s="1"/>
  <c r="R7" i="4"/>
  <c r="R108" i="4"/>
  <c r="R9" i="4"/>
  <c r="R31" i="4"/>
  <c r="R20" i="4"/>
  <c r="R82" i="4"/>
  <c r="R75" i="4"/>
  <c r="R23" i="4"/>
  <c r="R87" i="4"/>
  <c r="R55" i="4"/>
  <c r="R104" i="4"/>
  <c r="R92" i="4"/>
  <c r="R113" i="4"/>
  <c r="R35" i="4"/>
  <c r="R122" i="4"/>
  <c r="R19" i="4"/>
  <c r="R39" i="4"/>
  <c r="R29" i="4"/>
  <c r="R49" i="4"/>
  <c r="R45" i="4"/>
  <c r="R60" i="4"/>
  <c r="R56" i="4"/>
  <c r="R69" i="4"/>
  <c r="R65" i="4"/>
  <c r="R86" i="4"/>
  <c r="R81" i="4"/>
  <c r="R97" i="4"/>
  <c r="R62" i="4"/>
  <c r="R15" i="4"/>
  <c r="R53" i="4"/>
  <c r="R22" i="4"/>
  <c r="R119" i="4"/>
  <c r="R128" i="4"/>
  <c r="R101" i="4"/>
  <c r="R44" i="4"/>
  <c r="R70" i="4"/>
  <c r="R99" i="4"/>
  <c r="R110" i="4"/>
  <c r="R32" i="4"/>
  <c r="R10" i="4"/>
  <c r="R78" i="4"/>
  <c r="R43" i="4"/>
  <c r="R17" i="4"/>
  <c r="R107" i="4"/>
  <c r="R115" i="4"/>
  <c r="R74" i="4"/>
  <c r="R120" i="4"/>
  <c r="R36" i="4"/>
  <c r="R40" i="4"/>
  <c r="R46" i="4"/>
  <c r="R52" i="4"/>
  <c r="R57" i="4"/>
  <c r="R61" i="4"/>
  <c r="R66" i="4"/>
  <c r="R71" i="4"/>
  <c r="R83" i="4"/>
  <c r="R88" i="4"/>
  <c r="R93" i="4"/>
  <c r="R98" i="4"/>
  <c r="R11" i="4"/>
  <c r="R41" i="4"/>
  <c r="R26" i="4"/>
  <c r="R21" i="4"/>
  <c r="R51" i="4"/>
  <c r="R114" i="4"/>
  <c r="R94" i="4"/>
  <c r="R127" i="4"/>
  <c r="R76" i="4"/>
  <c r="R109" i="4"/>
  <c r="R105" i="4"/>
  <c r="R121" i="4"/>
  <c r="R33" i="4"/>
  <c r="R16" i="4"/>
  <c r="R125" i="4"/>
  <c r="R27" i="4"/>
  <c r="R111" i="4"/>
  <c r="R30" i="4"/>
  <c r="R129" i="4"/>
  <c r="R106" i="4"/>
  <c r="R34" i="4"/>
  <c r="R80" i="4"/>
  <c r="R123" i="4"/>
  <c r="R100" i="4"/>
  <c r="R12" i="4"/>
  <c r="R50" i="4"/>
  <c r="R77" i="4"/>
  <c r="R18" i="4"/>
  <c r="R89" i="4"/>
  <c r="R28" i="4"/>
  <c r="R124" i="4"/>
  <c r="R42" i="4"/>
  <c r="R112" i="4"/>
  <c r="R126" i="4"/>
  <c r="R67" i="4"/>
  <c r="R25" i="4"/>
  <c r="R102" i="4"/>
  <c r="R5" i="4"/>
  <c r="R37" i="4"/>
  <c r="R84" i="4"/>
  <c r="R63" i="4"/>
  <c r="R117" i="4"/>
  <c r="R47" i="4"/>
  <c r="R95" i="4"/>
  <c r="R72" i="4"/>
  <c r="R73" i="4"/>
  <c r="R13" i="4"/>
  <c r="R90" i="4"/>
  <c r="R54" i="4"/>
  <c r="R58" i="4"/>
  <c r="R24" i="4"/>
  <c r="R64" i="4"/>
  <c r="R14" i="4"/>
  <c r="R116" i="4"/>
  <c r="R96" i="4"/>
  <c r="R8" i="4"/>
  <c r="R85" i="4"/>
  <c r="R118" i="4"/>
  <c r="R68" i="4"/>
  <c r="R103" i="4"/>
  <c r="R59" i="4"/>
  <c r="R91" i="4"/>
  <c r="R48" i="4"/>
  <c r="R79" i="4"/>
  <c r="R38" i="4"/>
  <c r="U3" i="4"/>
  <c r="V7" i="4" s="1"/>
  <c r="V8" i="4"/>
  <c r="V24" i="4"/>
  <c r="V92" i="4"/>
  <c r="V48" i="4"/>
  <c r="V115" i="4"/>
  <c r="V82" i="4"/>
  <c r="V96" i="4"/>
  <c r="V100" i="4"/>
  <c r="V30" i="4"/>
  <c r="V10" i="4"/>
  <c r="V64" i="4"/>
  <c r="V75" i="4"/>
  <c r="V107" i="4"/>
  <c r="V19" i="4"/>
  <c r="V122" i="4"/>
  <c r="V38" i="4"/>
  <c r="V126" i="4"/>
  <c r="V27" i="4"/>
  <c r="V124" i="4"/>
  <c r="V65" i="4"/>
  <c r="V101" i="4"/>
  <c r="V129" i="4"/>
  <c r="V49" i="4"/>
  <c r="V108" i="4"/>
  <c r="V53" i="4"/>
  <c r="V80" i="4"/>
  <c r="V11" i="4"/>
  <c r="V70" i="4"/>
  <c r="V14" i="4"/>
  <c r="V46" i="4"/>
  <c r="V104" i="4"/>
  <c r="V21" i="4"/>
  <c r="V35" i="4"/>
  <c r="V32" i="4"/>
  <c r="V83" i="4"/>
  <c r="V111" i="4"/>
  <c r="V114" i="4"/>
  <c r="V127" i="4"/>
  <c r="V120" i="4"/>
  <c r="V106" i="4"/>
  <c r="V20" i="4"/>
  <c r="V36" i="4"/>
  <c r="V118" i="4"/>
  <c r="V13" i="4"/>
  <c r="V84" i="4"/>
  <c r="V79" i="4"/>
  <c r="V109" i="4"/>
  <c r="V78" i="4"/>
  <c r="V17" i="4"/>
  <c r="V62" i="4"/>
  <c r="V97" i="4"/>
  <c r="V52" i="4"/>
  <c r="V99" i="4"/>
  <c r="V33" i="4"/>
  <c r="V45" i="4"/>
  <c r="V54" i="4"/>
  <c r="V39" i="4"/>
  <c r="V117" i="4"/>
  <c r="V116" i="4"/>
  <c r="V73" i="4"/>
  <c r="V77" i="4"/>
  <c r="V59" i="4"/>
  <c r="V12" i="4"/>
  <c r="V67" i="4"/>
  <c r="V31" i="4"/>
  <c r="V44" i="4"/>
  <c r="V88" i="4"/>
  <c r="V9" i="4"/>
  <c r="V119" i="4"/>
  <c r="V56" i="4"/>
  <c r="V51" i="4"/>
  <c r="V72" i="4"/>
  <c r="V95" i="4"/>
  <c r="V6" i="4"/>
  <c r="V74" i="4"/>
  <c r="V128" i="4"/>
  <c r="V18" i="4"/>
  <c r="V125" i="4"/>
  <c r="V60" i="4"/>
  <c r="V105" i="4"/>
  <c r="V50" i="4"/>
  <c r="V90" i="4"/>
  <c r="V28" i="4"/>
  <c r="V69" i="4"/>
  <c r="V61" i="4"/>
  <c r="V41" i="4"/>
  <c r="V112" i="4"/>
  <c r="V37" i="4"/>
  <c r="V22" i="4"/>
  <c r="V110" i="4"/>
  <c r="V58" i="4"/>
  <c r="V81" i="4"/>
  <c r="V43" i="4"/>
  <c r="V103" i="4"/>
  <c r="V86" i="4"/>
  <c r="V68" i="4"/>
  <c r="V29" i="4"/>
  <c r="V76" i="4"/>
  <c r="V16" i="4"/>
  <c r="V25" i="4"/>
  <c r="V42" i="4"/>
  <c r="V55" i="4"/>
  <c r="V91" i="4"/>
  <c r="V23" i="4"/>
  <c r="V71" i="4"/>
  <c r="V5" i="4"/>
  <c r="V63" i="4"/>
  <c r="V87" i="4"/>
  <c r="V15" i="4"/>
  <c r="V123" i="4"/>
  <c r="V47" i="4"/>
  <c r="V102" i="4"/>
  <c r="V26" i="4"/>
  <c r="V85" i="4"/>
  <c r="V66" i="4"/>
  <c r="V89" i="4"/>
  <c r="V93" i="4"/>
  <c r="V94" i="4"/>
  <c r="V34" i="4"/>
  <c r="V113" i="4"/>
  <c r="V121" i="4"/>
  <c r="V57" i="4"/>
  <c r="V98" i="4"/>
  <c r="V40" i="4"/>
  <c r="Y3" i="4"/>
  <c r="Z8" i="4" s="1"/>
  <c r="Z9" i="4"/>
  <c r="Z41" i="4"/>
  <c r="Z32" i="4"/>
  <c r="Z75" i="4"/>
  <c r="Z27" i="4"/>
  <c r="Z40" i="4"/>
  <c r="Z44" i="4"/>
  <c r="Z48" i="4"/>
  <c r="Z112" i="4"/>
  <c r="Z5" i="4"/>
  <c r="Z15" i="4"/>
  <c r="Z124" i="4"/>
  <c r="Z55" i="4"/>
  <c r="Z129" i="4"/>
  <c r="Z91" i="4"/>
  <c r="Z20" i="4"/>
  <c r="Z104" i="4"/>
  <c r="Z122" i="4"/>
  <c r="Z97" i="4"/>
  <c r="Z65" i="4"/>
  <c r="Z116" i="4"/>
  <c r="Z59" i="4"/>
  <c r="Z70" i="4"/>
  <c r="Z99" i="4"/>
  <c r="Z119" i="4"/>
  <c r="Z37" i="4"/>
  <c r="Z84" i="4"/>
  <c r="Z33" i="4"/>
  <c r="Z23" i="4"/>
  <c r="Z90" i="4"/>
  <c r="Z101" i="4"/>
  <c r="Z72" i="4"/>
  <c r="Z115" i="4"/>
  <c r="Z123" i="4"/>
  <c r="Z54" i="4"/>
  <c r="Z28" i="4"/>
  <c r="Z109" i="4"/>
  <c r="Z77" i="4"/>
  <c r="Z29" i="4"/>
  <c r="Z73" i="4"/>
  <c r="Z64" i="4"/>
  <c r="Z114" i="4"/>
  <c r="Z21" i="4"/>
  <c r="Z34" i="4"/>
  <c r="Z111" i="4"/>
  <c r="Z92" i="4"/>
  <c r="Z12" i="4"/>
  <c r="Z60" i="4"/>
  <c r="Z43" i="4"/>
  <c r="Z108" i="4"/>
  <c r="Z10" i="4"/>
  <c r="Z106" i="4"/>
  <c r="Z121" i="4"/>
  <c r="Z68" i="4"/>
  <c r="Z82" i="4"/>
  <c r="Z62" i="4"/>
  <c r="Z14" i="4"/>
  <c r="Z46" i="4"/>
  <c r="Z50" i="4"/>
  <c r="Z24" i="4"/>
  <c r="Z63" i="4"/>
  <c r="Z57" i="4"/>
  <c r="Z51" i="4"/>
  <c r="Z100" i="4"/>
  <c r="Z56" i="4"/>
  <c r="Z126" i="4"/>
  <c r="Z71" i="4"/>
  <c r="Z110" i="4"/>
  <c r="Z36" i="4"/>
  <c r="Z30" i="4"/>
  <c r="Z49" i="4"/>
  <c r="Z42" i="4"/>
  <c r="Z107" i="4"/>
  <c r="Z16" i="4"/>
  <c r="Z25" i="4"/>
  <c r="Z38" i="4"/>
  <c r="Z66" i="4"/>
  <c r="Z94" i="4"/>
  <c r="Z69" i="4"/>
  <c r="Z61" i="4"/>
  <c r="Z45" i="4"/>
  <c r="Z19" i="4"/>
  <c r="Z35" i="4"/>
  <c r="Z13" i="4"/>
  <c r="Z102" i="4"/>
  <c r="Z113" i="4"/>
  <c r="Z11" i="4"/>
  <c r="Z58" i="4"/>
  <c r="Z117" i="4"/>
  <c r="Z52" i="4"/>
  <c r="Z81" i="4"/>
  <c r="Z47" i="4"/>
  <c r="Z118" i="4"/>
  <c r="Z128" i="4"/>
  <c r="Z120" i="4"/>
  <c r="Z127" i="4"/>
  <c r="Z22" i="4"/>
  <c r="Z83" i="4"/>
  <c r="Z67" i="4"/>
  <c r="Z89" i="4"/>
  <c r="Z88" i="4"/>
  <c r="Z93" i="4"/>
  <c r="Z80" i="4"/>
  <c r="Z26" i="4"/>
  <c r="Z31" i="4"/>
  <c r="Z86" i="4"/>
  <c r="Z87" i="4"/>
  <c r="Z98" i="4"/>
  <c r="Z96" i="4"/>
  <c r="Z7" i="4"/>
  <c r="Z103" i="4"/>
  <c r="Z95" i="4"/>
  <c r="Z78" i="4"/>
  <c r="Z6" i="4"/>
  <c r="Z76" i="4"/>
  <c r="Z79" i="4"/>
  <c r="Z39" i="4"/>
  <c r="Z18" i="4"/>
  <c r="Z17" i="4"/>
  <c r="Z74" i="4"/>
  <c r="Z85" i="4"/>
  <c r="Z125" i="4"/>
  <c r="Z105" i="4"/>
  <c r="Z53" i="4"/>
  <c r="AC3" i="4"/>
  <c r="AD9" i="4" s="1"/>
  <c r="AD10" i="4"/>
  <c r="AD33" i="4"/>
  <c r="AD34" i="4"/>
  <c r="AD111" i="4"/>
  <c r="AD23" i="4"/>
  <c r="AD118" i="4"/>
  <c r="AD78" i="4"/>
  <c r="AD52" i="4"/>
  <c r="AD117" i="4"/>
  <c r="AD127" i="4"/>
  <c r="AD69" i="4"/>
  <c r="AD92" i="4"/>
  <c r="AD75" i="4"/>
  <c r="AD21" i="4"/>
  <c r="AD54" i="4"/>
  <c r="AD101" i="4"/>
  <c r="AD115" i="4"/>
  <c r="AD53" i="4"/>
  <c r="AD107" i="4"/>
  <c r="AD90" i="4"/>
  <c r="AD97" i="4"/>
  <c r="AD94" i="4"/>
  <c r="AD83" i="4"/>
  <c r="AD16" i="4"/>
  <c r="AD73" i="4"/>
  <c r="AD28" i="4"/>
  <c r="AD65" i="4"/>
  <c r="AD128" i="4"/>
  <c r="AD91" i="4"/>
  <c r="AD100" i="4"/>
  <c r="AD57" i="4"/>
  <c r="AD122" i="4"/>
  <c r="AD105" i="4"/>
  <c r="AD27" i="4"/>
  <c r="AD96" i="4"/>
  <c r="AD68" i="4"/>
  <c r="AD82" i="4"/>
  <c r="AD46" i="4"/>
  <c r="AD72" i="4"/>
  <c r="AD76" i="4"/>
  <c r="AD64" i="4"/>
  <c r="AD124" i="4"/>
  <c r="AD51" i="4"/>
  <c r="AD40" i="4"/>
  <c r="AD80" i="4"/>
  <c r="AD41" i="4"/>
  <c r="AD125" i="4"/>
  <c r="AD22" i="4"/>
  <c r="AD26" i="4"/>
  <c r="AD110" i="4"/>
  <c r="AD129" i="4"/>
  <c r="AD37" i="4"/>
  <c r="AD58" i="4"/>
  <c r="AD120" i="4"/>
  <c r="AD102" i="4"/>
  <c r="AD45" i="4"/>
  <c r="AD106" i="4"/>
  <c r="AD19" i="4"/>
  <c r="AD61" i="4"/>
  <c r="AD112" i="4"/>
  <c r="AD39" i="4"/>
  <c r="AD104" i="4"/>
  <c r="AD12" i="4"/>
  <c r="AD95" i="4"/>
  <c r="AD119" i="4"/>
  <c r="AD81" i="4"/>
  <c r="AD109" i="4"/>
  <c r="AD71" i="4"/>
  <c r="AD99" i="4"/>
  <c r="AD63" i="4"/>
  <c r="AD88" i="4"/>
  <c r="AD50" i="4"/>
  <c r="AD56" i="4"/>
  <c r="AD15" i="4"/>
  <c r="AD48" i="4"/>
  <c r="AD121" i="4"/>
  <c r="AD55" i="4"/>
  <c r="AD18" i="4"/>
  <c r="AD44" i="4"/>
  <c r="AD8" i="4"/>
  <c r="AD36" i="4"/>
  <c r="AD77" i="4"/>
  <c r="AD25" i="4"/>
  <c r="AD86" i="4"/>
  <c r="AD14" i="4"/>
  <c r="AD6" i="4"/>
  <c r="AD89" i="4"/>
  <c r="AD67" i="4"/>
  <c r="AD42" i="4"/>
  <c r="AD114" i="4"/>
  <c r="AD20" i="4"/>
  <c r="AD32" i="4"/>
  <c r="AD116" i="4"/>
  <c r="AD103" i="4"/>
  <c r="AD108" i="4"/>
  <c r="AD93" i="4"/>
  <c r="AD98" i="4"/>
  <c r="AD79" i="4"/>
  <c r="AD85" i="4"/>
  <c r="AD70" i="4"/>
  <c r="AD74" i="4"/>
  <c r="AD60" i="4"/>
  <c r="AD66" i="4"/>
  <c r="AD47" i="4"/>
  <c r="AD30" i="4"/>
  <c r="AD123" i="4"/>
  <c r="AD31" i="4"/>
  <c r="AD113" i="4"/>
  <c r="AD35" i="4"/>
  <c r="AD17" i="4"/>
  <c r="AD24" i="4"/>
  <c r="AD5" i="4"/>
  <c r="AD13" i="4"/>
  <c r="AD87" i="4"/>
  <c r="AD126" i="4"/>
  <c r="AD7" i="4"/>
  <c r="AD84" i="4"/>
  <c r="AD59" i="4"/>
  <c r="AD62" i="4"/>
  <c r="AD43" i="4"/>
  <c r="AD11" i="4"/>
  <c r="AD38" i="4"/>
  <c r="AD49" i="4"/>
  <c r="AD29" i="4"/>
  <c r="AG3" i="4"/>
  <c r="AH10" i="4" s="1"/>
  <c r="AH11" i="4"/>
  <c r="AH5" i="4"/>
  <c r="AH92" i="4"/>
  <c r="AH6" i="4"/>
  <c r="AH21" i="4"/>
  <c r="AH118" i="4"/>
  <c r="AH73" i="4"/>
  <c r="AH45" i="4"/>
  <c r="AH72" i="4"/>
  <c r="AH7" i="4"/>
  <c r="AH67" i="4"/>
  <c r="AH74" i="4"/>
  <c r="AH69" i="4"/>
  <c r="AH19" i="4"/>
  <c r="AH70" i="4"/>
  <c r="AH28" i="4"/>
  <c r="AH71" i="4"/>
  <c r="AH64" i="4"/>
  <c r="AH128" i="4"/>
  <c r="AH65" i="4"/>
  <c r="AH129" i="4"/>
  <c r="AH66" i="4"/>
  <c r="AH8" i="4"/>
  <c r="AH20" i="4"/>
  <c r="AH84" i="4"/>
  <c r="AH107" i="4"/>
  <c r="AH119" i="4"/>
  <c r="AH22" i="4"/>
  <c r="AH46" i="4"/>
  <c r="AH47" i="4"/>
  <c r="AH53" i="4"/>
  <c r="AH54" i="4"/>
  <c r="AH16" i="4"/>
  <c r="AH80" i="4"/>
  <c r="AH17" i="4"/>
  <c r="AH81" i="4"/>
  <c r="AH18" i="4"/>
  <c r="AH82" i="4"/>
  <c r="AH27" i="4"/>
  <c r="AH36" i="4"/>
  <c r="AH100" i="4"/>
  <c r="AH15" i="4"/>
  <c r="AH39" i="4"/>
  <c r="AH63" i="4"/>
  <c r="AH83" i="4"/>
  <c r="AH85" i="4"/>
  <c r="AH86" i="4"/>
  <c r="AH87" i="4"/>
  <c r="AH24" i="4"/>
  <c r="AH88" i="4"/>
  <c r="AH25" i="4"/>
  <c r="AH89" i="4"/>
  <c r="AH26" i="4"/>
  <c r="AH90" i="4"/>
  <c r="AH35" i="4"/>
  <c r="AH44" i="4"/>
  <c r="AH14" i="4"/>
  <c r="AH38" i="4"/>
  <c r="AH62" i="4"/>
  <c r="AH79" i="4"/>
  <c r="AH99" i="4"/>
  <c r="AH101" i="4"/>
  <c r="AH102" i="4"/>
  <c r="AH103" i="4"/>
  <c r="AH32" i="4"/>
  <c r="AH96" i="4"/>
  <c r="AH33" i="4"/>
  <c r="AH97" i="4"/>
  <c r="AH34" i="4"/>
  <c r="AH98" i="4"/>
  <c r="AH43" i="4"/>
  <c r="AH52" i="4"/>
  <c r="AH37" i="4"/>
  <c r="AH61" i="4"/>
  <c r="AH78" i="4"/>
  <c r="AH95" i="4"/>
  <c r="AH111" i="4"/>
  <c r="AH115" i="4"/>
  <c r="AH116" i="4"/>
  <c r="AH117" i="4"/>
  <c r="AH40" i="4"/>
  <c r="AH104" i="4"/>
  <c r="AH41" i="4"/>
  <c r="AH105" i="4"/>
  <c r="AH42" i="4"/>
  <c r="AH106" i="4"/>
  <c r="AH51" i="4"/>
  <c r="AH60" i="4"/>
  <c r="AH55" i="4"/>
  <c r="AH77" i="4"/>
  <c r="AH94" i="4"/>
  <c r="AH110" i="4"/>
  <c r="AH125" i="4"/>
  <c r="AH126" i="4"/>
  <c r="AH127" i="4"/>
  <c r="AH48" i="4"/>
  <c r="AH112" i="4"/>
  <c r="AH49" i="4"/>
  <c r="AH113" i="4"/>
  <c r="AH50" i="4"/>
  <c r="AH114" i="4"/>
  <c r="AH59" i="4"/>
  <c r="AH68" i="4"/>
  <c r="AH75" i="4"/>
  <c r="AH93" i="4"/>
  <c r="AH109" i="4"/>
  <c r="AH124" i="4"/>
  <c r="AH13" i="4"/>
  <c r="AH12" i="4"/>
  <c r="AH56" i="4"/>
  <c r="AH120" i="4"/>
  <c r="AH57" i="4"/>
  <c r="AH121" i="4"/>
  <c r="AH58" i="4"/>
  <c r="AH122" i="4"/>
  <c r="AH9" i="4"/>
  <c r="AH76" i="4"/>
  <c r="AH91" i="4"/>
  <c r="AH108" i="4"/>
  <c r="AH123" i="4"/>
  <c r="AH23" i="4"/>
  <c r="AH29" i="4"/>
  <c r="AH30" i="4"/>
  <c r="AH31" i="4"/>
  <c r="AK3" i="4"/>
  <c r="AL11" i="4" s="1"/>
  <c r="AL12" i="4"/>
  <c r="AL72" i="4"/>
  <c r="AL48" i="4"/>
  <c r="AL107" i="4"/>
  <c r="AL24" i="4"/>
  <c r="AL52" i="4"/>
  <c r="AL127" i="4"/>
  <c r="AL116" i="4"/>
  <c r="AL103" i="4"/>
  <c r="AL43" i="4"/>
  <c r="AL61" i="4"/>
  <c r="AL79" i="4"/>
  <c r="AL125" i="4"/>
  <c r="AL55" i="4"/>
  <c r="AL96" i="4"/>
  <c r="AL31" i="4"/>
  <c r="AL35" i="4"/>
  <c r="AL99" i="4"/>
  <c r="AL44" i="4"/>
  <c r="AL108" i="4"/>
  <c r="AL53" i="4"/>
  <c r="AL117" i="4"/>
  <c r="AL82" i="4"/>
  <c r="AL58" i="4"/>
  <c r="AL34" i="4"/>
  <c r="AL7" i="4"/>
  <c r="AL113" i="4"/>
  <c r="AL89" i="4"/>
  <c r="AL65" i="4"/>
  <c r="AL41" i="4"/>
  <c r="AL17" i="4"/>
  <c r="AL120" i="4"/>
  <c r="AL51" i="4"/>
  <c r="AL115" i="4"/>
  <c r="AL60" i="4"/>
  <c r="AL124" i="4"/>
  <c r="AL69" i="4"/>
  <c r="AL13" i="4"/>
  <c r="AL110" i="4"/>
  <c r="AL86" i="4"/>
  <c r="AL62" i="4"/>
  <c r="AL38" i="4"/>
  <c r="AL114" i="4"/>
  <c r="AL90" i="4"/>
  <c r="AL66" i="4"/>
  <c r="AL42" i="4"/>
  <c r="AL59" i="4"/>
  <c r="AL123" i="4"/>
  <c r="AL68" i="4"/>
  <c r="AL10" i="4"/>
  <c r="AL77" i="4"/>
  <c r="AL18" i="4"/>
  <c r="AL121" i="4"/>
  <c r="AL97" i="4"/>
  <c r="AL73" i="4"/>
  <c r="AL49" i="4"/>
  <c r="AL25" i="4"/>
  <c r="AL128" i="4"/>
  <c r="AL104" i="4"/>
  <c r="AL80" i="4"/>
  <c r="AL56" i="4"/>
  <c r="AL67" i="4"/>
  <c r="AL9" i="4"/>
  <c r="AL76" i="4"/>
  <c r="AL21" i="4"/>
  <c r="AL85" i="4"/>
  <c r="AL32" i="4"/>
  <c r="AL5" i="4"/>
  <c r="AL111" i="4"/>
  <c r="AL87" i="4"/>
  <c r="AL63" i="4"/>
  <c r="AL39" i="4"/>
  <c r="AL15" i="4"/>
  <c r="AL118" i="4"/>
  <c r="AL94" i="4"/>
  <c r="AL70" i="4"/>
  <c r="AL8" i="4"/>
  <c r="AL75" i="4"/>
  <c r="AL20" i="4"/>
  <c r="AL84" i="4"/>
  <c r="AL29" i="4"/>
  <c r="AL93" i="4"/>
  <c r="AL46" i="4"/>
  <c r="AL22" i="4"/>
  <c r="AL122" i="4"/>
  <c r="AL98" i="4"/>
  <c r="AL74" i="4"/>
  <c r="AL50" i="4"/>
  <c r="AL26" i="4"/>
  <c r="AL129" i="4"/>
  <c r="AL105" i="4"/>
  <c r="AL81" i="4"/>
  <c r="AL19" i="4"/>
  <c r="AL83" i="4"/>
  <c r="AL28" i="4"/>
  <c r="AL92" i="4"/>
  <c r="AL37" i="4"/>
  <c r="AL101" i="4"/>
  <c r="AL57" i="4"/>
  <c r="AL33" i="4"/>
  <c r="AL6" i="4"/>
  <c r="AL112" i="4"/>
  <c r="AL88" i="4"/>
  <c r="AL64" i="4"/>
  <c r="AL40" i="4"/>
  <c r="AL16" i="4"/>
  <c r="AL119" i="4"/>
  <c r="AL95" i="4"/>
  <c r="AL27" i="4"/>
  <c r="AL91" i="4"/>
  <c r="AL36" i="4"/>
  <c r="AL100" i="4"/>
  <c r="AL45" i="4"/>
  <c r="AL109" i="4"/>
  <c r="AL71" i="4"/>
  <c r="AL47" i="4"/>
  <c r="AL23" i="4"/>
  <c r="AL126" i="4"/>
  <c r="AL102" i="4"/>
  <c r="AL78" i="4"/>
  <c r="AL54" i="4"/>
  <c r="AL30" i="4"/>
  <c r="AL14" i="4"/>
  <c r="AL106" i="4"/>
  <c r="AO3" i="4"/>
  <c r="AP12" i="4" s="1"/>
  <c r="AP13" i="4"/>
  <c r="AP113" i="4"/>
  <c r="AP84" i="4"/>
  <c r="AP70" i="4"/>
  <c r="AP65" i="4"/>
  <c r="AP14" i="4"/>
  <c r="AP41" i="4"/>
  <c r="AP89" i="4"/>
  <c r="AP71" i="4"/>
  <c r="AP28" i="4"/>
  <c r="AP15" i="4"/>
  <c r="AP5" i="4"/>
  <c r="AP18" i="4"/>
  <c r="AP72" i="4"/>
  <c r="AP121" i="4"/>
  <c r="AP7" i="4"/>
  <c r="AP108" i="4"/>
  <c r="AP62" i="4"/>
  <c r="AP126" i="4"/>
  <c r="AP63" i="4"/>
  <c r="AP127" i="4"/>
  <c r="AP64" i="4"/>
  <c r="AP128" i="4"/>
  <c r="AP99" i="4"/>
  <c r="AP75" i="4"/>
  <c r="AP51" i="4"/>
  <c r="AP27" i="4"/>
  <c r="AP17" i="4"/>
  <c r="AP117" i="4"/>
  <c r="AP107" i="4"/>
  <c r="AP97" i="4"/>
  <c r="AP73" i="4"/>
  <c r="AP11" i="4"/>
  <c r="AP78" i="4"/>
  <c r="AP79" i="4"/>
  <c r="AP16" i="4"/>
  <c r="AP80" i="4"/>
  <c r="AP21" i="4"/>
  <c r="AP124" i="4"/>
  <c r="AP100" i="4"/>
  <c r="AP76" i="4"/>
  <c r="AP52" i="4"/>
  <c r="AP42" i="4"/>
  <c r="AP29" i="4"/>
  <c r="AP19" i="4"/>
  <c r="AP122" i="4"/>
  <c r="AP98" i="4"/>
  <c r="AP22" i="4"/>
  <c r="AP86" i="4"/>
  <c r="AP23" i="4"/>
  <c r="AP87" i="4"/>
  <c r="AP24" i="4"/>
  <c r="AP88" i="4"/>
  <c r="AP35" i="4"/>
  <c r="AP8" i="4"/>
  <c r="AP114" i="4"/>
  <c r="AP90" i="4"/>
  <c r="AP66" i="4"/>
  <c r="AP53" i="4"/>
  <c r="AP43" i="4"/>
  <c r="AP33" i="4"/>
  <c r="AP6" i="4"/>
  <c r="AP109" i="4"/>
  <c r="AP30" i="4"/>
  <c r="AP94" i="4"/>
  <c r="AP31" i="4"/>
  <c r="AP95" i="4"/>
  <c r="AP32" i="4"/>
  <c r="AP96" i="4"/>
  <c r="AP49" i="4"/>
  <c r="AP25" i="4"/>
  <c r="AP125" i="4"/>
  <c r="AP101" i="4"/>
  <c r="AP77" i="4"/>
  <c r="AP67" i="4"/>
  <c r="AP57" i="4"/>
  <c r="AP44" i="4"/>
  <c r="AP20" i="4"/>
  <c r="AP123" i="4"/>
  <c r="AP38" i="4"/>
  <c r="AP102" i="4"/>
  <c r="AP39" i="4"/>
  <c r="AP103" i="4"/>
  <c r="AP40" i="4"/>
  <c r="AP104" i="4"/>
  <c r="AP60" i="4"/>
  <c r="AP36" i="4"/>
  <c r="AP9" i="4"/>
  <c r="AP115" i="4"/>
  <c r="AP91" i="4"/>
  <c r="AP81" i="4"/>
  <c r="AP68" i="4"/>
  <c r="AP58" i="4"/>
  <c r="AP34" i="4"/>
  <c r="AP46" i="4"/>
  <c r="AP110" i="4"/>
  <c r="AP47" i="4"/>
  <c r="AP111" i="4"/>
  <c r="AP48" i="4"/>
  <c r="AP112" i="4"/>
  <c r="AP74" i="4"/>
  <c r="AP50" i="4"/>
  <c r="AP26" i="4"/>
  <c r="AP129" i="4"/>
  <c r="AP105" i="4"/>
  <c r="AP92" i="4"/>
  <c r="AP82" i="4"/>
  <c r="AP69" i="4"/>
  <c r="AP45" i="4"/>
  <c r="AP54" i="4"/>
  <c r="AP118" i="4"/>
  <c r="AP55" i="4"/>
  <c r="AP119" i="4"/>
  <c r="AP56" i="4"/>
  <c r="AP120" i="4"/>
  <c r="AP85" i="4"/>
  <c r="AP61" i="4"/>
  <c r="AP37" i="4"/>
  <c r="AP10" i="4"/>
  <c r="AP116" i="4"/>
  <c r="AP106" i="4"/>
  <c r="AP93" i="4"/>
  <c r="AP83" i="4"/>
  <c r="AP59" i="4"/>
  <c r="AS3" i="4"/>
  <c r="AT13" i="4" s="1"/>
  <c r="AT14" i="4"/>
  <c r="AT65" i="4"/>
  <c r="AT34" i="4"/>
  <c r="AT114" i="4"/>
  <c r="AT75" i="4"/>
  <c r="AT11" i="4"/>
  <c r="AT40" i="4"/>
  <c r="AT31" i="4"/>
  <c r="AT87" i="4"/>
  <c r="AT83" i="4"/>
  <c r="AT45" i="4"/>
  <c r="AT97" i="4"/>
  <c r="AT50" i="4"/>
  <c r="AT8" i="4"/>
  <c r="AT38" i="4"/>
  <c r="AT39" i="4"/>
  <c r="AT102" i="4"/>
  <c r="AT126" i="4"/>
  <c r="AT73" i="4"/>
  <c r="AT92" i="4"/>
  <c r="AT6" i="4"/>
  <c r="AT105" i="4"/>
  <c r="AT58" i="4"/>
  <c r="AT19" i="4"/>
  <c r="AT52" i="4"/>
  <c r="AT64" i="4"/>
  <c r="AT112" i="4"/>
  <c r="AT15" i="4"/>
  <c r="AT122" i="4"/>
  <c r="AT33" i="4"/>
  <c r="AT113" i="4"/>
  <c r="AT66" i="4"/>
  <c r="AT43" i="4"/>
  <c r="AT63" i="4"/>
  <c r="AT78" i="4"/>
  <c r="AT95" i="4"/>
  <c r="AT42" i="4"/>
  <c r="AT28" i="4"/>
  <c r="AT41" i="4"/>
  <c r="AT121" i="4"/>
  <c r="AT74" i="4"/>
  <c r="AT51" i="4"/>
  <c r="AT77" i="4"/>
  <c r="AT111" i="4"/>
  <c r="AT69" i="4"/>
  <c r="AT107" i="4"/>
  <c r="AT49" i="4"/>
  <c r="AT129" i="4"/>
  <c r="AT98" i="4"/>
  <c r="AT59" i="4"/>
  <c r="AT88" i="4"/>
  <c r="AT123" i="4"/>
  <c r="AT80" i="4"/>
  <c r="AT61" i="4"/>
  <c r="AT57" i="4"/>
  <c r="AT7" i="4"/>
  <c r="AT106" i="4"/>
  <c r="AT67" i="4"/>
  <c r="AT100" i="4"/>
  <c r="AT12" i="4"/>
  <c r="AT115" i="4"/>
  <c r="AT72" i="4"/>
  <c r="AT76" i="4"/>
  <c r="AT128" i="4"/>
  <c r="AT93" i="4"/>
  <c r="AT56" i="4"/>
  <c r="AT21" i="4"/>
  <c r="AT117" i="4"/>
  <c r="AT86" i="4"/>
  <c r="AT99" i="4"/>
  <c r="AT53" i="4"/>
  <c r="AT29" i="4"/>
  <c r="AT124" i="4"/>
  <c r="AT103" i="4"/>
  <c r="AT70" i="4"/>
  <c r="AT32" i="4"/>
  <c r="AT127" i="4"/>
  <c r="AT9" i="4"/>
  <c r="AT109" i="4"/>
  <c r="AT84" i="4"/>
  <c r="AT46" i="4"/>
  <c r="AT5" i="4"/>
  <c r="AT23" i="4"/>
  <c r="AT119" i="4"/>
  <c r="AT54" i="4"/>
  <c r="AT30" i="4"/>
  <c r="AT125" i="4"/>
  <c r="AT94" i="4"/>
  <c r="AT60" i="4"/>
  <c r="AT22" i="4"/>
  <c r="AT37" i="4"/>
  <c r="AT96" i="4"/>
  <c r="AT17" i="4"/>
  <c r="AT81" i="4"/>
  <c r="AT18" i="4"/>
  <c r="AT82" i="4"/>
  <c r="AT27" i="4"/>
  <c r="AT10" i="4"/>
  <c r="AT110" i="4"/>
  <c r="AT91" i="4"/>
  <c r="AT68" i="4"/>
  <c r="AT44" i="4"/>
  <c r="AT16" i="4"/>
  <c r="AT104" i="4"/>
  <c r="AT71" i="4"/>
  <c r="AT36" i="4"/>
  <c r="AT48" i="4"/>
  <c r="AT108" i="4"/>
  <c r="AT25" i="4"/>
  <c r="AT89" i="4"/>
  <c r="AT26" i="4"/>
  <c r="AT90" i="4"/>
  <c r="AT35" i="4"/>
  <c r="AT24" i="4"/>
  <c r="AT120" i="4"/>
  <c r="AT101" i="4"/>
  <c r="AT79" i="4"/>
  <c r="AT55" i="4"/>
  <c r="AT20" i="4"/>
  <c r="AT116" i="4"/>
  <c r="AT85" i="4"/>
  <c r="AT47" i="4"/>
  <c r="AT62" i="4"/>
  <c r="AT118" i="4"/>
  <c r="AW3" i="4"/>
  <c r="AX14" i="4" s="1"/>
  <c r="AX15" i="4"/>
  <c r="AX99" i="4"/>
  <c r="AX13" i="4"/>
  <c r="AX33" i="4"/>
  <c r="AX97" i="4"/>
  <c r="AX26" i="4"/>
  <c r="AX90" i="4"/>
  <c r="AX27" i="4"/>
  <c r="AX91" i="4"/>
  <c r="AX28" i="4"/>
  <c r="AX92" i="4"/>
  <c r="AX61" i="4"/>
  <c r="AX125" i="4"/>
  <c r="AX70" i="4"/>
  <c r="AX17" i="4"/>
  <c r="AX72" i="4"/>
  <c r="AX39" i="4"/>
  <c r="AX87" i="4"/>
  <c r="AX36" i="4"/>
  <c r="AX55" i="4"/>
  <c r="AX49" i="4"/>
  <c r="AX113" i="4"/>
  <c r="AX42" i="4"/>
  <c r="AX106" i="4"/>
  <c r="AX43" i="4"/>
  <c r="AX107" i="4"/>
  <c r="AX44" i="4"/>
  <c r="AX8" i="4"/>
  <c r="AX77" i="4"/>
  <c r="AX22" i="4"/>
  <c r="AX86" i="4"/>
  <c r="AX24" i="4"/>
  <c r="AX88" i="4"/>
  <c r="AX119" i="4"/>
  <c r="AX79" i="4"/>
  <c r="AX35" i="4"/>
  <c r="AX11" i="4"/>
  <c r="AX9" i="4"/>
  <c r="AX57" i="4"/>
  <c r="AX121" i="4"/>
  <c r="AX50" i="4"/>
  <c r="AX114" i="4"/>
  <c r="AX51" i="4"/>
  <c r="AX115" i="4"/>
  <c r="AX52" i="4"/>
  <c r="AX21" i="4"/>
  <c r="AX85" i="4"/>
  <c r="AX30" i="4"/>
  <c r="AX94" i="4"/>
  <c r="AX32" i="4"/>
  <c r="AX96" i="4"/>
  <c r="AX31" i="4"/>
  <c r="AX34" i="4"/>
  <c r="AX78" i="4"/>
  <c r="AX10" i="4"/>
  <c r="AX65" i="4"/>
  <c r="AX129" i="4"/>
  <c r="AX58" i="4"/>
  <c r="AX122" i="4"/>
  <c r="AX59" i="4"/>
  <c r="AX123" i="4"/>
  <c r="AX60" i="4"/>
  <c r="AX29" i="4"/>
  <c r="AX93" i="4"/>
  <c r="AX38" i="4"/>
  <c r="AX102" i="4"/>
  <c r="AX40" i="4"/>
  <c r="AX104" i="4"/>
  <c r="AX63" i="4"/>
  <c r="AX98" i="4"/>
  <c r="AX80" i="4"/>
  <c r="AX16" i="4"/>
  <c r="AX73" i="4"/>
  <c r="AX108" i="4"/>
  <c r="AX66" i="4"/>
  <c r="AX124" i="4"/>
  <c r="AX67" i="4"/>
  <c r="AX116" i="4"/>
  <c r="AX68" i="4"/>
  <c r="AX37" i="4"/>
  <c r="AX101" i="4"/>
  <c r="AX46" i="4"/>
  <c r="AX110" i="4"/>
  <c r="AX48" i="4"/>
  <c r="AX112" i="4"/>
  <c r="AX127" i="4"/>
  <c r="AX41" i="4"/>
  <c r="AX69" i="4"/>
  <c r="AX81" i="4"/>
  <c r="AX5" i="4"/>
  <c r="AX74" i="4"/>
  <c r="AX6" i="4"/>
  <c r="AX75" i="4"/>
  <c r="AX7" i="4"/>
  <c r="AX76" i="4"/>
  <c r="AX45" i="4"/>
  <c r="AX109" i="4"/>
  <c r="AX54" i="4"/>
  <c r="AX118" i="4"/>
  <c r="AX56" i="4"/>
  <c r="AX120" i="4"/>
  <c r="AX103" i="4"/>
  <c r="AX105" i="4"/>
  <c r="AX100" i="4"/>
  <c r="AX12" i="4"/>
  <c r="AX25" i="4"/>
  <c r="AX89" i="4"/>
  <c r="AX18" i="4"/>
  <c r="AX82" i="4"/>
  <c r="AX19" i="4"/>
  <c r="AX83" i="4"/>
  <c r="AX20" i="4"/>
  <c r="AX84" i="4"/>
  <c r="AX53" i="4"/>
  <c r="AX117" i="4"/>
  <c r="AX62" i="4"/>
  <c r="AX126" i="4"/>
  <c r="AX64" i="4"/>
  <c r="AX47" i="4"/>
  <c r="AX71" i="4"/>
  <c r="AX111" i="4"/>
  <c r="AX23" i="4"/>
  <c r="AX128" i="4"/>
  <c r="AX95" i="4"/>
  <c r="BA3" i="4"/>
  <c r="BB15" i="4" s="1"/>
  <c r="BB16" i="4"/>
  <c r="BB11" i="4"/>
  <c r="BB115" i="4"/>
  <c r="BB20" i="4"/>
  <c r="BB84" i="4"/>
  <c r="BB71" i="4"/>
  <c r="BB45" i="4"/>
  <c r="BB109" i="4"/>
  <c r="BB18" i="4"/>
  <c r="BB70" i="4"/>
  <c r="BB23" i="4"/>
  <c r="BB128" i="4"/>
  <c r="BB64" i="4"/>
  <c r="BB26" i="4"/>
  <c r="BB89" i="4"/>
  <c r="BB41" i="4"/>
  <c r="BB97" i="4"/>
  <c r="BB66" i="4"/>
  <c r="BB123" i="4"/>
  <c r="BB28" i="4"/>
  <c r="BB55" i="4"/>
  <c r="BB65" i="4"/>
  <c r="BB36" i="4"/>
  <c r="BB100" i="4"/>
  <c r="BB127" i="4"/>
  <c r="BB61" i="4"/>
  <c r="BB125" i="4"/>
  <c r="BB22" i="4"/>
  <c r="BB86" i="4"/>
  <c r="BB79" i="4"/>
  <c r="BB13" i="4"/>
  <c r="BB80" i="4"/>
  <c r="BB67" i="4"/>
  <c r="BB50" i="4"/>
  <c r="BB42" i="4"/>
  <c r="BB75" i="4"/>
  <c r="BB35" i="4"/>
  <c r="BB19" i="4"/>
  <c r="BB103" i="4"/>
  <c r="BB5" i="4"/>
  <c r="BB7" i="4"/>
  <c r="BB44" i="4"/>
  <c r="BB108" i="4"/>
  <c r="BB88" i="4"/>
  <c r="BB69" i="4"/>
  <c r="BB31" i="4"/>
  <c r="BB30" i="4"/>
  <c r="BB94" i="4"/>
  <c r="BB111" i="4"/>
  <c r="BB24" i="4"/>
  <c r="BB112" i="4"/>
  <c r="BB90" i="4"/>
  <c r="BB73" i="4"/>
  <c r="BB43" i="4"/>
  <c r="BB121" i="4"/>
  <c r="BB58" i="4"/>
  <c r="BB92" i="4"/>
  <c r="BB105" i="4"/>
  <c r="BB52" i="4"/>
  <c r="BB116" i="4"/>
  <c r="BB10" i="4"/>
  <c r="BB77" i="4"/>
  <c r="BB63" i="4"/>
  <c r="BB38" i="4"/>
  <c r="BB102" i="4"/>
  <c r="BB104" i="4"/>
  <c r="BB32" i="4"/>
  <c r="BB120" i="4"/>
  <c r="BB113" i="4"/>
  <c r="BB91" i="4"/>
  <c r="BB107" i="4"/>
  <c r="BB82" i="4"/>
  <c r="BB81" i="4"/>
  <c r="BB117" i="4"/>
  <c r="BB27" i="4"/>
  <c r="BB60" i="4"/>
  <c r="BB124" i="4"/>
  <c r="BB21" i="4"/>
  <c r="BB85" i="4"/>
  <c r="BB87" i="4"/>
  <c r="BB46" i="4"/>
  <c r="BB110" i="4"/>
  <c r="BB17" i="4"/>
  <c r="BB40" i="4"/>
  <c r="BB6" i="4"/>
  <c r="BB59" i="4"/>
  <c r="BB114" i="4"/>
  <c r="BB33" i="4"/>
  <c r="BB129" i="4"/>
  <c r="BB99" i="4"/>
  <c r="BB78" i="4"/>
  <c r="BB49" i="4"/>
  <c r="BB68" i="4"/>
  <c r="BB12" i="4"/>
  <c r="BB29" i="4"/>
  <c r="BB93" i="4"/>
  <c r="BB119" i="4"/>
  <c r="BB54" i="4"/>
  <c r="BB118" i="4"/>
  <c r="BB39" i="4"/>
  <c r="BB48" i="4"/>
  <c r="BB14" i="4"/>
  <c r="BB34" i="4"/>
  <c r="BB51" i="4"/>
  <c r="BB57" i="4"/>
  <c r="BB122" i="4"/>
  <c r="BB53" i="4"/>
  <c r="BB72" i="4"/>
  <c r="BB9" i="4"/>
  <c r="BB76" i="4"/>
  <c r="BB47" i="4"/>
  <c r="BB37" i="4"/>
  <c r="BB101" i="4"/>
  <c r="BB96" i="4"/>
  <c r="BB62" i="4"/>
  <c r="BB126" i="4"/>
  <c r="BB95" i="4"/>
  <c r="BB56" i="4"/>
  <c r="BB25" i="4"/>
  <c r="BB83" i="4"/>
  <c r="BB98" i="4"/>
  <c r="BB74" i="4"/>
  <c r="BB106" i="4"/>
  <c r="BB8" i="4"/>
  <c r="BE3" i="4"/>
  <c r="BF16" i="4" s="1"/>
  <c r="BF17" i="4"/>
  <c r="BF55" i="4"/>
  <c r="BF113" i="4"/>
  <c r="BF37" i="4"/>
  <c r="BF47" i="4"/>
  <c r="BF111" i="4"/>
  <c r="BF67" i="4"/>
  <c r="BF48" i="4"/>
  <c r="BF112" i="4"/>
  <c r="BF41" i="4"/>
  <c r="BF105" i="4"/>
  <c r="BF122" i="4"/>
  <c r="BF115" i="4"/>
  <c r="BF78" i="4"/>
  <c r="BF30" i="4"/>
  <c r="BF125" i="4"/>
  <c r="BF77" i="4"/>
  <c r="BF46" i="4"/>
  <c r="BF119" i="4"/>
  <c r="BF53" i="4"/>
  <c r="BF63" i="4"/>
  <c r="BF127" i="4"/>
  <c r="BF123" i="4"/>
  <c r="BF64" i="4"/>
  <c r="BF128" i="4"/>
  <c r="BF75" i="4"/>
  <c r="BF57" i="4"/>
  <c r="BF121" i="4"/>
  <c r="BF51" i="4"/>
  <c r="BF29" i="4"/>
  <c r="BF102" i="4"/>
  <c r="BF76" i="4"/>
  <c r="BF22" i="4"/>
  <c r="BF118" i="4"/>
  <c r="BF108" i="4"/>
  <c r="BF91" i="4"/>
  <c r="BF19" i="4"/>
  <c r="BF18" i="4"/>
  <c r="BF71" i="4"/>
  <c r="BF50" i="4"/>
  <c r="BF5" i="4"/>
  <c r="BF72" i="4"/>
  <c r="BF15" i="4"/>
  <c r="BF99" i="4"/>
  <c r="BF65" i="4"/>
  <c r="BF129" i="4"/>
  <c r="BF83" i="4"/>
  <c r="BF52" i="4"/>
  <c r="BF21" i="4"/>
  <c r="BF94" i="4"/>
  <c r="BF68" i="4"/>
  <c r="BF101" i="4"/>
  <c r="BF61" i="4"/>
  <c r="BF120" i="4"/>
  <c r="BF20" i="4"/>
  <c r="BF12" i="4"/>
  <c r="BF79" i="4"/>
  <c r="BF74" i="4"/>
  <c r="BF13" i="4"/>
  <c r="BF80" i="4"/>
  <c r="BF26" i="4"/>
  <c r="BF6" i="4"/>
  <c r="BF73" i="4"/>
  <c r="BF7" i="4"/>
  <c r="BF107" i="4"/>
  <c r="BF70" i="4"/>
  <c r="BF62" i="4"/>
  <c r="BF117" i="4"/>
  <c r="BF92" i="4"/>
  <c r="BF84" i="4"/>
  <c r="BF86" i="4"/>
  <c r="BF56" i="4"/>
  <c r="BF27" i="4"/>
  <c r="BF23" i="4"/>
  <c r="BF87" i="4"/>
  <c r="BF98" i="4"/>
  <c r="BF24" i="4"/>
  <c r="BF88" i="4"/>
  <c r="BF58" i="4"/>
  <c r="BF14" i="4"/>
  <c r="BF81" i="4"/>
  <c r="BF34" i="4"/>
  <c r="BF42" i="4"/>
  <c r="BF93" i="4"/>
  <c r="BF45" i="4"/>
  <c r="BF60" i="4"/>
  <c r="BF10" i="4"/>
  <c r="BF44" i="4"/>
  <c r="BF28" i="4"/>
  <c r="BF49" i="4"/>
  <c r="BF100" i="4"/>
  <c r="BF31" i="4"/>
  <c r="BF95" i="4"/>
  <c r="BF8" i="4"/>
  <c r="BF32" i="4"/>
  <c r="BF96" i="4"/>
  <c r="BF82" i="4"/>
  <c r="BF25" i="4"/>
  <c r="BF89" i="4"/>
  <c r="BF66" i="4"/>
  <c r="BF114" i="4"/>
  <c r="BF116" i="4"/>
  <c r="BF69" i="4"/>
  <c r="BF124" i="4"/>
  <c r="BF36" i="4"/>
  <c r="BF126" i="4"/>
  <c r="BF110" i="4"/>
  <c r="BF43" i="4"/>
  <c r="BF85" i="4"/>
  <c r="BF39" i="4"/>
  <c r="BF103" i="4"/>
  <c r="BF35" i="4"/>
  <c r="BF40" i="4"/>
  <c r="BF104" i="4"/>
  <c r="BF106" i="4"/>
  <c r="BF33" i="4"/>
  <c r="BF97" i="4"/>
  <c r="BF90" i="4"/>
  <c r="BF59" i="4"/>
  <c r="BF11" i="4"/>
  <c r="BF9" i="4"/>
  <c r="BF38" i="4"/>
  <c r="BF54" i="4"/>
  <c r="BF109" i="4"/>
  <c r="BI3" i="4"/>
  <c r="BJ18" i="4" s="1"/>
  <c r="BJ19" i="4"/>
  <c r="BJ119" i="4"/>
  <c r="BJ68" i="4"/>
  <c r="BJ60" i="4"/>
  <c r="BJ77" i="4"/>
  <c r="BJ128" i="4"/>
  <c r="BJ49" i="4"/>
  <c r="BJ23" i="4"/>
  <c r="BJ86" i="4"/>
  <c r="BJ73" i="4"/>
  <c r="BJ32" i="4"/>
  <c r="BJ85" i="4"/>
  <c r="BJ31" i="4"/>
  <c r="BJ95" i="4"/>
  <c r="BJ17" i="4"/>
  <c r="BJ110" i="4"/>
  <c r="BJ42" i="4"/>
  <c r="BJ8" i="4"/>
  <c r="BJ124" i="4"/>
  <c r="BJ35" i="4"/>
  <c r="BJ82" i="4"/>
  <c r="BJ104" i="4"/>
  <c r="BJ24" i="4"/>
  <c r="BJ57" i="4"/>
  <c r="BJ59" i="4"/>
  <c r="BJ47" i="4"/>
  <c r="BJ55" i="4"/>
  <c r="BJ40" i="4"/>
  <c r="BJ83" i="4"/>
  <c r="BJ88" i="4"/>
  <c r="BJ121" i="4"/>
  <c r="BJ69" i="4"/>
  <c r="BJ129" i="4"/>
  <c r="BJ100" i="4"/>
  <c r="BJ97" i="4"/>
  <c r="BJ89" i="4"/>
  <c r="BJ54" i="4"/>
  <c r="BJ13" i="4"/>
  <c r="BJ102" i="4"/>
  <c r="BJ46" i="4"/>
  <c r="BJ5" i="4"/>
  <c r="BJ101" i="4"/>
  <c r="BJ63" i="4"/>
  <c r="BJ39" i="4"/>
  <c r="BJ109" i="4"/>
  <c r="BJ92" i="4"/>
  <c r="BJ98" i="4"/>
  <c r="BJ105" i="4"/>
  <c r="BJ91" i="4"/>
  <c r="BJ48" i="4"/>
  <c r="BJ74" i="4"/>
  <c r="BJ96" i="4"/>
  <c r="BJ30" i="4"/>
  <c r="BJ52" i="4"/>
  <c r="BJ44" i="4"/>
  <c r="BJ16" i="4"/>
  <c r="BJ94" i="4"/>
  <c r="BJ38" i="4"/>
  <c r="BJ112" i="4"/>
  <c r="BJ34" i="4"/>
  <c r="BJ56" i="4"/>
  <c r="BJ79" i="4"/>
  <c r="BJ120" i="4"/>
  <c r="BJ118" i="4"/>
  <c r="BJ65" i="4"/>
  <c r="BJ67" i="4"/>
  <c r="BJ116" i="4"/>
  <c r="BJ33" i="4"/>
  <c r="BJ11" i="4"/>
  <c r="BJ28" i="4"/>
  <c r="BJ78" i="4"/>
  <c r="BJ125" i="4"/>
  <c r="BJ15" i="4"/>
  <c r="BJ113" i="4"/>
  <c r="BJ26" i="4"/>
  <c r="BJ99" i="4"/>
  <c r="BJ51" i="4"/>
  <c r="BJ122" i="4"/>
  <c r="BJ117" i="4"/>
  <c r="BJ36" i="4"/>
  <c r="BJ93" i="4"/>
  <c r="BJ61" i="4"/>
  <c r="BJ37" i="4"/>
  <c r="BJ43" i="4"/>
  <c r="BJ75" i="4"/>
  <c r="BJ70" i="4"/>
  <c r="BJ64" i="4"/>
  <c r="BJ58" i="4"/>
  <c r="BJ12" i="4"/>
  <c r="BJ106" i="4"/>
  <c r="BJ76" i="4"/>
  <c r="BJ84" i="4"/>
  <c r="BJ108" i="4"/>
  <c r="BJ29" i="4"/>
  <c r="BJ6" i="4"/>
  <c r="BJ10" i="4"/>
  <c r="BJ71" i="4"/>
  <c r="BJ41" i="4"/>
  <c r="BJ53" i="4"/>
  <c r="BJ27" i="4"/>
  <c r="BJ107" i="4"/>
  <c r="BJ126" i="4"/>
  <c r="BJ50" i="4"/>
  <c r="BJ21" i="4"/>
  <c r="BJ87" i="4"/>
  <c r="BJ14" i="4"/>
  <c r="BJ103" i="4"/>
  <c r="BJ90" i="4"/>
  <c r="BJ81" i="4"/>
  <c r="BJ115" i="4"/>
  <c r="BJ22" i="4"/>
  <c r="BJ127" i="4"/>
  <c r="BJ123" i="4"/>
  <c r="BJ62" i="4"/>
  <c r="BJ9" i="4"/>
  <c r="BJ72" i="4"/>
  <c r="BJ111" i="4"/>
  <c r="BJ45" i="4"/>
  <c r="BJ7" i="4"/>
  <c r="BJ20" i="4"/>
  <c r="BJ25" i="4"/>
  <c r="BJ114" i="4"/>
  <c r="BJ66" i="4"/>
  <c r="BJ80" i="4"/>
  <c r="BK18" i="4" l="1"/>
  <c r="BG16" i="4"/>
  <c r="BC15" i="4"/>
  <c r="AY14" i="4"/>
  <c r="AU13" i="4"/>
  <c r="AQ12" i="4"/>
  <c r="AM11" i="4"/>
  <c r="AI10" i="4"/>
  <c r="AE9" i="4"/>
  <c r="AA8" i="4"/>
  <c r="W7" i="4"/>
  <c r="S6" i="4"/>
  <c r="O1" i="4"/>
  <c r="D3" i="6" s="1"/>
  <c r="L3" i="6" s="1"/>
  <c r="O4" i="4"/>
  <c r="E3" i="6" s="1"/>
  <c r="BK19" i="4"/>
  <c r="BG17" i="4"/>
  <c r="BC16" i="4"/>
  <c r="AY15" i="4"/>
  <c r="AU14" i="4"/>
  <c r="AQ13" i="4"/>
  <c r="AM12" i="4"/>
  <c r="AI11" i="4"/>
  <c r="AE10" i="4"/>
  <c r="AA9" i="4"/>
  <c r="W8" i="4"/>
  <c r="S7" i="4"/>
  <c r="M3" i="6"/>
  <c r="BM3" i="4"/>
  <c r="BN19" i="4" s="1"/>
  <c r="BN20" i="4"/>
  <c r="BN12" i="4"/>
  <c r="BN67" i="4"/>
  <c r="BN30" i="4"/>
  <c r="BN24" i="4"/>
  <c r="BN36" i="4"/>
  <c r="BN110" i="4"/>
  <c r="BN41" i="4"/>
  <c r="BN72" i="4"/>
  <c r="BN55" i="4"/>
  <c r="BN112" i="4"/>
  <c r="BN109" i="4"/>
  <c r="BN49" i="4"/>
  <c r="BN116" i="4"/>
  <c r="BN74" i="4"/>
  <c r="BN47" i="4"/>
  <c r="BN105" i="4"/>
  <c r="BN32" i="4"/>
  <c r="BN68" i="4"/>
  <c r="BN54" i="4"/>
  <c r="BN69" i="4"/>
  <c r="BN78" i="4"/>
  <c r="BN60" i="4"/>
  <c r="BN98" i="4"/>
  <c r="BN97" i="4"/>
  <c r="BN96" i="4"/>
  <c r="BN91" i="4"/>
  <c r="BN53" i="4"/>
  <c r="BN5" i="4"/>
  <c r="BN9" i="4"/>
  <c r="BN50" i="4"/>
  <c r="BN46" i="4"/>
  <c r="BN35" i="4"/>
  <c r="BN26" i="4"/>
  <c r="BN57" i="4"/>
  <c r="BN82" i="4"/>
  <c r="BN51" i="4"/>
  <c r="BN71" i="4"/>
  <c r="BN61" i="4"/>
  <c r="BN81" i="4"/>
  <c r="BN56" i="4"/>
  <c r="BN117" i="4"/>
  <c r="BN108" i="4"/>
  <c r="BN129" i="4"/>
  <c r="BN58" i="4"/>
  <c r="BN125" i="4"/>
  <c r="BN63" i="4"/>
  <c r="BN22" i="4"/>
  <c r="BN40" i="4"/>
  <c r="BN106" i="4"/>
  <c r="BN90" i="4"/>
  <c r="BN14" i="4"/>
  <c r="BN21" i="4"/>
  <c r="BN103" i="4"/>
  <c r="BN93" i="4"/>
  <c r="BN62" i="4"/>
  <c r="BN128" i="4"/>
  <c r="BN6" i="4"/>
  <c r="BN16" i="4"/>
  <c r="BN115" i="4"/>
  <c r="BN114" i="4"/>
  <c r="BN29" i="4"/>
  <c r="BN34" i="4"/>
  <c r="BN104" i="4"/>
  <c r="BN39" i="4"/>
  <c r="BN124" i="4"/>
  <c r="BN92" i="4"/>
  <c r="BN111" i="4"/>
  <c r="BN73" i="4"/>
  <c r="BN65" i="4"/>
  <c r="BN37" i="4"/>
  <c r="BN99" i="4"/>
  <c r="BN84" i="4"/>
  <c r="BN100" i="4"/>
  <c r="BN113" i="4"/>
  <c r="BN38" i="4"/>
  <c r="BN10" i="4"/>
  <c r="BN80" i="4"/>
  <c r="BN95" i="4"/>
  <c r="BN45" i="4"/>
  <c r="BN59" i="4"/>
  <c r="BN85" i="4"/>
  <c r="BN23" i="4"/>
  <c r="BN127" i="4"/>
  <c r="BN8" i="4"/>
  <c r="BN7" i="4"/>
  <c r="BN52" i="4"/>
  <c r="BN94" i="4"/>
  <c r="BN27" i="4"/>
  <c r="BN17" i="4"/>
  <c r="BN101" i="4"/>
  <c r="BN42" i="4"/>
  <c r="BN25" i="4"/>
  <c r="BN119" i="4"/>
  <c r="BN64" i="4"/>
  <c r="BN31" i="4"/>
  <c r="BN87" i="4"/>
  <c r="BN86" i="4"/>
  <c r="BN83" i="4"/>
  <c r="BN102" i="4"/>
  <c r="BN123" i="4"/>
  <c r="BN11" i="4"/>
  <c r="BN15" i="4"/>
  <c r="BN120" i="4"/>
  <c r="BN44" i="4"/>
  <c r="BN28" i="4"/>
  <c r="BN107" i="4"/>
  <c r="BN48" i="4"/>
  <c r="BN121" i="4"/>
  <c r="BN70" i="4"/>
  <c r="BN89" i="4"/>
  <c r="BN75" i="4"/>
  <c r="BN122" i="4"/>
  <c r="BN18" i="4"/>
  <c r="BN66" i="4"/>
  <c r="BN76" i="4"/>
  <c r="BN43" i="4"/>
  <c r="BN118" i="4"/>
  <c r="BN13" i="4"/>
  <c r="BN126" i="4"/>
  <c r="BN33" i="4"/>
  <c r="BN77" i="4"/>
  <c r="BN79" i="4"/>
  <c r="BN88" i="4"/>
  <c r="AI4" i="4" l="1"/>
  <c r="E8" i="6" s="1"/>
  <c r="AI1" i="4"/>
  <c r="D8" i="6" s="1"/>
  <c r="L8" i="6" s="1"/>
  <c r="AM1" i="4"/>
  <c r="D9" i="6" s="1"/>
  <c r="L9" i="6" s="1"/>
  <c r="AM4" i="4"/>
  <c r="E9" i="6" s="1"/>
  <c r="AQ1" i="4"/>
  <c r="D10" i="6" s="1"/>
  <c r="L10" i="6" s="1"/>
  <c r="AQ4" i="4"/>
  <c r="E10" i="6" s="1"/>
  <c r="AU1" i="4"/>
  <c r="D11" i="6" s="1"/>
  <c r="L11" i="6" s="1"/>
  <c r="AU4" i="4"/>
  <c r="E11" i="6" s="1"/>
  <c r="S4" i="4"/>
  <c r="E4" i="6" s="1"/>
  <c r="S1" i="4"/>
  <c r="D4" i="6" s="1"/>
  <c r="L4" i="6" s="1"/>
  <c r="AY1" i="4"/>
  <c r="D12" i="6" s="1"/>
  <c r="L12" i="6" s="1"/>
  <c r="AY4" i="4"/>
  <c r="E12" i="6" s="1"/>
  <c r="W4" i="4"/>
  <c r="E5" i="6" s="1"/>
  <c r="W1" i="4"/>
  <c r="D5" i="6" s="1"/>
  <c r="L5" i="6" s="1"/>
  <c r="BC4" i="4"/>
  <c r="E13" i="6" s="1"/>
  <c r="BC1" i="4"/>
  <c r="D13" i="6" s="1"/>
  <c r="L13" i="6" s="1"/>
  <c r="AA1" i="4"/>
  <c r="D6" i="6" s="1"/>
  <c r="L6" i="6" s="1"/>
  <c r="AA4" i="4"/>
  <c r="E6" i="6" s="1"/>
  <c r="BG4" i="4"/>
  <c r="E14" i="6" s="1"/>
  <c r="BG1" i="4"/>
  <c r="D14" i="6" s="1"/>
  <c r="L14" i="6" s="1"/>
  <c r="AE1" i="4"/>
  <c r="D7" i="6" s="1"/>
  <c r="L7" i="6" s="1"/>
  <c r="AE4" i="4"/>
  <c r="E7" i="6" s="1"/>
  <c r="BK1" i="4"/>
  <c r="D15" i="6" s="1"/>
  <c r="L15" i="6" s="1"/>
  <c r="BK4" i="4"/>
  <c r="E15" i="6" s="1"/>
  <c r="M6" i="6"/>
  <c r="M8" i="6"/>
  <c r="I14" i="3"/>
  <c r="M4" i="6"/>
  <c r="M1" i="6" s="1"/>
  <c r="I9" i="3" s="1"/>
  <c r="M9" i="6"/>
  <c r="M12" i="6"/>
  <c r="M14" i="6"/>
  <c r="M7" i="6"/>
  <c r="M5" i="6"/>
  <c r="M15" i="6"/>
  <c r="M10" i="6"/>
  <c r="M11" i="6"/>
  <c r="M13" i="6"/>
  <c r="I19" i="3"/>
  <c r="I16" i="3"/>
  <c r="I18" i="3"/>
  <c r="R36" i="6"/>
  <c r="R33" i="6"/>
  <c r="R31" i="6"/>
  <c r="R27" i="6"/>
  <c r="R16" i="6"/>
  <c r="R19" i="6"/>
  <c r="R23" i="6"/>
  <c r="R12" i="6"/>
  <c r="R57" i="6"/>
  <c r="R5" i="6"/>
  <c r="R35" i="6"/>
  <c r="R22" i="6"/>
  <c r="R25" i="6"/>
  <c r="R13" i="6"/>
  <c r="R43" i="6"/>
  <c r="R30" i="6"/>
  <c r="R41" i="6"/>
  <c r="R6" i="6"/>
  <c r="R51" i="6"/>
  <c r="R38" i="6"/>
  <c r="R49" i="6"/>
  <c r="R18" i="6"/>
  <c r="R29" i="6"/>
  <c r="R3" i="6"/>
  <c r="R20" i="6"/>
  <c r="R37" i="6"/>
  <c r="R54" i="6"/>
  <c r="R24" i="6"/>
  <c r="R50" i="6"/>
  <c r="R11" i="6"/>
  <c r="R15" i="6"/>
  <c r="R53" i="6"/>
  <c r="R48" i="6"/>
  <c r="R44" i="6"/>
  <c r="R56" i="6"/>
  <c r="R9" i="6"/>
  <c r="R52" i="6"/>
  <c r="R39" i="6"/>
  <c r="R26" i="6"/>
  <c r="R17" i="6"/>
  <c r="R47" i="6"/>
  <c r="R42" i="6"/>
  <c r="R10" i="6"/>
  <c r="R21" i="6"/>
  <c r="R55" i="6"/>
  <c r="R14" i="6"/>
  <c r="R46" i="6"/>
  <c r="R34" i="6"/>
  <c r="R7" i="6"/>
  <c r="R28" i="6"/>
  <c r="R45" i="6"/>
  <c r="R40" i="6"/>
  <c r="R32" i="6"/>
  <c r="R4" i="6"/>
  <c r="R8" i="6"/>
  <c r="R58" i="6"/>
  <c r="R59" i="6"/>
  <c r="R60" i="6"/>
  <c r="R61" i="6"/>
  <c r="R62" i="6"/>
  <c r="R63" i="6"/>
  <c r="R65" i="6"/>
  <c r="R64" i="6"/>
  <c r="R73" i="6"/>
  <c r="R76" i="6"/>
  <c r="R66" i="6"/>
  <c r="R74" i="6"/>
  <c r="R70" i="6"/>
  <c r="R67" i="6"/>
  <c r="R75" i="6"/>
  <c r="R71" i="6"/>
  <c r="R68" i="6"/>
  <c r="R69" i="6"/>
  <c r="R72" i="6"/>
  <c r="R77" i="6"/>
  <c r="R78" i="6"/>
  <c r="R79" i="6"/>
  <c r="R80" i="6"/>
  <c r="R83" i="6"/>
  <c r="R81" i="6"/>
  <c r="R84" i="6"/>
  <c r="R82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7" i="6"/>
  <c r="R125" i="6"/>
  <c r="R128" i="6"/>
  <c r="R126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9" i="6"/>
  <c r="R417" i="6"/>
  <c r="R425" i="6"/>
  <c r="R433" i="6"/>
  <c r="R441" i="6"/>
  <c r="R449" i="6"/>
  <c r="R457" i="6"/>
  <c r="R465" i="6"/>
  <c r="R473" i="6"/>
  <c r="R481" i="6"/>
  <c r="R489" i="6"/>
  <c r="R497" i="6"/>
  <c r="R428" i="6"/>
  <c r="R444" i="6"/>
  <c r="R468" i="6"/>
  <c r="R500" i="6"/>
  <c r="R445" i="6"/>
  <c r="R477" i="6"/>
  <c r="R406" i="6"/>
  <c r="R454" i="6"/>
  <c r="R478" i="6"/>
  <c r="R494" i="6"/>
  <c r="R415" i="6"/>
  <c r="R455" i="6"/>
  <c r="R479" i="6"/>
  <c r="R503" i="6"/>
  <c r="R416" i="6"/>
  <c r="R464" i="6"/>
  <c r="R488" i="6"/>
  <c r="R504" i="6"/>
  <c r="R402" i="6"/>
  <c r="R410" i="6"/>
  <c r="R418" i="6"/>
  <c r="R426" i="6"/>
  <c r="R434" i="6"/>
  <c r="R442" i="6"/>
  <c r="R450" i="6"/>
  <c r="R458" i="6"/>
  <c r="R466" i="6"/>
  <c r="R474" i="6"/>
  <c r="R482" i="6"/>
  <c r="R490" i="6"/>
  <c r="R498" i="6"/>
  <c r="R499" i="6"/>
  <c r="R436" i="6"/>
  <c r="R460" i="6"/>
  <c r="R484" i="6"/>
  <c r="R453" i="6"/>
  <c r="R469" i="6"/>
  <c r="R414" i="6"/>
  <c r="R430" i="6"/>
  <c r="R462" i="6"/>
  <c r="R486" i="6"/>
  <c r="R502" i="6"/>
  <c r="R423" i="6"/>
  <c r="R471" i="6"/>
  <c r="R487" i="6"/>
  <c r="R408" i="6"/>
  <c r="R440" i="6"/>
  <c r="R456" i="6"/>
  <c r="R472" i="6"/>
  <c r="R496" i="6"/>
  <c r="R403" i="6"/>
  <c r="R411" i="6"/>
  <c r="R419" i="6"/>
  <c r="R427" i="6"/>
  <c r="R435" i="6"/>
  <c r="R443" i="6"/>
  <c r="R451" i="6"/>
  <c r="R459" i="6"/>
  <c r="R467" i="6"/>
  <c r="R475" i="6"/>
  <c r="R483" i="6"/>
  <c r="R491" i="6"/>
  <c r="R452" i="6"/>
  <c r="R492" i="6"/>
  <c r="R461" i="6"/>
  <c r="R501" i="6"/>
  <c r="R422" i="6"/>
  <c r="R470" i="6"/>
  <c r="R407" i="6"/>
  <c r="R431" i="6"/>
  <c r="R463" i="6"/>
  <c r="R495" i="6"/>
  <c r="R424" i="6"/>
  <c r="R480" i="6"/>
  <c r="R404" i="6"/>
  <c r="R412" i="6"/>
  <c r="R420" i="6"/>
  <c r="R476" i="6"/>
  <c r="R485" i="6"/>
  <c r="R438" i="6"/>
  <c r="R447" i="6"/>
  <c r="R448" i="6"/>
  <c r="R405" i="6"/>
  <c r="R413" i="6"/>
  <c r="R421" i="6"/>
  <c r="R429" i="6"/>
  <c r="R437" i="6"/>
  <c r="R493" i="6"/>
  <c r="R446" i="6"/>
  <c r="R439" i="6"/>
  <c r="R432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<sst xmlns="http://schemas.openxmlformats.org/spreadsheetml/2006/main" count="692" uniqueCount="108">
  <si>
    <t>Earliest Date</t>
  </si>
  <si>
    <t>Latest Date</t>
  </si>
  <si>
    <t>Include Flag</t>
  </si>
  <si>
    <t>Priority</t>
  </si>
  <si>
    <t>Calendar</t>
  </si>
  <si>
    <t>Currency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</si>
  <si>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</si>
  <si>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</si>
  <si>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</si>
  <si>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</si>
  <si>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</si>
  <si>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</si>
  <si>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</si>
  <si>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</si>
  <si>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</si>
  <si>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</si>
  <si>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</si>
  <si>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</si>
  <si>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</si>
  <si>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</si>
  <si>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</si>
  <si>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</si>
  <si>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</si>
  <si>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</si>
  <si>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</si>
  <si>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</si>
  <si>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</si>
  <si>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</si>
  <si>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</si>
  <si>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</si>
  <si>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</si>
  <si>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</si>
  <si>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</si>
  <si>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</si>
  <si>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</si>
  <si>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</si>
  <si>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</si>
  <si>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</si>
  <si>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</si>
  <si>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</si>
  <si>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</si>
  <si>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</si>
  <si>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</si>
  <si>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</si>
  <si>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</si>
  <si>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</si>
  <si>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</si>
  <si>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</si>
  <si>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</si>
  <si>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</si>
  <si>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</si>
  <si>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</si>
  <si>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</si>
  <si>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Evaluation Date</t>
  </si>
  <si>
    <t>Interest Rates Trigger</t>
  </si>
  <si>
    <t>TriggerCounter</t>
  </si>
  <si>
    <t>OvenightIndex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</si>
  <si>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</si>
  <si>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</si>
  <si>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</si>
  <si>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</si>
  <si>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</si>
  <si>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</si>
  <si>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</si>
  <si>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</si>
  <si>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</si>
  <si>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</si>
  <si>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</si>
  <si>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</si>
  <si>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</si>
  <si>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</si>
  <si>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</si>
  <si>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</si>
  <si>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</si>
  <si>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</si>
  <si>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</si>
  <si>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</si>
  <si>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</si>
  <si>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</si>
  <si>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</si>
  <si>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</si>
  <si>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</si>
  <si>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</si>
  <si>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</si>
  <si>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</si>
  <si>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Sampling Frequency</t>
  </si>
  <si>
    <t>Fixing Date</t>
  </si>
  <si>
    <t>ON Fwd</t>
  </si>
  <si>
    <t>1D</t>
  </si>
  <si>
    <t>Yield Curve Index</t>
  </si>
  <si>
    <t>Final Curve</t>
  </si>
  <si>
    <t>Quote Suffix</t>
  </si>
  <si>
    <t>Tenor</t>
  </si>
  <si>
    <t>_Quote</t>
  </si>
  <si>
    <t>USD</t>
  </si>
  <si>
    <t>13M</t>
  </si>
  <si>
    <t>14M</t>
  </si>
  <si>
    <t>16M</t>
  </si>
  <si>
    <t>17M</t>
  </si>
  <si>
    <t>19M</t>
  </si>
  <si>
    <t>20M</t>
  </si>
  <si>
    <t>22M</t>
  </si>
  <si>
    <t>23M</t>
  </si>
  <si>
    <t>USDFedFunds</t>
  </si>
  <si>
    <t>UnitedStates::Settlement</t>
  </si>
  <si>
    <t>N IMM Futures</t>
  </si>
  <si>
    <t>Jump14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</si>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</sst>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  <numFmt numFmtId="180" formatCode="[$-F800]dddd\,\ mmmm\ dd\,\ yyyy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5" fillId="0" borderId="0"/>
    <xf numFmtId="9" fontId="1" fillId="0" borderId="0" applyFont="0" applyFill="0" applyBorder="0" applyAlignment="0" applyProtection="0"/>
    <xf numFmtId="175" fontId="6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7" fillId="3" borderId="1" xfId="7" applyFont="1" applyFill="1" applyBorder="1"/>
    <xf numFmtId="0" fontId="9" fillId="3" borderId="0" xfId="7" applyFont="1" applyFill="1" applyBorder="1"/>
    <xf numFmtId="0" fontId="7" fillId="3" borderId="0" xfId="7" applyFont="1" applyFill="1" applyBorder="1"/>
    <xf numFmtId="0" fontId="7" fillId="3" borderId="2" xfId="7" applyFont="1" applyFill="1" applyBorder="1"/>
    <xf numFmtId="0" fontId="7" fillId="3" borderId="3" xfId="7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6" applyFont="1" applyFill="1" applyBorder="1"/>
    <xf numFmtId="173" fontId="7" fillId="3" borderId="0" xfId="6" applyNumberFormat="1" applyFont="1" applyFill="1" applyBorder="1" applyAlignment="1">
      <alignment horizontal="center"/>
    </xf>
    <xf numFmtId="0" fontId="7" fillId="3" borderId="2" xfId="6" applyFont="1" applyFill="1" applyBorder="1"/>
    <xf numFmtId="171" fontId="7" fillId="3" borderId="0" xfId="7" applyNumberFormat="1" applyFont="1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0" fontId="7" fillId="3" borderId="2" xfId="7" applyFont="1" applyFill="1" applyBorder="1" applyAlignment="1">
      <alignment horizontal="center"/>
    </xf>
    <xf numFmtId="11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72" fontId="7" fillId="3" borderId="6" xfId="0" applyNumberFormat="1" applyFont="1" applyFill="1" applyBorder="1" applyAlignment="1">
      <alignment horizontal="right"/>
    </xf>
    <xf numFmtId="166" fontId="7" fillId="3" borderId="0" xfId="0" applyNumberFormat="1" applyFont="1" applyFill="1" applyBorder="1" applyAlignment="1"/>
    <xf numFmtId="168" fontId="7" fillId="3" borderId="0" xfId="0" applyNumberFormat="1" applyFont="1" applyFill="1" applyBorder="1" applyAlignment="1"/>
    <xf numFmtId="168" fontId="7" fillId="3" borderId="2" xfId="0" applyNumberFormat="1" applyFont="1" applyFill="1" applyBorder="1" applyAlignment="1"/>
    <xf numFmtId="172" fontId="7" fillId="3" borderId="7" xfId="0" applyNumberFormat="1" applyFont="1" applyFill="1" applyBorder="1" applyAlignment="1">
      <alignment horizontal="right"/>
    </xf>
    <xf numFmtId="0" fontId="7" fillId="3" borderId="0" xfId="5" applyFont="1" applyFill="1" applyBorder="1" applyAlignment="1">
      <alignment horizontal="center"/>
    </xf>
    <xf numFmtId="0" fontId="7" fillId="3" borderId="0" xfId="6" applyFont="1" applyFill="1" applyBorder="1" applyAlignment="1">
      <alignment horizontal="center"/>
    </xf>
    <xf numFmtId="0" fontId="12" fillId="3" borderId="0" xfId="6" applyFont="1" applyFill="1" applyBorder="1" applyAlignment="1">
      <alignment horizontal="right"/>
    </xf>
    <xf numFmtId="174" fontId="10" fillId="3" borderId="0" xfId="6" applyNumberFormat="1" applyFont="1" applyFill="1" applyBorder="1" applyAlignment="1">
      <alignment horizontal="left"/>
    </xf>
    <xf numFmtId="0" fontId="7" fillId="3" borderId="12" xfId="6" applyFont="1" applyFill="1" applyBorder="1"/>
    <xf numFmtId="0" fontId="7" fillId="3" borderId="4" xfId="6" applyFont="1" applyFill="1" applyBorder="1"/>
    <xf numFmtId="0" fontId="7" fillId="3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8" fontId="7" fillId="3" borderId="5" xfId="10" applyNumberFormat="1" applyFont="1" applyFill="1" applyBorder="1" applyAlignment="1">
      <alignment horizontal="center"/>
    </xf>
    <xf numFmtId="0" fontId="7" fillId="3" borderId="1" xfId="6" applyFont="1" applyFill="1" applyBorder="1"/>
    <xf numFmtId="0" fontId="7" fillId="3" borderId="13" xfId="6" applyFont="1" applyFill="1" applyBorder="1"/>
    <xf numFmtId="165" fontId="7" fillId="3" borderId="2" xfId="6" applyNumberFormat="1" applyFont="1" applyFill="1" applyBorder="1"/>
    <xf numFmtId="0" fontId="7" fillId="3" borderId="0" xfId="0" applyFont="1" applyFill="1" applyBorder="1" applyAlignment="1"/>
    <xf numFmtId="166" fontId="7" fillId="0" borderId="8" xfId="10" applyNumberFormat="1" applyFont="1" applyBorder="1" applyAlignment="1">
      <alignment horizontal="right"/>
    </xf>
    <xf numFmtId="168" fontId="7" fillId="3" borderId="7" xfId="5" applyNumberFormat="1" applyFont="1" applyFill="1" applyBorder="1"/>
    <xf numFmtId="166" fontId="7" fillId="0" borderId="6" xfId="10" applyNumberFormat="1" applyFont="1" applyFill="1" applyBorder="1" applyAlignment="1"/>
    <xf numFmtId="166" fontId="7" fillId="0" borderId="8" xfId="0" applyNumberFormat="1" applyFont="1" applyBorder="1"/>
    <xf numFmtId="10" fontId="7" fillId="7" borderId="7" xfId="10" applyNumberFormat="1" applyFont="1" applyFill="1" applyBorder="1" applyAlignment="1">
      <alignment horizontal="center"/>
    </xf>
    <xf numFmtId="0" fontId="7" fillId="8" borderId="0" xfId="7" applyFont="1" applyFill="1"/>
    <xf numFmtId="0" fontId="7" fillId="8" borderId="0" xfId="6" applyFont="1" applyFill="1"/>
    <xf numFmtId="0" fontId="8" fillId="10" borderId="9" xfId="7" applyFont="1" applyFill="1" applyBorder="1" applyAlignment="1">
      <alignment horizontal="centerContinuous" vertical="center"/>
    </xf>
    <xf numFmtId="0" fontId="8" fillId="10" borderId="5" xfId="7" applyFont="1" applyFill="1" applyBorder="1" applyAlignment="1">
      <alignment horizontal="centerContinuous" vertical="center"/>
    </xf>
    <xf numFmtId="0" fontId="7" fillId="8" borderId="6" xfId="7" applyFont="1" applyFill="1" applyBorder="1" applyAlignment="1">
      <alignment horizontal="right"/>
    </xf>
    <xf numFmtId="0" fontId="7" fillId="8" borderId="8" xfId="7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7" fillId="8" borderId="5" xfId="6" applyFont="1" applyFill="1" applyBorder="1" applyAlignment="1">
      <alignment horizontal="right"/>
    </xf>
    <xf numFmtId="0" fontId="9" fillId="8" borderId="6" xfId="0" applyFont="1" applyFill="1" applyBorder="1" applyAlignment="1">
      <alignment horizontal="right"/>
    </xf>
    <xf numFmtId="0" fontId="9" fillId="8" borderId="7" xfId="0" applyFont="1" applyFill="1" applyBorder="1" applyAlignment="1">
      <alignment horizontal="right"/>
    </xf>
    <xf numFmtId="0" fontId="9" fillId="8" borderId="8" xfId="0" applyFont="1" applyFill="1" applyBorder="1" applyAlignment="1">
      <alignment horizontal="right"/>
    </xf>
    <xf numFmtId="167" fontId="7" fillId="11" borderId="3" xfId="0" quotePrefix="1" applyNumberFormat="1" applyFont="1" applyFill="1" applyBorder="1" applyAlignment="1">
      <alignment horizontal="center"/>
    </xf>
    <xf numFmtId="1" fontId="10" fillId="11" borderId="4" xfId="0" applyNumberFormat="1" applyFont="1" applyFill="1" applyBorder="1" applyAlignment="1">
      <alignment horizontal="left"/>
    </xf>
    <xf numFmtId="0" fontId="7" fillId="3" borderId="1" xfId="4" applyFont="1" applyFill="1" applyBorder="1"/>
    <xf numFmtId="0" fontId="7" fillId="3" borderId="0" xfId="4" applyFont="1" applyFill="1" applyBorder="1"/>
    <xf numFmtId="0" fontId="7" fillId="3" borderId="2" xfId="4" applyFont="1" applyFill="1" applyBorder="1"/>
    <xf numFmtId="168" fontId="7" fillId="5" borderId="10" xfId="4" applyNumberFormat="1" applyFont="1" applyFill="1" applyBorder="1" applyAlignment="1" applyProtection="1">
      <alignment horizontal="center" vertical="center"/>
    </xf>
    <xf numFmtId="0" fontId="7" fillId="6" borderId="7" xfId="4" applyFont="1" applyFill="1" applyBorder="1" applyAlignment="1">
      <alignment horizontal="center" vertical="center"/>
    </xf>
    <xf numFmtId="168" fontId="7" fillId="9" borderId="5" xfId="4" applyNumberFormat="1" applyFont="1" applyFill="1" applyBorder="1" applyAlignment="1">
      <alignment horizontal="center" vertical="center"/>
    </xf>
    <xf numFmtId="0" fontId="7" fillId="8" borderId="5" xfId="4" applyFont="1" applyFill="1" applyBorder="1" applyAlignment="1" applyProtection="1">
      <alignment horizontal="right"/>
    </xf>
    <xf numFmtId="0" fontId="7" fillId="8" borderId="7" xfId="4" applyFont="1" applyFill="1" applyBorder="1" applyAlignment="1" applyProtection="1">
      <alignment horizontal="right"/>
    </xf>
    <xf numFmtId="0" fontId="7" fillId="6" borderId="0" xfId="7" applyFont="1" applyFill="1"/>
    <xf numFmtId="0" fontId="7" fillId="6" borderId="12" xfId="7" applyFont="1" applyFill="1" applyBorder="1"/>
    <xf numFmtId="0" fontId="7" fillId="6" borderId="13" xfId="7" applyFont="1" applyFill="1" applyBorder="1"/>
    <xf numFmtId="0" fontId="7" fillId="6" borderId="4" xfId="7" applyFont="1" applyFill="1" applyBorder="1"/>
    <xf numFmtId="0" fontId="7" fillId="6" borderId="1" xfId="4" applyFont="1" applyFill="1" applyBorder="1"/>
    <xf numFmtId="0" fontId="7" fillId="6" borderId="2" xfId="4" applyFont="1" applyFill="1" applyBorder="1"/>
    <xf numFmtId="0" fontId="7" fillId="8" borderId="7" xfId="6" applyFont="1" applyFill="1" applyBorder="1" applyAlignment="1">
      <alignment horizontal="right"/>
    </xf>
    <xf numFmtId="172" fontId="7" fillId="3" borderId="7" xfId="10" applyNumberFormat="1" applyFont="1" applyFill="1" applyBorder="1" applyAlignment="1">
      <alignment horizontal="center"/>
    </xf>
    <xf numFmtId="169" fontId="7" fillId="3" borderId="6" xfId="0" applyNumberFormat="1" applyFont="1" applyFill="1" applyBorder="1" applyAlignment="1">
      <alignment horizontal="center"/>
    </xf>
    <xf numFmtId="169" fontId="7" fillId="3" borderId="7" xfId="0" applyNumberFormat="1" applyFont="1" applyFill="1" applyBorder="1" applyAlignment="1">
      <alignment horizontal="center"/>
    </xf>
    <xf numFmtId="0" fontId="10" fillId="3" borderId="0" xfId="6" quotePrefix="1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8" borderId="0" xfId="0" applyFont="1" applyFill="1"/>
    <xf numFmtId="166" fontId="7" fillId="8" borderId="0" xfId="0" applyNumberFormat="1" applyFont="1" applyFill="1"/>
    <xf numFmtId="170" fontId="7" fillId="8" borderId="0" xfId="0" applyNumberFormat="1" applyFont="1" applyFill="1"/>
    <xf numFmtId="0" fontId="7" fillId="8" borderId="11" xfId="0" applyFont="1" applyFill="1" applyBorder="1" applyAlignment="1">
      <alignment horizontal="left"/>
    </xf>
    <xf numFmtId="0" fontId="7" fillId="8" borderId="11" xfId="0" applyFont="1" applyFill="1" applyBorder="1"/>
    <xf numFmtId="0" fontId="7" fillId="8" borderId="0" xfId="0" applyFont="1" applyFill="1" applyAlignment="1">
      <alignment horizontal="left"/>
    </xf>
    <xf numFmtId="0" fontId="13" fillId="10" borderId="15" xfId="0" applyFont="1" applyFill="1" applyBorder="1" applyAlignment="1">
      <alignment horizontal="centerContinuous" vertical="center"/>
    </xf>
    <xf numFmtId="0" fontId="13" fillId="10" borderId="12" xfId="0" applyFont="1" applyFill="1" applyBorder="1" applyAlignment="1">
      <alignment horizontal="centerContinuous" vertical="center"/>
    </xf>
    <xf numFmtId="0" fontId="13" fillId="10" borderId="4" xfId="0" applyFont="1" applyFill="1" applyBorder="1" applyAlignment="1">
      <alignment horizontal="centerContinuous" vertical="center"/>
    </xf>
    <xf numFmtId="0" fontId="7" fillId="10" borderId="5" xfId="0" applyFont="1" applyFill="1" applyBorder="1" applyAlignment="1">
      <alignment horizontal="centerContinuous" vertical="center"/>
    </xf>
    <xf numFmtId="15" fontId="7" fillId="0" borderId="8" xfId="0" applyNumberFormat="1" applyFont="1" applyBorder="1"/>
    <xf numFmtId="165" fontId="7" fillId="0" borderId="8" xfId="0" applyNumberFormat="1" applyFont="1" applyBorder="1"/>
    <xf numFmtId="15" fontId="7" fillId="0" borderId="7" xfId="0" applyNumberFormat="1" applyFont="1" applyBorder="1"/>
    <xf numFmtId="165" fontId="7" fillId="0" borderId="7" xfId="0" applyNumberFormat="1" applyFont="1" applyBorder="1"/>
    <xf numFmtId="168" fontId="7" fillId="10" borderId="5" xfId="0" applyNumberFormat="1" applyFont="1" applyFill="1" applyBorder="1" applyAlignment="1">
      <alignment vertical="center"/>
    </xf>
    <xf numFmtId="168" fontId="7" fillId="10" borderId="6" xfId="0" applyNumberFormat="1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166" fontId="7" fillId="0" borderId="6" xfId="0" applyNumberFormat="1" applyFont="1" applyBorder="1"/>
    <xf numFmtId="168" fontId="7" fillId="0" borderId="6" xfId="0" applyNumberFormat="1" applyFont="1" applyBorder="1"/>
    <xf numFmtId="166" fontId="7" fillId="0" borderId="8" xfId="10" applyNumberFormat="1" applyFont="1" applyBorder="1"/>
    <xf numFmtId="168" fontId="7" fillId="0" borderId="8" xfId="0" applyNumberFormat="1" applyFont="1" applyBorder="1"/>
    <xf numFmtId="166" fontId="7" fillId="0" borderId="7" xfId="10" applyNumberFormat="1" applyFont="1" applyBorder="1"/>
    <xf numFmtId="166" fontId="7" fillId="0" borderId="7" xfId="0" applyNumberFormat="1" applyFont="1" applyBorder="1"/>
    <xf numFmtId="168" fontId="7" fillId="0" borderId="7" xfId="0" applyNumberFormat="1" applyFont="1" applyBorder="1"/>
    <xf numFmtId="165" fontId="7" fillId="10" borderId="5" xfId="0" applyNumberFormat="1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vertical="center"/>
    </xf>
    <xf numFmtId="10" fontId="7" fillId="10" borderId="5" xfId="10" applyNumberFormat="1" applyFont="1" applyFill="1" applyBorder="1"/>
    <xf numFmtId="10" fontId="14" fillId="0" borderId="5" xfId="10" applyNumberFormat="1" applyFont="1" applyBorder="1"/>
    <xf numFmtId="0" fontId="7" fillId="0" borderId="1" xfId="0" applyFont="1" applyBorder="1"/>
    <xf numFmtId="166" fontId="7" fillId="0" borderId="7" xfId="10" applyNumberFormat="1" applyFont="1" applyBorder="1" applyAlignment="1">
      <alignment horizontal="right"/>
    </xf>
    <xf numFmtId="0" fontId="7" fillId="8" borderId="0" xfId="0" applyFont="1" applyFill="1" applyAlignment="1">
      <alignment horizontal="center" vertical="center" wrapText="1"/>
    </xf>
    <xf numFmtId="166" fontId="7" fillId="8" borderId="0" xfId="10" applyNumberFormat="1" applyFont="1" applyFill="1"/>
    <xf numFmtId="168" fontId="7" fillId="8" borderId="0" xfId="0" applyNumberFormat="1" applyFont="1" applyFill="1"/>
    <xf numFmtId="165" fontId="7" fillId="8" borderId="0" xfId="10" applyNumberFormat="1" applyFont="1" applyFill="1" applyBorder="1" applyAlignment="1">
      <alignment horizontal="right"/>
    </xf>
    <xf numFmtId="166" fontId="7" fillId="8" borderId="0" xfId="10" applyNumberFormat="1" applyFont="1" applyFill="1" applyBorder="1" applyAlignment="1">
      <alignment horizontal="right"/>
    </xf>
    <xf numFmtId="0" fontId="7" fillId="8" borderId="0" xfId="0" applyFont="1" applyFill="1" applyBorder="1"/>
    <xf numFmtId="166" fontId="7" fillId="8" borderId="14" xfId="10" applyNumberFormat="1" applyFont="1" applyFill="1" applyBorder="1" applyAlignment="1">
      <alignment horizontal="right"/>
    </xf>
    <xf numFmtId="165" fontId="7" fillId="6" borderId="5" xfId="0" applyNumberFormat="1" applyFont="1" applyFill="1" applyBorder="1" applyAlignment="1">
      <alignment vertical="center"/>
    </xf>
    <xf numFmtId="166" fontId="9" fillId="10" borderId="5" xfId="10" applyNumberFormat="1" applyFont="1" applyFill="1" applyBorder="1" applyAlignment="1">
      <alignment horizontal="center" vertical="center" wrapText="1"/>
    </xf>
    <xf numFmtId="0" fontId="7" fillId="10" borderId="5" xfId="5" applyFont="1" applyFill="1" applyBorder="1" applyAlignment="1">
      <alignment horizontal="center" vertical="center"/>
    </xf>
    <xf numFmtId="0" fontId="7" fillId="10" borderId="5" xfId="5" applyFont="1" applyFill="1" applyBorder="1" applyAlignment="1">
      <alignment horizontal="center" vertical="center" wrapText="1"/>
    </xf>
    <xf numFmtId="0" fontId="7" fillId="0" borderId="6" xfId="10" applyNumberFormat="1" applyFont="1" applyFill="1" applyBorder="1" applyAlignment="1"/>
    <xf numFmtId="168" fontId="7" fillId="3" borderId="6" xfId="5" applyNumberFormat="1" applyFont="1" applyFill="1" applyBorder="1"/>
    <xf numFmtId="10" fontId="7" fillId="7" borderId="6" xfId="10" applyNumberFormat="1" applyFont="1" applyFill="1" applyBorder="1" applyAlignment="1">
      <alignment horizontal="center"/>
    </xf>
    <xf numFmtId="0" fontId="7" fillId="0" borderId="8" xfId="10" applyNumberFormat="1" applyFont="1" applyFill="1" applyBorder="1" applyAlignment="1"/>
    <xf numFmtId="168" fontId="7" fillId="3" borderId="8" xfId="5" applyNumberFormat="1" applyFont="1" applyFill="1" applyBorder="1"/>
    <xf numFmtId="10" fontId="7" fillId="7" borderId="8" xfId="10" applyNumberFormat="1" applyFont="1" applyFill="1" applyBorder="1" applyAlignment="1">
      <alignment horizontal="center"/>
    </xf>
    <xf numFmtId="0" fontId="7" fillId="0" borderId="7" xfId="10" applyNumberFormat="1" applyFont="1" applyFill="1" applyBorder="1" applyAlignment="1"/>
    <xf numFmtId="166" fontId="7" fillId="0" borderId="8" xfId="10" applyNumberFormat="1" applyFont="1" applyFill="1" applyBorder="1" applyAlignment="1"/>
    <xf numFmtId="166" fontId="7" fillId="0" borderId="7" xfId="10" applyNumberFormat="1" applyFont="1" applyFill="1" applyBorder="1" applyAlignment="1"/>
    <xf numFmtId="0" fontId="7" fillId="3" borderId="0" xfId="8" applyFont="1" applyFill="1" applyBorder="1"/>
    <xf numFmtId="0" fontId="7" fillId="3" borderId="2" xfId="8" applyFont="1" applyFill="1" applyBorder="1"/>
    <xf numFmtId="0" fontId="11" fillId="3" borderId="1" xfId="5" applyFont="1" applyFill="1" applyBorder="1"/>
    <xf numFmtId="0" fontId="11" fillId="3" borderId="13" xfId="5" applyFont="1" applyFill="1" applyBorder="1"/>
    <xf numFmtId="0" fontId="7" fillId="3" borderId="12" xfId="8" applyFont="1" applyFill="1" applyBorder="1"/>
    <xf numFmtId="0" fontId="7" fillId="3" borderId="12" xfId="5" applyFont="1" applyFill="1" applyBorder="1"/>
    <xf numFmtId="0" fontId="7" fillId="3" borderId="4" xfId="8" applyFont="1" applyFill="1" applyBorder="1"/>
    <xf numFmtId="0" fontId="7" fillId="8" borderId="0" xfId="8" applyFont="1" applyFill="1"/>
    <xf numFmtId="170" fontId="7" fillId="3" borderId="8" xfId="5" applyNumberFormat="1" applyFont="1" applyFill="1" applyBorder="1" applyAlignment="1"/>
    <xf numFmtId="170" fontId="7" fillId="3" borderId="7" xfId="5" applyNumberFormat="1" applyFont="1" applyFill="1" applyBorder="1" applyAlignment="1"/>
    <xf numFmtId="10" fontId="7" fillId="3" borderId="6" xfId="5" applyNumberFormat="1" applyFont="1" applyFill="1" applyBorder="1" applyAlignment="1"/>
    <xf numFmtId="10" fontId="7" fillId="3" borderId="8" xfId="5" applyNumberFormat="1" applyFont="1" applyFill="1" applyBorder="1" applyAlignment="1"/>
    <xf numFmtId="10" fontId="7" fillId="3" borderId="7" xfId="5" applyNumberFormat="1" applyFont="1" applyFill="1" applyBorder="1" applyAlignment="1"/>
    <xf numFmtId="170" fontId="7" fillId="3" borderId="6" xfId="5" applyNumberFormat="1" applyFont="1" applyFill="1" applyBorder="1" applyAlignment="1"/>
    <xf numFmtId="0" fontId="7" fillId="10" borderId="5" xfId="0" applyFont="1" applyFill="1" applyBorder="1" applyAlignment="1">
      <alignment horizontal="center" vertical="center" wrapText="1"/>
    </xf>
    <xf numFmtId="0" fontId="7" fillId="0" borderId="5" xfId="0" applyNumberFormat="1" applyFont="1" applyBorder="1"/>
    <xf numFmtId="0" fontId="9" fillId="10" borderId="5" xfId="14" applyFont="1" applyFill="1" applyBorder="1" applyAlignment="1">
      <alignment horizontal="center" vertical="center" wrapText="1"/>
    </xf>
    <xf numFmtId="0" fontId="7" fillId="12" borderId="8" xfId="8" applyFont="1" applyFill="1" applyBorder="1" applyAlignment="1"/>
    <xf numFmtId="168" fontId="7" fillId="12" borderId="8" xfId="8" applyNumberFormat="1" applyFont="1" applyFill="1" applyBorder="1"/>
    <xf numFmtId="166" fontId="7" fillId="12" borderId="8" xfId="8" applyNumberFormat="1" applyFont="1" applyFill="1" applyBorder="1"/>
    <xf numFmtId="0" fontId="7" fillId="3" borderId="13" xfId="7" applyFont="1" applyFill="1" applyBorder="1"/>
    <xf numFmtId="0" fontId="9" fillId="8" borderId="5" xfId="0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center"/>
    </xf>
    <xf numFmtId="0" fontId="7" fillId="8" borderId="8" xfId="6" applyFont="1" applyFill="1" applyBorder="1" applyAlignment="1">
      <alignment horizontal="right"/>
    </xf>
    <xf numFmtId="172" fontId="7" fillId="3" borderId="8" xfId="10" applyNumberFormat="1" applyFont="1" applyFill="1" applyBorder="1" applyAlignment="1">
      <alignment horizontal="center"/>
    </xf>
    <xf numFmtId="0" fontId="7" fillId="10" borderId="5" xfId="14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168" fontId="7" fillId="6" borderId="8" xfId="0" applyNumberFormat="1" applyFont="1" applyFill="1" applyBorder="1" applyAlignment="1">
      <alignment horizontal="right"/>
    </xf>
    <xf numFmtId="0" fontId="7" fillId="6" borderId="6" xfId="0" applyFont="1" applyFill="1" applyBorder="1"/>
    <xf numFmtId="0" fontId="7" fillId="6" borderId="8" xfId="0" applyFont="1" applyFill="1" applyBorder="1"/>
    <xf numFmtId="168" fontId="7" fillId="6" borderId="6" xfId="0" applyNumberFormat="1" applyFont="1" applyFill="1" applyBorder="1" applyAlignment="1">
      <alignment horizontal="right"/>
    </xf>
    <xf numFmtId="166" fontId="7" fillId="0" borderId="6" xfId="10" applyNumberFormat="1" applyFont="1" applyBorder="1" applyAlignment="1">
      <alignment horizontal="right"/>
    </xf>
    <xf numFmtId="0" fontId="7" fillId="8" borderId="11" xfId="8" applyFont="1" applyFill="1" applyBorder="1"/>
    <xf numFmtId="0" fontId="7" fillId="12" borderId="6" xfId="14" applyNumberFormat="1" applyFont="1" applyFill="1" applyBorder="1" applyAlignment="1"/>
    <xf numFmtId="0" fontId="7" fillId="12" borderId="8" xfId="14" applyNumberFormat="1" applyFont="1" applyFill="1" applyBorder="1" applyAlignment="1"/>
    <xf numFmtId="0" fontId="7" fillId="12" borderId="3" xfId="14" applyNumberFormat="1" applyFont="1" applyFill="1" applyBorder="1" applyAlignment="1"/>
    <xf numFmtId="0" fontId="7" fillId="10" borderId="6" xfId="14" applyFont="1" applyFill="1" applyBorder="1" applyAlignment="1">
      <alignment horizontal="center" vertical="center"/>
    </xf>
    <xf numFmtId="0" fontId="7" fillId="12" borderId="2" xfId="14" applyNumberFormat="1" applyFont="1" applyFill="1" applyBorder="1" applyAlignment="1"/>
    <xf numFmtId="0" fontId="7" fillId="12" borderId="7" xfId="14" applyNumberFormat="1" applyFont="1" applyFill="1" applyBorder="1" applyAlignment="1"/>
    <xf numFmtId="0" fontId="7" fillId="6" borderId="11" xfId="0" applyFont="1" applyFill="1" applyBorder="1"/>
    <xf numFmtId="0" fontId="7" fillId="6" borderId="16" xfId="0" applyFont="1" applyFill="1" applyBorder="1" applyAlignment="1">
      <alignment horizontal="center"/>
    </xf>
    <xf numFmtId="168" fontId="7" fillId="6" borderId="16" xfId="0" applyNumberFormat="1" applyFont="1" applyFill="1" applyBorder="1" applyAlignment="1">
      <alignment horizontal="right"/>
    </xf>
    <xf numFmtId="0" fontId="7" fillId="6" borderId="0" xfId="0" applyFont="1" applyFill="1" applyBorder="1"/>
    <xf numFmtId="0" fontId="7" fillId="6" borderId="1" xfId="0" applyFont="1" applyFill="1" applyBorder="1" applyAlignment="1">
      <alignment horizontal="center"/>
    </xf>
    <xf numFmtId="168" fontId="7" fillId="6" borderId="1" xfId="0" applyNumberFormat="1" applyFont="1" applyFill="1" applyBorder="1" applyAlignment="1">
      <alignment horizontal="right"/>
    </xf>
    <xf numFmtId="0" fontId="11" fillId="3" borderId="16" xfId="5" applyFont="1" applyFill="1" applyBorder="1"/>
    <xf numFmtId="0" fontId="7" fillId="3" borderId="11" xfId="5" applyFont="1" applyFill="1" applyBorder="1"/>
    <xf numFmtId="0" fontId="7" fillId="3" borderId="11" xfId="5" applyFont="1" applyFill="1" applyBorder="1" applyAlignment="1">
      <alignment horizontal="center"/>
    </xf>
    <xf numFmtId="0" fontId="7" fillId="3" borderId="11" xfId="8" applyFont="1" applyFill="1" applyBorder="1"/>
    <xf numFmtId="0" fontId="7" fillId="0" borderId="11" xfId="5" applyFont="1" applyFill="1" applyBorder="1"/>
    <xf numFmtId="0" fontId="7" fillId="3" borderId="3" xfId="8" applyFont="1" applyFill="1" applyBorder="1"/>
    <xf numFmtId="166" fontId="7" fillId="0" borderId="1" xfId="10" applyNumberFormat="1" applyFont="1" applyBorder="1" applyAlignment="1">
      <alignment horizontal="right"/>
    </xf>
    <xf numFmtId="10" fontId="14" fillId="0" borderId="6" xfId="10" applyNumberFormat="1" applyFont="1" applyBorder="1"/>
    <xf numFmtId="180" fontId="7" fillId="8" borderId="0" xfId="0" applyNumberFormat="1" applyFont="1" applyFill="1"/>
  </cellXfs>
  <cellStyles count="16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Percent 2" xfId="1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106079808559751E-2"/>
          <c:y val="3.5884274007733766E-2"/>
          <c:w val="0.90248376273838049"/>
          <c:h val="0.86307827933722026"/>
        </c:manualLayout>
      </c:layout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42597</c:v>
                </c:pt>
                <c:pt idx="1">
                  <c:v>42625</c:v>
                </c:pt>
                <c:pt idx="2">
                  <c:v>42655</c:v>
                </c:pt>
                <c:pt idx="3">
                  <c:v>42688</c:v>
                </c:pt>
                <c:pt idx="4">
                  <c:v>42716</c:v>
                </c:pt>
                <c:pt idx="5">
                  <c:v>42747</c:v>
                </c:pt>
                <c:pt idx="6">
                  <c:v>42779</c:v>
                </c:pt>
                <c:pt idx="7">
                  <c:v>42807</c:v>
                </c:pt>
                <c:pt idx="8">
                  <c:v>42837</c:v>
                </c:pt>
                <c:pt idx="9">
                  <c:v>42867</c:v>
                </c:pt>
                <c:pt idx="10">
                  <c:v>42898</c:v>
                </c:pt>
                <c:pt idx="11">
                  <c:v>42928</c:v>
                </c:pt>
                <c:pt idx="12">
                  <c:v>42961</c:v>
                </c:pt>
                <c:pt idx="13">
                  <c:v>43052</c:v>
                </c:pt>
                <c:pt idx="14">
                  <c:v>43143</c:v>
                </c:pt>
                <c:pt idx="15">
                  <c:v>43234</c:v>
                </c:pt>
              </c:numCache>
            </c:numRef>
          </c:xVal>
          <c:yVal>
            <c:numRef>
              <c:f>Calculation!$J$5:$J$20</c:f>
              <c:numCache>
                <c:formatCode>0.0000%</c:formatCode>
                <c:ptCount val="16"/>
                <c:pt idx="0">
                  <c:v>4.1879269211031675E-3</c:v>
                </c:pt>
                <c:pt idx="1">
                  <c:v>3.9458995573697789E-3</c:v>
                </c:pt>
                <c:pt idx="2">
                  <c:v>4.1915013913278697E-3</c:v>
                </c:pt>
                <c:pt idx="3">
                  <c:v>4.3040534966577934E-3</c:v>
                </c:pt>
                <c:pt idx="4">
                  <c:v>4.2853444317501746E-3</c:v>
                </c:pt>
                <c:pt idx="5">
                  <c:v>4.7252308288055923E-3</c:v>
                </c:pt>
                <c:pt idx="6">
                  <c:v>4.9258549694669159E-3</c:v>
                </c:pt>
                <c:pt idx="7">
                  <c:v>4.930378929404333E-3</c:v>
                </c:pt>
                <c:pt idx="8">
                  <c:v>5.1133537280586309E-3</c:v>
                </c:pt>
                <c:pt idx="9">
                  <c:v>5.2706158371091131E-3</c:v>
                </c:pt>
                <c:pt idx="10">
                  <c:v>5.5995870896764117E-3</c:v>
                </c:pt>
                <c:pt idx="11">
                  <c:v>5.6069087393070668E-3</c:v>
                </c:pt>
                <c:pt idx="12">
                  <c:v>5.6827971051440929E-3</c:v>
                </c:pt>
                <c:pt idx="13">
                  <c:v>5.7006450284022223E-3</c:v>
                </c:pt>
                <c:pt idx="14">
                  <c:v>6.194770935671676E-3</c:v>
                </c:pt>
                <c:pt idx="15">
                  <c:v>6.2867607181189182E-3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Calculation!$K$5:$K$20</c:f>
              <c:numCache>
                <c:formatCode>ddd\,\ dd\-mmm\-yyyy</c:formatCode>
                <c:ptCount val="16"/>
                <c:pt idx="0">
                  <c:v>42597</c:v>
                </c:pt>
                <c:pt idx="1">
                  <c:v>42625</c:v>
                </c:pt>
                <c:pt idx="2">
                  <c:v>42655</c:v>
                </c:pt>
                <c:pt idx="3">
                  <c:v>42688</c:v>
                </c:pt>
                <c:pt idx="4">
                  <c:v>42716</c:v>
                </c:pt>
                <c:pt idx="5">
                  <c:v>42747</c:v>
                </c:pt>
                <c:pt idx="6">
                  <c:v>42779</c:v>
                </c:pt>
                <c:pt idx="7">
                  <c:v>42807</c:v>
                </c:pt>
                <c:pt idx="8">
                  <c:v>42837</c:v>
                </c:pt>
                <c:pt idx="9">
                  <c:v>42867</c:v>
                </c:pt>
                <c:pt idx="10">
                  <c:v>42898</c:v>
                </c:pt>
                <c:pt idx="11">
                  <c:v>42928</c:v>
                </c:pt>
                <c:pt idx="12">
                  <c:v>42961</c:v>
                </c:pt>
                <c:pt idx="13">
                  <c:v>43052</c:v>
                </c:pt>
                <c:pt idx="14">
                  <c:v>43143</c:v>
                </c:pt>
                <c:pt idx="15">
                  <c:v>43234</c:v>
                </c:pt>
              </c:numCache>
            </c:numRef>
          </c:xVal>
          <c:yVal>
            <c:numRef>
              <c:f>Calculation!$BN$5:$BN$20</c:f>
              <c:numCache>
                <c:formatCode>0.0000%</c:formatCode>
                <c:ptCount val="16"/>
                <c:pt idx="0">
                  <c:v>4.1879269211031675E-3</c:v>
                </c:pt>
                <c:pt idx="1">
                  <c:v>4.2449759008188256E-3</c:v>
                </c:pt>
                <c:pt idx="2">
                  <c:v>4.1915013913278697E-3</c:v>
                </c:pt>
                <c:pt idx="3">
                  <c:v>4.3040534966577934E-3</c:v>
                </c:pt>
                <c:pt idx="4">
                  <c:v>4.2853444317501746E-3</c:v>
                </c:pt>
                <c:pt idx="5">
                  <c:v>4.7252308288055923E-3</c:v>
                </c:pt>
                <c:pt idx="6">
                  <c:v>4.9258549694669159E-3</c:v>
                </c:pt>
                <c:pt idx="7">
                  <c:v>4.9018075325787018E-3</c:v>
                </c:pt>
                <c:pt idx="8">
                  <c:v>5.1133537280586309E-3</c:v>
                </c:pt>
                <c:pt idx="9">
                  <c:v>5.2706158371091131E-3</c:v>
                </c:pt>
                <c:pt idx="10">
                  <c:v>5.5995870896764117E-3</c:v>
                </c:pt>
                <c:pt idx="11">
                  <c:v>5.6069087393070668E-3</c:v>
                </c:pt>
                <c:pt idx="12">
                  <c:v>5.6827971051440921E-3</c:v>
                </c:pt>
                <c:pt idx="13">
                  <c:v>5.7006450284022223E-3</c:v>
                </c:pt>
                <c:pt idx="14">
                  <c:v>6.194770935671676E-3</c:v>
                </c:pt>
                <c:pt idx="15">
                  <c:v>6.2867607181189182E-3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693120"/>
        <c:axId val="442694656"/>
      </c:scatterChart>
      <c:valAx>
        <c:axId val="442693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2694656"/>
        <c:crosses val="autoZero"/>
        <c:crossBetween val="midCat"/>
      </c:valAx>
      <c:valAx>
        <c:axId val="442694656"/>
        <c:scaling>
          <c:orientation val="minMax"/>
          <c:max val="6.0000000000000019E-3"/>
          <c:min val="3.9000000000000011E-3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42693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42594</c:v>
                </c:pt>
                <c:pt idx="1">
                  <c:v>42597</c:v>
                </c:pt>
                <c:pt idx="2">
                  <c:v>42598</c:v>
                </c:pt>
                <c:pt idx="3">
                  <c:v>42599</c:v>
                </c:pt>
                <c:pt idx="4">
                  <c:v>42600</c:v>
                </c:pt>
                <c:pt idx="5">
                  <c:v>42601</c:v>
                </c:pt>
                <c:pt idx="6">
                  <c:v>42604</c:v>
                </c:pt>
                <c:pt idx="7">
                  <c:v>42605</c:v>
                </c:pt>
                <c:pt idx="8">
                  <c:v>42606</c:v>
                </c:pt>
                <c:pt idx="9">
                  <c:v>42607</c:v>
                </c:pt>
                <c:pt idx="10">
                  <c:v>42608</c:v>
                </c:pt>
                <c:pt idx="11">
                  <c:v>42611</c:v>
                </c:pt>
                <c:pt idx="12">
                  <c:v>42612</c:v>
                </c:pt>
                <c:pt idx="13">
                  <c:v>42613</c:v>
                </c:pt>
                <c:pt idx="14">
                  <c:v>42614</c:v>
                </c:pt>
                <c:pt idx="15">
                  <c:v>42615</c:v>
                </c:pt>
                <c:pt idx="16">
                  <c:v>42619</c:v>
                </c:pt>
                <c:pt idx="17">
                  <c:v>42620</c:v>
                </c:pt>
                <c:pt idx="18">
                  <c:v>42621</c:v>
                </c:pt>
                <c:pt idx="19">
                  <c:v>42622</c:v>
                </c:pt>
                <c:pt idx="20">
                  <c:v>42625</c:v>
                </c:pt>
                <c:pt idx="21">
                  <c:v>42626</c:v>
                </c:pt>
                <c:pt idx="22">
                  <c:v>42627</c:v>
                </c:pt>
                <c:pt idx="23">
                  <c:v>42628</c:v>
                </c:pt>
                <c:pt idx="24">
                  <c:v>42629</c:v>
                </c:pt>
                <c:pt idx="25">
                  <c:v>42632</c:v>
                </c:pt>
                <c:pt idx="26">
                  <c:v>42633</c:v>
                </c:pt>
                <c:pt idx="27">
                  <c:v>42634</c:v>
                </c:pt>
                <c:pt idx="28">
                  <c:v>42635</c:v>
                </c:pt>
                <c:pt idx="29">
                  <c:v>42636</c:v>
                </c:pt>
                <c:pt idx="30">
                  <c:v>42639</c:v>
                </c:pt>
                <c:pt idx="31">
                  <c:v>42640</c:v>
                </c:pt>
                <c:pt idx="32">
                  <c:v>42641</c:v>
                </c:pt>
                <c:pt idx="33">
                  <c:v>42642</c:v>
                </c:pt>
                <c:pt idx="34">
                  <c:v>42643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42654</c:v>
                </c:pt>
                <c:pt idx="41">
                  <c:v>42655</c:v>
                </c:pt>
                <c:pt idx="42">
                  <c:v>42656</c:v>
                </c:pt>
                <c:pt idx="43">
                  <c:v>42657</c:v>
                </c:pt>
                <c:pt idx="44">
                  <c:v>42660</c:v>
                </c:pt>
                <c:pt idx="45">
                  <c:v>42661</c:v>
                </c:pt>
                <c:pt idx="46">
                  <c:v>42662</c:v>
                </c:pt>
                <c:pt idx="47">
                  <c:v>42663</c:v>
                </c:pt>
                <c:pt idx="48">
                  <c:v>42664</c:v>
                </c:pt>
                <c:pt idx="49">
                  <c:v>42667</c:v>
                </c:pt>
                <c:pt idx="50">
                  <c:v>42668</c:v>
                </c:pt>
                <c:pt idx="51">
                  <c:v>42669</c:v>
                </c:pt>
                <c:pt idx="52">
                  <c:v>42670</c:v>
                </c:pt>
                <c:pt idx="53">
                  <c:v>42671</c:v>
                </c:pt>
                <c:pt idx="54">
                  <c:v>42674</c:v>
                </c:pt>
                <c:pt idx="55">
                  <c:v>42675</c:v>
                </c:pt>
                <c:pt idx="56">
                  <c:v>42676</c:v>
                </c:pt>
                <c:pt idx="57">
                  <c:v>42677</c:v>
                </c:pt>
                <c:pt idx="58">
                  <c:v>42678</c:v>
                </c:pt>
                <c:pt idx="59">
                  <c:v>42681</c:v>
                </c:pt>
                <c:pt idx="60">
                  <c:v>42682</c:v>
                </c:pt>
                <c:pt idx="61">
                  <c:v>42683</c:v>
                </c:pt>
                <c:pt idx="62">
                  <c:v>42684</c:v>
                </c:pt>
                <c:pt idx="63">
                  <c:v>42688</c:v>
                </c:pt>
                <c:pt idx="64">
                  <c:v>42689</c:v>
                </c:pt>
                <c:pt idx="65">
                  <c:v>42690</c:v>
                </c:pt>
                <c:pt idx="66">
                  <c:v>42691</c:v>
                </c:pt>
                <c:pt idx="67">
                  <c:v>42692</c:v>
                </c:pt>
                <c:pt idx="68">
                  <c:v>42695</c:v>
                </c:pt>
                <c:pt idx="69">
                  <c:v>42696</c:v>
                </c:pt>
                <c:pt idx="70">
                  <c:v>42697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42731</c:v>
                </c:pt>
                <c:pt idx="93">
                  <c:v>42732</c:v>
                </c:pt>
                <c:pt idx="94">
                  <c:v>42733</c:v>
                </c:pt>
                <c:pt idx="95">
                  <c:v>42734</c:v>
                </c:pt>
                <c:pt idx="96">
                  <c:v>42738</c:v>
                </c:pt>
                <c:pt idx="97">
                  <c:v>42739</c:v>
                </c:pt>
                <c:pt idx="98">
                  <c:v>42740</c:v>
                </c:pt>
                <c:pt idx="99">
                  <c:v>42741</c:v>
                </c:pt>
                <c:pt idx="100">
                  <c:v>42744</c:v>
                </c:pt>
                <c:pt idx="101">
                  <c:v>42745</c:v>
                </c:pt>
                <c:pt idx="102">
                  <c:v>42746</c:v>
                </c:pt>
                <c:pt idx="103">
                  <c:v>42747</c:v>
                </c:pt>
                <c:pt idx="104">
                  <c:v>42748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42787</c:v>
                </c:pt>
                <c:pt idx="130">
                  <c:v>42788</c:v>
                </c:pt>
                <c:pt idx="131">
                  <c:v>42789</c:v>
                </c:pt>
                <c:pt idx="132">
                  <c:v>42790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42800</c:v>
                </c:pt>
                <c:pt idx="139">
                  <c:v>42801</c:v>
                </c:pt>
                <c:pt idx="140">
                  <c:v>42802</c:v>
                </c:pt>
                <c:pt idx="141">
                  <c:v>42803</c:v>
                </c:pt>
                <c:pt idx="142">
                  <c:v>42804</c:v>
                </c:pt>
                <c:pt idx="143">
                  <c:v>42807</c:v>
                </c:pt>
                <c:pt idx="144">
                  <c:v>42808</c:v>
                </c:pt>
                <c:pt idx="145">
                  <c:v>42809</c:v>
                </c:pt>
                <c:pt idx="146">
                  <c:v>42810</c:v>
                </c:pt>
                <c:pt idx="147">
                  <c:v>42811</c:v>
                </c:pt>
                <c:pt idx="148">
                  <c:v>42814</c:v>
                </c:pt>
                <c:pt idx="149">
                  <c:v>42815</c:v>
                </c:pt>
                <c:pt idx="150">
                  <c:v>42816</c:v>
                </c:pt>
                <c:pt idx="151">
                  <c:v>42817</c:v>
                </c:pt>
                <c:pt idx="152">
                  <c:v>42818</c:v>
                </c:pt>
                <c:pt idx="153">
                  <c:v>42821</c:v>
                </c:pt>
                <c:pt idx="154">
                  <c:v>42822</c:v>
                </c:pt>
                <c:pt idx="155">
                  <c:v>42823</c:v>
                </c:pt>
                <c:pt idx="156">
                  <c:v>42824</c:v>
                </c:pt>
                <c:pt idx="157">
                  <c:v>42825</c:v>
                </c:pt>
                <c:pt idx="158">
                  <c:v>42828</c:v>
                </c:pt>
                <c:pt idx="159">
                  <c:v>42829</c:v>
                </c:pt>
                <c:pt idx="160">
                  <c:v>42830</c:v>
                </c:pt>
                <c:pt idx="161">
                  <c:v>42831</c:v>
                </c:pt>
                <c:pt idx="162">
                  <c:v>42832</c:v>
                </c:pt>
                <c:pt idx="163">
                  <c:v>42835</c:v>
                </c:pt>
                <c:pt idx="164">
                  <c:v>42836</c:v>
                </c:pt>
                <c:pt idx="165">
                  <c:v>42837</c:v>
                </c:pt>
                <c:pt idx="166">
                  <c:v>42838</c:v>
                </c:pt>
                <c:pt idx="167">
                  <c:v>42839</c:v>
                </c:pt>
                <c:pt idx="168">
                  <c:v>42842</c:v>
                </c:pt>
                <c:pt idx="169">
                  <c:v>42843</c:v>
                </c:pt>
                <c:pt idx="170">
                  <c:v>42844</c:v>
                </c:pt>
                <c:pt idx="171">
                  <c:v>42845</c:v>
                </c:pt>
                <c:pt idx="172">
                  <c:v>42846</c:v>
                </c:pt>
                <c:pt idx="173">
                  <c:v>42849</c:v>
                </c:pt>
                <c:pt idx="174">
                  <c:v>42850</c:v>
                </c:pt>
                <c:pt idx="175">
                  <c:v>42851</c:v>
                </c:pt>
                <c:pt idx="176">
                  <c:v>42852</c:v>
                </c:pt>
                <c:pt idx="177">
                  <c:v>42853</c:v>
                </c:pt>
                <c:pt idx="178">
                  <c:v>42856</c:v>
                </c:pt>
                <c:pt idx="179">
                  <c:v>42857</c:v>
                </c:pt>
                <c:pt idx="180">
                  <c:v>42858</c:v>
                </c:pt>
                <c:pt idx="181">
                  <c:v>42859</c:v>
                </c:pt>
                <c:pt idx="182">
                  <c:v>42860</c:v>
                </c:pt>
                <c:pt idx="183">
                  <c:v>42863</c:v>
                </c:pt>
                <c:pt idx="184">
                  <c:v>42864</c:v>
                </c:pt>
                <c:pt idx="185">
                  <c:v>42865</c:v>
                </c:pt>
                <c:pt idx="186">
                  <c:v>42866</c:v>
                </c:pt>
                <c:pt idx="187">
                  <c:v>42867</c:v>
                </c:pt>
                <c:pt idx="188">
                  <c:v>42870</c:v>
                </c:pt>
                <c:pt idx="189">
                  <c:v>42871</c:v>
                </c:pt>
                <c:pt idx="190">
                  <c:v>42872</c:v>
                </c:pt>
                <c:pt idx="191">
                  <c:v>42873</c:v>
                </c:pt>
                <c:pt idx="192">
                  <c:v>42874</c:v>
                </c:pt>
                <c:pt idx="193">
                  <c:v>42877</c:v>
                </c:pt>
                <c:pt idx="194">
                  <c:v>42878</c:v>
                </c:pt>
                <c:pt idx="195">
                  <c:v>42879</c:v>
                </c:pt>
                <c:pt idx="196">
                  <c:v>42880</c:v>
                </c:pt>
                <c:pt idx="197">
                  <c:v>42881</c:v>
                </c:pt>
                <c:pt idx="198">
                  <c:v>42885</c:v>
                </c:pt>
                <c:pt idx="199">
                  <c:v>42886</c:v>
                </c:pt>
                <c:pt idx="200">
                  <c:v>42887</c:v>
                </c:pt>
                <c:pt idx="201">
                  <c:v>42888</c:v>
                </c:pt>
                <c:pt idx="202">
                  <c:v>42891</c:v>
                </c:pt>
                <c:pt idx="203">
                  <c:v>42892</c:v>
                </c:pt>
                <c:pt idx="204">
                  <c:v>42893</c:v>
                </c:pt>
                <c:pt idx="205">
                  <c:v>42894</c:v>
                </c:pt>
                <c:pt idx="206">
                  <c:v>42895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42905</c:v>
                </c:pt>
                <c:pt idx="213">
                  <c:v>42906</c:v>
                </c:pt>
                <c:pt idx="214">
                  <c:v>42907</c:v>
                </c:pt>
                <c:pt idx="215">
                  <c:v>42908</c:v>
                </c:pt>
                <c:pt idx="216">
                  <c:v>42909</c:v>
                </c:pt>
                <c:pt idx="217">
                  <c:v>42912</c:v>
                </c:pt>
                <c:pt idx="218">
                  <c:v>42913</c:v>
                </c:pt>
                <c:pt idx="219">
                  <c:v>42914</c:v>
                </c:pt>
                <c:pt idx="220">
                  <c:v>42915</c:v>
                </c:pt>
                <c:pt idx="221">
                  <c:v>42916</c:v>
                </c:pt>
                <c:pt idx="222">
                  <c:v>42919</c:v>
                </c:pt>
                <c:pt idx="223">
                  <c:v>42921</c:v>
                </c:pt>
                <c:pt idx="224">
                  <c:v>42922</c:v>
                </c:pt>
                <c:pt idx="225">
                  <c:v>42923</c:v>
                </c:pt>
                <c:pt idx="226">
                  <c:v>42926</c:v>
                </c:pt>
                <c:pt idx="227">
                  <c:v>42927</c:v>
                </c:pt>
                <c:pt idx="228">
                  <c:v>42928</c:v>
                </c:pt>
                <c:pt idx="229">
                  <c:v>42929</c:v>
                </c:pt>
                <c:pt idx="230">
                  <c:v>42930</c:v>
                </c:pt>
                <c:pt idx="231">
                  <c:v>42933</c:v>
                </c:pt>
                <c:pt idx="232">
                  <c:v>42934</c:v>
                </c:pt>
                <c:pt idx="233">
                  <c:v>42935</c:v>
                </c:pt>
                <c:pt idx="234">
                  <c:v>42936</c:v>
                </c:pt>
                <c:pt idx="235">
                  <c:v>42937</c:v>
                </c:pt>
                <c:pt idx="236">
                  <c:v>42940</c:v>
                </c:pt>
                <c:pt idx="237">
                  <c:v>42941</c:v>
                </c:pt>
                <c:pt idx="238">
                  <c:v>42942</c:v>
                </c:pt>
                <c:pt idx="239">
                  <c:v>42943</c:v>
                </c:pt>
                <c:pt idx="240">
                  <c:v>42944</c:v>
                </c:pt>
                <c:pt idx="241">
                  <c:v>42947</c:v>
                </c:pt>
                <c:pt idx="242">
                  <c:v>42948</c:v>
                </c:pt>
                <c:pt idx="243">
                  <c:v>42949</c:v>
                </c:pt>
                <c:pt idx="244">
                  <c:v>42950</c:v>
                </c:pt>
                <c:pt idx="245">
                  <c:v>42951</c:v>
                </c:pt>
                <c:pt idx="246">
                  <c:v>42954</c:v>
                </c:pt>
                <c:pt idx="247">
                  <c:v>42955</c:v>
                </c:pt>
                <c:pt idx="248">
                  <c:v>42956</c:v>
                </c:pt>
                <c:pt idx="249">
                  <c:v>42957</c:v>
                </c:pt>
                <c:pt idx="250">
                  <c:v>42958</c:v>
                </c:pt>
                <c:pt idx="251">
                  <c:v>42961</c:v>
                </c:pt>
                <c:pt idx="252">
                  <c:v>42962</c:v>
                </c:pt>
                <c:pt idx="253">
                  <c:v>42963</c:v>
                </c:pt>
                <c:pt idx="254">
                  <c:v>42964</c:v>
                </c:pt>
                <c:pt idx="255">
                  <c:v>42965</c:v>
                </c:pt>
                <c:pt idx="256">
                  <c:v>42968</c:v>
                </c:pt>
                <c:pt idx="257">
                  <c:v>42969</c:v>
                </c:pt>
                <c:pt idx="258">
                  <c:v>42970</c:v>
                </c:pt>
                <c:pt idx="259">
                  <c:v>42971</c:v>
                </c:pt>
                <c:pt idx="260">
                  <c:v>42972</c:v>
                </c:pt>
                <c:pt idx="261">
                  <c:v>42975</c:v>
                </c:pt>
                <c:pt idx="262">
                  <c:v>42976</c:v>
                </c:pt>
                <c:pt idx="263">
                  <c:v>42977</c:v>
                </c:pt>
                <c:pt idx="264">
                  <c:v>42978</c:v>
                </c:pt>
                <c:pt idx="265">
                  <c:v>42979</c:v>
                </c:pt>
                <c:pt idx="266">
                  <c:v>42983</c:v>
                </c:pt>
                <c:pt idx="267">
                  <c:v>42984</c:v>
                </c:pt>
                <c:pt idx="268">
                  <c:v>42985</c:v>
                </c:pt>
                <c:pt idx="269">
                  <c:v>42986</c:v>
                </c:pt>
                <c:pt idx="270">
                  <c:v>42989</c:v>
                </c:pt>
                <c:pt idx="271">
                  <c:v>42990</c:v>
                </c:pt>
                <c:pt idx="272">
                  <c:v>42991</c:v>
                </c:pt>
                <c:pt idx="273">
                  <c:v>42992</c:v>
                </c:pt>
                <c:pt idx="274">
                  <c:v>42993</c:v>
                </c:pt>
                <c:pt idx="275">
                  <c:v>42996</c:v>
                </c:pt>
                <c:pt idx="276">
                  <c:v>42997</c:v>
                </c:pt>
                <c:pt idx="277">
                  <c:v>42998</c:v>
                </c:pt>
                <c:pt idx="278">
                  <c:v>42999</c:v>
                </c:pt>
                <c:pt idx="279">
                  <c:v>43000</c:v>
                </c:pt>
                <c:pt idx="280">
                  <c:v>43003</c:v>
                </c:pt>
                <c:pt idx="281">
                  <c:v>43004</c:v>
                </c:pt>
                <c:pt idx="282">
                  <c:v>43005</c:v>
                </c:pt>
                <c:pt idx="283">
                  <c:v>43006</c:v>
                </c:pt>
                <c:pt idx="284">
                  <c:v>43007</c:v>
                </c:pt>
                <c:pt idx="285">
                  <c:v>43010</c:v>
                </c:pt>
                <c:pt idx="286">
                  <c:v>43011</c:v>
                </c:pt>
                <c:pt idx="287">
                  <c:v>43012</c:v>
                </c:pt>
                <c:pt idx="288">
                  <c:v>43013</c:v>
                </c:pt>
                <c:pt idx="289">
                  <c:v>43014</c:v>
                </c:pt>
                <c:pt idx="290">
                  <c:v>43018</c:v>
                </c:pt>
                <c:pt idx="291">
                  <c:v>43019</c:v>
                </c:pt>
                <c:pt idx="292">
                  <c:v>43020</c:v>
                </c:pt>
                <c:pt idx="293">
                  <c:v>43021</c:v>
                </c:pt>
                <c:pt idx="294">
                  <c:v>43024</c:v>
                </c:pt>
                <c:pt idx="295">
                  <c:v>43025</c:v>
                </c:pt>
                <c:pt idx="296">
                  <c:v>43026</c:v>
                </c:pt>
                <c:pt idx="297">
                  <c:v>43027</c:v>
                </c:pt>
                <c:pt idx="298">
                  <c:v>43028</c:v>
                </c:pt>
                <c:pt idx="299">
                  <c:v>43031</c:v>
                </c:pt>
                <c:pt idx="300">
                  <c:v>43032</c:v>
                </c:pt>
                <c:pt idx="301">
                  <c:v>43033</c:v>
                </c:pt>
                <c:pt idx="302">
                  <c:v>43034</c:v>
                </c:pt>
                <c:pt idx="303">
                  <c:v>43035</c:v>
                </c:pt>
                <c:pt idx="304">
                  <c:v>43038</c:v>
                </c:pt>
                <c:pt idx="305">
                  <c:v>43039</c:v>
                </c:pt>
                <c:pt idx="306">
                  <c:v>43040</c:v>
                </c:pt>
                <c:pt idx="307">
                  <c:v>43041</c:v>
                </c:pt>
                <c:pt idx="308">
                  <c:v>43042</c:v>
                </c:pt>
                <c:pt idx="309">
                  <c:v>43045</c:v>
                </c:pt>
                <c:pt idx="310">
                  <c:v>43046</c:v>
                </c:pt>
                <c:pt idx="311">
                  <c:v>43047</c:v>
                </c:pt>
                <c:pt idx="312">
                  <c:v>43048</c:v>
                </c:pt>
                <c:pt idx="313">
                  <c:v>43052</c:v>
                </c:pt>
                <c:pt idx="314">
                  <c:v>43053</c:v>
                </c:pt>
                <c:pt idx="315">
                  <c:v>43054</c:v>
                </c:pt>
                <c:pt idx="316">
                  <c:v>43055</c:v>
                </c:pt>
                <c:pt idx="317">
                  <c:v>43056</c:v>
                </c:pt>
                <c:pt idx="318">
                  <c:v>43059</c:v>
                </c:pt>
                <c:pt idx="319">
                  <c:v>43060</c:v>
                </c:pt>
                <c:pt idx="320">
                  <c:v>43061</c:v>
                </c:pt>
                <c:pt idx="321">
                  <c:v>43063</c:v>
                </c:pt>
                <c:pt idx="322">
                  <c:v>43066</c:v>
                </c:pt>
                <c:pt idx="323">
                  <c:v>43067</c:v>
                </c:pt>
                <c:pt idx="324">
                  <c:v>43068</c:v>
                </c:pt>
                <c:pt idx="325">
                  <c:v>43069</c:v>
                </c:pt>
                <c:pt idx="326">
                  <c:v>43070</c:v>
                </c:pt>
                <c:pt idx="327">
                  <c:v>43073</c:v>
                </c:pt>
                <c:pt idx="328">
                  <c:v>43074</c:v>
                </c:pt>
                <c:pt idx="329">
                  <c:v>43075</c:v>
                </c:pt>
                <c:pt idx="330">
                  <c:v>43076</c:v>
                </c:pt>
                <c:pt idx="331">
                  <c:v>43077</c:v>
                </c:pt>
                <c:pt idx="332">
                  <c:v>43080</c:v>
                </c:pt>
                <c:pt idx="333">
                  <c:v>43081</c:v>
                </c:pt>
                <c:pt idx="334">
                  <c:v>43082</c:v>
                </c:pt>
                <c:pt idx="335">
                  <c:v>43083</c:v>
                </c:pt>
                <c:pt idx="336">
                  <c:v>43084</c:v>
                </c:pt>
                <c:pt idx="337">
                  <c:v>43087</c:v>
                </c:pt>
                <c:pt idx="338">
                  <c:v>43088</c:v>
                </c:pt>
                <c:pt idx="339">
                  <c:v>43089</c:v>
                </c:pt>
                <c:pt idx="340">
                  <c:v>43090</c:v>
                </c:pt>
                <c:pt idx="341">
                  <c:v>43091</c:v>
                </c:pt>
                <c:pt idx="342">
                  <c:v>43095</c:v>
                </c:pt>
                <c:pt idx="343">
                  <c:v>43096</c:v>
                </c:pt>
                <c:pt idx="344">
                  <c:v>43097</c:v>
                </c:pt>
                <c:pt idx="345">
                  <c:v>43098</c:v>
                </c:pt>
                <c:pt idx="346">
                  <c:v>43102</c:v>
                </c:pt>
                <c:pt idx="347">
                  <c:v>43103</c:v>
                </c:pt>
                <c:pt idx="348">
                  <c:v>43104</c:v>
                </c:pt>
                <c:pt idx="349">
                  <c:v>43105</c:v>
                </c:pt>
                <c:pt idx="350">
                  <c:v>43108</c:v>
                </c:pt>
                <c:pt idx="351">
                  <c:v>43109</c:v>
                </c:pt>
                <c:pt idx="352">
                  <c:v>43110</c:v>
                </c:pt>
                <c:pt idx="353">
                  <c:v>43111</c:v>
                </c:pt>
                <c:pt idx="354">
                  <c:v>43112</c:v>
                </c:pt>
                <c:pt idx="355">
                  <c:v>43116</c:v>
                </c:pt>
                <c:pt idx="356">
                  <c:v>43117</c:v>
                </c:pt>
                <c:pt idx="357">
                  <c:v>43118</c:v>
                </c:pt>
                <c:pt idx="358">
                  <c:v>43119</c:v>
                </c:pt>
                <c:pt idx="359">
                  <c:v>43122</c:v>
                </c:pt>
                <c:pt idx="360">
                  <c:v>43123</c:v>
                </c:pt>
                <c:pt idx="361">
                  <c:v>43124</c:v>
                </c:pt>
                <c:pt idx="362">
                  <c:v>43125</c:v>
                </c:pt>
                <c:pt idx="363">
                  <c:v>43126</c:v>
                </c:pt>
                <c:pt idx="364">
                  <c:v>43129</c:v>
                </c:pt>
                <c:pt idx="365">
                  <c:v>43130</c:v>
                </c:pt>
                <c:pt idx="366">
                  <c:v>43131</c:v>
                </c:pt>
                <c:pt idx="367">
                  <c:v>43132</c:v>
                </c:pt>
                <c:pt idx="368">
                  <c:v>43133</c:v>
                </c:pt>
                <c:pt idx="369">
                  <c:v>43136</c:v>
                </c:pt>
                <c:pt idx="370">
                  <c:v>43137</c:v>
                </c:pt>
                <c:pt idx="371">
                  <c:v>43138</c:v>
                </c:pt>
                <c:pt idx="372">
                  <c:v>43139</c:v>
                </c:pt>
                <c:pt idx="373">
                  <c:v>43140</c:v>
                </c:pt>
                <c:pt idx="374">
                  <c:v>43143</c:v>
                </c:pt>
                <c:pt idx="375">
                  <c:v>43144</c:v>
                </c:pt>
                <c:pt idx="376">
                  <c:v>43145</c:v>
                </c:pt>
                <c:pt idx="377">
                  <c:v>43146</c:v>
                </c:pt>
                <c:pt idx="378">
                  <c:v>43147</c:v>
                </c:pt>
                <c:pt idx="379">
                  <c:v>43151</c:v>
                </c:pt>
                <c:pt idx="380">
                  <c:v>43152</c:v>
                </c:pt>
                <c:pt idx="381">
                  <c:v>43153</c:v>
                </c:pt>
                <c:pt idx="382">
                  <c:v>43154</c:v>
                </c:pt>
                <c:pt idx="383">
                  <c:v>43157</c:v>
                </c:pt>
                <c:pt idx="384">
                  <c:v>43158</c:v>
                </c:pt>
                <c:pt idx="385">
                  <c:v>43159</c:v>
                </c:pt>
                <c:pt idx="386">
                  <c:v>43160</c:v>
                </c:pt>
                <c:pt idx="387">
                  <c:v>43161</c:v>
                </c:pt>
                <c:pt idx="388">
                  <c:v>43164</c:v>
                </c:pt>
                <c:pt idx="389">
                  <c:v>43165</c:v>
                </c:pt>
                <c:pt idx="390">
                  <c:v>43166</c:v>
                </c:pt>
                <c:pt idx="391">
                  <c:v>43167</c:v>
                </c:pt>
                <c:pt idx="392">
                  <c:v>43168</c:v>
                </c:pt>
                <c:pt idx="393">
                  <c:v>43171</c:v>
                </c:pt>
                <c:pt idx="394">
                  <c:v>43172</c:v>
                </c:pt>
                <c:pt idx="395">
                  <c:v>43173</c:v>
                </c:pt>
                <c:pt idx="396">
                  <c:v>43174</c:v>
                </c:pt>
                <c:pt idx="397">
                  <c:v>43175</c:v>
                </c:pt>
                <c:pt idx="398">
                  <c:v>43178</c:v>
                </c:pt>
                <c:pt idx="399">
                  <c:v>43179</c:v>
                </c:pt>
                <c:pt idx="400">
                  <c:v>43180</c:v>
                </c:pt>
                <c:pt idx="401">
                  <c:v>43181</c:v>
                </c:pt>
                <c:pt idx="402">
                  <c:v>43182</c:v>
                </c:pt>
                <c:pt idx="403">
                  <c:v>43185</c:v>
                </c:pt>
                <c:pt idx="404">
                  <c:v>43186</c:v>
                </c:pt>
                <c:pt idx="405">
                  <c:v>43187</c:v>
                </c:pt>
                <c:pt idx="406">
                  <c:v>43188</c:v>
                </c:pt>
                <c:pt idx="407">
                  <c:v>43189</c:v>
                </c:pt>
                <c:pt idx="408">
                  <c:v>43192</c:v>
                </c:pt>
                <c:pt idx="409">
                  <c:v>43193</c:v>
                </c:pt>
                <c:pt idx="410">
                  <c:v>43194</c:v>
                </c:pt>
                <c:pt idx="411">
                  <c:v>43195</c:v>
                </c:pt>
                <c:pt idx="412">
                  <c:v>43196</c:v>
                </c:pt>
                <c:pt idx="413">
                  <c:v>43199</c:v>
                </c:pt>
                <c:pt idx="414">
                  <c:v>43200</c:v>
                </c:pt>
                <c:pt idx="415">
                  <c:v>43201</c:v>
                </c:pt>
                <c:pt idx="416">
                  <c:v>43202</c:v>
                </c:pt>
                <c:pt idx="417">
                  <c:v>43203</c:v>
                </c:pt>
                <c:pt idx="418">
                  <c:v>43206</c:v>
                </c:pt>
                <c:pt idx="419">
                  <c:v>43207</c:v>
                </c:pt>
                <c:pt idx="420">
                  <c:v>43208</c:v>
                </c:pt>
                <c:pt idx="421">
                  <c:v>43209</c:v>
                </c:pt>
                <c:pt idx="422">
                  <c:v>43210</c:v>
                </c:pt>
                <c:pt idx="423">
                  <c:v>43213</c:v>
                </c:pt>
                <c:pt idx="424">
                  <c:v>43214</c:v>
                </c:pt>
                <c:pt idx="425">
                  <c:v>43215</c:v>
                </c:pt>
                <c:pt idx="426">
                  <c:v>43216</c:v>
                </c:pt>
                <c:pt idx="427">
                  <c:v>43217</c:v>
                </c:pt>
                <c:pt idx="428">
                  <c:v>43220</c:v>
                </c:pt>
                <c:pt idx="429">
                  <c:v>43221</c:v>
                </c:pt>
                <c:pt idx="430">
                  <c:v>43222</c:v>
                </c:pt>
                <c:pt idx="431">
                  <c:v>43223</c:v>
                </c:pt>
                <c:pt idx="432">
                  <c:v>43224</c:v>
                </c:pt>
                <c:pt idx="433">
                  <c:v>43227</c:v>
                </c:pt>
                <c:pt idx="434">
                  <c:v>43228</c:v>
                </c:pt>
                <c:pt idx="435">
                  <c:v>43229</c:v>
                </c:pt>
                <c:pt idx="436">
                  <c:v>43230</c:v>
                </c:pt>
                <c:pt idx="437">
                  <c:v>43231</c:v>
                </c:pt>
                <c:pt idx="438">
                  <c:v>43234</c:v>
                </c:pt>
                <c:pt idx="439">
                  <c:v>43235</c:v>
                </c:pt>
                <c:pt idx="440">
                  <c:v>43236</c:v>
                </c:pt>
                <c:pt idx="441">
                  <c:v>43237</c:v>
                </c:pt>
                <c:pt idx="442">
                  <c:v>43238</c:v>
                </c:pt>
                <c:pt idx="443">
                  <c:v>43241</c:v>
                </c:pt>
                <c:pt idx="444">
                  <c:v>43242</c:v>
                </c:pt>
                <c:pt idx="445">
                  <c:v>43243</c:v>
                </c:pt>
                <c:pt idx="446">
                  <c:v>43244</c:v>
                </c:pt>
                <c:pt idx="447">
                  <c:v>43245</c:v>
                </c:pt>
                <c:pt idx="448">
                  <c:v>43249</c:v>
                </c:pt>
                <c:pt idx="449">
                  <c:v>43250</c:v>
                </c:pt>
                <c:pt idx="450">
                  <c:v>43251</c:v>
                </c:pt>
                <c:pt idx="451">
                  <c:v>43252</c:v>
                </c:pt>
                <c:pt idx="452">
                  <c:v>43255</c:v>
                </c:pt>
                <c:pt idx="453">
                  <c:v>43256</c:v>
                </c:pt>
                <c:pt idx="454">
                  <c:v>43257</c:v>
                </c:pt>
                <c:pt idx="455">
                  <c:v>43258</c:v>
                </c:pt>
                <c:pt idx="456">
                  <c:v>43259</c:v>
                </c:pt>
                <c:pt idx="457">
                  <c:v>43262</c:v>
                </c:pt>
                <c:pt idx="458">
                  <c:v>43263</c:v>
                </c:pt>
                <c:pt idx="459">
                  <c:v>43264</c:v>
                </c:pt>
                <c:pt idx="460">
                  <c:v>43265</c:v>
                </c:pt>
                <c:pt idx="461">
                  <c:v>43266</c:v>
                </c:pt>
                <c:pt idx="462">
                  <c:v>43269</c:v>
                </c:pt>
                <c:pt idx="463">
                  <c:v>43270</c:v>
                </c:pt>
                <c:pt idx="464">
                  <c:v>43271</c:v>
                </c:pt>
                <c:pt idx="465">
                  <c:v>43272</c:v>
                </c:pt>
                <c:pt idx="466">
                  <c:v>43273</c:v>
                </c:pt>
                <c:pt idx="467">
                  <c:v>43276</c:v>
                </c:pt>
                <c:pt idx="468">
                  <c:v>43277</c:v>
                </c:pt>
                <c:pt idx="469">
                  <c:v>43278</c:v>
                </c:pt>
                <c:pt idx="470">
                  <c:v>43279</c:v>
                </c:pt>
                <c:pt idx="471">
                  <c:v>43280</c:v>
                </c:pt>
                <c:pt idx="472">
                  <c:v>43283</c:v>
                </c:pt>
                <c:pt idx="473">
                  <c:v>43284</c:v>
                </c:pt>
                <c:pt idx="474">
                  <c:v>43286</c:v>
                </c:pt>
                <c:pt idx="475">
                  <c:v>43287</c:v>
                </c:pt>
                <c:pt idx="476">
                  <c:v>43290</c:v>
                </c:pt>
                <c:pt idx="477">
                  <c:v>43291</c:v>
                </c:pt>
                <c:pt idx="478">
                  <c:v>43292</c:v>
                </c:pt>
                <c:pt idx="479">
                  <c:v>43293</c:v>
                </c:pt>
                <c:pt idx="480">
                  <c:v>43294</c:v>
                </c:pt>
                <c:pt idx="481">
                  <c:v>43297</c:v>
                </c:pt>
                <c:pt idx="482">
                  <c:v>43298</c:v>
                </c:pt>
                <c:pt idx="483">
                  <c:v>43299</c:v>
                </c:pt>
                <c:pt idx="484">
                  <c:v>43300</c:v>
                </c:pt>
                <c:pt idx="485">
                  <c:v>43301</c:v>
                </c:pt>
                <c:pt idx="486">
                  <c:v>43304</c:v>
                </c:pt>
                <c:pt idx="487">
                  <c:v>43305</c:v>
                </c:pt>
                <c:pt idx="488">
                  <c:v>43306</c:v>
                </c:pt>
                <c:pt idx="489">
                  <c:v>43307</c:v>
                </c:pt>
                <c:pt idx="490">
                  <c:v>43308</c:v>
                </c:pt>
                <c:pt idx="491">
                  <c:v>43311</c:v>
                </c:pt>
                <c:pt idx="492">
                  <c:v>43312</c:v>
                </c:pt>
                <c:pt idx="493">
                  <c:v>43313</c:v>
                </c:pt>
                <c:pt idx="494">
                  <c:v>43314</c:v>
                </c:pt>
                <c:pt idx="495">
                  <c:v>43315</c:v>
                </c:pt>
                <c:pt idx="496">
                  <c:v>43318</c:v>
                </c:pt>
                <c:pt idx="497">
                  <c:v>43319</c:v>
                </c:pt>
                <c:pt idx="498">
                  <c:v>43320</c:v>
                </c:pt>
                <c:pt idx="499">
                  <c:v>43321</c:v>
                </c:pt>
                <c:pt idx="500">
                  <c:v>43322</c:v>
                </c:pt>
                <c:pt idx="501">
                  <c:v>43325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4.2461666666604447E-3</c:v>
                </c:pt>
                <c:pt idx="1">
                  <c:v>4.0007256434715366E-3</c:v>
                </c:pt>
                <c:pt idx="2">
                  <c:v>4.0007256434715366E-3</c:v>
                </c:pt>
                <c:pt idx="3">
                  <c:v>4.0007256434715366E-3</c:v>
                </c:pt>
                <c:pt idx="4">
                  <c:v>4.0007256434715366E-3</c:v>
                </c:pt>
                <c:pt idx="5">
                  <c:v>4.0007694951826878E-3</c:v>
                </c:pt>
                <c:pt idx="6">
                  <c:v>4.0007256434715366E-3</c:v>
                </c:pt>
                <c:pt idx="7">
                  <c:v>4.0007256434715366E-3</c:v>
                </c:pt>
                <c:pt idx="8">
                  <c:v>4.0007256434715366E-3</c:v>
                </c:pt>
                <c:pt idx="9">
                  <c:v>4.0007256434715366E-3</c:v>
                </c:pt>
                <c:pt idx="10">
                  <c:v>4.0007914212611406E-3</c:v>
                </c:pt>
                <c:pt idx="11">
                  <c:v>4.0007256434715366E-3</c:v>
                </c:pt>
                <c:pt idx="12">
                  <c:v>4.0007256434715366E-3</c:v>
                </c:pt>
                <c:pt idx="13">
                  <c:v>4.0007256434715366E-3</c:v>
                </c:pt>
                <c:pt idx="14">
                  <c:v>4.0007256435525829E-3</c:v>
                </c:pt>
                <c:pt idx="15">
                  <c:v>4.0007694951556729E-3</c:v>
                </c:pt>
                <c:pt idx="16">
                  <c:v>4.0007256434715366E-3</c:v>
                </c:pt>
                <c:pt idx="17">
                  <c:v>4.0007256434715366E-3</c:v>
                </c:pt>
                <c:pt idx="18">
                  <c:v>4.0007256435525829E-3</c:v>
                </c:pt>
                <c:pt idx="19">
                  <c:v>4.0007694951556729E-3</c:v>
                </c:pt>
                <c:pt idx="20">
                  <c:v>4.2497414283770851E-3</c:v>
                </c:pt>
                <c:pt idx="21">
                  <c:v>4.2497414283770851E-3</c:v>
                </c:pt>
                <c:pt idx="22">
                  <c:v>4.2497414283770851E-3</c:v>
                </c:pt>
                <c:pt idx="23">
                  <c:v>4.2497414283770851E-3</c:v>
                </c:pt>
                <c:pt idx="24">
                  <c:v>4.2497909088604997E-3</c:v>
                </c:pt>
                <c:pt idx="25">
                  <c:v>4.2497414283770851E-3</c:v>
                </c:pt>
                <c:pt idx="26">
                  <c:v>4.2497414283770851E-3</c:v>
                </c:pt>
                <c:pt idx="27">
                  <c:v>4.2497414283770851E-3</c:v>
                </c:pt>
                <c:pt idx="28">
                  <c:v>4.2497414283770851E-3</c:v>
                </c:pt>
                <c:pt idx="29">
                  <c:v>4.2497909088604997E-3</c:v>
                </c:pt>
                <c:pt idx="30">
                  <c:v>4.2497414283770851E-3</c:v>
                </c:pt>
                <c:pt idx="31">
                  <c:v>4.2497414283770851E-3</c:v>
                </c:pt>
                <c:pt idx="32">
                  <c:v>4.2497414283770851E-3</c:v>
                </c:pt>
                <c:pt idx="33">
                  <c:v>4.2497414283770851E-3</c:v>
                </c:pt>
                <c:pt idx="34">
                  <c:v>4.2497909088604997E-3</c:v>
                </c:pt>
                <c:pt idx="35">
                  <c:v>4.2497414283770851E-3</c:v>
                </c:pt>
                <c:pt idx="36">
                  <c:v>4.2497414283770851E-3</c:v>
                </c:pt>
                <c:pt idx="37">
                  <c:v>4.2497414283770851E-3</c:v>
                </c:pt>
                <c:pt idx="38">
                  <c:v>4.2497414283770851E-3</c:v>
                </c:pt>
                <c:pt idx="39">
                  <c:v>4.2497909088604997E-3</c:v>
                </c:pt>
                <c:pt idx="40">
                  <c:v>4.2497414283770851E-3</c:v>
                </c:pt>
                <c:pt idx="41">
                  <c:v>4.3638581038807356E-3</c:v>
                </c:pt>
                <c:pt idx="42">
                  <c:v>4.3638581039617819E-3</c:v>
                </c:pt>
                <c:pt idx="43">
                  <c:v>4.3639102773969842E-3</c:v>
                </c:pt>
                <c:pt idx="44">
                  <c:v>4.3638581038807356E-3</c:v>
                </c:pt>
                <c:pt idx="45">
                  <c:v>4.3638581038807356E-3</c:v>
                </c:pt>
                <c:pt idx="46">
                  <c:v>4.3638581038807356E-3</c:v>
                </c:pt>
                <c:pt idx="47">
                  <c:v>4.3638581039617819E-3</c:v>
                </c:pt>
                <c:pt idx="48">
                  <c:v>4.3639102773969842E-3</c:v>
                </c:pt>
                <c:pt idx="49">
                  <c:v>4.3638581038807356E-3</c:v>
                </c:pt>
                <c:pt idx="50">
                  <c:v>4.3638581038807356E-3</c:v>
                </c:pt>
                <c:pt idx="51">
                  <c:v>4.3638581038807356E-3</c:v>
                </c:pt>
                <c:pt idx="52">
                  <c:v>4.3638581038807356E-3</c:v>
                </c:pt>
                <c:pt idx="53">
                  <c:v>4.3639102773969842E-3</c:v>
                </c:pt>
                <c:pt idx="54">
                  <c:v>4.3638581038807356E-3</c:v>
                </c:pt>
                <c:pt idx="55">
                  <c:v>4.3638581038807356E-3</c:v>
                </c:pt>
                <c:pt idx="56">
                  <c:v>4.3638581038807356E-3</c:v>
                </c:pt>
                <c:pt idx="57">
                  <c:v>4.3638581038807356E-3</c:v>
                </c:pt>
                <c:pt idx="58">
                  <c:v>4.3639102773969842E-3</c:v>
                </c:pt>
                <c:pt idx="59">
                  <c:v>4.3638581038807356E-3</c:v>
                </c:pt>
                <c:pt idx="60">
                  <c:v>4.3638581038807356E-3</c:v>
                </c:pt>
                <c:pt idx="61">
                  <c:v>4.3638581038807356E-3</c:v>
                </c:pt>
                <c:pt idx="62">
                  <c:v>4.3638581038807356E-3</c:v>
                </c:pt>
                <c:pt idx="63">
                  <c:v>4.3448889646191535E-3</c:v>
                </c:pt>
                <c:pt idx="64">
                  <c:v>4.3448889645381072E-3</c:v>
                </c:pt>
                <c:pt idx="65">
                  <c:v>4.3448889645381072E-3</c:v>
                </c:pt>
                <c:pt idx="66">
                  <c:v>4.3448889646191535E-3</c:v>
                </c:pt>
                <c:pt idx="67">
                  <c:v>4.3449406854919239E-3</c:v>
                </c:pt>
                <c:pt idx="68">
                  <c:v>4.3448889645381072E-3</c:v>
                </c:pt>
                <c:pt idx="69">
                  <c:v>4.3448889645381072E-3</c:v>
                </c:pt>
                <c:pt idx="70">
                  <c:v>4.3448889645381072E-3</c:v>
                </c:pt>
                <c:pt idx="71">
                  <c:v>4.3449406854919239E-3</c:v>
                </c:pt>
                <c:pt idx="72">
                  <c:v>4.3448889645381072E-3</c:v>
                </c:pt>
                <c:pt idx="73">
                  <c:v>4.3448889646191535E-3</c:v>
                </c:pt>
                <c:pt idx="74">
                  <c:v>4.3448889645381072E-3</c:v>
                </c:pt>
                <c:pt idx="75">
                  <c:v>4.3448889645381072E-3</c:v>
                </c:pt>
                <c:pt idx="76">
                  <c:v>4.3449406854919239E-3</c:v>
                </c:pt>
                <c:pt idx="77">
                  <c:v>4.3448889645381072E-3</c:v>
                </c:pt>
                <c:pt idx="78">
                  <c:v>4.3448889646191535E-3</c:v>
                </c:pt>
                <c:pt idx="79">
                  <c:v>4.3448889645381072E-3</c:v>
                </c:pt>
                <c:pt idx="80">
                  <c:v>4.3448889645381072E-3</c:v>
                </c:pt>
                <c:pt idx="81">
                  <c:v>4.3449406854649082E-3</c:v>
                </c:pt>
                <c:pt idx="82">
                  <c:v>4.7908904764748517E-3</c:v>
                </c:pt>
                <c:pt idx="83">
                  <c:v>4.7908904764748517E-3</c:v>
                </c:pt>
                <c:pt idx="84">
                  <c:v>4.7908904764748517E-3</c:v>
                </c:pt>
                <c:pt idx="85">
                  <c:v>4.7908904763938054E-3</c:v>
                </c:pt>
                <c:pt idx="86">
                  <c:v>4.7909533606623391E-3</c:v>
                </c:pt>
                <c:pt idx="87">
                  <c:v>4.7908904764748517E-3</c:v>
                </c:pt>
                <c:pt idx="88">
                  <c:v>4.7908904764748517E-3</c:v>
                </c:pt>
                <c:pt idx="89">
                  <c:v>4.7908904764748517E-3</c:v>
                </c:pt>
                <c:pt idx="90">
                  <c:v>4.7908904764748517E-3</c:v>
                </c:pt>
                <c:pt idx="91">
                  <c:v>4.7910162459412486E-3</c:v>
                </c:pt>
                <c:pt idx="92">
                  <c:v>4.7910162459412486E-3</c:v>
                </c:pt>
                <c:pt idx="93">
                  <c:v>4.7908904764748517E-3</c:v>
                </c:pt>
                <c:pt idx="94">
                  <c:v>4.7908904764748517E-3</c:v>
                </c:pt>
                <c:pt idx="95">
                  <c:v>4.7909848031613134E-3</c:v>
                </c:pt>
                <c:pt idx="96">
                  <c:v>4.7908904764748517E-3</c:v>
                </c:pt>
                <c:pt idx="97">
                  <c:v>4.7908904763938054E-3</c:v>
                </c:pt>
                <c:pt idx="98">
                  <c:v>4.7908904764748517E-3</c:v>
                </c:pt>
                <c:pt idx="99">
                  <c:v>4.7909533606353234E-3</c:v>
                </c:pt>
                <c:pt idx="100">
                  <c:v>4.7908904764748517E-3</c:v>
                </c:pt>
                <c:pt idx="101">
                  <c:v>4.7908904764748517E-3</c:v>
                </c:pt>
                <c:pt idx="102">
                  <c:v>4.7908904763938054E-3</c:v>
                </c:pt>
                <c:pt idx="103">
                  <c:v>4.9943037900923581E-3</c:v>
                </c:pt>
                <c:pt idx="104">
                  <c:v>4.994372127586911E-3</c:v>
                </c:pt>
                <c:pt idx="105">
                  <c:v>4.9943037900923581E-3</c:v>
                </c:pt>
                <c:pt idx="106">
                  <c:v>4.9943037900923581E-3</c:v>
                </c:pt>
                <c:pt idx="107">
                  <c:v>4.9943037900923581E-3</c:v>
                </c:pt>
                <c:pt idx="108">
                  <c:v>4.994372127586911E-3</c:v>
                </c:pt>
                <c:pt idx="109">
                  <c:v>4.9943037900923581E-3</c:v>
                </c:pt>
                <c:pt idx="110">
                  <c:v>4.9943037900923581E-3</c:v>
                </c:pt>
                <c:pt idx="111">
                  <c:v>4.9943037900923581E-3</c:v>
                </c:pt>
                <c:pt idx="112">
                  <c:v>4.9943037900923581E-3</c:v>
                </c:pt>
                <c:pt idx="113">
                  <c:v>4.994372127586911E-3</c:v>
                </c:pt>
                <c:pt idx="114">
                  <c:v>4.9943037900923581E-3</c:v>
                </c:pt>
                <c:pt idx="115">
                  <c:v>4.9943037900923581E-3</c:v>
                </c:pt>
                <c:pt idx="116">
                  <c:v>4.9943037900923581E-3</c:v>
                </c:pt>
                <c:pt idx="117">
                  <c:v>4.9943037900923581E-3</c:v>
                </c:pt>
                <c:pt idx="118">
                  <c:v>4.994372127586911E-3</c:v>
                </c:pt>
                <c:pt idx="119">
                  <c:v>4.9943037900923581E-3</c:v>
                </c:pt>
                <c:pt idx="120">
                  <c:v>4.9943037900923581E-3</c:v>
                </c:pt>
                <c:pt idx="121">
                  <c:v>4.9943037900923581E-3</c:v>
                </c:pt>
                <c:pt idx="122">
                  <c:v>4.9943037900923581E-3</c:v>
                </c:pt>
                <c:pt idx="123">
                  <c:v>4.994372127586911E-3</c:v>
                </c:pt>
                <c:pt idx="124">
                  <c:v>4.9699220282151124E-3</c:v>
                </c:pt>
                <c:pt idx="125">
                  <c:v>4.9699220282151124E-3</c:v>
                </c:pt>
                <c:pt idx="126">
                  <c:v>4.9699220282151124E-3</c:v>
                </c:pt>
                <c:pt idx="127">
                  <c:v>4.9699220282151124E-3</c:v>
                </c:pt>
                <c:pt idx="128">
                  <c:v>4.969989700103576E-3</c:v>
                </c:pt>
                <c:pt idx="129">
                  <c:v>4.9699220282151124E-3</c:v>
                </c:pt>
                <c:pt idx="130">
                  <c:v>4.9699220282151124E-3</c:v>
                </c:pt>
                <c:pt idx="131">
                  <c:v>4.9699220282151124E-3</c:v>
                </c:pt>
                <c:pt idx="132">
                  <c:v>4.969989700103576E-3</c:v>
                </c:pt>
                <c:pt idx="133">
                  <c:v>4.9699220282961587E-3</c:v>
                </c:pt>
                <c:pt idx="134">
                  <c:v>5.7810441835892679E-3</c:v>
                </c:pt>
                <c:pt idx="135">
                  <c:v>4.9699220282151124E-3</c:v>
                </c:pt>
                <c:pt idx="136">
                  <c:v>4.9699220282151124E-3</c:v>
                </c:pt>
                <c:pt idx="137">
                  <c:v>4.9699897001305917E-3</c:v>
                </c:pt>
                <c:pt idx="138">
                  <c:v>4.9699220282151124E-3</c:v>
                </c:pt>
                <c:pt idx="139">
                  <c:v>4.9699220282961587E-3</c:v>
                </c:pt>
                <c:pt idx="140">
                  <c:v>4.9699220282151124E-3</c:v>
                </c:pt>
                <c:pt idx="141">
                  <c:v>4.9699220282151124E-3</c:v>
                </c:pt>
                <c:pt idx="142">
                  <c:v>4.969989700103576E-3</c:v>
                </c:pt>
                <c:pt idx="143">
                  <c:v>5.1844093488162546E-3</c:v>
                </c:pt>
                <c:pt idx="144">
                  <c:v>5.1844093488162546E-3</c:v>
                </c:pt>
                <c:pt idx="145">
                  <c:v>5.1844093487352083E-3</c:v>
                </c:pt>
                <c:pt idx="146">
                  <c:v>5.1844093488162546E-3</c:v>
                </c:pt>
                <c:pt idx="147">
                  <c:v>5.1844829877911733E-3</c:v>
                </c:pt>
                <c:pt idx="148">
                  <c:v>5.1844093488162546E-3</c:v>
                </c:pt>
                <c:pt idx="149">
                  <c:v>5.1844093488162546E-3</c:v>
                </c:pt>
                <c:pt idx="150">
                  <c:v>5.1844093488162546E-3</c:v>
                </c:pt>
                <c:pt idx="151">
                  <c:v>5.1844093488162546E-3</c:v>
                </c:pt>
                <c:pt idx="152">
                  <c:v>5.1844829877911733E-3</c:v>
                </c:pt>
                <c:pt idx="153">
                  <c:v>5.1844093488162546E-3</c:v>
                </c:pt>
                <c:pt idx="154">
                  <c:v>5.1844093488162546E-3</c:v>
                </c:pt>
                <c:pt idx="155">
                  <c:v>5.1844093488162546E-3</c:v>
                </c:pt>
                <c:pt idx="156">
                  <c:v>5.1844093488162546E-3</c:v>
                </c:pt>
                <c:pt idx="157">
                  <c:v>5.1844829877911733E-3</c:v>
                </c:pt>
                <c:pt idx="158">
                  <c:v>5.1844093488162546E-3</c:v>
                </c:pt>
                <c:pt idx="159">
                  <c:v>5.1844093487352083E-3</c:v>
                </c:pt>
                <c:pt idx="160">
                  <c:v>5.1844093488162546E-3</c:v>
                </c:pt>
                <c:pt idx="161">
                  <c:v>5.1844093488162546E-3</c:v>
                </c:pt>
                <c:pt idx="162">
                  <c:v>5.1844829877641576E-3</c:v>
                </c:pt>
                <c:pt idx="163">
                  <c:v>5.1844093488162546E-3</c:v>
                </c:pt>
                <c:pt idx="164">
                  <c:v>5.1844093488162546E-3</c:v>
                </c:pt>
                <c:pt idx="165">
                  <c:v>5.3438579533970909E-3</c:v>
                </c:pt>
                <c:pt idx="166">
                  <c:v>5.3440144313965376E-3</c:v>
                </c:pt>
                <c:pt idx="167">
                  <c:v>5.1844093488162546E-3</c:v>
                </c:pt>
                <c:pt idx="168">
                  <c:v>5.3440144313965376E-3</c:v>
                </c:pt>
                <c:pt idx="169">
                  <c:v>5.3438579533970909E-3</c:v>
                </c:pt>
                <c:pt idx="170">
                  <c:v>5.3438579533970909E-3</c:v>
                </c:pt>
                <c:pt idx="171">
                  <c:v>5.3438579534781372E-3</c:v>
                </c:pt>
                <c:pt idx="172">
                  <c:v>5.3439361916133672E-3</c:v>
                </c:pt>
                <c:pt idx="173">
                  <c:v>5.3438579533970909E-3</c:v>
                </c:pt>
                <c:pt idx="174">
                  <c:v>5.3438579533970909E-3</c:v>
                </c:pt>
                <c:pt idx="175">
                  <c:v>5.3438579533970909E-3</c:v>
                </c:pt>
                <c:pt idx="176">
                  <c:v>5.3438579533970909E-3</c:v>
                </c:pt>
                <c:pt idx="177">
                  <c:v>5.343975311329352E-3</c:v>
                </c:pt>
                <c:pt idx="178">
                  <c:v>5.3438579533970909E-3</c:v>
                </c:pt>
                <c:pt idx="179">
                  <c:v>5.3438579533970909E-3</c:v>
                </c:pt>
                <c:pt idx="180">
                  <c:v>5.3438579533970909E-3</c:v>
                </c:pt>
                <c:pt idx="181">
                  <c:v>5.3438579533970909E-3</c:v>
                </c:pt>
                <c:pt idx="182">
                  <c:v>5.3439361916133672E-3</c:v>
                </c:pt>
                <c:pt idx="183">
                  <c:v>5.3438579534781372E-3</c:v>
                </c:pt>
                <c:pt idx="184">
                  <c:v>5.3438579533160446E-3</c:v>
                </c:pt>
                <c:pt idx="185">
                  <c:v>5.3438579533970909E-3</c:v>
                </c:pt>
                <c:pt idx="186">
                  <c:v>5.3438579533970909E-3</c:v>
                </c:pt>
                <c:pt idx="187">
                  <c:v>5.6774915965895909E-3</c:v>
                </c:pt>
                <c:pt idx="188">
                  <c:v>5.6774032867790147E-3</c:v>
                </c:pt>
                <c:pt idx="189">
                  <c:v>5.677403286860061E-3</c:v>
                </c:pt>
                <c:pt idx="190">
                  <c:v>5.6774032867790147E-3</c:v>
                </c:pt>
                <c:pt idx="191">
                  <c:v>5.6774032867790147E-3</c:v>
                </c:pt>
                <c:pt idx="192">
                  <c:v>5.6774915965895909E-3</c:v>
                </c:pt>
                <c:pt idx="193">
                  <c:v>5.6774032867790147E-3</c:v>
                </c:pt>
                <c:pt idx="194">
                  <c:v>5.6774032867790147E-3</c:v>
                </c:pt>
                <c:pt idx="195">
                  <c:v>5.6774032867790147E-3</c:v>
                </c:pt>
                <c:pt idx="196">
                  <c:v>5.677403286860061E-3</c:v>
                </c:pt>
                <c:pt idx="197">
                  <c:v>5.6775357521635095E-3</c:v>
                </c:pt>
                <c:pt idx="198">
                  <c:v>5.6774032867790147E-3</c:v>
                </c:pt>
                <c:pt idx="199">
                  <c:v>5.677403286860061E-3</c:v>
                </c:pt>
                <c:pt idx="200">
                  <c:v>5.6774032867790147E-3</c:v>
                </c:pt>
                <c:pt idx="201">
                  <c:v>5.6774915965895909E-3</c:v>
                </c:pt>
                <c:pt idx="202">
                  <c:v>5.6774032867790147E-3</c:v>
                </c:pt>
                <c:pt idx="203">
                  <c:v>5.677403286860061E-3</c:v>
                </c:pt>
                <c:pt idx="204">
                  <c:v>5.6774032867790147E-3</c:v>
                </c:pt>
                <c:pt idx="205">
                  <c:v>5.6774032867790147E-3</c:v>
                </c:pt>
                <c:pt idx="206">
                  <c:v>5.6774915965895909E-3</c:v>
                </c:pt>
                <c:pt idx="207">
                  <c:v>5.6848267415354758E-3</c:v>
                </c:pt>
                <c:pt idx="208">
                  <c:v>5.6848267415354758E-3</c:v>
                </c:pt>
                <c:pt idx="209">
                  <c:v>5.6848267415354758E-3</c:v>
                </c:pt>
                <c:pt idx="210">
                  <c:v>5.6848267415354758E-3</c:v>
                </c:pt>
                <c:pt idx="211">
                  <c:v>5.6849152824360134E-3</c:v>
                </c:pt>
                <c:pt idx="212">
                  <c:v>5.6848267415354758E-3</c:v>
                </c:pt>
                <c:pt idx="213">
                  <c:v>5.6848267415354758E-3</c:v>
                </c:pt>
                <c:pt idx="214">
                  <c:v>5.6848267415354758E-3</c:v>
                </c:pt>
                <c:pt idx="215">
                  <c:v>5.6848267416165221E-3</c:v>
                </c:pt>
                <c:pt idx="216">
                  <c:v>5.6849152824089986E-3</c:v>
                </c:pt>
                <c:pt idx="217">
                  <c:v>5.6848267415354758E-3</c:v>
                </c:pt>
                <c:pt idx="218">
                  <c:v>5.6848267415354758E-3</c:v>
                </c:pt>
                <c:pt idx="219">
                  <c:v>5.6848267415354758E-3</c:v>
                </c:pt>
                <c:pt idx="220">
                  <c:v>5.6848267415354758E-3</c:v>
                </c:pt>
                <c:pt idx="221">
                  <c:v>5.6849152824360134E-3</c:v>
                </c:pt>
                <c:pt idx="222">
                  <c:v>5.6848267415354758E-3</c:v>
                </c:pt>
                <c:pt idx="223">
                  <c:v>5.6848267415354758E-3</c:v>
                </c:pt>
                <c:pt idx="224">
                  <c:v>5.6848267416165221E-3</c:v>
                </c:pt>
                <c:pt idx="225">
                  <c:v>5.6849152824360134E-3</c:v>
                </c:pt>
                <c:pt idx="226">
                  <c:v>5.6848267415354758E-3</c:v>
                </c:pt>
                <c:pt idx="227">
                  <c:v>5.6848267415354758E-3</c:v>
                </c:pt>
                <c:pt idx="228">
                  <c:v>5.7617703189838387E-3</c:v>
                </c:pt>
                <c:pt idx="229">
                  <c:v>5.7617703189027925E-3</c:v>
                </c:pt>
                <c:pt idx="230">
                  <c:v>5.7618612728482796E-3</c:v>
                </c:pt>
                <c:pt idx="231">
                  <c:v>5.7617703189027925E-3</c:v>
                </c:pt>
                <c:pt idx="232">
                  <c:v>5.7617703189838387E-3</c:v>
                </c:pt>
                <c:pt idx="233">
                  <c:v>5.7617703189027925E-3</c:v>
                </c:pt>
                <c:pt idx="234">
                  <c:v>5.7617703189838387E-3</c:v>
                </c:pt>
                <c:pt idx="235">
                  <c:v>5.7618612728482796E-3</c:v>
                </c:pt>
                <c:pt idx="236">
                  <c:v>5.7617703189838387E-3</c:v>
                </c:pt>
                <c:pt idx="237">
                  <c:v>5.7617703189838387E-3</c:v>
                </c:pt>
                <c:pt idx="238">
                  <c:v>5.7617703189027925E-3</c:v>
                </c:pt>
                <c:pt idx="239">
                  <c:v>5.7617703189027925E-3</c:v>
                </c:pt>
                <c:pt idx="240">
                  <c:v>5.7618612728482796E-3</c:v>
                </c:pt>
                <c:pt idx="241">
                  <c:v>5.7617703189838387E-3</c:v>
                </c:pt>
                <c:pt idx="242">
                  <c:v>5.7617703189027925E-3</c:v>
                </c:pt>
                <c:pt idx="243">
                  <c:v>5.7617703189838387E-3</c:v>
                </c:pt>
                <c:pt idx="244">
                  <c:v>5.7617703189838387E-3</c:v>
                </c:pt>
                <c:pt idx="245">
                  <c:v>5.7618612728482796E-3</c:v>
                </c:pt>
                <c:pt idx="246">
                  <c:v>5.7617703189027925E-3</c:v>
                </c:pt>
                <c:pt idx="247">
                  <c:v>5.7617703189027925E-3</c:v>
                </c:pt>
                <c:pt idx="248">
                  <c:v>5.7617703189838387E-3</c:v>
                </c:pt>
                <c:pt idx="249">
                  <c:v>5.7617703189027925E-3</c:v>
                </c:pt>
                <c:pt idx="250">
                  <c:v>5.7618612728482796E-3</c:v>
                </c:pt>
                <c:pt idx="251">
                  <c:v>5.7798664161190505E-3</c:v>
                </c:pt>
                <c:pt idx="252">
                  <c:v>5.7798664161190505E-3</c:v>
                </c:pt>
                <c:pt idx="253">
                  <c:v>5.7798664161190505E-3</c:v>
                </c:pt>
                <c:pt idx="254">
                  <c:v>5.7798664161190505E-3</c:v>
                </c:pt>
                <c:pt idx="255">
                  <c:v>5.7799579422512801E-3</c:v>
                </c:pt>
                <c:pt idx="256">
                  <c:v>5.7798664161190505E-3</c:v>
                </c:pt>
                <c:pt idx="257">
                  <c:v>5.7798664161190505E-3</c:v>
                </c:pt>
                <c:pt idx="258">
                  <c:v>5.7798664161190505E-3</c:v>
                </c:pt>
                <c:pt idx="259">
                  <c:v>5.7798664161190505E-3</c:v>
                </c:pt>
                <c:pt idx="260">
                  <c:v>5.7800037060265486E-3</c:v>
                </c:pt>
                <c:pt idx="261">
                  <c:v>5.7798664161190505E-3</c:v>
                </c:pt>
                <c:pt idx="262">
                  <c:v>5.7798664161190505E-3</c:v>
                </c:pt>
                <c:pt idx="263">
                  <c:v>5.7798664161190505E-3</c:v>
                </c:pt>
                <c:pt idx="264">
                  <c:v>5.7798664162000968E-3</c:v>
                </c:pt>
                <c:pt idx="265">
                  <c:v>5.7799579422242644E-3</c:v>
                </c:pt>
                <c:pt idx="266">
                  <c:v>5.7798664162000968E-3</c:v>
                </c:pt>
                <c:pt idx="267">
                  <c:v>5.7798664161190505E-3</c:v>
                </c:pt>
                <c:pt idx="268">
                  <c:v>5.7798664161190505E-3</c:v>
                </c:pt>
                <c:pt idx="269">
                  <c:v>5.7799579422512801E-3</c:v>
                </c:pt>
                <c:pt idx="270">
                  <c:v>5.7798664161190505E-3</c:v>
                </c:pt>
                <c:pt idx="271">
                  <c:v>5.7798664161190505E-3</c:v>
                </c:pt>
                <c:pt idx="272">
                  <c:v>5.7798664161190505E-3</c:v>
                </c:pt>
                <c:pt idx="273">
                  <c:v>5.7798664161190505E-3</c:v>
                </c:pt>
                <c:pt idx="274">
                  <c:v>5.7799579422512801E-3</c:v>
                </c:pt>
                <c:pt idx="275">
                  <c:v>5.7798664161190505E-3</c:v>
                </c:pt>
                <c:pt idx="276">
                  <c:v>5.7798664161190505E-3</c:v>
                </c:pt>
                <c:pt idx="277">
                  <c:v>5.7798664162000968E-3</c:v>
                </c:pt>
                <c:pt idx="278">
                  <c:v>5.7798664161190505E-3</c:v>
                </c:pt>
                <c:pt idx="279">
                  <c:v>5.7799579422512801E-3</c:v>
                </c:pt>
                <c:pt idx="280">
                  <c:v>5.7798664161190505E-3</c:v>
                </c:pt>
                <c:pt idx="281">
                  <c:v>5.7798664161190505E-3</c:v>
                </c:pt>
                <c:pt idx="282">
                  <c:v>5.7798664161190505E-3</c:v>
                </c:pt>
                <c:pt idx="283">
                  <c:v>5.7798664161190505E-3</c:v>
                </c:pt>
                <c:pt idx="284">
                  <c:v>5.7799579422512801E-3</c:v>
                </c:pt>
                <c:pt idx="285">
                  <c:v>5.7798664161190505E-3</c:v>
                </c:pt>
                <c:pt idx="286">
                  <c:v>5.7798664161190505E-3</c:v>
                </c:pt>
                <c:pt idx="287">
                  <c:v>5.7798664161190505E-3</c:v>
                </c:pt>
                <c:pt idx="288">
                  <c:v>5.7798664161190505E-3</c:v>
                </c:pt>
                <c:pt idx="289">
                  <c:v>5.7799579422512801E-3</c:v>
                </c:pt>
                <c:pt idx="290">
                  <c:v>5.7798664161190505E-3</c:v>
                </c:pt>
                <c:pt idx="291">
                  <c:v>5.7798664161190505E-3</c:v>
                </c:pt>
                <c:pt idx="292">
                  <c:v>5.7798664161190505E-3</c:v>
                </c:pt>
                <c:pt idx="293">
                  <c:v>5.7799579422512801E-3</c:v>
                </c:pt>
                <c:pt idx="294">
                  <c:v>5.7798664161190505E-3</c:v>
                </c:pt>
                <c:pt idx="295">
                  <c:v>5.7798664161190505E-3</c:v>
                </c:pt>
                <c:pt idx="296">
                  <c:v>5.7798664161190505E-3</c:v>
                </c:pt>
                <c:pt idx="297">
                  <c:v>5.7798664162000968E-3</c:v>
                </c:pt>
                <c:pt idx="298">
                  <c:v>5.7799579422242644E-3</c:v>
                </c:pt>
                <c:pt idx="299">
                  <c:v>5.7798664161190505E-3</c:v>
                </c:pt>
                <c:pt idx="300">
                  <c:v>5.7798664161190505E-3</c:v>
                </c:pt>
                <c:pt idx="301">
                  <c:v>5.7798664161190505E-3</c:v>
                </c:pt>
                <c:pt idx="302">
                  <c:v>5.7798664161190505E-3</c:v>
                </c:pt>
                <c:pt idx="303">
                  <c:v>5.7799579422242644E-3</c:v>
                </c:pt>
                <c:pt idx="304">
                  <c:v>5.7798664161190505E-3</c:v>
                </c:pt>
                <c:pt idx="305">
                  <c:v>5.7798664161190505E-3</c:v>
                </c:pt>
                <c:pt idx="306">
                  <c:v>5.7798664161190505E-3</c:v>
                </c:pt>
                <c:pt idx="307">
                  <c:v>5.7798664161190505E-3</c:v>
                </c:pt>
                <c:pt idx="308">
                  <c:v>5.7799579422512801E-3</c:v>
                </c:pt>
                <c:pt idx="309">
                  <c:v>5.7798664161190505E-3</c:v>
                </c:pt>
                <c:pt idx="310">
                  <c:v>5.7798664161190505E-3</c:v>
                </c:pt>
                <c:pt idx="311">
                  <c:v>5.7798664161190505E-3</c:v>
                </c:pt>
                <c:pt idx="312">
                  <c:v>5.7798664161190505E-3</c:v>
                </c:pt>
                <c:pt idx="313">
                  <c:v>6.2808634603483959E-3</c:v>
                </c:pt>
                <c:pt idx="314">
                  <c:v>6.2808634603483959E-3</c:v>
                </c:pt>
                <c:pt idx="315">
                  <c:v>6.2808634603483959E-3</c:v>
                </c:pt>
                <c:pt idx="316">
                  <c:v>6.2808634603483959E-3</c:v>
                </c:pt>
                <c:pt idx="317">
                  <c:v>6.2809715410749875E-3</c:v>
                </c:pt>
                <c:pt idx="318">
                  <c:v>6.2808634603483959E-3</c:v>
                </c:pt>
                <c:pt idx="319">
                  <c:v>6.2808634602673497E-3</c:v>
                </c:pt>
                <c:pt idx="320">
                  <c:v>6.2808634603483959E-3</c:v>
                </c:pt>
                <c:pt idx="321">
                  <c:v>6.2809715410749875E-3</c:v>
                </c:pt>
                <c:pt idx="322">
                  <c:v>6.2808634603483959E-3</c:v>
                </c:pt>
                <c:pt idx="323">
                  <c:v>6.2808634603483959E-3</c:v>
                </c:pt>
                <c:pt idx="324">
                  <c:v>6.2808634602673497E-3</c:v>
                </c:pt>
                <c:pt idx="325">
                  <c:v>6.2808634603483959E-3</c:v>
                </c:pt>
                <c:pt idx="326">
                  <c:v>6.2809715411020024E-3</c:v>
                </c:pt>
                <c:pt idx="327">
                  <c:v>6.2808634603483959E-3</c:v>
                </c:pt>
                <c:pt idx="328">
                  <c:v>6.2808634603483959E-3</c:v>
                </c:pt>
                <c:pt idx="329">
                  <c:v>6.2808634603483959E-3</c:v>
                </c:pt>
                <c:pt idx="330">
                  <c:v>6.2808634603483959E-3</c:v>
                </c:pt>
                <c:pt idx="331">
                  <c:v>6.2809715410749875E-3</c:v>
                </c:pt>
                <c:pt idx="332">
                  <c:v>6.2808634603483959E-3</c:v>
                </c:pt>
                <c:pt idx="333">
                  <c:v>6.2808634603483959E-3</c:v>
                </c:pt>
                <c:pt idx="334">
                  <c:v>6.2808634603483959E-3</c:v>
                </c:pt>
                <c:pt idx="335">
                  <c:v>6.2808634603483959E-3</c:v>
                </c:pt>
                <c:pt idx="336">
                  <c:v>6.2809715410749875E-3</c:v>
                </c:pt>
                <c:pt idx="337">
                  <c:v>6.2808634603483959E-3</c:v>
                </c:pt>
                <c:pt idx="338">
                  <c:v>6.2808634603483959E-3</c:v>
                </c:pt>
                <c:pt idx="339">
                  <c:v>6.2808634603483959E-3</c:v>
                </c:pt>
                <c:pt idx="340">
                  <c:v>6.2808634603483959E-3</c:v>
                </c:pt>
                <c:pt idx="341">
                  <c:v>6.2810796242978029E-3</c:v>
                </c:pt>
                <c:pt idx="342">
                  <c:v>6.2810796242978029E-3</c:v>
                </c:pt>
                <c:pt idx="343">
                  <c:v>6.2808634604294422E-3</c:v>
                </c:pt>
                <c:pt idx="344">
                  <c:v>6.2808634603483959E-3</c:v>
                </c:pt>
                <c:pt idx="345">
                  <c:v>6.2810255823703143E-3</c:v>
                </c:pt>
                <c:pt idx="346">
                  <c:v>6.2808634603483959E-3</c:v>
                </c:pt>
                <c:pt idx="347">
                  <c:v>6.2808634603483959E-3</c:v>
                </c:pt>
                <c:pt idx="348">
                  <c:v>6.2808634603483959E-3</c:v>
                </c:pt>
                <c:pt idx="349">
                  <c:v>6.2809715410749875E-3</c:v>
                </c:pt>
                <c:pt idx="350">
                  <c:v>6.2808634603483959E-3</c:v>
                </c:pt>
                <c:pt idx="351">
                  <c:v>6.2808634603483959E-3</c:v>
                </c:pt>
                <c:pt idx="352">
                  <c:v>6.2808634603483959E-3</c:v>
                </c:pt>
                <c:pt idx="353">
                  <c:v>6.2808634603483959E-3</c:v>
                </c:pt>
                <c:pt idx="354">
                  <c:v>6.2809715410749875E-3</c:v>
                </c:pt>
                <c:pt idx="355">
                  <c:v>6.2808634603483959E-3</c:v>
                </c:pt>
                <c:pt idx="356">
                  <c:v>6.2808634603483959E-3</c:v>
                </c:pt>
                <c:pt idx="357">
                  <c:v>6.2808634603483959E-3</c:v>
                </c:pt>
                <c:pt idx="358">
                  <c:v>6.2809715410749875E-3</c:v>
                </c:pt>
                <c:pt idx="359">
                  <c:v>6.2808634603483959E-3</c:v>
                </c:pt>
                <c:pt idx="360">
                  <c:v>6.2808634603483959E-3</c:v>
                </c:pt>
                <c:pt idx="361">
                  <c:v>6.2808634603483959E-3</c:v>
                </c:pt>
                <c:pt idx="362">
                  <c:v>6.2808634602673497E-3</c:v>
                </c:pt>
                <c:pt idx="363">
                  <c:v>6.2809715410749875E-3</c:v>
                </c:pt>
                <c:pt idx="364">
                  <c:v>6.2808634603483959E-3</c:v>
                </c:pt>
                <c:pt idx="365">
                  <c:v>6.2808634603483959E-3</c:v>
                </c:pt>
                <c:pt idx="366">
                  <c:v>6.2808634603483959E-3</c:v>
                </c:pt>
                <c:pt idx="367">
                  <c:v>6.2808634603483959E-3</c:v>
                </c:pt>
                <c:pt idx="368">
                  <c:v>6.2809715410749875E-3</c:v>
                </c:pt>
                <c:pt idx="369">
                  <c:v>6.2808634603483959E-3</c:v>
                </c:pt>
                <c:pt idx="370">
                  <c:v>6.2808634603483959E-3</c:v>
                </c:pt>
                <c:pt idx="371">
                  <c:v>6.2808634603483959E-3</c:v>
                </c:pt>
                <c:pt idx="372">
                  <c:v>6.2808634603483959E-3</c:v>
                </c:pt>
                <c:pt idx="373">
                  <c:v>6.2809715410749875E-3</c:v>
                </c:pt>
                <c:pt idx="374">
                  <c:v>6.3741324955202128E-3</c:v>
                </c:pt>
                <c:pt idx="375">
                  <c:v>6.3741324955202128E-3</c:v>
                </c:pt>
                <c:pt idx="376">
                  <c:v>6.3741324955202128E-3</c:v>
                </c:pt>
                <c:pt idx="377">
                  <c:v>6.3741324955202128E-3</c:v>
                </c:pt>
                <c:pt idx="378">
                  <c:v>6.3742438100204231E-3</c:v>
                </c:pt>
                <c:pt idx="379">
                  <c:v>6.3741324955202128E-3</c:v>
                </c:pt>
                <c:pt idx="380">
                  <c:v>6.3741324955202128E-3</c:v>
                </c:pt>
                <c:pt idx="381">
                  <c:v>6.3741324955202128E-3</c:v>
                </c:pt>
                <c:pt idx="382">
                  <c:v>6.3742438100204231E-3</c:v>
                </c:pt>
                <c:pt idx="383">
                  <c:v>6.3741324955202128E-3</c:v>
                </c:pt>
                <c:pt idx="384">
                  <c:v>6.3741324955202128E-3</c:v>
                </c:pt>
                <c:pt idx="385">
                  <c:v>6.3741324955202128E-3</c:v>
                </c:pt>
                <c:pt idx="386">
                  <c:v>6.3741324954391665E-3</c:v>
                </c:pt>
                <c:pt idx="387">
                  <c:v>6.3742438100204231E-3</c:v>
                </c:pt>
                <c:pt idx="388">
                  <c:v>6.3741324955202128E-3</c:v>
                </c:pt>
                <c:pt idx="389">
                  <c:v>6.3741324955202128E-3</c:v>
                </c:pt>
                <c:pt idx="390">
                  <c:v>6.3741324955202128E-3</c:v>
                </c:pt>
                <c:pt idx="391">
                  <c:v>6.3741324954391665E-3</c:v>
                </c:pt>
                <c:pt idx="392">
                  <c:v>6.3742438100474388E-3</c:v>
                </c:pt>
                <c:pt idx="393">
                  <c:v>6.3741324954391665E-3</c:v>
                </c:pt>
                <c:pt idx="394">
                  <c:v>6.3741324954391665E-3</c:v>
                </c:pt>
                <c:pt idx="395">
                  <c:v>6.3741324955202128E-3</c:v>
                </c:pt>
                <c:pt idx="396">
                  <c:v>6.3741324954391665E-3</c:v>
                </c:pt>
                <c:pt idx="397">
                  <c:v>6.3742438100204231E-3</c:v>
                </c:pt>
                <c:pt idx="398">
                  <c:v>6.3741324954391665E-3</c:v>
                </c:pt>
                <c:pt idx="399">
                  <c:v>6.3741324954391665E-3</c:v>
                </c:pt>
                <c:pt idx="400">
                  <c:v>6.3741324955202128E-3</c:v>
                </c:pt>
                <c:pt idx="401">
                  <c:v>6.3741324955202128E-3</c:v>
                </c:pt>
                <c:pt idx="402">
                  <c:v>6.3742438100204231E-3</c:v>
                </c:pt>
                <c:pt idx="403">
                  <c:v>6.3741324955202128E-3</c:v>
                </c:pt>
                <c:pt idx="404">
                  <c:v>6.3741324954391665E-3</c:v>
                </c:pt>
                <c:pt idx="405">
                  <c:v>6.3741324955202128E-3</c:v>
                </c:pt>
                <c:pt idx="406">
                  <c:v>6.3743551271411292E-3</c:v>
                </c:pt>
                <c:pt idx="407">
                  <c:v>6.3741324955202128E-3</c:v>
                </c:pt>
                <c:pt idx="408">
                  <c:v>6.3743551271411292E-3</c:v>
                </c:pt>
                <c:pt idx="409">
                  <c:v>6.3741324955202128E-3</c:v>
                </c:pt>
                <c:pt idx="410">
                  <c:v>6.3741324954391665E-3</c:v>
                </c:pt>
                <c:pt idx="411">
                  <c:v>6.3741324955202128E-3</c:v>
                </c:pt>
                <c:pt idx="412">
                  <c:v>6.3742438100204231E-3</c:v>
                </c:pt>
                <c:pt idx="413">
                  <c:v>6.3741324954391665E-3</c:v>
                </c:pt>
                <c:pt idx="414">
                  <c:v>6.3741324955202128E-3</c:v>
                </c:pt>
                <c:pt idx="415">
                  <c:v>6.3741324954391665E-3</c:v>
                </c:pt>
                <c:pt idx="416">
                  <c:v>6.3741324955202128E-3</c:v>
                </c:pt>
                <c:pt idx="417">
                  <c:v>6.3742438100204231E-3</c:v>
                </c:pt>
                <c:pt idx="418">
                  <c:v>6.3741324955202128E-3</c:v>
                </c:pt>
                <c:pt idx="419">
                  <c:v>6.3741324955202128E-3</c:v>
                </c:pt>
                <c:pt idx="420">
                  <c:v>6.3741324955202128E-3</c:v>
                </c:pt>
                <c:pt idx="421">
                  <c:v>6.3741324955202128E-3</c:v>
                </c:pt>
                <c:pt idx="422">
                  <c:v>6.3742438100204231E-3</c:v>
                </c:pt>
                <c:pt idx="423">
                  <c:v>6.3741324955202128E-3</c:v>
                </c:pt>
                <c:pt idx="424">
                  <c:v>6.3741324955202128E-3</c:v>
                </c:pt>
                <c:pt idx="425">
                  <c:v>6.3741324954391665E-3</c:v>
                </c:pt>
                <c:pt idx="426">
                  <c:v>6.3741324955202128E-3</c:v>
                </c:pt>
                <c:pt idx="427">
                  <c:v>6.3742438100204231E-3</c:v>
                </c:pt>
                <c:pt idx="428">
                  <c:v>6.3741324954391665E-3</c:v>
                </c:pt>
                <c:pt idx="429">
                  <c:v>6.3741324955202128E-3</c:v>
                </c:pt>
                <c:pt idx="430">
                  <c:v>6.3741324955202128E-3</c:v>
                </c:pt>
                <c:pt idx="431">
                  <c:v>6.3741324955202128E-3</c:v>
                </c:pt>
                <c:pt idx="432">
                  <c:v>6.3742994682430831E-3</c:v>
                </c:pt>
                <c:pt idx="433">
                  <c:v>6.3741324955202128E-3</c:v>
                </c:pt>
                <c:pt idx="434">
                  <c:v>6.3741324955202128E-3</c:v>
                </c:pt>
                <c:pt idx="435">
                  <c:v>6.3741324954391665E-3</c:v>
                </c:pt>
                <c:pt idx="436">
                  <c:v>6.3741324955202128E-3</c:v>
                </c:pt>
                <c:pt idx="437">
                  <c:v>6.3742438100204231E-3</c:v>
                </c:pt>
                <c:pt idx="438">
                  <c:v>6.6694862835880997E-3</c:v>
                </c:pt>
                <c:pt idx="439">
                  <c:v>6.6694862835880997E-3</c:v>
                </c:pt>
                <c:pt idx="440">
                  <c:v>6.6694862835880997E-3</c:v>
                </c:pt>
                <c:pt idx="441">
                  <c:v>6.6694862835880997E-3</c:v>
                </c:pt>
                <c:pt idx="442">
                  <c:v>6.6696081529345665E-3</c:v>
                </c:pt>
                <c:pt idx="443">
                  <c:v>6.6694862835880997E-3</c:v>
                </c:pt>
                <c:pt idx="444">
                  <c:v>6.6694862835880997E-3</c:v>
                </c:pt>
                <c:pt idx="445">
                  <c:v>6.6694862835070534E-3</c:v>
                </c:pt>
                <c:pt idx="446">
                  <c:v>6.6694862835880997E-3</c:v>
                </c:pt>
                <c:pt idx="447">
                  <c:v>6.669669088742447E-3</c:v>
                </c:pt>
                <c:pt idx="448">
                  <c:v>6.6694862835880997E-3</c:v>
                </c:pt>
                <c:pt idx="449">
                  <c:v>6.6694862835070534E-3</c:v>
                </c:pt>
                <c:pt idx="450">
                  <c:v>6.6694862835880997E-3</c:v>
                </c:pt>
                <c:pt idx="451">
                  <c:v>6.6696081529615822E-3</c:v>
                </c:pt>
                <c:pt idx="452">
                  <c:v>6.6694862835880997E-3</c:v>
                </c:pt>
                <c:pt idx="453">
                  <c:v>6.6694862835880997E-3</c:v>
                </c:pt>
                <c:pt idx="454">
                  <c:v>6.6694862835880997E-3</c:v>
                </c:pt>
                <c:pt idx="455">
                  <c:v>6.6694862835880997E-3</c:v>
                </c:pt>
                <c:pt idx="456">
                  <c:v>6.6696081529345665E-3</c:v>
                </c:pt>
                <c:pt idx="457">
                  <c:v>6.6694862835880997E-3</c:v>
                </c:pt>
                <c:pt idx="458">
                  <c:v>6.6694862835880997E-3</c:v>
                </c:pt>
                <c:pt idx="459">
                  <c:v>6.6694862835880997E-3</c:v>
                </c:pt>
                <c:pt idx="460">
                  <c:v>6.6694862835880997E-3</c:v>
                </c:pt>
                <c:pt idx="461">
                  <c:v>6.6696081529345665E-3</c:v>
                </c:pt>
                <c:pt idx="462">
                  <c:v>6.6694862835880997E-3</c:v>
                </c:pt>
                <c:pt idx="463">
                  <c:v>6.6694862835880997E-3</c:v>
                </c:pt>
                <c:pt idx="464">
                  <c:v>6.6694862835880997E-3</c:v>
                </c:pt>
                <c:pt idx="465">
                  <c:v>6.6694862835070534E-3</c:v>
                </c:pt>
                <c:pt idx="466">
                  <c:v>6.6696081529615822E-3</c:v>
                </c:pt>
                <c:pt idx="467">
                  <c:v>6.6694862835880997E-3</c:v>
                </c:pt>
                <c:pt idx="468">
                  <c:v>6.6694862835880997E-3</c:v>
                </c:pt>
                <c:pt idx="469">
                  <c:v>6.6694862835880997E-3</c:v>
                </c:pt>
                <c:pt idx="470">
                  <c:v>6.6694862835880997E-3</c:v>
                </c:pt>
                <c:pt idx="471">
                  <c:v>6.6696081529345665E-3</c:v>
                </c:pt>
                <c:pt idx="472">
                  <c:v>6.6694862835880997E-3</c:v>
                </c:pt>
                <c:pt idx="473">
                  <c:v>6.6694862835070534E-3</c:v>
                </c:pt>
                <c:pt idx="474">
                  <c:v>6.6694862835880997E-3</c:v>
                </c:pt>
                <c:pt idx="475">
                  <c:v>6.6696081529345665E-3</c:v>
                </c:pt>
                <c:pt idx="476">
                  <c:v>6.6694862835880997E-3</c:v>
                </c:pt>
                <c:pt idx="477">
                  <c:v>6.6694862835880997E-3</c:v>
                </c:pt>
                <c:pt idx="478">
                  <c:v>6.6694862835880997E-3</c:v>
                </c:pt>
                <c:pt idx="479">
                  <c:v>6.6694862835880997E-3</c:v>
                </c:pt>
                <c:pt idx="480">
                  <c:v>6.6696081529615822E-3</c:v>
                </c:pt>
                <c:pt idx="481">
                  <c:v>6.6694862835880997E-3</c:v>
                </c:pt>
                <c:pt idx="482">
                  <c:v>6.6694862835880997E-3</c:v>
                </c:pt>
                <c:pt idx="483">
                  <c:v>6.6694862835880997E-3</c:v>
                </c:pt>
                <c:pt idx="484">
                  <c:v>6.6694862835070534E-3</c:v>
                </c:pt>
                <c:pt idx="485">
                  <c:v>6.6696081529615822E-3</c:v>
                </c:pt>
                <c:pt idx="486">
                  <c:v>6.6694862835070534E-3</c:v>
                </c:pt>
                <c:pt idx="487">
                  <c:v>6.6694862835880997E-3</c:v>
                </c:pt>
                <c:pt idx="488">
                  <c:v>6.6694862835880997E-3</c:v>
                </c:pt>
                <c:pt idx="489">
                  <c:v>6.6694862835070534E-3</c:v>
                </c:pt>
                <c:pt idx="490">
                  <c:v>6.6696081529345665E-3</c:v>
                </c:pt>
                <c:pt idx="491">
                  <c:v>6.6694862835880997E-3</c:v>
                </c:pt>
                <c:pt idx="492">
                  <c:v>6.6694862835880997E-3</c:v>
                </c:pt>
                <c:pt idx="493">
                  <c:v>6.6694862835880997E-3</c:v>
                </c:pt>
                <c:pt idx="494">
                  <c:v>6.6694862835880997E-3</c:v>
                </c:pt>
                <c:pt idx="495">
                  <c:v>6.6696081529345665E-3</c:v>
                </c:pt>
                <c:pt idx="496">
                  <c:v>6.6694862835880997E-3</c:v>
                </c:pt>
                <c:pt idx="497">
                  <c:v>6.6694862835880997E-3</c:v>
                </c:pt>
                <c:pt idx="498">
                  <c:v>6.6694862835880997E-3</c:v>
                </c:pt>
                <c:pt idx="499">
                  <c:v>6.6694862835880997E-3</c:v>
                </c:pt>
                <c:pt idx="500">
                  <c:v>6.6696081529615822E-3</c:v>
                </c:pt>
                <c:pt idx="501">
                  <c:v>6.6694862835880997E-3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09248"/>
        <c:axId val="442327424"/>
      </c:lineChart>
      <c:dateAx>
        <c:axId val="4423092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2327424"/>
        <c:crosses val="autoZero"/>
        <c:auto val="1"/>
        <c:lblOffset val="100"/>
        <c:baseTimeUnit val="days"/>
      </c:dateAx>
      <c:valAx>
        <c:axId val="44232742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42309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609599</xdr:colOff>
      <xdr:row>1</xdr:row>
      <xdr:rowOff>123825</xdr:rowOff>
    </xdr:from>
    <xdr:to>
      <xdr:col>83</xdr:col>
      <xdr:colOff>95249</xdr:colOff>
      <xdr:row>35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17</xdr:row>
      <xdr:rowOff>57150</xdr:rowOff>
    </xdr:from>
    <xdr:to>
      <xdr:col>12</xdr:col>
      <xdr:colOff>85725</xdr:colOff>
      <xdr:row>41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GBP\GBP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EUR\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>
        <row r="13">
          <cell r="I13" t="b">
            <v>1</v>
          </cell>
        </row>
        <row r="14">
          <cell r="I14" t="b">
            <v>0</v>
          </cell>
        </row>
        <row r="16">
          <cell r="I16">
            <v>1E-4</v>
          </cell>
        </row>
        <row r="18">
          <cell r="I18" t="str">
            <v>FRQ:1S</v>
          </cell>
        </row>
        <row r="23">
          <cell r="C23" t="str">
            <v>Reuters</v>
          </cell>
          <cell r="D23" t="str">
            <v/>
          </cell>
        </row>
        <row r="24">
          <cell r="C24" t="str">
            <v>KLIEM</v>
          </cell>
          <cell r="D24" t="str">
            <v>CKCC</v>
          </cell>
        </row>
        <row r="25">
          <cell r="C25" t="str">
            <v>ICAP</v>
          </cell>
          <cell r="D25" t="str">
            <v>ICAP</v>
          </cell>
        </row>
        <row r="26">
          <cell r="C26" t="str">
            <v>Tullets</v>
          </cell>
          <cell r="D26" t="str">
            <v>TTKL</v>
          </cell>
        </row>
        <row r="27">
          <cell r="C27" t="str">
            <v>Tradition</v>
          </cell>
          <cell r="D27" t="str">
            <v>TRIT</v>
          </cell>
        </row>
        <row r="28">
          <cell r="C28" t="str">
            <v>Prebon</v>
          </cell>
          <cell r="D28" t="str">
            <v>PREL</v>
          </cell>
        </row>
        <row r="29">
          <cell r="C29" t="str">
            <v>COSMOREX</v>
          </cell>
          <cell r="D29" t="str">
            <v>COSZ</v>
          </cell>
        </row>
        <row r="34">
          <cell r="C34" t="str">
            <v>Deposits</v>
          </cell>
          <cell r="D34"/>
        </row>
        <row r="35">
          <cell r="C35" t="str">
            <v>FRA</v>
          </cell>
          <cell r="D35" t="str">
            <v>ICAP</v>
          </cell>
        </row>
        <row r="36">
          <cell r="C36" t="str">
            <v>OIS</v>
          </cell>
          <cell r="D36" t="str">
            <v>ICAP</v>
          </cell>
        </row>
        <row r="37">
          <cell r="C37" t="str">
            <v>ECB OIS</v>
          </cell>
          <cell r="D37" t="str">
            <v>ICAP</v>
          </cell>
        </row>
        <row r="38">
          <cell r="C38" t="str">
            <v>IMM OIS</v>
          </cell>
          <cell r="D38" t="str">
            <v>ICAP</v>
          </cell>
        </row>
        <row r="39">
          <cell r="C39" t="str">
            <v>Swap1M(&lt;1Y)</v>
          </cell>
          <cell r="D39" t="str">
            <v>ICAP</v>
          </cell>
        </row>
        <row r="40">
          <cell r="C40" t="str">
            <v>Swap1M</v>
          </cell>
          <cell r="D40" t="str">
            <v>ICAP</v>
          </cell>
        </row>
        <row r="41">
          <cell r="C41" t="str">
            <v>Swap3M</v>
          </cell>
          <cell r="D41" t="str">
            <v>ICAP</v>
          </cell>
        </row>
        <row r="42">
          <cell r="C42" t="str">
            <v>Swap6M</v>
          </cell>
          <cell r="D42" t="str">
            <v>ICAP</v>
          </cell>
        </row>
        <row r="43">
          <cell r="C43" t="str">
            <v>FwdSwap6M</v>
          </cell>
          <cell r="D43" t="str">
            <v>ICAP</v>
          </cell>
        </row>
        <row r="44">
          <cell r="C44" t="str">
            <v>SwapIMM</v>
          </cell>
          <cell r="D44" t="str">
            <v>ICAP</v>
          </cell>
        </row>
        <row r="45">
          <cell r="C45" t="str">
            <v>ImmFra6M</v>
          </cell>
          <cell r="D45" t="str">
            <v>ICAP</v>
          </cell>
        </row>
        <row r="46">
          <cell r="C46" t="str">
            <v>BasisSwapEON3M</v>
          </cell>
          <cell r="D46" t="str">
            <v>ICAP</v>
          </cell>
        </row>
        <row r="47">
          <cell r="C47" t="str">
            <v>BasisSwap1MxM</v>
          </cell>
          <cell r="D47" t="str">
            <v>ICAP</v>
          </cell>
        </row>
        <row r="48">
          <cell r="C48" t="str">
            <v>BasisSwap3M6M</v>
          </cell>
          <cell r="D48" t="str">
            <v>ICAP</v>
          </cell>
        </row>
        <row r="49">
          <cell r="C49" t="str">
            <v>BasisSwapxM12M</v>
          </cell>
          <cell r="D49" t="str">
            <v>ICAP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  <sheetName val="EUR_Market"/>
    </sheetNames>
    <definedNames>
      <definedName name="TriggerCounter" refersTo="='General Settings'!$D$7"/>
    </definedNames>
    <sheetDataSet>
      <sheetData sheetId="0">
        <row r="7">
          <cell r="D7">
            <v>361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39" customWidth="1"/>
    <col min="3" max="3" width="20.28515625" style="39" bestFit="1" customWidth="1"/>
    <col min="4" max="4" width="27.5703125" style="39" bestFit="1" customWidth="1"/>
    <col min="5" max="7" width="2.7109375" style="39" customWidth="1"/>
    <col min="8" max="8" width="23.42578125" style="39" bestFit="1" customWidth="1"/>
    <col min="9" max="9" width="20.7109375" style="39" customWidth="1"/>
    <col min="10" max="12" width="2.7109375" style="39" customWidth="1"/>
    <col min="13" max="16384" width="7.140625" style="39"/>
  </cols>
  <sheetData>
    <row r="1" spans="2:10" x14ac:dyDescent="0.2">
      <c r="B1" s="39" t="str">
        <f>_xll.qlxlVersion(TRUE,EvaluationDate)</f>
        <v>QuantLibXL 1.7.0 - MS VC++ (version unknown) - Multithreaded Dynamic Runtime library - Release Configuration - Dec 17 2015 15:12:18</v>
      </c>
    </row>
    <row r="2" spans="2:10" ht="18.75" x14ac:dyDescent="0.2">
      <c r="B2" s="41" t="s">
        <v>6</v>
      </c>
      <c r="C2" s="41"/>
      <c r="D2" s="41"/>
      <c r="E2" s="42"/>
      <c r="G2" s="41" t="s">
        <v>82</v>
      </c>
      <c r="H2" s="41"/>
      <c r="I2" s="41"/>
      <c r="J2" s="42"/>
    </row>
    <row r="3" spans="2:10" x14ac:dyDescent="0.2">
      <c r="B3" s="1"/>
      <c r="C3" s="2"/>
      <c r="D3" s="3"/>
      <c r="E3" s="4"/>
      <c r="G3" s="52"/>
      <c r="H3" s="53"/>
      <c r="I3" s="53"/>
      <c r="J3" s="54"/>
    </row>
    <row r="4" spans="2:10" x14ac:dyDescent="0.2">
      <c r="B4" s="1"/>
      <c r="C4" s="43" t="s">
        <v>5</v>
      </c>
      <c r="D4" s="5" t="s">
        <v>94</v>
      </c>
      <c r="E4" s="4"/>
      <c r="G4" s="52"/>
      <c r="H4" s="58" t="s">
        <v>53</v>
      </c>
      <c r="I4" s="55">
        <f>_xll.qlSettingsEvaluationDate(Trigger)</f>
        <v>42592</v>
      </c>
      <c r="J4" s="54"/>
    </row>
    <row r="5" spans="2:10" x14ac:dyDescent="0.2">
      <c r="B5" s="1"/>
      <c r="C5" s="44" t="s">
        <v>19</v>
      </c>
      <c r="D5" s="6" t="s">
        <v>22</v>
      </c>
      <c r="E5" s="4"/>
      <c r="G5" s="52"/>
      <c r="H5" s="46" t="s">
        <v>41</v>
      </c>
      <c r="I5" s="29">
        <f>_xll.qlCalendarAdvance(Calendar,EvaluationDate,"2d","f",,Trigger)</f>
        <v>42594</v>
      </c>
      <c r="J5" s="54"/>
    </row>
    <row r="6" spans="2:10" x14ac:dyDescent="0.2">
      <c r="B6" s="30"/>
      <c r="C6" s="147" t="s">
        <v>56</v>
      </c>
      <c r="D6" s="148" t="s">
        <v>103</v>
      </c>
      <c r="E6" s="9"/>
      <c r="G6" s="64"/>
      <c r="H6" s="60"/>
      <c r="I6" s="60"/>
      <c r="J6" s="65"/>
    </row>
    <row r="7" spans="2:10" x14ac:dyDescent="0.2">
      <c r="B7" s="30"/>
      <c r="C7" s="66" t="s">
        <v>91</v>
      </c>
      <c r="D7" s="67" t="s">
        <v>93</v>
      </c>
      <c r="E7" s="9"/>
      <c r="G7" s="52"/>
      <c r="H7" s="58" t="s">
        <v>58</v>
      </c>
      <c r="I7" s="57"/>
      <c r="J7" s="54"/>
    </row>
    <row r="8" spans="2:10" x14ac:dyDescent="0.2">
      <c r="B8" s="1"/>
      <c r="C8" s="10"/>
      <c r="D8" s="10"/>
      <c r="E8" s="32"/>
      <c r="G8" s="52"/>
      <c r="H8" s="59" t="s">
        <v>54</v>
      </c>
      <c r="I8" s="56">
        <f>[2]!TriggerCounter</f>
        <v>361</v>
      </c>
      <c r="J8" s="54"/>
    </row>
    <row r="9" spans="2:10" x14ac:dyDescent="0.2">
      <c r="B9" s="1"/>
      <c r="C9" s="47" t="s">
        <v>11</v>
      </c>
      <c r="D9" s="50" t="str">
        <f>_xll.qlPiecewiseYieldCurve(,NDays,Calendar,_xll.ohPack(Calculation!A5:A129),DayCounter,,,Accuracy,TraitsID,InterpolatorID)</f>
        <v>obj_003a1#0028</v>
      </c>
      <c r="E9" s="4"/>
      <c r="G9" s="1"/>
      <c r="H9" s="45" t="s">
        <v>55</v>
      </c>
      <c r="I9" s="27">
        <f>_xll.ohTrigger(Contribution!M1)</f>
        <v>36</v>
      </c>
      <c r="J9" s="4"/>
    </row>
    <row r="10" spans="2:10" x14ac:dyDescent="0.2">
      <c r="B10" s="1"/>
      <c r="C10" s="48" t="s">
        <v>12</v>
      </c>
      <c r="D10" s="51"/>
      <c r="E10" s="4"/>
      <c r="G10" s="62"/>
      <c r="H10" s="61"/>
      <c r="I10" s="61"/>
      <c r="J10" s="63"/>
    </row>
    <row r="11" spans="2:10" x14ac:dyDescent="0.2">
      <c r="B11" s="1"/>
      <c r="C11" s="49" t="s">
        <v>8</v>
      </c>
      <c r="D11" s="11">
        <v>2</v>
      </c>
      <c r="E11" s="4"/>
    </row>
    <row r="12" spans="2:10" ht="18.75" x14ac:dyDescent="0.2">
      <c r="B12" s="1"/>
      <c r="C12" s="49" t="s">
        <v>4</v>
      </c>
      <c r="D12" s="12" t="s">
        <v>104</v>
      </c>
      <c r="E12" s="4"/>
      <c r="G12" s="41" t="s">
        <v>90</v>
      </c>
      <c r="H12" s="41"/>
      <c r="I12" s="41"/>
      <c r="J12" s="42"/>
    </row>
    <row r="13" spans="2:10" x14ac:dyDescent="0.2">
      <c r="B13" s="1"/>
      <c r="C13" s="49" t="s">
        <v>7</v>
      </c>
      <c r="D13" s="12" t="s">
        <v>40</v>
      </c>
      <c r="E13" s="4"/>
      <c r="G13" s="1"/>
      <c r="H13" s="10"/>
      <c r="I13" s="10"/>
      <c r="J13" s="32"/>
    </row>
    <row r="14" spans="2:10" x14ac:dyDescent="0.2">
      <c r="B14" s="1"/>
      <c r="C14" s="49" t="s">
        <v>13</v>
      </c>
      <c r="D14" s="13" t="e">
        <f>NA()</f>
        <v>#N/A</v>
      </c>
      <c r="E14" s="4"/>
      <c r="G14" s="1"/>
      <c r="H14" s="47" t="s">
        <v>11</v>
      </c>
      <c r="I14" s="50" t="str">
        <f>_xll.qlPiecewiseYieldCurve(,NDays,Calendar,_xll.ohPack(Calculation!A5:A129),DayCounter,JumpQuotes,JumpDates,Accuracy,TraitsID,InterpolatorID)</f>
        <v>obj_003a5#0035</v>
      </c>
      <c r="J14" s="4"/>
    </row>
    <row r="15" spans="2:10" x14ac:dyDescent="0.2">
      <c r="B15" s="1"/>
      <c r="C15" s="49" t="s">
        <v>9</v>
      </c>
      <c r="D15" s="14" t="s">
        <v>38</v>
      </c>
      <c r="E15" s="4"/>
      <c r="G15" s="1"/>
      <c r="H15" s="48" t="s">
        <v>12</v>
      </c>
      <c r="I15" s="51"/>
      <c r="J15" s="4"/>
    </row>
    <row r="16" spans="2:10" x14ac:dyDescent="0.2">
      <c r="B16" s="1"/>
      <c r="C16" s="48" t="s">
        <v>10</v>
      </c>
      <c r="D16" s="15" t="s">
        <v>39</v>
      </c>
      <c r="E16" s="4"/>
      <c r="G16" s="1"/>
      <c r="H16" s="145" t="s">
        <v>89</v>
      </c>
      <c r="I16" s="146" t="str">
        <f>_xll.qlSonia(,$I$14,,I14)</f>
        <v>obj_003a6#0035</v>
      </c>
      <c r="J16" s="4"/>
    </row>
    <row r="17" spans="1:10" x14ac:dyDescent="0.2">
      <c r="B17" s="30"/>
      <c r="C17" s="7"/>
      <c r="D17" s="8"/>
      <c r="E17" s="9"/>
      <c r="G17" s="30"/>
      <c r="H17" s="7"/>
      <c r="I17" s="8"/>
      <c r="J17" s="9"/>
    </row>
    <row r="18" spans="1:10" x14ac:dyDescent="0.2">
      <c r="B18" s="30"/>
      <c r="C18" s="16">
        <f>_xll.qlTermStructureReferenceDate(YieldCurve)</f>
        <v>42594</v>
      </c>
      <c r="D18" s="68">
        <f>_xll.qlYieldTSDiscount(YieldCurve,C18,,Trigger)</f>
        <v>1</v>
      </c>
      <c r="E18" s="9"/>
      <c r="G18" s="30"/>
      <c r="H18" s="16">
        <f>_xll.qlTermStructureReferenceDate(YieldCurve)</f>
        <v>42594</v>
      </c>
      <c r="I18" s="68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43325</v>
      </c>
      <c r="D19" s="69">
        <f>_xll.qlYieldTSDiscount(YieldCurve,C19,,Trigger)</f>
        <v>0.98882127035743983</v>
      </c>
      <c r="E19" s="9"/>
      <c r="G19" s="1"/>
      <c r="H19" s="20">
        <f>MAX(_xll.ohPack(Calculation!D4:D151))</f>
        <v>43325</v>
      </c>
      <c r="I19" s="69">
        <f>_xll.qlYieldTSDiscount($I$14,H19,,Trigger)</f>
        <v>0.98882127035743961</v>
      </c>
      <c r="J19" s="9"/>
    </row>
    <row r="20" spans="1:10" x14ac:dyDescent="0.2">
      <c r="B20" s="1"/>
      <c r="C20" s="60"/>
      <c r="D20" s="60"/>
      <c r="E20" s="9"/>
      <c r="G20" s="144"/>
      <c r="H20" s="61"/>
      <c r="I20" s="61"/>
      <c r="J20" s="26"/>
    </row>
    <row r="21" spans="1:10" x14ac:dyDescent="0.2">
      <c r="B21" s="30"/>
      <c r="C21" s="46" t="s">
        <v>45</v>
      </c>
      <c r="D21" s="28" t="s">
        <v>57</v>
      </c>
      <c r="E21" s="9"/>
    </row>
    <row r="22" spans="1:10" x14ac:dyDescent="0.2">
      <c r="B22" s="30"/>
      <c r="C22" s="22"/>
      <c r="D22" s="22"/>
      <c r="E22" s="9"/>
    </row>
    <row r="23" spans="1:10" x14ac:dyDescent="0.2">
      <c r="B23" s="30"/>
      <c r="C23" s="23" t="s">
        <v>50</v>
      </c>
      <c r="D23" s="24">
        <v>42551.719560185185</v>
      </c>
      <c r="E23" s="9"/>
    </row>
    <row r="24" spans="1:10" x14ac:dyDescent="0.2">
      <c r="A24" s="40"/>
      <c r="B24" s="30"/>
      <c r="C24" s="23" t="s">
        <v>49</v>
      </c>
      <c r="D24" s="70" t="b">
        <v>1</v>
      </c>
      <c r="E24" s="9"/>
    </row>
    <row r="25" spans="1:10" x14ac:dyDescent="0.2">
      <c r="A25" s="40"/>
      <c r="B25" s="31"/>
      <c r="C25" s="25"/>
      <c r="D25" s="25"/>
      <c r="E25" s="26"/>
    </row>
    <row r="26" spans="1:10" x14ac:dyDescent="0.2">
      <c r="A26" s="40"/>
    </row>
    <row r="27" spans="1:10" x14ac:dyDescent="0.2">
      <c r="A27" s="40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showGridLines="0" workbookViewId="0"/>
  </sheetViews>
  <sheetFormatPr defaultRowHeight="11.25" outlineLevelCol="1" x14ac:dyDescent="0.2"/>
  <cols>
    <col min="1" max="2" width="9.140625" style="74"/>
    <col min="3" max="3" width="21.42578125" style="74" bestFit="1" customWidth="1"/>
    <col min="4" max="4" width="26.5703125" style="74" bestFit="1" customWidth="1"/>
    <col min="5" max="5" width="8" style="79" bestFit="1" customWidth="1"/>
    <col min="6" max="6" width="9.85546875" style="79" customWidth="1"/>
    <col min="7" max="7" width="9" style="79" customWidth="1"/>
    <col min="8" max="9" width="17.28515625" style="79" bestFit="1" customWidth="1"/>
    <col min="10" max="10" width="2.7109375" style="74" bestFit="1" customWidth="1"/>
    <col min="11" max="11" width="9.140625" style="74"/>
    <col min="12" max="12" width="0" style="74" hidden="1" customWidth="1" outlineLevel="1"/>
    <col min="13" max="13" width="9.140625" style="74" collapsed="1"/>
    <col min="14" max="16384" width="9.140625" style="74"/>
  </cols>
  <sheetData>
    <row r="1" spans="1:12" ht="22.5" x14ac:dyDescent="0.2">
      <c r="A1" s="160" t="s">
        <v>92</v>
      </c>
      <c r="B1" s="149"/>
      <c r="C1" s="150" t="s">
        <v>51</v>
      </c>
      <c r="D1" s="150" t="s">
        <v>52</v>
      </c>
      <c r="E1" s="150" t="s">
        <v>2</v>
      </c>
      <c r="F1" s="150" t="s">
        <v>3</v>
      </c>
      <c r="G1" s="150" t="s">
        <v>20</v>
      </c>
      <c r="H1" s="150" t="s">
        <v>0</v>
      </c>
      <c r="I1" s="150" t="s">
        <v>1</v>
      </c>
      <c r="L1" s="74" t="str">
        <f>_xll.qlOvernightIndex(,,2,Currency,Calendar,DayCounter,,Permanent,Trigger,ObjectOverwrite)</f>
        <v>obj_003b4#0008</v>
      </c>
    </row>
    <row r="2" spans="1:12" x14ac:dyDescent="0.2">
      <c r="A2" s="157" t="s">
        <v>107</v>
      </c>
      <c r="B2" s="159" t="s">
        <v>37</v>
      </c>
      <c r="C2" s="152" t="str">
        <f>Currency&amp;A2&amp;"D"&amp;QuoteSuffix</f>
        <v>USDSND_Quote</v>
      </c>
      <c r="D2" s="163" t="str">
        <f>_xll.qlDepositRateHelper(,C2,RateHelpers!L1,TRUE,Trigger,FALSE)</f>
        <v>obj_0037a#0028</v>
      </c>
      <c r="E2" s="164" t="b">
        <v>1</v>
      </c>
      <c r="F2" s="164">
        <v>1</v>
      </c>
      <c r="G2" s="164">
        <v>1</v>
      </c>
      <c r="H2" s="165">
        <f>_xll.qlRateHelperEarliestDate($D2)</f>
        <v>42594</v>
      </c>
      <c r="I2" s="154">
        <f>_xll.qlRateHelperPillarDate($D2)</f>
        <v>42597</v>
      </c>
    </row>
    <row r="3" spans="1:12" ht="11.25" customHeight="1" x14ac:dyDescent="0.2">
      <c r="A3" s="158" t="s">
        <v>36</v>
      </c>
      <c r="B3" s="161" t="s">
        <v>37</v>
      </c>
      <c r="C3" s="153" t="str">
        <f t="shared" ref="C3:C29" si="0">Currency&amp;B3&amp;A3&amp;QuoteSuffix</f>
        <v>USDOISSW_Quote</v>
      </c>
      <c r="D3" s="166" t="str">
        <f>_xll.qlOISRateHelper(,2,"1W",C3,OvernightIndex,,TRUE,Trigger,FALSE)</f>
        <v>obj_0038d#0012</v>
      </c>
      <c r="E3" s="167" t="b">
        <v>0</v>
      </c>
      <c r="F3" s="167">
        <v>1</v>
      </c>
      <c r="G3" s="167">
        <v>1</v>
      </c>
      <c r="H3" s="168">
        <f>_xll.qlRateHelperEarliestDate($D3)</f>
        <v>42594</v>
      </c>
      <c r="I3" s="151">
        <f>_xll.qlRateHelperPillarDate($D3)</f>
        <v>42601</v>
      </c>
      <c r="J3" s="75"/>
    </row>
    <row r="4" spans="1:12" x14ac:dyDescent="0.2">
      <c r="A4" s="158" t="s">
        <v>23</v>
      </c>
      <c r="B4" s="161" t="s">
        <v>37</v>
      </c>
      <c r="C4" s="153" t="str">
        <f t="shared" si="0"/>
        <v>USDOIS2W_Quote</v>
      </c>
      <c r="D4" s="166" t="str">
        <f>_xll.qlOISRateHelper(,2,A4,C4,OvernightIndex,,TRUE,Trigger,FALSE)</f>
        <v>obj_0038f#0012</v>
      </c>
      <c r="E4" s="167" t="b">
        <v>0</v>
      </c>
      <c r="F4" s="167">
        <v>1</v>
      </c>
      <c r="G4" s="167">
        <v>1</v>
      </c>
      <c r="H4" s="168">
        <f>_xll.qlRateHelperEarliestDate($D4)</f>
        <v>42594</v>
      </c>
      <c r="I4" s="151">
        <f>_xll.qlRateHelperPillarDate($D4)</f>
        <v>42608</v>
      </c>
      <c r="J4" s="76"/>
    </row>
    <row r="5" spans="1:12" x14ac:dyDescent="0.2">
      <c r="A5" s="158" t="s">
        <v>24</v>
      </c>
      <c r="B5" s="161" t="s">
        <v>37</v>
      </c>
      <c r="C5" s="153" t="str">
        <f t="shared" si="0"/>
        <v>USDOIS3W_Quote</v>
      </c>
      <c r="D5" s="166" t="str">
        <f>_xll.qlOISRateHelper(,2,A5,C5,OvernightIndex,,TRUE,Trigger,FALSE)</f>
        <v>obj_00379#0013</v>
      </c>
      <c r="E5" s="167" t="b">
        <v>0</v>
      </c>
      <c r="F5" s="167">
        <v>1</v>
      </c>
      <c r="G5" s="167">
        <v>1</v>
      </c>
      <c r="H5" s="168">
        <f>_xll.qlRateHelperEarliestDate($D5)</f>
        <v>42594</v>
      </c>
      <c r="I5" s="151">
        <f>_xll.qlRateHelperPillarDate($D5)</f>
        <v>42615</v>
      </c>
    </row>
    <row r="6" spans="1:12" x14ac:dyDescent="0.2">
      <c r="A6" s="158" t="s">
        <v>25</v>
      </c>
      <c r="B6" s="161" t="s">
        <v>37</v>
      </c>
      <c r="C6" s="153" t="str">
        <f t="shared" si="0"/>
        <v>USDOIS1M_Quote</v>
      </c>
      <c r="D6" s="166" t="str">
        <f>_xll.qlOISRateHelper(,2,A6,C6,OvernightIndex,,TRUE,Trigger,FALSE)</f>
        <v>obj_00386#0013</v>
      </c>
      <c r="E6" s="167" t="b">
        <f t="shared" ref="E6:E12" si="1">IF(ISERROR(D6),FALSE,TRUE)</f>
        <v>1</v>
      </c>
      <c r="F6" s="167">
        <v>1</v>
      </c>
      <c r="G6" s="167">
        <v>1</v>
      </c>
      <c r="H6" s="168">
        <f>_xll.qlRateHelperEarliestDate($D6)</f>
        <v>42594</v>
      </c>
      <c r="I6" s="151">
        <f>_xll.qlRateHelperPillarDate($D6)</f>
        <v>42625</v>
      </c>
    </row>
    <row r="7" spans="1:12" x14ac:dyDescent="0.2">
      <c r="A7" s="158" t="s">
        <v>26</v>
      </c>
      <c r="B7" s="161" t="s">
        <v>37</v>
      </c>
      <c r="C7" s="153" t="str">
        <f t="shared" si="0"/>
        <v>USDOIS2M_Quote</v>
      </c>
      <c r="D7" s="166" t="str">
        <f>_xll.qlOISRateHelper(,2,A7,C7,OvernightIndex,,TRUE,Trigger,FALSE)</f>
        <v>obj_00391#0012</v>
      </c>
      <c r="E7" s="167" t="b">
        <f t="shared" si="1"/>
        <v>1</v>
      </c>
      <c r="F7" s="167">
        <v>1</v>
      </c>
      <c r="G7" s="167">
        <v>1</v>
      </c>
      <c r="H7" s="168">
        <f>_xll.qlRateHelperEarliestDate($D7)</f>
        <v>42594</v>
      </c>
      <c r="I7" s="151">
        <f>_xll.qlRateHelperPillarDate($D7)</f>
        <v>42655</v>
      </c>
    </row>
    <row r="8" spans="1:12" x14ac:dyDescent="0.2">
      <c r="A8" s="158" t="s">
        <v>27</v>
      </c>
      <c r="B8" s="161" t="s">
        <v>37</v>
      </c>
      <c r="C8" s="153" t="str">
        <f t="shared" si="0"/>
        <v>USDOIS3M_Quote</v>
      </c>
      <c r="D8" s="166" t="str">
        <f>_xll.qlOISRateHelper(,2,A8,C8,OvernightIndex,,TRUE,Trigger,FALSE)</f>
        <v>obj_00384#0013</v>
      </c>
      <c r="E8" s="167" t="b">
        <f t="shared" si="1"/>
        <v>1</v>
      </c>
      <c r="F8" s="167">
        <v>1</v>
      </c>
      <c r="G8" s="167">
        <v>1</v>
      </c>
      <c r="H8" s="168">
        <f>_xll.qlRateHelperEarliestDate($D8)</f>
        <v>42594</v>
      </c>
      <c r="I8" s="151">
        <f>_xll.qlRateHelperPillarDate($D8)</f>
        <v>42688</v>
      </c>
    </row>
    <row r="9" spans="1:12" x14ac:dyDescent="0.2">
      <c r="A9" s="158" t="s">
        <v>28</v>
      </c>
      <c r="B9" s="161" t="s">
        <v>37</v>
      </c>
      <c r="C9" s="153" t="str">
        <f t="shared" si="0"/>
        <v>USDOIS4M_Quote</v>
      </c>
      <c r="D9" s="166" t="str">
        <f>_xll.qlOISRateHelper(,2,A9,C9,OvernightIndex,,TRUE,Trigger,FALSE)</f>
        <v>obj_0037f#0013</v>
      </c>
      <c r="E9" s="167" t="b">
        <f t="shared" si="1"/>
        <v>1</v>
      </c>
      <c r="F9" s="167">
        <v>1</v>
      </c>
      <c r="G9" s="167">
        <v>1</v>
      </c>
      <c r="H9" s="168">
        <f>_xll.qlRateHelperEarliestDate($D9)</f>
        <v>42594</v>
      </c>
      <c r="I9" s="151">
        <f>_xll.qlRateHelperPillarDate($D9)</f>
        <v>42716</v>
      </c>
    </row>
    <row r="10" spans="1:12" x14ac:dyDescent="0.2">
      <c r="A10" s="158" t="s">
        <v>29</v>
      </c>
      <c r="B10" s="161" t="s">
        <v>37</v>
      </c>
      <c r="C10" s="153" t="str">
        <f t="shared" si="0"/>
        <v>USDOIS5M_Quote</v>
      </c>
      <c r="D10" s="166" t="str">
        <f>_xll.qlOISRateHelper(,2,A10,C10,OvernightIndex,,TRUE,Trigger,FALSE)</f>
        <v>obj_00380#0013</v>
      </c>
      <c r="E10" s="167" t="b">
        <f t="shared" si="1"/>
        <v>1</v>
      </c>
      <c r="F10" s="167">
        <v>1</v>
      </c>
      <c r="G10" s="167">
        <v>1</v>
      </c>
      <c r="H10" s="168">
        <f>_xll.qlRateHelperEarliestDate($D10)</f>
        <v>42594</v>
      </c>
      <c r="I10" s="151">
        <f>_xll.qlRateHelperPillarDate($D10)</f>
        <v>42747</v>
      </c>
    </row>
    <row r="11" spans="1:12" x14ac:dyDescent="0.2">
      <c r="A11" s="158" t="s">
        <v>30</v>
      </c>
      <c r="B11" s="161" t="s">
        <v>37</v>
      </c>
      <c r="C11" s="153" t="str">
        <f t="shared" si="0"/>
        <v>USDOIS6M_Quote</v>
      </c>
      <c r="D11" s="166" t="str">
        <f>_xll.qlOISRateHelper(,2,A11,C11,OvernightIndex,,TRUE,Trigger,FALSE)</f>
        <v>obj_00383#0013</v>
      </c>
      <c r="E11" s="167" t="b">
        <f t="shared" si="1"/>
        <v>1</v>
      </c>
      <c r="F11" s="167">
        <v>1</v>
      </c>
      <c r="G11" s="167">
        <v>1</v>
      </c>
      <c r="H11" s="168">
        <f>_xll.qlRateHelperEarliestDate($D11)</f>
        <v>42594</v>
      </c>
      <c r="I11" s="151">
        <f>_xll.qlRateHelperPillarDate($D11)</f>
        <v>42779</v>
      </c>
    </row>
    <row r="12" spans="1:12" x14ac:dyDescent="0.2">
      <c r="A12" s="158" t="s">
        <v>31</v>
      </c>
      <c r="B12" s="161" t="s">
        <v>37</v>
      </c>
      <c r="C12" s="153" t="str">
        <f t="shared" si="0"/>
        <v>USDOIS7M_Quote</v>
      </c>
      <c r="D12" s="166" t="str">
        <f>_xll.qlOISRateHelper(,2,A12,C12,OvernightIndex,,TRUE,Trigger,FALSE)</f>
        <v>obj_00392#0012</v>
      </c>
      <c r="E12" s="167" t="b">
        <f t="shared" si="1"/>
        <v>1</v>
      </c>
      <c r="F12" s="167">
        <v>1</v>
      </c>
      <c r="G12" s="167">
        <v>1</v>
      </c>
      <c r="H12" s="168">
        <f>_xll.qlRateHelperEarliestDate($D12)</f>
        <v>42594</v>
      </c>
      <c r="I12" s="151">
        <f>_xll.qlRateHelperPillarDate($D12)</f>
        <v>42807</v>
      </c>
    </row>
    <row r="13" spans="1:12" ht="11.25" customHeight="1" x14ac:dyDescent="0.2">
      <c r="A13" s="158" t="s">
        <v>32</v>
      </c>
      <c r="B13" s="161" t="s">
        <v>37</v>
      </c>
      <c r="C13" s="153" t="str">
        <f t="shared" si="0"/>
        <v>USDOIS8M_Quote</v>
      </c>
      <c r="D13" s="166" t="str">
        <f>_xll.qlOISRateHelper(,2,A13,C13,OvernightIndex,,TRUE,Trigger,FALSE)</f>
        <v>obj_0038b#0013</v>
      </c>
      <c r="E13" s="167" t="b">
        <v>1</v>
      </c>
      <c r="F13" s="167">
        <v>1</v>
      </c>
      <c r="G13" s="167">
        <v>1</v>
      </c>
      <c r="H13" s="168">
        <f>_xll.qlRateHelperEarliestDate($D13)</f>
        <v>42594</v>
      </c>
      <c r="I13" s="151">
        <f>_xll.qlRateHelperPillarDate($D13)</f>
        <v>42837</v>
      </c>
    </row>
    <row r="14" spans="1:12" ht="11.25" customHeight="1" x14ac:dyDescent="0.2">
      <c r="A14" s="158" t="s">
        <v>33</v>
      </c>
      <c r="B14" s="161" t="s">
        <v>37</v>
      </c>
      <c r="C14" s="153" t="str">
        <f t="shared" si="0"/>
        <v>USDOIS9M_Quote</v>
      </c>
      <c r="D14" s="166" t="str">
        <f>_xll.qlOISRateHelper(,2,A14,C14,OvernightIndex,,TRUE,Trigger,FALSE)</f>
        <v>obj_0037e#0013</v>
      </c>
      <c r="E14" s="167" t="b">
        <v>1</v>
      </c>
      <c r="F14" s="167">
        <v>1</v>
      </c>
      <c r="G14" s="167">
        <v>1</v>
      </c>
      <c r="H14" s="168">
        <f>_xll.qlRateHelperEarliestDate($D14)</f>
        <v>42594</v>
      </c>
      <c r="I14" s="151">
        <f>_xll.qlRateHelperPillarDate($D14)</f>
        <v>42867</v>
      </c>
    </row>
    <row r="15" spans="1:12" ht="11.25" customHeight="1" x14ac:dyDescent="0.2">
      <c r="A15" s="158" t="s">
        <v>34</v>
      </c>
      <c r="B15" s="161" t="s">
        <v>37</v>
      </c>
      <c r="C15" s="153" t="str">
        <f t="shared" si="0"/>
        <v>USDOIS10M_Quote</v>
      </c>
      <c r="D15" s="166" t="str">
        <f>_xll.qlOISRateHelper(,2,A15,C15,OvernightIndex,,TRUE,Trigger,FALSE)</f>
        <v>obj_00389#0013</v>
      </c>
      <c r="E15" s="167" t="b">
        <v>1</v>
      </c>
      <c r="F15" s="167">
        <v>1</v>
      </c>
      <c r="G15" s="167">
        <v>1</v>
      </c>
      <c r="H15" s="168">
        <f>_xll.qlRateHelperEarliestDate($D15)</f>
        <v>42594</v>
      </c>
      <c r="I15" s="151">
        <f>_xll.qlRateHelperPillarDate($D15)</f>
        <v>42898</v>
      </c>
    </row>
    <row r="16" spans="1:12" ht="11.25" customHeight="1" x14ac:dyDescent="0.2">
      <c r="A16" s="158" t="s">
        <v>35</v>
      </c>
      <c r="B16" s="161" t="s">
        <v>37</v>
      </c>
      <c r="C16" s="153" t="str">
        <f t="shared" si="0"/>
        <v>USDOIS11M_Quote</v>
      </c>
      <c r="D16" s="166" t="str">
        <f>_xll.qlOISRateHelper(,2,A16,C16,OvernightIndex,,TRUE,Trigger,FALSE)</f>
        <v>obj_00382#0013</v>
      </c>
      <c r="E16" s="167" t="b">
        <v>1</v>
      </c>
      <c r="F16" s="167">
        <v>1</v>
      </c>
      <c r="G16" s="167">
        <v>1</v>
      </c>
      <c r="H16" s="168">
        <f>_xll.qlRateHelperEarliestDate($D16)</f>
        <v>42594</v>
      </c>
      <c r="I16" s="151">
        <f>_xll.qlRateHelperPillarDate($D16)</f>
        <v>42928</v>
      </c>
    </row>
    <row r="17" spans="1:9" ht="11.25" customHeight="1" x14ac:dyDescent="0.2">
      <c r="A17" s="158" t="s">
        <v>14</v>
      </c>
      <c r="B17" s="161" t="s">
        <v>37</v>
      </c>
      <c r="C17" s="153" t="str">
        <f t="shared" si="0"/>
        <v>USDOIS1Y_Quote</v>
      </c>
      <c r="D17" s="166" t="str">
        <f>_xll.qlOISRateHelper(,2,A17,C17,OvernightIndex,,TRUE,Trigger,FALSE)</f>
        <v>obj_0038a#0013</v>
      </c>
      <c r="E17" s="167" t="b">
        <v>1</v>
      </c>
      <c r="F17" s="167">
        <v>1</v>
      </c>
      <c r="G17" s="167">
        <v>1</v>
      </c>
      <c r="H17" s="168">
        <f>_xll.qlRateHelperEarliestDate($D17)</f>
        <v>42594</v>
      </c>
      <c r="I17" s="151">
        <f>_xll.qlRateHelperPillarDate($D17)</f>
        <v>42961</v>
      </c>
    </row>
    <row r="18" spans="1:9" ht="11.25" customHeight="1" x14ac:dyDescent="0.2">
      <c r="A18" s="158" t="s">
        <v>95</v>
      </c>
      <c r="B18" s="161" t="s">
        <v>37</v>
      </c>
      <c r="C18" s="153" t="str">
        <f t="shared" si="0"/>
        <v>USDOIS13M_Quote</v>
      </c>
      <c r="D18" s="166" t="str">
        <f>_xll.qlOISRateHelper(,2,A18,C18,OvernightIndex,,TRUE,Trigger,FALSE)</f>
        <v>obj_00388#0013</v>
      </c>
      <c r="E18" s="167" t="b">
        <v>0</v>
      </c>
      <c r="F18" s="167">
        <v>1</v>
      </c>
      <c r="G18" s="167">
        <v>1</v>
      </c>
      <c r="H18" s="168">
        <f>_xll.qlRateHelperEarliestDate($D18)</f>
        <v>42594</v>
      </c>
      <c r="I18" s="151">
        <f>_xll.qlRateHelperPillarDate($D18)</f>
        <v>42990</v>
      </c>
    </row>
    <row r="19" spans="1:9" x14ac:dyDescent="0.2">
      <c r="A19" s="158" t="s">
        <v>96</v>
      </c>
      <c r="B19" s="161" t="s">
        <v>37</v>
      </c>
      <c r="C19" s="153" t="str">
        <f t="shared" si="0"/>
        <v>USDOIS14M_Quote</v>
      </c>
      <c r="D19" s="166" t="str">
        <f>_xll.qlOISRateHelper(,2,A19,C19,OvernightIndex,,TRUE,Trigger,FALSE)</f>
        <v>obj_00378#0013</v>
      </c>
      <c r="E19" s="167" t="b">
        <v>0</v>
      </c>
      <c r="F19" s="167">
        <v>1</v>
      </c>
      <c r="G19" s="167">
        <v>1</v>
      </c>
      <c r="H19" s="168">
        <f>_xll.qlRateHelperEarliestDate($D19)</f>
        <v>42594</v>
      </c>
      <c r="I19" s="151">
        <f>_xll.qlRateHelperPillarDate($D19)</f>
        <v>43020</v>
      </c>
    </row>
    <row r="20" spans="1:9" x14ac:dyDescent="0.2">
      <c r="A20" s="158" t="s">
        <v>15</v>
      </c>
      <c r="B20" s="161" t="s">
        <v>37</v>
      </c>
      <c r="C20" s="153" t="str">
        <f t="shared" si="0"/>
        <v>USDOIS15M_Quote</v>
      </c>
      <c r="D20" s="166" t="str">
        <f>_xll.qlOISRateHelper(,2,A20,C20,OvernightIndex,,TRUE,Trigger,FALSE)</f>
        <v>obj_00387#0013</v>
      </c>
      <c r="E20" s="167" t="b">
        <v>1</v>
      </c>
      <c r="F20" s="167">
        <v>1</v>
      </c>
      <c r="G20" s="167">
        <v>1</v>
      </c>
      <c r="H20" s="168">
        <f>_xll.qlRateHelperEarliestDate($D20)</f>
        <v>42594</v>
      </c>
      <c r="I20" s="151">
        <f>_xll.qlRateHelperPillarDate($D20)</f>
        <v>43052</v>
      </c>
    </row>
    <row r="21" spans="1:9" x14ac:dyDescent="0.2">
      <c r="A21" s="158" t="s">
        <v>97</v>
      </c>
      <c r="B21" s="161" t="s">
        <v>37</v>
      </c>
      <c r="C21" s="153" t="str">
        <f t="shared" si="0"/>
        <v>USDOIS16M_Quote</v>
      </c>
      <c r="D21" s="166" t="str">
        <f>_xll.qlOISRateHelper(,2,A21,C21,OvernightIndex,,TRUE,Trigger,FALSE)</f>
        <v>obj_0037b#0013</v>
      </c>
      <c r="E21" s="167" t="b">
        <v>0</v>
      </c>
      <c r="F21" s="167">
        <v>1</v>
      </c>
      <c r="G21" s="167">
        <v>1</v>
      </c>
      <c r="H21" s="168">
        <f>_xll.qlRateHelperEarliestDate($D21)</f>
        <v>42594</v>
      </c>
      <c r="I21" s="151">
        <f>_xll.qlRateHelperPillarDate($D21)</f>
        <v>43081</v>
      </c>
    </row>
    <row r="22" spans="1:9" x14ac:dyDescent="0.2">
      <c r="A22" s="158" t="s">
        <v>98</v>
      </c>
      <c r="B22" s="161" t="s">
        <v>37</v>
      </c>
      <c r="C22" s="153" t="str">
        <f t="shared" si="0"/>
        <v>USDOIS17M_Quote</v>
      </c>
      <c r="D22" s="166" t="str">
        <f>_xll.qlOISRateHelper(,2,A22,C22,OvernightIndex,,TRUE,Trigger,FALSE)</f>
        <v>obj_00390#0012</v>
      </c>
      <c r="E22" s="167" t="b">
        <v>0</v>
      </c>
      <c r="F22" s="167">
        <v>1</v>
      </c>
      <c r="G22" s="167">
        <v>1</v>
      </c>
      <c r="H22" s="168">
        <f>_xll.qlRateHelperEarliestDate($D22)</f>
        <v>42594</v>
      </c>
      <c r="I22" s="151">
        <f>_xll.qlRateHelperPillarDate($D22)</f>
        <v>43112</v>
      </c>
    </row>
    <row r="23" spans="1:9" x14ac:dyDescent="0.2">
      <c r="A23" s="158" t="s">
        <v>16</v>
      </c>
      <c r="B23" s="161" t="s">
        <v>37</v>
      </c>
      <c r="C23" s="153" t="str">
        <f t="shared" si="0"/>
        <v>USDOIS18M_Quote</v>
      </c>
      <c r="D23" s="166" t="str">
        <f>_xll.qlOISRateHelper(,2,A23,C23,OvernightIndex,,TRUE,Trigger,FALSE)</f>
        <v>obj_00393#0012</v>
      </c>
      <c r="E23" s="167" t="b">
        <v>1</v>
      </c>
      <c r="F23" s="167">
        <v>1</v>
      </c>
      <c r="G23" s="167">
        <v>1</v>
      </c>
      <c r="H23" s="168">
        <f>_xll.qlRateHelperEarliestDate($D23)</f>
        <v>42594</v>
      </c>
      <c r="I23" s="151">
        <f>_xll.qlRateHelperPillarDate($D23)</f>
        <v>43143</v>
      </c>
    </row>
    <row r="24" spans="1:9" x14ac:dyDescent="0.2">
      <c r="A24" s="158" t="s">
        <v>99</v>
      </c>
      <c r="B24" s="161" t="s">
        <v>37</v>
      </c>
      <c r="C24" s="153" t="str">
        <f t="shared" si="0"/>
        <v>USDOIS19M_Quote</v>
      </c>
      <c r="D24" s="166" t="str">
        <f>_xll.qlOISRateHelper(,2,A24,C24,OvernightIndex,,TRUE,Trigger,FALSE)</f>
        <v>obj_0038e#0012</v>
      </c>
      <c r="E24" s="167" t="b">
        <v>0</v>
      </c>
      <c r="F24" s="167">
        <v>1</v>
      </c>
      <c r="G24" s="167">
        <v>1</v>
      </c>
      <c r="H24" s="168">
        <f>_xll.qlRateHelperEarliestDate($D24)</f>
        <v>42594</v>
      </c>
      <c r="I24" s="151">
        <f>_xll.qlRateHelperPillarDate($D24)</f>
        <v>43171</v>
      </c>
    </row>
    <row r="25" spans="1:9" x14ac:dyDescent="0.2">
      <c r="A25" s="158" t="s">
        <v>100</v>
      </c>
      <c r="B25" s="161" t="s">
        <v>37</v>
      </c>
      <c r="C25" s="153" t="str">
        <f t="shared" si="0"/>
        <v>USDOIS20M_Quote</v>
      </c>
      <c r="D25" s="166" t="str">
        <f>_xll.qlOISRateHelper(,2,A25,C25,OvernightIndex,,TRUE,Trigger,FALSE)</f>
        <v>obj_0038c#0012</v>
      </c>
      <c r="E25" s="167" t="b">
        <v>0</v>
      </c>
      <c r="F25" s="167">
        <v>1</v>
      </c>
      <c r="G25" s="167">
        <v>1</v>
      </c>
      <c r="H25" s="168">
        <f>_xll.qlRateHelperEarliestDate($D25)</f>
        <v>42594</v>
      </c>
      <c r="I25" s="151">
        <f>_xll.qlRateHelperPillarDate($D25)</f>
        <v>43202</v>
      </c>
    </row>
    <row r="26" spans="1:9" x14ac:dyDescent="0.2">
      <c r="A26" s="158" t="s">
        <v>17</v>
      </c>
      <c r="B26" s="161" t="s">
        <v>37</v>
      </c>
      <c r="C26" s="153" t="str">
        <f t="shared" si="0"/>
        <v>USDOIS21M_Quote</v>
      </c>
      <c r="D26" s="166" t="str">
        <f>_xll.qlOISRateHelper(,2,A26,C26,OvernightIndex,,TRUE,Trigger,FALSE)</f>
        <v>obj_00385#0013</v>
      </c>
      <c r="E26" s="167" t="b">
        <v>1</v>
      </c>
      <c r="F26" s="167">
        <v>1</v>
      </c>
      <c r="G26" s="167">
        <v>1</v>
      </c>
      <c r="H26" s="168">
        <f>_xll.qlRateHelperEarliestDate($D26)</f>
        <v>42594</v>
      </c>
      <c r="I26" s="151">
        <f>_xll.qlRateHelperPillarDate($D26)</f>
        <v>43234</v>
      </c>
    </row>
    <row r="27" spans="1:9" x14ac:dyDescent="0.2">
      <c r="A27" s="158" t="s">
        <v>101</v>
      </c>
      <c r="B27" s="161" t="s">
        <v>37</v>
      </c>
      <c r="C27" s="153" t="str">
        <f t="shared" si="0"/>
        <v>USDOIS22M_Quote</v>
      </c>
      <c r="D27" s="166" t="str">
        <f>_xll.qlOISRateHelper(,2,A27,C27,OvernightIndex,,TRUE,Trigger,FALSE)</f>
        <v>obj_00381#0013</v>
      </c>
      <c r="E27" s="167" t="b">
        <v>0</v>
      </c>
      <c r="F27" s="167">
        <v>1</v>
      </c>
      <c r="G27" s="167">
        <v>1</v>
      </c>
      <c r="H27" s="168">
        <f>_xll.qlRateHelperEarliestDate($D27)</f>
        <v>42594</v>
      </c>
      <c r="I27" s="151">
        <f>_xll.qlRateHelperPillarDate($D27)</f>
        <v>43263</v>
      </c>
    </row>
    <row r="28" spans="1:9" x14ac:dyDescent="0.2">
      <c r="A28" s="158" t="s">
        <v>102</v>
      </c>
      <c r="B28" s="161" t="s">
        <v>37</v>
      </c>
      <c r="C28" s="153" t="str">
        <f t="shared" si="0"/>
        <v>USDOIS23M_Quote</v>
      </c>
      <c r="D28" s="166" t="str">
        <f>_xll.qlOISRateHelper(,2,A28,C28,OvernightIndex,,TRUE,Trigger,FALSE)</f>
        <v>obj_0037c#0013</v>
      </c>
      <c r="E28" s="167" t="b">
        <v>0</v>
      </c>
      <c r="F28" s="167">
        <v>1</v>
      </c>
      <c r="G28" s="167">
        <v>1</v>
      </c>
      <c r="H28" s="168">
        <f>_xll.qlRateHelperEarliestDate($D28)</f>
        <v>42594</v>
      </c>
      <c r="I28" s="151">
        <f>_xll.qlRateHelperPillarDate($D28)</f>
        <v>43293</v>
      </c>
    </row>
    <row r="29" spans="1:9" x14ac:dyDescent="0.2">
      <c r="A29" s="162" t="s">
        <v>18</v>
      </c>
      <c r="B29" s="161" t="s">
        <v>37</v>
      </c>
      <c r="C29" s="153" t="str">
        <f t="shared" si="0"/>
        <v>USDOIS2Y_Quote</v>
      </c>
      <c r="D29" s="166" t="str">
        <f>_xll.qlOISRateHelper(,2,A29,C29,OvernightIndex,,TRUE,Trigger,FALSE)</f>
        <v>obj_0037d#0013</v>
      </c>
      <c r="E29" s="167" t="b">
        <v>1</v>
      </c>
      <c r="F29" s="167">
        <v>1</v>
      </c>
      <c r="G29" s="167">
        <v>1</v>
      </c>
      <c r="H29" s="168">
        <f>_xll.qlRateHelperEarliestDate($D29)</f>
        <v>42594</v>
      </c>
      <c r="I29" s="151">
        <f>_xll.qlRateHelperPillarDate($D29)</f>
        <v>43325</v>
      </c>
    </row>
    <row r="30" spans="1:9" x14ac:dyDescent="0.2">
      <c r="A30" s="78"/>
      <c r="B30" s="78"/>
      <c r="C30" s="78"/>
      <c r="D30" s="78"/>
      <c r="E30" s="77"/>
      <c r="F30" s="77"/>
      <c r="G30" s="77"/>
      <c r="H30" s="77"/>
      <c r="I30" s="77"/>
    </row>
    <row r="36" spans="4:4" x14ac:dyDescent="0.2">
      <c r="D36" s="177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79" hidden="1" customWidth="1" outlineLevel="1"/>
    <col min="2" max="2" width="10" style="79" hidden="1" customWidth="1" outlineLevel="1"/>
    <col min="3" max="4" width="17.28515625" style="79" hidden="1" customWidth="1" outlineLevel="1"/>
    <col min="5" max="5" width="2.7109375" style="74" hidden="1" customWidth="1" outlineLevel="1"/>
    <col min="6" max="6" width="10" style="74" hidden="1" customWidth="1" outlineLevel="1"/>
    <col min="7" max="7" width="8" style="74" hidden="1" customWidth="1" outlineLevel="1"/>
    <col min="8" max="8" width="2.7109375" style="74" customWidth="1" collapsed="1"/>
    <col min="9" max="9" width="17.28515625" style="74" bestFit="1" customWidth="1"/>
    <col min="10" max="10" width="9" style="74" bestFit="1" customWidth="1"/>
    <col min="11" max="11" width="17.28515625" style="74" bestFit="1" customWidth="1"/>
    <col min="12" max="12" width="2.7109375" style="74" customWidth="1"/>
    <col min="13" max="13" width="17.28515625" style="74" bestFit="1" customWidth="1"/>
    <col min="14" max="14" width="10.7109375" style="74" customWidth="1"/>
    <col min="15" max="15" width="12" style="74" bestFit="1" customWidth="1"/>
    <col min="16" max="16" width="2.7109375" style="74" customWidth="1"/>
    <col min="17" max="17" width="17.28515625" style="74" bestFit="1" customWidth="1"/>
    <col min="18" max="19" width="10.7109375" style="74" customWidth="1"/>
    <col min="20" max="20" width="2.7109375" style="74" customWidth="1"/>
    <col min="21" max="21" width="17.28515625" style="74" bestFit="1" customWidth="1"/>
    <col min="22" max="23" width="10.7109375" style="74" customWidth="1"/>
    <col min="24" max="24" width="2.7109375" style="74" customWidth="1"/>
    <col min="25" max="25" width="17.28515625" style="74" bestFit="1" customWidth="1"/>
    <col min="26" max="27" width="10.7109375" style="74" customWidth="1"/>
    <col min="28" max="28" width="2.7109375" style="74" customWidth="1"/>
    <col min="29" max="29" width="17.28515625" style="74" bestFit="1" customWidth="1"/>
    <col min="30" max="31" width="10.7109375" style="74" customWidth="1"/>
    <col min="32" max="32" width="2.7109375" style="74" customWidth="1"/>
    <col min="33" max="33" width="17.28515625" style="74" bestFit="1" customWidth="1"/>
    <col min="34" max="35" width="10.7109375" style="74" customWidth="1"/>
    <col min="36" max="36" width="2.7109375" style="74" customWidth="1"/>
    <col min="37" max="37" width="17.28515625" style="74" bestFit="1" customWidth="1"/>
    <col min="38" max="39" width="10.7109375" style="74" customWidth="1"/>
    <col min="40" max="40" width="2.7109375" style="74" customWidth="1"/>
    <col min="41" max="41" width="17.28515625" style="74" bestFit="1" customWidth="1"/>
    <col min="42" max="43" width="10.7109375" style="74" customWidth="1"/>
    <col min="44" max="44" width="2.7109375" style="74" customWidth="1"/>
    <col min="45" max="45" width="17.28515625" style="74" bestFit="1" customWidth="1"/>
    <col min="46" max="47" width="10.7109375" style="74" customWidth="1"/>
    <col min="48" max="48" width="2.7109375" style="74" customWidth="1"/>
    <col min="49" max="49" width="17.28515625" style="74" bestFit="1" customWidth="1"/>
    <col min="50" max="51" width="10.7109375" style="74" customWidth="1"/>
    <col min="52" max="52" width="2.7109375" style="74" customWidth="1"/>
    <col min="53" max="53" width="17.28515625" style="74" bestFit="1" customWidth="1"/>
    <col min="54" max="55" width="10.7109375" style="74" customWidth="1"/>
    <col min="56" max="56" width="2.7109375" style="74" customWidth="1"/>
    <col min="57" max="57" width="17.28515625" style="74" bestFit="1" customWidth="1"/>
    <col min="58" max="59" width="10.7109375" style="74" customWidth="1"/>
    <col min="60" max="60" width="2.7109375" style="74" customWidth="1"/>
    <col min="61" max="61" width="17.28515625" style="74" bestFit="1" customWidth="1"/>
    <col min="62" max="63" width="10.7109375" style="74" customWidth="1"/>
    <col min="64" max="64" width="2.7109375" style="74" customWidth="1"/>
    <col min="65" max="65" width="17.28515625" style="74" bestFit="1" customWidth="1"/>
    <col min="66" max="66" width="10" style="74" bestFit="1" customWidth="1"/>
    <col min="67" max="67" width="11" style="74" bestFit="1" customWidth="1"/>
    <col min="68" max="68" width="2.7109375" style="74" customWidth="1"/>
    <col min="69" max="69" width="9.140625" style="74"/>
    <col min="70" max="70" width="17.28515625" style="74" bestFit="1" customWidth="1"/>
    <col min="71" max="16384" width="9.140625" style="74"/>
  </cols>
  <sheetData>
    <row r="1" spans="1:67" x14ac:dyDescent="0.2">
      <c r="A1" s="83" t="s">
        <v>105</v>
      </c>
      <c r="B1" s="139">
        <v>0</v>
      </c>
      <c r="N1" s="98" t="s">
        <v>83</v>
      </c>
      <c r="O1" s="34">
        <f>MAX(O5:O129)</f>
        <v>1</v>
      </c>
      <c r="R1" s="98" t="s">
        <v>83</v>
      </c>
      <c r="S1" s="34">
        <f>MAX(S5:S129)</f>
        <v>1</v>
      </c>
      <c r="V1" s="98" t="s">
        <v>83</v>
      </c>
      <c r="W1" s="34">
        <f>MAX(W5:W129)</f>
        <v>1</v>
      </c>
      <c r="Z1" s="98" t="s">
        <v>83</v>
      </c>
      <c r="AA1" s="34">
        <f>MAX(AA5:AA129)</f>
        <v>1</v>
      </c>
      <c r="AD1" s="98" t="s">
        <v>83</v>
      </c>
      <c r="AE1" s="34">
        <f>MAX(AE5:AE129)</f>
        <v>1</v>
      </c>
      <c r="AH1" s="98" t="s">
        <v>83</v>
      </c>
      <c r="AI1" s="34">
        <f>MAX(AI5:AI129)</f>
        <v>1</v>
      </c>
      <c r="AL1" s="98" t="s">
        <v>83</v>
      </c>
      <c r="AM1" s="34">
        <f>MAX(AM5:AM129)</f>
        <v>0.99999777778271604</v>
      </c>
      <c r="AP1" s="98" t="s">
        <v>83</v>
      </c>
      <c r="AQ1" s="34">
        <f>MAX(AQ5:AQ129)</f>
        <v>1</v>
      </c>
      <c r="AT1" s="98" t="s">
        <v>83</v>
      </c>
      <c r="AU1" s="34">
        <f>MAX(AU5:AU129)</f>
        <v>1</v>
      </c>
      <c r="AX1" s="98" t="s">
        <v>83</v>
      </c>
      <c r="AY1" s="34">
        <f>MAX(AY5:AY129)</f>
        <v>1</v>
      </c>
      <c r="BB1" s="98" t="s">
        <v>83</v>
      </c>
      <c r="BC1" s="34">
        <f>MAX(BC5:BC129)</f>
        <v>1</v>
      </c>
      <c r="BF1" s="98" t="s">
        <v>83</v>
      </c>
      <c r="BG1" s="34">
        <f>MAX(BG5:BG129)</f>
        <v>1</v>
      </c>
      <c r="BJ1" s="98" t="s">
        <v>83</v>
      </c>
      <c r="BK1" s="34">
        <f>MAX(BK5:BK129)</f>
        <v>1</v>
      </c>
      <c r="BN1" s="98" t="s">
        <v>83</v>
      </c>
      <c r="BO1" s="34">
        <f>MAX(BO5:BO129)</f>
        <v>1</v>
      </c>
    </row>
    <row r="2" spans="1:67" x14ac:dyDescent="0.2">
      <c r="I2" s="89">
        <f>_xll.qlCalendarEndOfMonth(Calendar,EDATE(DATE(YEAR(K4),MONTH(K4),1),-1))</f>
        <v>42580</v>
      </c>
      <c r="M2" s="88">
        <f>_xll.qlCalendarAdvance(Calendar,I2,"1m","mf",TRUE)</f>
        <v>42613</v>
      </c>
      <c r="N2" s="98" t="s">
        <v>61</v>
      </c>
      <c r="O2" s="111">
        <f>_xll.qlDayCounterYearFraction(DayCounter,M2,_xll.qlCalendarAdvance(Calendar,M2,"1D"))</f>
        <v>2.7777777777777779E-3</v>
      </c>
      <c r="P2" s="107"/>
      <c r="Q2" s="88">
        <f>_xll.qlCalendarAdvance(Calendar,M2,"1m","mf",TRUE)</f>
        <v>42643</v>
      </c>
      <c r="R2" s="98" t="s">
        <v>61</v>
      </c>
      <c r="S2" s="111">
        <f>_xll.qlDayCounterYearFraction(DayCounter,Q2,_xll.qlCalendarAdvance(Calendar,Q2,"1D"))</f>
        <v>8.3333333333333332E-3</v>
      </c>
      <c r="T2" s="108"/>
      <c r="U2" s="88">
        <f>_xll.qlCalendarAdvance(Calendar,Q2,"1m","mf",TRUE)</f>
        <v>42674</v>
      </c>
      <c r="V2" s="98" t="s">
        <v>61</v>
      </c>
      <c r="W2" s="111">
        <f>_xll.qlDayCounterYearFraction(DayCounter,U2,_xll.qlCalendarAdvance(Calendar,U2,"1D"))</f>
        <v>2.7777777777777779E-3</v>
      </c>
      <c r="X2" s="108"/>
      <c r="Y2" s="88">
        <f>_xll.qlCalendarAdvance(Calendar,U2,"1m","mf",TRUE)</f>
        <v>42704</v>
      </c>
      <c r="Z2" s="98" t="s">
        <v>61</v>
      </c>
      <c r="AA2" s="111">
        <f>_xll.qlDayCounterYearFraction(DayCounter,Y2,_xll.qlCalendarAdvance(Calendar,Y2,"1D"))</f>
        <v>2.7777777777777779E-3</v>
      </c>
      <c r="AB2" s="108"/>
      <c r="AC2" s="88">
        <f>_xll.qlCalendarAdvance(Calendar,Y2,"1m","mf",TRUE)</f>
        <v>42734</v>
      </c>
      <c r="AD2" s="98" t="s">
        <v>61</v>
      </c>
      <c r="AE2" s="111">
        <f>_xll.qlDayCounterYearFraction(DayCounter,AC2,_xll.qlCalendarAdvance(Calendar,AC2,"1D"))</f>
        <v>1.1111111111111112E-2</v>
      </c>
      <c r="AF2" s="108"/>
      <c r="AG2" s="88">
        <f>_xll.qlCalendarAdvance(Calendar,AC2,"1m","mf",TRUE)</f>
        <v>42766</v>
      </c>
      <c r="AH2" s="98" t="s">
        <v>61</v>
      </c>
      <c r="AI2" s="111">
        <f>_xll.qlDayCounterYearFraction(DayCounter,AG2,_xll.qlCalendarAdvance(Calendar,AG2,"1D"))</f>
        <v>2.7777777777777779E-3</v>
      </c>
      <c r="AJ2" s="108"/>
      <c r="AK2" s="88">
        <f>_xll.qlCalendarAdvance(Calendar,AG2,"1m","mf",TRUE)</f>
        <v>42794</v>
      </c>
      <c r="AL2" s="98" t="s">
        <v>61</v>
      </c>
      <c r="AM2" s="111">
        <f>_xll.qlDayCounterYearFraction(DayCounter,AK2,_xll.qlCalendarAdvance(Calendar,AK2,"1D"))</f>
        <v>2.7777777777777779E-3</v>
      </c>
      <c r="AO2" s="88">
        <f>_xll.qlCalendarAdvance(Calendar,AK2,"1m","mf",TRUE)</f>
        <v>42825</v>
      </c>
      <c r="AP2" s="98" t="s">
        <v>61</v>
      </c>
      <c r="AQ2" s="111">
        <f>_xll.qlDayCounterYearFraction(DayCounter,AO2,_xll.qlCalendarAdvance(Calendar,AO2,"1D"))</f>
        <v>8.3333333333333332E-3</v>
      </c>
      <c r="AS2" s="88">
        <f>_xll.qlCalendarAdvance(Calendar,AO2,"1m","mf",TRUE)</f>
        <v>42853</v>
      </c>
      <c r="AT2" s="98" t="s">
        <v>61</v>
      </c>
      <c r="AU2" s="111">
        <f>_xll.qlDayCounterYearFraction(DayCounter,AS2,_xll.qlCalendarAdvance(Calendar,AS2,"1D"))</f>
        <v>8.3333333333333332E-3</v>
      </c>
      <c r="AW2" s="88">
        <f>_xll.qlCalendarAdvance(Calendar,AS2,"1m","mf",TRUE)</f>
        <v>42886</v>
      </c>
      <c r="AX2" s="98" t="s">
        <v>61</v>
      </c>
      <c r="AY2" s="111">
        <f>_xll.qlDayCounterYearFraction(DayCounter,AW2,_xll.qlCalendarAdvance(Calendar,AW2,"1D"))</f>
        <v>2.7777777777777779E-3</v>
      </c>
      <c r="BA2" s="88">
        <f>_xll.qlCalendarAdvance(Calendar,AW2,"1m","mf",TRUE)</f>
        <v>42916</v>
      </c>
      <c r="BB2" s="98" t="s">
        <v>61</v>
      </c>
      <c r="BC2" s="111">
        <f>_xll.qlDayCounterYearFraction(DayCounter,BA2,_xll.qlCalendarAdvance(Calendar,BA2,"1D"))</f>
        <v>8.3333333333333332E-3</v>
      </c>
      <c r="BE2" s="88">
        <f>_xll.qlCalendarAdvance(Calendar,BA2,"1m","mf",TRUE)</f>
        <v>42947</v>
      </c>
      <c r="BF2" s="98" t="s">
        <v>61</v>
      </c>
      <c r="BG2" s="111">
        <f>_xll.qlDayCounterYearFraction(DayCounter,BE2,_xll.qlCalendarAdvance(Calendar,BE2,"1D"))</f>
        <v>2.7777777777777779E-3</v>
      </c>
      <c r="BI2" s="88">
        <f>_xll.qlCalendarAdjust(Calendar,DATE(YEAR(SettlementDate)+1,12,31),"Preceding",Trigger)</f>
        <v>43098</v>
      </c>
      <c r="BJ2" s="98" t="s">
        <v>61</v>
      </c>
      <c r="BK2" s="111">
        <f>_xll.qlDayCounterYearFraction(DayCounter,BI2,_xll.qlCalendarAdvance(Calendar,BI2,"1D"))</f>
        <v>1.1111111111111112E-2</v>
      </c>
      <c r="BM2" s="88">
        <f>_xll.qlCalendarAdvance(Calendar,BI2,"1m","mf",TRUE)</f>
        <v>43131</v>
      </c>
      <c r="BN2" s="98" t="s">
        <v>61</v>
      </c>
      <c r="BO2" s="111">
        <f>_xll.qlDayCounterYearFraction(DayCounter,BM2,_xll.qlCalendarAdvance(Calendar,BM2,"1D"))</f>
        <v>2.7777777777777779E-3</v>
      </c>
    </row>
    <row r="3" spans="1:67" ht="21" customHeight="1" x14ac:dyDescent="0.2">
      <c r="A3" s="83" t="s">
        <v>42</v>
      </c>
      <c r="B3" s="83" t="s">
        <v>21</v>
      </c>
      <c r="C3" s="83" t="s">
        <v>0</v>
      </c>
      <c r="D3" s="83" t="s">
        <v>1</v>
      </c>
      <c r="E3" s="104"/>
      <c r="F3" s="83" t="s">
        <v>43</v>
      </c>
      <c r="G3" s="83" t="s">
        <v>44</v>
      </c>
      <c r="H3" s="104"/>
      <c r="I3" s="83" t="s">
        <v>79</v>
      </c>
      <c r="J3" s="138" t="s">
        <v>84</v>
      </c>
      <c r="K3" s="90" t="s">
        <v>59</v>
      </c>
      <c r="L3" s="106"/>
      <c r="M3" s="88" t="str">
        <f>_xll.qlInterpolation(,FwdInterpolation,_xll.ohFilter(F5:F129,M5:M129),_xll.ohFilter(J5:J129,M5:M129))</f>
        <v>obj_003a2#0032</v>
      </c>
      <c r="N3" s="99" t="s">
        <v>60</v>
      </c>
      <c r="O3" s="98" t="s">
        <v>62</v>
      </c>
      <c r="P3" s="107"/>
      <c r="Q3" s="88" t="str">
        <f>_xll.qlInterpolation(,FwdInterpolation,_xll.ohFilter($F5:$F129,Q5:Q129),_xll.ohFilter(N5:N129,Q5:Q129))</f>
        <v>obj_003a3#0033</v>
      </c>
      <c r="R3" s="99" t="s">
        <v>60</v>
      </c>
      <c r="S3" s="98" t="s">
        <v>62</v>
      </c>
      <c r="T3" s="108"/>
      <c r="U3" s="88" t="str">
        <f>_xll.qlInterpolation(,FwdInterpolation,_xll.ohFilter($F5:$F129,U5:U129),_xll.ohFilter(R5:R129,U5:U129))</f>
        <v>obj_003a4#0033</v>
      </c>
      <c r="V3" s="99" t="s">
        <v>60</v>
      </c>
      <c r="W3" s="98" t="s">
        <v>62</v>
      </c>
      <c r="X3" s="108"/>
      <c r="Y3" s="88" t="str">
        <f>_xll.qlInterpolation(,FwdInterpolation,_xll.ohFilter($F5:$F129,Y5:Y129),_xll.ohFilter(V5:V129,Y5:Y129))</f>
        <v>obj_003a7#0033</v>
      </c>
      <c r="Z3" s="99" t="s">
        <v>60</v>
      </c>
      <c r="AA3" s="98" t="s">
        <v>62</v>
      </c>
      <c r="AB3" s="108"/>
      <c r="AC3" s="88" t="str">
        <f>_xll.qlInterpolation(,FwdInterpolation,_xll.ohFilter($F5:$F129,AC5:AC129),_xll.ohFilter(Z5:Z129,AC5:AC129))</f>
        <v>obj_003a8#0033</v>
      </c>
      <c r="AD3" s="99" t="s">
        <v>60</v>
      </c>
      <c r="AE3" s="98" t="s">
        <v>62</v>
      </c>
      <c r="AF3" s="108"/>
      <c r="AG3" s="88" t="str">
        <f>_xll.qlInterpolation(,FwdInterpolation,_xll.ohFilter($F5:$F129,AG5:AG129),_xll.ohFilter(AD5:AD129,AG5:AG129))</f>
        <v>obj_003a9#0033</v>
      </c>
      <c r="AH3" s="99" t="s">
        <v>60</v>
      </c>
      <c r="AI3" s="98" t="s">
        <v>62</v>
      </c>
      <c r="AJ3" s="108"/>
      <c r="AK3" s="88" t="str">
        <f>_xll.qlInterpolation(,FwdInterpolation,_xll.ohFilter($F5:$F129,AK5:AK129),_xll.ohFilter(AH5:AH129,AK5:AK129))</f>
        <v>obj_003aa#0033</v>
      </c>
      <c r="AL3" s="99" t="s">
        <v>60</v>
      </c>
      <c r="AM3" s="98" t="s">
        <v>62</v>
      </c>
      <c r="AO3" s="88" t="str">
        <f>_xll.qlInterpolation(,FwdInterpolation,_xll.ohFilter($F5:$F129,AO5:AO129),_xll.ohFilter(AL5:AL129,AO5:AO129))</f>
        <v>obj_003ab#0033</v>
      </c>
      <c r="AP3" s="99" t="s">
        <v>60</v>
      </c>
      <c r="AQ3" s="98" t="s">
        <v>62</v>
      </c>
      <c r="AS3" s="88" t="str">
        <f>_xll.qlInterpolation(,FwdInterpolation,_xll.ohFilter($F5:$F129,AS5:AS129),_xll.ohFilter(AP5:AP129,AS5:AS129))</f>
        <v>obj_003ac#0033</v>
      </c>
      <c r="AT3" s="99" t="s">
        <v>60</v>
      </c>
      <c r="AU3" s="98" t="s">
        <v>62</v>
      </c>
      <c r="AW3" s="88" t="str">
        <f>_xll.qlInterpolation(,FwdInterpolation,_xll.ohFilter($F5:$F129,AW5:AW129),_xll.ohFilter(AT5:AT129,AW5:AW129))</f>
        <v>obj_003ad#0033</v>
      </c>
      <c r="AX3" s="99" t="s">
        <v>60</v>
      </c>
      <c r="AY3" s="98" t="s">
        <v>62</v>
      </c>
      <c r="BA3" s="88" t="str">
        <f>_xll.qlInterpolation(,FwdInterpolation,_xll.ohFilter($F5:$F129,BA5:BA129),_xll.ohFilter(AX5:AX129,BA5:BA129))</f>
        <v>obj_003ae#0033</v>
      </c>
      <c r="BB3" s="99" t="s">
        <v>60</v>
      </c>
      <c r="BC3" s="98" t="s">
        <v>62</v>
      </c>
      <c r="BE3" s="88" t="str">
        <f>_xll.qlInterpolation(,FwdInterpolation,_xll.ohFilter($F5:$F129,BE5:BE129),_xll.ohFilter(BB5:BB129,BE5:BE129))</f>
        <v>obj_003af#0033</v>
      </c>
      <c r="BF3" s="99" t="s">
        <v>60</v>
      </c>
      <c r="BG3" s="98" t="s">
        <v>62</v>
      </c>
      <c r="BI3" s="88" t="str">
        <f>_xll.qlInterpolation(,FwdInterpolation,_xll.ohFilter($F5:$F129,BI5:BI129),_xll.ohFilter(BF5:BF129,BI5:BI129))</f>
        <v>obj_003b0#0033</v>
      </c>
      <c r="BJ3" s="99" t="s">
        <v>60</v>
      </c>
      <c r="BK3" s="98" t="s">
        <v>62</v>
      </c>
      <c r="BM3" s="88" t="str">
        <f>_xll.qlInterpolation(,FwdInterpolation,_xll.ohFilter($F5:$F129,BM5:BM129),_xll.ohFilter(BJ5:BJ129,BM5:BM129))</f>
        <v>obj_003b1#0033</v>
      </c>
      <c r="BN3" s="99" t="s">
        <v>60</v>
      </c>
      <c r="BO3" s="98" t="s">
        <v>62</v>
      </c>
    </row>
    <row r="4" spans="1:67" ht="13.5" customHeight="1" x14ac:dyDescent="0.2">
      <c r="A4" s="80"/>
      <c r="B4" s="81"/>
      <c r="C4" s="82"/>
      <c r="D4" s="19">
        <f>'General Settings'!C18</f>
        <v>42594</v>
      </c>
      <c r="F4" s="72"/>
      <c r="G4" s="72"/>
      <c r="I4" s="71" t="b">
        <v>0</v>
      </c>
      <c r="J4" s="91">
        <f t="array" ref="J4:J129">_xll.qlPiecewiseYieldCurveData(YieldCurve,InterestRatesTrigger)</f>
        <v>4.1879269211031675E-3</v>
      </c>
      <c r="K4" s="92">
        <f>D4</f>
        <v>42594</v>
      </c>
      <c r="L4" s="75"/>
      <c r="M4" s="102" t="b">
        <v>1</v>
      </c>
      <c r="N4" s="100"/>
      <c r="O4" s="101">
        <f>-LN(MAX(O5:O33))/O$2</f>
        <v>0</v>
      </c>
      <c r="P4" s="107"/>
      <c r="Q4" s="102" t="b">
        <v>1</v>
      </c>
      <c r="R4" s="100"/>
      <c r="S4" s="101">
        <f>-LN(MAX(S5:S33))/S$2</f>
        <v>0</v>
      </c>
      <c r="T4" s="108"/>
      <c r="U4" s="102" t="b">
        <v>1</v>
      </c>
      <c r="V4" s="100"/>
      <c r="W4" s="101">
        <f>-LN(MAX(W5:W33))/W$2</f>
        <v>0</v>
      </c>
      <c r="X4" s="108"/>
      <c r="Y4" s="102" t="b">
        <v>1</v>
      </c>
      <c r="Z4" s="100"/>
      <c r="AA4" s="101">
        <f>-LN(MAX(AA5:AA33))/AA$2</f>
        <v>0</v>
      </c>
      <c r="AB4" s="108"/>
      <c r="AC4" s="102" t="b">
        <v>1</v>
      </c>
      <c r="AD4" s="100"/>
      <c r="AE4" s="101">
        <f>-LN(MAX(AE5:AE33))/AE$2</f>
        <v>0</v>
      </c>
      <c r="AF4" s="108"/>
      <c r="AG4" s="102" t="b">
        <v>1</v>
      </c>
      <c r="AH4" s="100"/>
      <c r="AI4" s="101">
        <f>-LN(MAX(AI5:AI33))/AI$2</f>
        <v>0</v>
      </c>
      <c r="AJ4" s="108"/>
      <c r="AK4" s="102" t="b">
        <v>1</v>
      </c>
      <c r="AL4" s="100"/>
      <c r="AM4" s="101">
        <f>-LN(MAX(AM5:AM33))/AM$2</f>
        <v>7.9999911111357117E-4</v>
      </c>
      <c r="AO4" s="102" t="b">
        <v>1</v>
      </c>
      <c r="AP4" s="100"/>
      <c r="AQ4" s="101">
        <f>-LN(MAX(AQ5:AQ33))/AQ$2</f>
        <v>0</v>
      </c>
      <c r="AS4" s="102" t="b">
        <v>1</v>
      </c>
      <c r="AT4" s="100"/>
      <c r="AU4" s="101">
        <f>-LN(MAX(AU5:AU33))/AU$2</f>
        <v>0</v>
      </c>
      <c r="AW4" s="102" t="b">
        <v>1</v>
      </c>
      <c r="AX4" s="100"/>
      <c r="AY4" s="101">
        <f>-LN(MAX(AY5:AY33))/AY$2</f>
        <v>0</v>
      </c>
      <c r="BA4" s="102" t="b">
        <v>1</v>
      </c>
      <c r="BB4" s="100"/>
      <c r="BC4" s="101">
        <f>-LN(MAX(BC5:BC33))/BC$2</f>
        <v>0</v>
      </c>
      <c r="BE4" s="102" t="b">
        <v>1</v>
      </c>
      <c r="BF4" s="100"/>
      <c r="BG4" s="101">
        <f>-LN(MAX(BG5:BG33))/BG$2</f>
        <v>0</v>
      </c>
      <c r="BI4" s="102" t="b">
        <v>1</v>
      </c>
      <c r="BJ4" s="100"/>
      <c r="BK4" s="101">
        <f>-LN(MAX(BK5:BK33))/BK$2</f>
        <v>0</v>
      </c>
      <c r="BM4" s="102" t="b">
        <v>1</v>
      </c>
      <c r="BN4" s="100"/>
      <c r="BO4" s="176">
        <f>-LN(MAX(BO5:BO33))/BO$2</f>
        <v>0</v>
      </c>
    </row>
    <row r="5" spans="1:67" x14ac:dyDescent="0.2">
      <c r="A5" s="33" t="str">
        <f t="array" ref="A5:A129">_xll.qlRateHelperSelection(_xll.ohFilter(RateHelpers,RateHelpersIncluded),_xll.ohFilter(RateHelpersPriority,RateHelpersIncluded),$B$1,0,2,"AllDepos",_xll.ohFilter(MinDistance,RateHelpersIncluded))</f>
        <v>obj_0037a</v>
      </c>
      <c r="B5" s="17">
        <f>_xll.qlRateHelperRate($A5,InterestRatesTrigger)</f>
        <v>4.1880000000000007E-3</v>
      </c>
      <c r="C5" s="18">
        <f>_xll.qlRateHelperEarliestDate($A5)</f>
        <v>42594</v>
      </c>
      <c r="D5" s="19">
        <f>_xll.qlRateHelperPillarDate($A5)</f>
        <v>42597</v>
      </c>
      <c r="F5" s="84">
        <f t="shared" ref="F5:F30" si="0">IF(ISERROR(D5),NA(),(D5-D4)/2+D4)</f>
        <v>42595.5</v>
      </c>
      <c r="G5" s="85">
        <f>_xll.qlDayCounterYearFraction(DayCounter,D4,D5)</f>
        <v>8.3333333333333332E-3</v>
      </c>
      <c r="H5" s="105"/>
      <c r="I5" s="93" t="b">
        <f>IF(ISERROR(K5),FALSE,IF(OR(MONTH(K5)-MONTH(K4)=1,YEAR(K5)-YEAR(K4)=1),FALSE,TRUE))</f>
        <v>1</v>
      </c>
      <c r="J5" s="37">
        <v>4.1879269211031675E-3</v>
      </c>
      <c r="K5" s="94">
        <f>D5</f>
        <v>42597</v>
      </c>
      <c r="L5" s="75"/>
      <c r="M5" s="72" t="b">
        <f>IF(AND(NOT(I5),AND(I$4:I4)),TRUE,I5)</f>
        <v>1</v>
      </c>
      <c r="N5" s="34">
        <f>IF(AND(NOT(ISBLANK(Jumpoverwrite1)),AND(NOT(M5),AND(M$4:M4))),($J5*$G5-LN(1+Jumpoverwrite1*O$2))/$G5,_xll.qlInterpolationInterpolate(M$3,$F5,TRUE))</f>
        <v>4.1879269211031675E-3</v>
      </c>
      <c r="O5" s="155" t="str">
        <f>IF(AND(NOT(M5),AND(M$4:M4)),IF(N5&gt;$J5,MAX(EXP((N5-$J5)*$G5),1),MIN(EXP((N5-$J5)*$G5),1)),"")</f>
        <v/>
      </c>
      <c r="P5" s="107"/>
      <c r="Q5" s="72" t="b">
        <f>IF(AND(NOT(M5),AND(M$4:M4)),TRUE,M5)</f>
        <v>1</v>
      </c>
      <c r="R5" s="34">
        <f>IF(AND(NOT(ISBLANK(Jumpoverwrite2)),AND(NOT(Q5),AND(Q$4:Q4))),($J5*$G5-LN(1+Jumpoverwrite2*S$2))/$G5,_xll.qlInterpolationInterpolate(Q$3,$F5,TRUE))</f>
        <v>4.1879269211031675E-3</v>
      </c>
      <c r="S5" s="155" t="str">
        <f>IF(AND(NOT(Q5),AND(Q$4:Q4)),IF(R5&gt;$J5,MAX(EXP((R5-$J5)*$G5),1),MIN(EXP((R5-$J5)*$G5),1)),"")</f>
        <v/>
      </c>
      <c r="T5" s="108"/>
      <c r="U5" s="72" t="b">
        <f>IF(AND(NOT(Q5),AND(Q$4:Q4)),TRUE,Q5)</f>
        <v>1</v>
      </c>
      <c r="V5" s="34">
        <f>IF(AND(NOT(ISBLANK(Jumpoverwrite3)),AND(NOT(U5),AND(U$4:U4))),($J5*$G5-LN(1+Jumpoverwrite3*W$2))/$G5,_xll.qlInterpolationInterpolate(U$3,$F5,TRUE))</f>
        <v>4.1879269211031675E-3</v>
      </c>
      <c r="W5" s="155" t="str">
        <f>IF(AND(NOT(U5),AND(U$4:U4)),IF(V5&gt;$J5,MAX(EXP((V5-$J5)*$G5),1),MIN(EXP((V5-$J5)*$G5),1)),"")</f>
        <v/>
      </c>
      <c r="X5" s="108"/>
      <c r="Y5" s="72" t="b">
        <f>IF(AND(NOT(U5),AND(U$4:U4)),TRUE,U5)</f>
        <v>1</v>
      </c>
      <c r="Z5" s="34">
        <f>IF(AND(NOT(ISBLANK(Jumpoverwrite4)),AND(NOT(Y5),AND(Y$4:Y4))),($J5*$G5-LN(1+Jumpoverwrite4*AA$2))/$G5,_xll.qlInterpolationInterpolate(Y$3,$F5,TRUE))</f>
        <v>4.1879269211031675E-3</v>
      </c>
      <c r="AA5" s="155" t="str">
        <f>IF(AND(NOT(Y5),AND(Y$4:Y4)),IF(Z5&gt;$J5,MAX(EXP((Z5-$J5)*$G5),1),MIN(EXP((Z5-$J5)*$G5),1)),"")</f>
        <v/>
      </c>
      <c r="AB5" s="108"/>
      <c r="AC5" s="72" t="b">
        <f>IF(AND(NOT(Y5),AND(Y$4:Y4)),TRUE,Y5)</f>
        <v>1</v>
      </c>
      <c r="AD5" s="34">
        <f>IF(AND(NOT(ISBLANK(Jumpoverwrite5)),AND(NOT(AC5),AND(AC$4:AC4))),($J5*$G5-LN(1+Jumpoverwrite5*AE$2))/$G5,_xll.qlInterpolationInterpolate(AC$3,$F5,TRUE))</f>
        <v>4.1879269211031675E-3</v>
      </c>
      <c r="AE5" s="155" t="str">
        <f>IF(AND(NOT(AC5),AND(AC$4:AC4)),IF(AD5&gt;$J5,MAX(EXP((AD5-$J5)*$G5),1),MIN(EXP((AD5-$J5)*$G5),1)),"")</f>
        <v/>
      </c>
      <c r="AF5" s="108"/>
      <c r="AG5" s="72" t="b">
        <f>IF(AND(NOT(AC5),AND(AC$4:AC4)),TRUE,AC5)</f>
        <v>1</v>
      </c>
      <c r="AH5" s="34">
        <f>IF(AND(NOT(ISBLANK(Jumpoverwrite6)),AND(NOT(AG5),AND(AG$4:AG4))),($J5*$G5-LN(1+Jumpoverwrite6*AI$2))/$G5,_xll.qlInterpolationInterpolate(AG$3,$F5,TRUE))</f>
        <v>4.1879269211031675E-3</v>
      </c>
      <c r="AI5" s="155" t="str">
        <f>IF(AND(NOT(AG5),AND(AG$4:AG4)),IF(AH5&gt;$J5,MAX(EXP((AH5-$J5)*$G5),1),MIN(EXP((AH5-$J5)*$G5),1)),"")</f>
        <v/>
      </c>
      <c r="AJ5" s="108"/>
      <c r="AK5" s="72" t="b">
        <f>IF(AND(NOT(AG5),AND(AG$4:AG4)),TRUE,AG5)</f>
        <v>1</v>
      </c>
      <c r="AL5" s="34">
        <f>IF(AND(NOT(ISBLANK(Jumpoverwrite7)),AND(NOT(AK5),AND(AK$4:AK4))),($J5*$G5-LN(1+Jumpoverwrite7*AM$2))/$G5,_xll.qlInterpolationInterpolate(AK$3,$F5,TRUE))</f>
        <v>4.1879269211031675E-3</v>
      </c>
      <c r="AM5" s="155" t="str">
        <f>IF(AND(NOT(AK5),AND(AK$4:AK4)),IF(AL5&gt;$J5,MAX(EXP((AL5-$J5)*$G5),1),MIN(EXP((AL5-$J5)*$G5),1)),"")</f>
        <v/>
      </c>
      <c r="AO5" s="72" t="b">
        <f>IF(AND(NOT(AK5),AND(AK$4:AK4)),TRUE,AK5)</f>
        <v>1</v>
      </c>
      <c r="AP5" s="34">
        <f>IF(AND(NOT(ISBLANK(Jumpoverwrite8)),AND(NOT(AO5),AND(AO$4:AO4))),($J5*$G5-LN(1+Jumpoverwrite8*AQ$2))/$G5,_xll.qlInterpolationInterpolate(AO$3,$F5,TRUE))</f>
        <v>4.1879269211031675E-3</v>
      </c>
      <c r="AQ5" s="155" t="str">
        <f>IF(AND(NOT(AO5),AND(AO$4:AO4)),IF(AP5&gt;$J5,MAX(EXP((AP5-$J5)*$G5),1),MIN(EXP((AP5-$J5)*$G5),1)),"")</f>
        <v/>
      </c>
      <c r="AS5" s="72" t="b">
        <f>IF(AND(NOT(AO5),AND(AO$4:AO4)),TRUE,AO5)</f>
        <v>1</v>
      </c>
      <c r="AT5" s="34">
        <f>IF(AND(NOT(ISBLANK(Jumpoverwrite9)),AND(NOT(AS5),AND(AS$4:AS4))),($J5*$G5-LN(1+Jumpoverwrite9*AU$2))/$G5,_xll.qlInterpolationInterpolate(AS$3,$F5,TRUE))</f>
        <v>4.1879269211031675E-3</v>
      </c>
      <c r="AU5" s="155" t="str">
        <f>IF(AND(NOT(AS5),AND(AS$4:AS4)),IF(AT5&gt;$J5,MAX(EXP((AT5-$J5)*$G5),1),MIN(EXP((AT5-$J5)*$G5),1)),"")</f>
        <v/>
      </c>
      <c r="AW5" s="72" t="b">
        <f>IF(AND(NOT(AS5),AND(AS$4:AS4)),TRUE,AS5)</f>
        <v>1</v>
      </c>
      <c r="AX5" s="34">
        <f>IF(AND(NOT(ISBLANK(Jumpoverwrite10)),AND(NOT(AW5),AND(AW$4:AW4))),($J5*$G5-LN(1+Jumpoverwrite10*AY$2))/$G5,_xll.qlInterpolationInterpolate(AW$3,$F5,TRUE))</f>
        <v>4.1879269211031675E-3</v>
      </c>
      <c r="AY5" s="155" t="str">
        <f>IF(AND(NOT(AW5),AND(AW$4:AW4)),IF(AX5&gt;$J5,MAX(EXP((AX5-$J5)*$G5),1),MIN(EXP((AX5-$J5)*$G5),1)),"")</f>
        <v/>
      </c>
      <c r="BA5" s="72" t="b">
        <f>IF(AND(NOT(AW5),AND(AW$4:AW4)),TRUE,AW5)</f>
        <v>1</v>
      </c>
      <c r="BB5" s="34">
        <f>IF(AND(NOT(ISBLANK(Jumpoverwrite11)),AND(NOT(BA5),AND(BA$4:BA4))),($J5*$G5-LN(1+Jumpoverwrite11*BC$2))/$G5,_xll.qlInterpolationInterpolate(BA$3,$F5,TRUE))</f>
        <v>4.1879269211031675E-3</v>
      </c>
      <c r="BC5" s="155" t="str">
        <f>IF(AND(NOT(BA5),AND(BA$4:BA4)),IF(BB5&gt;$J5,MAX(EXP((BB5-$J5)*$G5),1),MIN(EXP((BB5-$J5)*$G5),1)),"")</f>
        <v/>
      </c>
      <c r="BE5" s="72" t="b">
        <f>IF(AND(NOT(BA5),AND(BA$4:BA4)),TRUE,BA5)</f>
        <v>1</v>
      </c>
      <c r="BF5" s="34">
        <f>IF(AND(NOT(ISBLANK(Jumpoverwrite12)),AND(NOT(BE5),AND(BE$4:BE4))),($J5*$G5-LN(1+Jumpoverwrite12*BG$2))/$G5,_xll.qlInterpolationInterpolate(BE$3,$F5,TRUE))</f>
        <v>4.1879269211031675E-3</v>
      </c>
      <c r="BG5" s="155" t="str">
        <f>IF(AND(NOT(BE5),AND(BE$4:BE4)),IF(BF5&gt;$J5,MAX(EXP((BF5-$J5)*$G5),1),MIN(EXP((BF5-$J5)*$G5),1)),"")</f>
        <v/>
      </c>
      <c r="BI5" s="72" t="b">
        <f t="shared" ref="BI5:BI36" si="1">IF(ISERROR(K5),FALSE,IF(YEAR(K5)-YEAR(SettlementDate)=2,FALSE,TRUE))</f>
        <v>1</v>
      </c>
      <c r="BJ5" s="34">
        <f>IF(AND(NOT(ISBLANK(jumpoverwrite13)),AND(NOT(BI5),AND(BI$4:BI4))),($J5*$G5-LN(1+jumpoverwrite13*BK$2))/$G5,_xll.qlInterpolationInterpolate(BI$3,$F5,TRUE))</f>
        <v>4.1879269211031675E-3</v>
      </c>
      <c r="BK5" s="155" t="str">
        <f>IF(AND(NOT(BI5),AND(BI$4:BI4)),IF(BJ5&gt;$J5,MAX(EXP((BJ5-$J5)*$G5),1),MIN(EXP((BJ5-$J5)*$G5),1)),"")</f>
        <v/>
      </c>
      <c r="BM5" s="72" t="b">
        <f>IF(AND(NOT(BI5),AND(BI$4:BI4)),TRUE,BI5)</f>
        <v>1</v>
      </c>
      <c r="BN5" s="175">
        <f>IF(AND(NOT(ISBLANK(Jumpoverwrite14)),AND(NOT(BM5),AND(BM$4:BM4))),($J5*$G5-LN(1+Jumpoverwrite14*BO$2))/$G5,_xll.qlInterpolationInterpolate(BM$3,$F5,TRUE))</f>
        <v>4.1879269211031675E-3</v>
      </c>
      <c r="BO5" s="155" t="str">
        <f>IF(AND(NOT(BM5),AND(BM$4:BM4)),IF(BM5&gt;$J5,MAX(EXP((BM5-$J5)*$G5),1),MIN(EXP((BM5-$J5)*$G5),1)),"")</f>
        <v/>
      </c>
    </row>
    <row r="6" spans="1:67" x14ac:dyDescent="0.2">
      <c r="A6" s="33" t="str">
        <v>obj_00386</v>
      </c>
      <c r="B6" s="17">
        <f>_xll.qlRateHelperRate($A6,InterestRatesTrigger)</f>
        <v>3.9700000000000004E-3</v>
      </c>
      <c r="C6" s="18">
        <f>_xll.qlRateHelperEarliestDate($A6)</f>
        <v>42594</v>
      </c>
      <c r="D6" s="19">
        <f>_xll.qlRateHelperPillarDate($A6)</f>
        <v>42625</v>
      </c>
      <c r="F6" s="84">
        <f t="shared" si="0"/>
        <v>42611</v>
      </c>
      <c r="G6" s="85">
        <f>_xll.qlDayCounterYearFraction(DayCounter,D5,D6)</f>
        <v>7.7777777777777779E-2</v>
      </c>
      <c r="H6" s="105"/>
      <c r="I6" s="93" t="b">
        <f t="shared" ref="I6:I69" si="2">IF(ISERROR(K6),FALSE,IF(OR(MONTH(K6)-MONTH(K5)=1,YEAR(K6)-YEAR(K5)=1),FALSE,TRUE))</f>
        <v>0</v>
      </c>
      <c r="J6" s="37">
        <v>3.9458995573697789E-3</v>
      </c>
      <c r="K6" s="94">
        <f t="shared" ref="K6:K69" si="3">D6</f>
        <v>42625</v>
      </c>
      <c r="L6" s="75"/>
      <c r="M6" s="72" t="b">
        <f>IF(AND(NOT(I6),AND(I$4:I5)),TRUE,I6)</f>
        <v>0</v>
      </c>
      <c r="N6" s="34">
        <f>IF(AND(NOT(ISBLANK(Jumpoverwrite1)),AND(NOT(M6),AND(M$4:M5))),($J6*$G6-LN(1+Jumpoverwrite1*O$2))/$G6,_xll.qlInterpolationInterpolate(M$3,$F6,TRUE))</f>
        <v>4.2449759008188256E-3</v>
      </c>
      <c r="O6" s="34">
        <v>1</v>
      </c>
      <c r="P6" s="108"/>
      <c r="Q6" s="72" t="b">
        <f>IF(AND(NOT(M6),AND(M$4:M5)),TRUE,M6)</f>
        <v>1</v>
      </c>
      <c r="R6" s="34">
        <f>IF(AND(NOT(ISBLANK(Jumpoverwrite2)),AND(NOT(Q6),AND(Q$4:Q5))),($J6*$G6-LN(1+Jumpoverwrite2*S$2))/$G6,_xll.qlInterpolationInterpolate(Q$3,$F6,TRUE))</f>
        <v>4.2449759008188256E-3</v>
      </c>
      <c r="S6" s="34" t="str">
        <f>IF(AND(NOT(Q6),AND(Q$4:Q5)),IF(R6&gt;$J6,MAX(EXP((R6-$J6)*$G6),1),MIN(EXP((R6-$J6)*$G6),1)),"")</f>
        <v/>
      </c>
      <c r="T6" s="108"/>
      <c r="U6" s="72" t="b">
        <f>IF(AND(NOT(Q6),AND(Q$4:Q5)),TRUE,Q6)</f>
        <v>1</v>
      </c>
      <c r="V6" s="34">
        <f>IF(AND(NOT(ISBLANK(Jumpoverwrite3)),AND(NOT(U6),AND(U$4:U5))),($J6*$G6-LN(1+Jumpoverwrite3*W$2))/$G6,_xll.qlInterpolationInterpolate(U$3,$F6,TRUE))</f>
        <v>4.2449759008188256E-3</v>
      </c>
      <c r="W6" s="34" t="str">
        <f>IF(AND(NOT(U6),AND(U$4:U5)),IF(V6&gt;$J6,MAX(EXP((V6-$J6)*$G6),1),MIN(EXP((V6-$J6)*$G6),1)),"")</f>
        <v/>
      </c>
      <c r="X6" s="108"/>
      <c r="Y6" s="72" t="b">
        <f>IF(AND(NOT(U6),AND(U$4:U5)),TRUE,U6)</f>
        <v>1</v>
      </c>
      <c r="Z6" s="34">
        <f>IF(AND(NOT(ISBLANK(Jumpoverwrite4)),AND(NOT(Y6),AND(Y$4:Y5))),($J6*$G6-LN(1+Jumpoverwrite4*AA$2))/$G6,_xll.qlInterpolationInterpolate(Y$3,$F6,TRUE))</f>
        <v>4.2449759008188256E-3</v>
      </c>
      <c r="AA6" s="34" t="str">
        <f>IF(AND(NOT(Y6),AND(Y$4:Y5)),IF(Z6&gt;$J6,MAX(EXP((Z6-$J6)*$G6),1),MIN(EXP((Z6-$J6)*$G6),1)),"")</f>
        <v/>
      </c>
      <c r="AB6" s="108"/>
      <c r="AC6" s="72" t="b">
        <f>IF(AND(NOT(Y6),AND(Y$4:Y5)),TRUE,Y6)</f>
        <v>1</v>
      </c>
      <c r="AD6" s="34">
        <f>IF(AND(NOT(ISBLANK(Jumpoverwrite5)),AND(NOT(AC6),AND(AC$4:AC5))),($J6*$G6-LN(1+Jumpoverwrite5*AE$2))/$G6,_xll.qlInterpolationInterpolate(AC$3,$F6,TRUE))</f>
        <v>4.2449759008188256E-3</v>
      </c>
      <c r="AE6" s="34" t="str">
        <f>IF(AND(NOT(AC6),AND(AC$4:AC5)),IF(AD6&gt;$J6,MAX(EXP((AD6-$J6)*$G6),1),MIN(EXP((AD6-$J6)*$G6),1)),"")</f>
        <v/>
      </c>
      <c r="AF6" s="108"/>
      <c r="AG6" s="72" t="b">
        <f>IF(AND(NOT(AC6),AND(AC$4:AC5)),TRUE,AC6)</f>
        <v>1</v>
      </c>
      <c r="AH6" s="34">
        <f>IF(AND(NOT(ISBLANK(Jumpoverwrite6)),AND(NOT(AG6),AND(AG$4:AG5))),($J6*$G6-LN(1+Jumpoverwrite6*AI$2))/$G6,_xll.qlInterpolationInterpolate(AG$3,$F6,TRUE))</f>
        <v>4.2449759008188256E-3</v>
      </c>
      <c r="AI6" s="34" t="str">
        <f>IF(AND(NOT(AG6),AND(AG$4:AG5)),IF(AH6&gt;$J6,MAX(EXP((AH6-$J6)*$G6),1),MIN(EXP((AH6-$J6)*$G6),1)),"")</f>
        <v/>
      </c>
      <c r="AJ6" s="108"/>
      <c r="AK6" s="72" t="b">
        <f>IF(AND(NOT(AG6),AND(AG$4:AG5)),TRUE,AG6)</f>
        <v>1</v>
      </c>
      <c r="AL6" s="34">
        <f>IF(AND(NOT(ISBLANK(Jumpoverwrite7)),AND(NOT(AK6),AND(AK$4:AK5))),($J6*$G6-LN(1+Jumpoverwrite7*AM$2))/$G6,_xll.qlInterpolationInterpolate(AK$3,$F6,TRUE))</f>
        <v>4.2449759008188256E-3</v>
      </c>
      <c r="AM6" s="34" t="str">
        <f>IF(AND(NOT(AK6),AND(AK$4:AK5)),IF(AL6&gt;$J6,MAX(EXP((AL6-$J6)*$G6),1),MIN(EXP((AL6-$J6)*$G6),1)),"")</f>
        <v/>
      </c>
      <c r="AO6" s="72" t="b">
        <f>IF(AND(NOT(AK6),AND(AK$4:AK5)),TRUE,AK6)</f>
        <v>1</v>
      </c>
      <c r="AP6" s="34">
        <f>IF(AND(NOT(ISBLANK(Jumpoverwrite8)),AND(NOT(AO6),AND(AO$4:AO5))),($J6*$G6-LN(1+Jumpoverwrite8*AQ$2))/$G6,_xll.qlInterpolationInterpolate(AO$3,$F6,TRUE))</f>
        <v>4.2449759008188256E-3</v>
      </c>
      <c r="AQ6" s="34" t="str">
        <f>IF(AND(NOT(AO6),AND(AO$4:AO5)),IF(AP6&gt;$J6,MAX(EXP((AP6-$J6)*$G6),1),MIN(EXP((AP6-$J6)*$G6),1)),"")</f>
        <v/>
      </c>
      <c r="AS6" s="72" t="b">
        <f>IF(AND(NOT(AO6),AND(AO$4:AO5)),TRUE,AO6)</f>
        <v>1</v>
      </c>
      <c r="AT6" s="34">
        <f>IF(AND(NOT(ISBLANK(Jumpoverwrite9)),AND(NOT(AS6),AND(AS$4:AS5))),($J6*$G6-LN(1+Jumpoverwrite9*AU$2))/$G6,_xll.qlInterpolationInterpolate(AS$3,$F6,TRUE))</f>
        <v>4.2449759008188256E-3</v>
      </c>
      <c r="AU6" s="34" t="str">
        <f>IF(AND(NOT(AS6),AND(AS$4:AS5)),IF(AT6&gt;$J6,MAX(EXP((AT6-$J6)*$G6),1),MIN(EXP((AT6-$J6)*$G6),1)),"")</f>
        <v/>
      </c>
      <c r="AW6" s="72" t="b">
        <f>IF(AND(NOT(AS6),AND(AS$4:AS5)),TRUE,AS6)</f>
        <v>1</v>
      </c>
      <c r="AX6" s="34">
        <f>IF(AND(NOT(ISBLANK(Jumpoverwrite10)),AND(NOT(AW6),AND(AW$4:AW5))),($J6*$G6-LN(1+Jumpoverwrite10*AY$2))/$G6,_xll.qlInterpolationInterpolate(AW$3,$F6,TRUE))</f>
        <v>4.2449759008188256E-3</v>
      </c>
      <c r="AY6" s="34" t="str">
        <f>IF(AND(NOT(AW6),AND(AW$4:AW5)),IF(AX6&gt;$J6,MAX(EXP((AX6-$J6)*$G6),1),MIN(EXP((AX6-$J6)*$G6),1)),"")</f>
        <v/>
      </c>
      <c r="BA6" s="72" t="b">
        <f>IF(AND(NOT(AW6),AND(AW$4:AW5)),TRUE,AW6)</f>
        <v>1</v>
      </c>
      <c r="BB6" s="34">
        <f>IF(AND(NOT(ISBLANK(Jumpoverwrite11)),AND(NOT(BA6),AND(BA$4:BA5))),($J6*$G6-LN(1+Jumpoverwrite11*BC$2))/$G6,_xll.qlInterpolationInterpolate(BA$3,$F6,TRUE))</f>
        <v>4.2449759008188256E-3</v>
      </c>
      <c r="BC6" s="34" t="str">
        <f>IF(AND(NOT(BA6),AND(BA$4:BA5)),IF(BB6&gt;$J6,MAX(EXP((BB6-$J6)*$G6),1),MIN(EXP((BB6-$J6)*$G6),1)),"")</f>
        <v/>
      </c>
      <c r="BE6" s="72" t="b">
        <f>IF(AND(NOT(BA6),AND(BA$4:BA5)),TRUE,BA6)</f>
        <v>1</v>
      </c>
      <c r="BF6" s="34">
        <f>IF(AND(NOT(ISBLANK(Jumpoverwrite12)),AND(NOT(BE6),AND(BE$4:BE5))),($J6*$G6-LN(1+Jumpoverwrite12*BG$2))/$G6,_xll.qlInterpolationInterpolate(BE$3,$F6,TRUE))</f>
        <v>4.2449759008188256E-3</v>
      </c>
      <c r="BG6" s="34" t="str">
        <f>IF(AND(NOT(BE6),AND(BE$4:BE5)),IF(BF6&gt;$J6,MAX(EXP((BF6-$J6)*$G6),1),MIN(EXP((BF6-$J6)*$G6),1)),"")</f>
        <v/>
      </c>
      <c r="BI6" s="72" t="b">
        <f t="shared" si="1"/>
        <v>1</v>
      </c>
      <c r="BJ6" s="34">
        <f>IF(AND(NOT(ISBLANK(jumpoverwrite13)),AND(NOT(BI6),AND(BI$4:BI5))),($J6*$G6-LN(1+jumpoverwrite13*BK$2))/$G6,_xll.qlInterpolationInterpolate(BI$3,$F6,TRUE))</f>
        <v>4.2449759008188256E-3</v>
      </c>
      <c r="BK6" s="34" t="str">
        <f>IF(AND(NOT(BI6),AND(BI$4:BI5)),IF(BJ6&gt;$J6,MAX(EXP((BJ6-$J6)*$G6),1),MIN(EXP((BJ6-$J6)*$G6),1)),"")</f>
        <v/>
      </c>
      <c r="BM6" s="72" t="b">
        <f>IF(AND(NOT(BI6),AND(BI$4:BI5)),TRUE,BI6)</f>
        <v>1</v>
      </c>
      <c r="BN6" s="175">
        <f>IF(AND(NOT(ISBLANK(Jumpoverwrite14)),AND(NOT(BM6),AND(BM$4:BM5))),($J6*$G6-LN(1+Jumpoverwrite14*BO$2))/$G6,_xll.qlInterpolationInterpolate(BM$3,$F6,TRUE))</f>
        <v>4.2449759008188256E-3</v>
      </c>
      <c r="BO6" s="34" t="str">
        <f>IF(AND(NOT(BM6),AND(BM$4:BM5)),IF(BM6&gt;$J6,MAX(EXP((BM6-$J6)*$G6),1),MIN(EXP((BM6-$J6)*$G6),1)),"")</f>
        <v/>
      </c>
    </row>
    <row r="7" spans="1:67" x14ac:dyDescent="0.2">
      <c r="A7" s="33" t="str">
        <v>obj_00391</v>
      </c>
      <c r="B7" s="17">
        <f>_xll.qlRateHelperRate($A7,InterestRatesTrigger)</f>
        <v>4.0800000000000003E-3</v>
      </c>
      <c r="C7" s="18">
        <f>_xll.qlRateHelperEarliestDate($A7)</f>
        <v>42594</v>
      </c>
      <c r="D7" s="19">
        <f>_xll.qlRateHelperPillarDate($A7)</f>
        <v>42655</v>
      </c>
      <c r="F7" s="84">
        <f t="shared" si="0"/>
        <v>42640</v>
      </c>
      <c r="G7" s="85">
        <f>_xll.qlDayCounterYearFraction(DayCounter,D6,D7)</f>
        <v>8.3333333333333329E-2</v>
      </c>
      <c r="I7" s="93" t="b">
        <f t="shared" si="2"/>
        <v>0</v>
      </c>
      <c r="J7" s="37">
        <v>4.1915013913278697E-3</v>
      </c>
      <c r="K7" s="94">
        <f t="shared" si="3"/>
        <v>42655</v>
      </c>
      <c r="L7" s="75"/>
      <c r="M7" s="72" t="b">
        <f>IF(AND(NOT(I7),AND(I$4:I6)),TRUE,I7)</f>
        <v>0</v>
      </c>
      <c r="N7" s="34">
        <f>IF(AND(NOT(ISBLANK(Jumpoverwrite1)),AND(NOT(M7),AND(M$4:M6))),($J7*$G7-LN(1+Jumpoverwrite1*O$2))/$G7,_xll.qlInterpolationInterpolate(M$3,$F7,TRUE))</f>
        <v>4.3517127015771529E-3</v>
      </c>
      <c r="O7" s="34" t="str">
        <f>IF(AND(NOT(M7),AND(M$4:M6)),IF(N7&gt;$J7,MAX(EXP((N7-$J7)*$G7),1),MIN(EXP((N7-$J7)*$G7),1)),"")</f>
        <v/>
      </c>
      <c r="P7" s="109"/>
      <c r="Q7" s="72" t="b">
        <f>IF(AND(NOT(M7),AND(M$4:M6)),TRUE,M7)</f>
        <v>0</v>
      </c>
      <c r="R7" s="34">
        <f>IF(AND(NOT(ISBLANK(Jumpoverwrite2)),AND(NOT(Q7),AND(Q$4:Q6))),($J7*$G7-LN(1+Jumpoverwrite2*S$2))/$G7,_xll.qlInterpolationInterpolate(Q$3,$F7,TRUE))</f>
        <v>4.1915013913278697E-3</v>
      </c>
      <c r="S7" s="34">
        <f>IF(AND(NOT(Q7),AND(Q$4:Q6)),IF(R7&gt;$J7,MAX(EXP((R7-$J7)*$G7),1),MIN(EXP((R7-$J7)*$G7),1)),"")</f>
        <v>1</v>
      </c>
      <c r="T7" s="108"/>
      <c r="U7" s="72" t="b">
        <f>IF(AND(NOT(Q7),AND(Q$4:Q6)),TRUE,Q7)</f>
        <v>1</v>
      </c>
      <c r="V7" s="34">
        <f>IF(AND(NOT(ISBLANK(Jumpoverwrite3)),AND(NOT(U7),AND(U$4:U6))),($J7*$G7-LN(1+Jumpoverwrite3*W$2))/$G7,_xll.qlInterpolationInterpolate(U$3,$F7,TRUE))</f>
        <v>4.1915013913278697E-3</v>
      </c>
      <c r="W7" s="34" t="str">
        <f>IF(AND(NOT(U7),AND(U$4:U6)),IF(V7&gt;$J7,MAX(EXP((V7-$J7)*$G7),1),MIN(EXP((V7-$J7)*$G7),1)),"")</f>
        <v/>
      </c>
      <c r="X7" s="108"/>
      <c r="Y7" s="72" t="b">
        <f>IF(AND(NOT(U7),AND(U$4:U6)),TRUE,U7)</f>
        <v>1</v>
      </c>
      <c r="Z7" s="34">
        <f>IF(AND(NOT(ISBLANK(Jumpoverwrite4)),AND(NOT(Y7),AND(Y$4:Y6))),($J7*$G7-LN(1+Jumpoverwrite4*AA$2))/$G7,_xll.qlInterpolationInterpolate(Y$3,$F7,TRUE))</f>
        <v>4.1915013913278697E-3</v>
      </c>
      <c r="AA7" s="34" t="str">
        <f>IF(AND(NOT(Y7),AND(Y$4:Y6)),IF(Z7&gt;$J7,MAX(EXP((Z7-$J7)*$G7),1),MIN(EXP((Z7-$J7)*$G7),1)),"")</f>
        <v/>
      </c>
      <c r="AB7" s="108"/>
      <c r="AC7" s="72" t="b">
        <f>IF(AND(NOT(Y7),AND(Y$4:Y6)),TRUE,Y7)</f>
        <v>1</v>
      </c>
      <c r="AD7" s="34">
        <f>IF(AND(NOT(ISBLANK(Jumpoverwrite5)),AND(NOT(AC7),AND(AC$4:AC6))),($J7*$G7-LN(1+Jumpoverwrite5*AE$2))/$G7,_xll.qlInterpolationInterpolate(AC$3,$F7,TRUE))</f>
        <v>4.1915013913278697E-3</v>
      </c>
      <c r="AE7" s="34" t="str">
        <f>IF(AND(NOT(AC7),AND(AC$4:AC6)),IF(AD7&gt;$J7,MAX(EXP((AD7-$J7)*$G7),1),MIN(EXP((AD7-$J7)*$G7),1)),"")</f>
        <v/>
      </c>
      <c r="AF7" s="108"/>
      <c r="AG7" s="72" t="b">
        <f>IF(AND(NOT(AC7),AND(AC$4:AC6)),TRUE,AC7)</f>
        <v>1</v>
      </c>
      <c r="AH7" s="34">
        <f>IF(AND(NOT(ISBLANK(Jumpoverwrite6)),AND(NOT(AG7),AND(AG$4:AG6))),($J7*$G7-LN(1+Jumpoverwrite6*AI$2))/$G7,_xll.qlInterpolationInterpolate(AG$3,$F7,TRUE))</f>
        <v>4.1915013913278697E-3</v>
      </c>
      <c r="AI7" s="34" t="str">
        <f>IF(AND(NOT(AG7),AND(AG$4:AG6)),IF(AH7&gt;$J7,MAX(EXP((AH7-$J7)*$G7),1),MIN(EXP((AH7-$J7)*$G7),1)),"")</f>
        <v/>
      </c>
      <c r="AJ7" s="108"/>
      <c r="AK7" s="72" t="b">
        <f>IF(AND(NOT(AG7),AND(AG$4:AG6)),TRUE,AG7)</f>
        <v>1</v>
      </c>
      <c r="AL7" s="34">
        <f>IF(AND(NOT(ISBLANK(Jumpoverwrite7)),AND(NOT(AK7),AND(AK$4:AK6))),($J7*$G7-LN(1+Jumpoverwrite7*AM$2))/$G7,_xll.qlInterpolationInterpolate(AK$3,$F7,TRUE))</f>
        <v>4.1915013913278697E-3</v>
      </c>
      <c r="AM7" s="34" t="str">
        <f>IF(AND(NOT(AK7),AND(AK$4:AK6)),IF(AL7&gt;$J7,MAX(EXP((AL7-$J7)*$G7),1),MIN(EXP((AL7-$J7)*$G7),1)),"")</f>
        <v/>
      </c>
      <c r="AO7" s="72" t="b">
        <f>IF(AND(NOT(AK7),AND(AK$4:AK6)),TRUE,AK7)</f>
        <v>1</v>
      </c>
      <c r="AP7" s="34">
        <f>IF(AND(NOT(ISBLANK(Jumpoverwrite8)),AND(NOT(AO7),AND(AO$4:AO6))),($J7*$G7-LN(1+Jumpoverwrite8*AQ$2))/$G7,_xll.qlInterpolationInterpolate(AO$3,$F7,TRUE))</f>
        <v>4.1915013913278697E-3</v>
      </c>
      <c r="AQ7" s="34" t="str">
        <f>IF(AND(NOT(AO7),AND(AO$4:AO6)),IF(AP7&gt;$J7,MAX(EXP((AP7-$J7)*$G7),1),MIN(EXP((AP7-$J7)*$G7),1)),"")</f>
        <v/>
      </c>
      <c r="AS7" s="72" t="b">
        <f>IF(AND(NOT(AO7),AND(AO$4:AO6)),TRUE,AO7)</f>
        <v>1</v>
      </c>
      <c r="AT7" s="34">
        <f>IF(AND(NOT(ISBLANK(Jumpoverwrite9)),AND(NOT(AS7),AND(AS$4:AS6))),($J7*$G7-LN(1+Jumpoverwrite9*AU$2))/$G7,_xll.qlInterpolationInterpolate(AS$3,$F7,TRUE))</f>
        <v>4.1915013913278697E-3</v>
      </c>
      <c r="AU7" s="34" t="str">
        <f>IF(AND(NOT(AS7),AND(AS$4:AS6)),IF(AT7&gt;$J7,MAX(EXP((AT7-$J7)*$G7),1),MIN(EXP((AT7-$J7)*$G7),1)),"")</f>
        <v/>
      </c>
      <c r="AW7" s="72" t="b">
        <f>IF(AND(NOT(AS7),AND(AS$4:AS6)),TRUE,AS7)</f>
        <v>1</v>
      </c>
      <c r="AX7" s="34">
        <f>IF(AND(NOT(ISBLANK(Jumpoverwrite10)),AND(NOT(AW7),AND(AW$4:AW6))),($J7*$G7-LN(1+Jumpoverwrite10*AY$2))/$G7,_xll.qlInterpolationInterpolate(AW$3,$F7,TRUE))</f>
        <v>4.1915013913278697E-3</v>
      </c>
      <c r="AY7" s="34" t="str">
        <f>IF(AND(NOT(AW7),AND(AW$4:AW6)),IF(AX7&gt;$J7,MAX(EXP((AX7-$J7)*$G7),1),MIN(EXP((AX7-$J7)*$G7),1)),"")</f>
        <v/>
      </c>
      <c r="BA7" s="72" t="b">
        <f>IF(AND(NOT(AW7),AND(AW$4:AW6)),TRUE,AW7)</f>
        <v>1</v>
      </c>
      <c r="BB7" s="34">
        <f>IF(AND(NOT(ISBLANK(Jumpoverwrite11)),AND(NOT(BA7),AND(BA$4:BA6))),($J7*$G7-LN(1+Jumpoverwrite11*BC$2))/$G7,_xll.qlInterpolationInterpolate(BA$3,$F7,TRUE))</f>
        <v>4.1915013913278697E-3</v>
      </c>
      <c r="BC7" s="34" t="str">
        <f>IF(AND(NOT(BA7),AND(BA$4:BA6)),IF(BB7&gt;$J7,MAX(EXP((BB7-$J7)*$G7),1),MIN(EXP((BB7-$J7)*$G7),1)),"")</f>
        <v/>
      </c>
      <c r="BE7" s="72" t="b">
        <f>IF(AND(NOT(BA7),AND(BA$4:BA6)),TRUE,BA7)</f>
        <v>1</v>
      </c>
      <c r="BF7" s="34">
        <f>IF(AND(NOT(ISBLANK(Jumpoverwrite12)),AND(NOT(BE7),AND(BE$4:BE6))),($J7*$G7-LN(1+Jumpoverwrite12*BG$2))/$G7,_xll.qlInterpolationInterpolate(BE$3,$F7,TRUE))</f>
        <v>4.1915013913278697E-3</v>
      </c>
      <c r="BG7" s="34" t="str">
        <f>IF(AND(NOT(BE7),AND(BE$4:BE6)),IF(BF7&gt;$J7,MAX(EXP((BF7-$J7)*$G7),1),MIN(EXP((BF7-$J7)*$G7),1)),"")</f>
        <v/>
      </c>
      <c r="BI7" s="72" t="b">
        <f t="shared" si="1"/>
        <v>1</v>
      </c>
      <c r="BJ7" s="34">
        <f>IF(AND(NOT(ISBLANK(jumpoverwrite13)),AND(NOT(BI7),AND(BI$4:BI6))),($J7*$G7-LN(1+jumpoverwrite13*BK$2))/$G7,_xll.qlInterpolationInterpolate(BI$3,$F7,TRUE))</f>
        <v>4.1915013913278697E-3</v>
      </c>
      <c r="BK7" s="34" t="str">
        <f>IF(AND(NOT(BI7),AND(BI$4:BI6)),IF(BJ7&gt;$J7,MAX(EXP((BJ7-$J7)*$G7),1),MIN(EXP((BJ7-$J7)*$G7),1)),"")</f>
        <v/>
      </c>
      <c r="BM7" s="72" t="b">
        <f>IF(AND(NOT(BI7),AND(BI$4:BI6)),TRUE,BI7)</f>
        <v>1</v>
      </c>
      <c r="BN7" s="175">
        <f>IF(AND(NOT(ISBLANK(Jumpoverwrite14)),AND(NOT(BM7),AND(BM$4:BM6))),($J7*$G7-LN(1+Jumpoverwrite14*BO$2))/$G7,_xll.qlInterpolationInterpolate(BM$3,$F7,TRUE))</f>
        <v>4.1915013913278697E-3</v>
      </c>
      <c r="BO7" s="34" t="str">
        <f>IF(AND(NOT(BM7),AND(BM$4:BM6)),IF(BM7&gt;$J7,MAX(EXP((BM7-$J7)*$G7),1),MIN(EXP((BM7-$J7)*$G7),1)),"")</f>
        <v/>
      </c>
    </row>
    <row r="8" spans="1:67" x14ac:dyDescent="0.2">
      <c r="A8" s="33" t="str">
        <v>obj_00384</v>
      </c>
      <c r="B8" s="17">
        <f>_xll.qlRateHelperRate($A8,InterestRatesTrigger)</f>
        <v>4.1600000000000005E-3</v>
      </c>
      <c r="C8" s="18">
        <f>_xll.qlRateHelperEarliestDate($A8)</f>
        <v>42594</v>
      </c>
      <c r="D8" s="19">
        <f>_xll.qlRateHelperPillarDate($A8)</f>
        <v>42688</v>
      </c>
      <c r="F8" s="84">
        <f t="shared" si="0"/>
        <v>42671.5</v>
      </c>
      <c r="G8" s="85">
        <f>_xll.qlDayCounterYearFraction(DayCounter,D7,D8)</f>
        <v>9.166666666666666E-2</v>
      </c>
      <c r="I8" s="93" t="b">
        <f t="shared" si="2"/>
        <v>0</v>
      </c>
      <c r="J8" s="37">
        <v>4.3040534966577934E-3</v>
      </c>
      <c r="K8" s="94">
        <f t="shared" si="3"/>
        <v>42688</v>
      </c>
      <c r="L8" s="75"/>
      <c r="M8" s="72" t="b">
        <f>IF(AND(NOT(I8),AND(I$4:I7)),TRUE,I8)</f>
        <v>0</v>
      </c>
      <c r="N8" s="34">
        <f>IF(AND(NOT(ISBLANK(Jumpoverwrite1)),AND(NOT(M8),AND(M$4:M7))),($J8*$G8-LN(1+Jumpoverwrite1*O$2))/$G8,_xll.qlInterpolationInterpolate(M$3,$F8,TRUE))</f>
        <v>4.4676509506767154E-3</v>
      </c>
      <c r="O8" s="34" t="str">
        <f>IF(AND(NOT(M8),AND(M$4:M7)),IF(N8&gt;$J8,MAX(EXP((N8-$J8)*$G8),1),MIN(EXP((N8-$J8)*$G8),1)),"")</f>
        <v/>
      </c>
      <c r="P8" s="108"/>
      <c r="Q8" s="72" t="b">
        <f>IF(AND(NOT(M8),AND(M$4:M7)),TRUE,M8)</f>
        <v>0</v>
      </c>
      <c r="R8" s="34">
        <f>IF(AND(NOT(ISBLANK(Jumpoverwrite2)),AND(NOT(Q8),AND(Q$4:Q7))),($J8*$G8-LN(1+Jumpoverwrite2*S$2))/$G8,_xll.qlInterpolationInterpolate(Q$3,$F8,TRUE))</f>
        <v>4.4676509506767154E-3</v>
      </c>
      <c r="S8" s="34" t="str">
        <f>IF(AND(NOT(Q8),AND(Q$4:Q7)),IF(R8&gt;$J8,MAX(EXP((R8-$J8)*$G8),1),MIN(EXP((R8-$J8)*$G8),1)),"")</f>
        <v/>
      </c>
      <c r="T8" s="108"/>
      <c r="U8" s="72" t="b">
        <f>IF(AND(NOT(Q8),AND(Q$4:Q7)),TRUE,Q8)</f>
        <v>0</v>
      </c>
      <c r="V8" s="34">
        <f>IF(AND(NOT(ISBLANK(Jumpoverwrite3)),AND(NOT(U8),AND(U$4:U7))),($J8*$G8-LN(1+Jumpoverwrite3*W$2))/$G8,_xll.qlInterpolationInterpolate(U$3,$F8,TRUE))</f>
        <v>4.3040534966577934E-3</v>
      </c>
      <c r="W8" s="34">
        <f>IF(AND(NOT(U8),AND(U$4:U7)),IF(V8&gt;$J8,MAX(EXP((V8-$J8)*$G8),1),MIN(EXP((V8-$J8)*$G8),1)),"")</f>
        <v>1</v>
      </c>
      <c r="X8" s="108"/>
      <c r="Y8" s="72" t="b">
        <f>IF(AND(NOT(U8),AND(U$4:U7)),TRUE,U8)</f>
        <v>1</v>
      </c>
      <c r="Z8" s="34">
        <f>IF(AND(NOT(ISBLANK(Jumpoverwrite4)),AND(NOT(Y8),AND(Y$4:Y7))),($J8*$G8-LN(1+Jumpoverwrite4*AA$2))/$G8,_xll.qlInterpolationInterpolate(Y$3,$F8,TRUE))</f>
        <v>4.3040534966577934E-3</v>
      </c>
      <c r="AA8" s="34" t="str">
        <f>IF(AND(NOT(Y8),AND(Y$4:Y7)),IF(Z8&gt;$J8,MAX(EXP((Z8-$J8)*$G8),1),MIN(EXP((Z8-$J8)*$G8),1)),"")</f>
        <v/>
      </c>
      <c r="AB8" s="108"/>
      <c r="AC8" s="72" t="b">
        <f>IF(AND(NOT(Y8),AND(Y$4:Y7)),TRUE,Y8)</f>
        <v>1</v>
      </c>
      <c r="AD8" s="34">
        <f>IF(AND(NOT(ISBLANK(Jumpoverwrite5)),AND(NOT(AC8),AND(AC$4:AC7))),($J8*$G8-LN(1+Jumpoverwrite5*AE$2))/$G8,_xll.qlInterpolationInterpolate(AC$3,$F8,TRUE))</f>
        <v>4.3040534966577934E-3</v>
      </c>
      <c r="AE8" s="34" t="str">
        <f>IF(AND(NOT(AC8),AND(AC$4:AC7)),IF(AD8&gt;$J8,MAX(EXP((AD8-$J8)*$G8),1),MIN(EXP((AD8-$J8)*$G8),1)),"")</f>
        <v/>
      </c>
      <c r="AF8" s="108"/>
      <c r="AG8" s="72" t="b">
        <f>IF(AND(NOT(AC8),AND(AC$4:AC7)),TRUE,AC8)</f>
        <v>1</v>
      </c>
      <c r="AH8" s="34">
        <f>IF(AND(NOT(ISBLANK(Jumpoverwrite6)),AND(NOT(AG8),AND(AG$4:AG7))),($J8*$G8-LN(1+Jumpoverwrite6*AI$2))/$G8,_xll.qlInterpolationInterpolate(AG$3,$F8,TRUE))</f>
        <v>4.3040534966577934E-3</v>
      </c>
      <c r="AI8" s="34" t="str">
        <f>IF(AND(NOT(AG8),AND(AG$4:AG7)),IF(AH8&gt;$J8,MAX(EXP((AH8-$J8)*$G8),1),MIN(EXP((AH8-$J8)*$G8),1)),"")</f>
        <v/>
      </c>
      <c r="AJ8" s="108"/>
      <c r="AK8" s="72" t="b">
        <f>IF(AND(NOT(AG8),AND(AG$4:AG7)),TRUE,AG8)</f>
        <v>1</v>
      </c>
      <c r="AL8" s="34">
        <f>IF(AND(NOT(ISBLANK(Jumpoverwrite7)),AND(NOT(AK8),AND(AK$4:AK7))),($J8*$G8-LN(1+Jumpoverwrite7*AM$2))/$G8,_xll.qlInterpolationInterpolate(AK$3,$F8,TRUE))</f>
        <v>4.3040534966577934E-3</v>
      </c>
      <c r="AM8" s="34" t="str">
        <f>IF(AND(NOT(AK8),AND(AK$4:AK7)),IF(AL8&gt;$J8,MAX(EXP((AL8-$J8)*$G8),1),MIN(EXP((AL8-$J8)*$G8),1)),"")</f>
        <v/>
      </c>
      <c r="AO8" s="72" t="b">
        <f>IF(AND(NOT(AK8),AND(AK$4:AK7)),TRUE,AK8)</f>
        <v>1</v>
      </c>
      <c r="AP8" s="34">
        <f>IF(AND(NOT(ISBLANK(Jumpoverwrite8)),AND(NOT(AO8),AND(AO$4:AO7))),($J8*$G8-LN(1+Jumpoverwrite8*AQ$2))/$G8,_xll.qlInterpolationInterpolate(AO$3,$F8,TRUE))</f>
        <v>4.3040534966577934E-3</v>
      </c>
      <c r="AQ8" s="34" t="str">
        <f>IF(AND(NOT(AO8),AND(AO$4:AO7)),IF(AP8&gt;$J8,MAX(EXP((AP8-$J8)*$G8),1),MIN(EXP((AP8-$J8)*$G8),1)),"")</f>
        <v/>
      </c>
      <c r="AS8" s="72" t="b">
        <f>IF(AND(NOT(AO8),AND(AO$4:AO7)),TRUE,AO8)</f>
        <v>1</v>
      </c>
      <c r="AT8" s="34">
        <f>IF(AND(NOT(ISBLANK(Jumpoverwrite9)),AND(NOT(AS8),AND(AS$4:AS7))),($J8*$G8-LN(1+Jumpoverwrite9*AU$2))/$G8,_xll.qlInterpolationInterpolate(AS$3,$F8,TRUE))</f>
        <v>4.3040534966577934E-3</v>
      </c>
      <c r="AU8" s="34" t="str">
        <f>IF(AND(NOT(AS8),AND(AS$4:AS7)),IF(AT8&gt;$J8,MAX(EXP((AT8-$J8)*$G8),1),MIN(EXP((AT8-$J8)*$G8),1)),"")</f>
        <v/>
      </c>
      <c r="AW8" s="72" t="b">
        <f>IF(AND(NOT(AS8),AND(AS$4:AS7)),TRUE,AS8)</f>
        <v>1</v>
      </c>
      <c r="AX8" s="34">
        <f>IF(AND(NOT(ISBLANK(Jumpoverwrite10)),AND(NOT(AW8),AND(AW$4:AW7))),($J8*$G8-LN(1+Jumpoverwrite10*AY$2))/$G8,_xll.qlInterpolationInterpolate(AW$3,$F8,TRUE))</f>
        <v>4.3040534966577934E-3</v>
      </c>
      <c r="AY8" s="34" t="str">
        <f>IF(AND(NOT(AW8),AND(AW$4:AW7)),IF(AX8&gt;$J8,MAX(EXP((AX8-$J8)*$G8),1),MIN(EXP((AX8-$J8)*$G8),1)),"")</f>
        <v/>
      </c>
      <c r="BA8" s="72" t="b">
        <f>IF(AND(NOT(AW8),AND(AW$4:AW7)),TRUE,AW8)</f>
        <v>1</v>
      </c>
      <c r="BB8" s="34">
        <f>IF(AND(NOT(ISBLANK(Jumpoverwrite11)),AND(NOT(BA8),AND(BA$4:BA7))),($J8*$G8-LN(1+Jumpoverwrite11*BC$2))/$G8,_xll.qlInterpolationInterpolate(BA$3,$F8,TRUE))</f>
        <v>4.3040534966577934E-3</v>
      </c>
      <c r="BC8" s="34" t="str">
        <f>IF(AND(NOT(BA8),AND(BA$4:BA7)),IF(BB8&gt;$J8,MAX(EXP((BB8-$J8)*$G8),1),MIN(EXP((BB8-$J8)*$G8),1)),"")</f>
        <v/>
      </c>
      <c r="BE8" s="72" t="b">
        <f>IF(AND(NOT(BA8),AND(BA$4:BA7)),TRUE,BA8)</f>
        <v>1</v>
      </c>
      <c r="BF8" s="34">
        <f>IF(AND(NOT(ISBLANK(Jumpoverwrite12)),AND(NOT(BE8),AND(BE$4:BE7))),($J8*$G8-LN(1+Jumpoverwrite12*BG$2))/$G8,_xll.qlInterpolationInterpolate(BE$3,$F8,TRUE))</f>
        <v>4.3040534966577934E-3</v>
      </c>
      <c r="BG8" s="34" t="str">
        <f>IF(AND(NOT(BE8),AND(BE$4:BE7)),IF(BF8&gt;$J8,MAX(EXP((BF8-$J8)*$G8),1),MIN(EXP((BF8-$J8)*$G8),1)),"")</f>
        <v/>
      </c>
      <c r="BI8" s="72" t="b">
        <f t="shared" si="1"/>
        <v>1</v>
      </c>
      <c r="BJ8" s="34">
        <f>IF(AND(NOT(ISBLANK(jumpoverwrite13)),AND(NOT(BI8),AND(BI$4:BI7))),($J8*$G8-LN(1+jumpoverwrite13*BK$2))/$G8,_xll.qlInterpolationInterpolate(BI$3,$F8,TRUE))</f>
        <v>4.3040534966577934E-3</v>
      </c>
      <c r="BK8" s="34" t="str">
        <f>IF(AND(NOT(BI8),AND(BI$4:BI7)),IF(BJ8&gt;$J8,MAX(EXP((BJ8-$J8)*$G8),1),MIN(EXP((BJ8-$J8)*$G8),1)),"")</f>
        <v/>
      </c>
      <c r="BM8" s="72" t="b">
        <f>IF(AND(NOT(BI8),AND(BI$4:BI7)),TRUE,BI8)</f>
        <v>1</v>
      </c>
      <c r="BN8" s="175">
        <f>IF(AND(NOT(ISBLANK(Jumpoverwrite14)),AND(NOT(BM8),AND(BM$4:BM7))),($J8*$G8-LN(1+Jumpoverwrite14*BO$2))/$G8,_xll.qlInterpolationInterpolate(BM$3,$F8,TRUE))</f>
        <v>4.3040534966577934E-3</v>
      </c>
      <c r="BO8" s="34" t="str">
        <f>IF(AND(NOT(BM8),AND(BM$4:BM7)),IF(BM8&gt;$J8,MAX(EXP((BM8-$J8)*$G8),1),MIN(EXP((BM8-$J8)*$G8),1)),"")</f>
        <v/>
      </c>
    </row>
    <row r="9" spans="1:67" x14ac:dyDescent="0.2">
      <c r="A9" s="33" t="str">
        <v>obj_0037f</v>
      </c>
      <c r="B9" s="17">
        <f>_xll.qlRateHelperRate($A9,InterestRatesTrigger)</f>
        <v>4.1900000000000001E-3</v>
      </c>
      <c r="C9" s="18">
        <f>_xll.qlRateHelperEarliestDate($A9)</f>
        <v>42594</v>
      </c>
      <c r="D9" s="19">
        <f>_xll.qlRateHelperPillarDate($A9)</f>
        <v>42716</v>
      </c>
      <c r="F9" s="84">
        <f t="shared" si="0"/>
        <v>42702</v>
      </c>
      <c r="G9" s="85">
        <f>_xll.qlDayCounterYearFraction(DayCounter,D8,D9)</f>
        <v>7.7777777777777779E-2</v>
      </c>
      <c r="I9" s="93" t="b">
        <f t="shared" si="2"/>
        <v>0</v>
      </c>
      <c r="J9" s="37">
        <v>4.2853444317501746E-3</v>
      </c>
      <c r="K9" s="94">
        <f t="shared" si="3"/>
        <v>42716</v>
      </c>
      <c r="L9" s="75"/>
      <c r="M9" s="72" t="b">
        <f>IF(AND(NOT(I9),AND(I$4:I8)),TRUE,I9)</f>
        <v>0</v>
      </c>
      <c r="N9" s="34">
        <f>IF(AND(NOT(ISBLANK(Jumpoverwrite1)),AND(NOT(M9),AND(M$4:M8))),($J9*$G9-LN(1+Jumpoverwrite1*O$2))/$G9,_xll.qlInterpolationInterpolate(M$3,$F9,TRUE))</f>
        <v>4.5799086204397835E-3</v>
      </c>
      <c r="O9" s="34" t="str">
        <f>IF(AND(NOT(M9),AND(M$4:M8)),IF(N9&gt;$J9,MAX(EXP((N9-$J9)*$G9),1),MIN(EXP((N9-$J9)*$G9),1)),"")</f>
        <v/>
      </c>
      <c r="P9" s="108"/>
      <c r="Q9" s="72" t="b">
        <f>IF(AND(NOT(M9),AND(M$4:M8)),TRUE,M9)</f>
        <v>0</v>
      </c>
      <c r="R9" s="34">
        <f>IF(AND(NOT(ISBLANK(Jumpoverwrite2)),AND(NOT(Q9),AND(Q$4:Q8))),($J9*$G9-LN(1+Jumpoverwrite2*S$2))/$G9,_xll.qlInterpolationInterpolate(Q$3,$F9,TRUE))</f>
        <v>4.5799086204397843E-3</v>
      </c>
      <c r="S9" s="34" t="str">
        <f>IF(AND(NOT(Q9),AND(Q$4:Q8)),IF(R9&gt;$J9,MAX(EXP((R9-$J9)*$G9),1),MIN(EXP((R9-$J9)*$G9),1)),"")</f>
        <v/>
      </c>
      <c r="T9" s="108"/>
      <c r="U9" s="72" t="b">
        <f>IF(AND(NOT(Q9),AND(Q$4:Q8)),TRUE,Q9)</f>
        <v>0</v>
      </c>
      <c r="V9" s="34">
        <f>IF(AND(NOT(ISBLANK(Jumpoverwrite3)),AND(NOT(U9),AND(U$4:U8))),($J9*$G9-LN(1+Jumpoverwrite3*W$2))/$G9,_xll.qlInterpolationInterpolate(U$3,$F9,TRUE))</f>
        <v>4.4467999056487699E-3</v>
      </c>
      <c r="W9" s="34" t="str">
        <f>IF(AND(NOT(U9),AND(U$4:U8)),IF(V9&gt;$J9,MAX(EXP((V9-$J9)*$G9),1),MIN(EXP((V9-$J9)*$G9),1)),"")</f>
        <v/>
      </c>
      <c r="X9" s="108"/>
      <c r="Y9" s="72" t="b">
        <f>IF(AND(NOT(U9),AND(U$4:U8)),TRUE,U9)</f>
        <v>0</v>
      </c>
      <c r="Z9" s="34">
        <f>IF(AND(NOT(ISBLANK(Jumpoverwrite4)),AND(NOT(Y9),AND(Y$4:Y8))),($J9*$G9-LN(1+Jumpoverwrite4*AA$2))/$G9,_xll.qlInterpolationInterpolate(Y$3,$F9,TRUE))</f>
        <v>4.2853444317501746E-3</v>
      </c>
      <c r="AA9" s="34">
        <f>IF(AND(NOT(Y9),AND(Y$4:Y8)),IF(Z9&gt;$J9,MAX(EXP((Z9-$J9)*$G9),1),MIN(EXP((Z9-$J9)*$G9),1)),"")</f>
        <v>1</v>
      </c>
      <c r="AB9" s="108"/>
      <c r="AC9" s="72" t="b">
        <f>IF(AND(NOT(Y9),AND(Y$4:Y8)),TRUE,Y9)</f>
        <v>1</v>
      </c>
      <c r="AD9" s="34">
        <f>IF(AND(NOT(ISBLANK(Jumpoverwrite5)),AND(NOT(AC9),AND(AC$4:AC8))),($J9*$G9-LN(1+Jumpoverwrite5*AE$2))/$G9,_xll.qlInterpolationInterpolate(AC$3,$F9,TRUE))</f>
        <v>4.2853444317501746E-3</v>
      </c>
      <c r="AE9" s="34" t="str">
        <f>IF(AND(NOT(AC9),AND(AC$4:AC8)),IF(AD9&gt;$J9,MAX(EXP((AD9-$J9)*$G9),1),MIN(EXP((AD9-$J9)*$G9),1)),"")</f>
        <v/>
      </c>
      <c r="AF9" s="108"/>
      <c r="AG9" s="72" t="b">
        <f>IF(AND(NOT(AC9),AND(AC$4:AC8)),TRUE,AC9)</f>
        <v>1</v>
      </c>
      <c r="AH9" s="34">
        <f>IF(AND(NOT(ISBLANK(Jumpoverwrite6)),AND(NOT(AG9),AND(AG$4:AG8))),($J9*$G9-LN(1+Jumpoverwrite6*AI$2))/$G9,_xll.qlInterpolationInterpolate(AG$3,$F9,TRUE))</f>
        <v>4.2853444317501746E-3</v>
      </c>
      <c r="AI9" s="34" t="str">
        <f>IF(AND(NOT(AG9),AND(AG$4:AG8)),IF(AH9&gt;$J9,MAX(EXP((AH9-$J9)*$G9),1),MIN(EXP((AH9-$J9)*$G9),1)),"")</f>
        <v/>
      </c>
      <c r="AJ9" s="108"/>
      <c r="AK9" s="72" t="b">
        <f>IF(AND(NOT(AG9),AND(AG$4:AG8)),TRUE,AG9)</f>
        <v>1</v>
      </c>
      <c r="AL9" s="34">
        <f>IF(AND(NOT(ISBLANK(Jumpoverwrite7)),AND(NOT(AK9),AND(AK$4:AK8))),($J9*$G9-LN(1+Jumpoverwrite7*AM$2))/$G9,_xll.qlInterpolationInterpolate(AK$3,$F9,TRUE))</f>
        <v>4.2853444317501746E-3</v>
      </c>
      <c r="AM9" s="34" t="str">
        <f>IF(AND(NOT(AK9),AND(AK$4:AK8)),IF(AL9&gt;$J9,MAX(EXP((AL9-$J9)*$G9),1),MIN(EXP((AL9-$J9)*$G9),1)),"")</f>
        <v/>
      </c>
      <c r="AO9" s="72" t="b">
        <f>IF(AND(NOT(AK9),AND(AK$4:AK8)),TRUE,AK9)</f>
        <v>1</v>
      </c>
      <c r="AP9" s="34">
        <f>IF(AND(NOT(ISBLANK(Jumpoverwrite8)),AND(NOT(AO9),AND(AO$4:AO8))),($J9*$G9-LN(1+Jumpoverwrite8*AQ$2))/$G9,_xll.qlInterpolationInterpolate(AO$3,$F9,TRUE))</f>
        <v>4.2853444317501746E-3</v>
      </c>
      <c r="AQ9" s="34" t="str">
        <f>IF(AND(NOT(AO9),AND(AO$4:AO8)),IF(AP9&gt;$J9,MAX(EXP((AP9-$J9)*$G9),1),MIN(EXP((AP9-$J9)*$G9),1)),"")</f>
        <v/>
      </c>
      <c r="AS9" s="72" t="b">
        <f>IF(AND(NOT(AO9),AND(AO$4:AO8)),TRUE,AO9)</f>
        <v>1</v>
      </c>
      <c r="AT9" s="34">
        <f>IF(AND(NOT(ISBLANK(Jumpoverwrite9)),AND(NOT(AS9),AND(AS$4:AS8))),($J9*$G9-LN(1+Jumpoverwrite9*AU$2))/$G9,_xll.qlInterpolationInterpolate(AS$3,$F9,TRUE))</f>
        <v>4.2853444317501746E-3</v>
      </c>
      <c r="AU9" s="34" t="str">
        <f>IF(AND(NOT(AS9),AND(AS$4:AS8)),IF(AT9&gt;$J9,MAX(EXP((AT9-$J9)*$G9),1),MIN(EXP((AT9-$J9)*$G9),1)),"")</f>
        <v/>
      </c>
      <c r="AW9" s="72" t="b">
        <f>IF(AND(NOT(AS9),AND(AS$4:AS8)),TRUE,AS9)</f>
        <v>1</v>
      </c>
      <c r="AX9" s="34">
        <f>IF(AND(NOT(ISBLANK(Jumpoverwrite10)),AND(NOT(AW9),AND(AW$4:AW8))),($J9*$G9-LN(1+Jumpoverwrite10*AY$2))/$G9,_xll.qlInterpolationInterpolate(AW$3,$F9,TRUE))</f>
        <v>4.2853444317501746E-3</v>
      </c>
      <c r="AY9" s="34" t="str">
        <f>IF(AND(NOT(AW9),AND(AW$4:AW8)),IF(AX9&gt;$J9,MAX(EXP((AX9-$J9)*$G9),1),MIN(EXP((AX9-$J9)*$G9),1)),"")</f>
        <v/>
      </c>
      <c r="BA9" s="72" t="b">
        <f>IF(AND(NOT(AW9),AND(AW$4:AW8)),TRUE,AW9)</f>
        <v>1</v>
      </c>
      <c r="BB9" s="34">
        <f>IF(AND(NOT(ISBLANK(Jumpoverwrite11)),AND(NOT(BA9),AND(BA$4:BA8))),($J9*$G9-LN(1+Jumpoverwrite11*BC$2))/$G9,_xll.qlInterpolationInterpolate(BA$3,$F9,TRUE))</f>
        <v>4.2853444317501746E-3</v>
      </c>
      <c r="BC9" s="34" t="str">
        <f>IF(AND(NOT(BA9),AND(BA$4:BA8)),IF(BB9&gt;$J9,MAX(EXP((BB9-$J9)*$G9),1),MIN(EXP((BB9-$J9)*$G9),1)),"")</f>
        <v/>
      </c>
      <c r="BE9" s="72" t="b">
        <f>IF(AND(NOT(BA9),AND(BA$4:BA8)),TRUE,BA9)</f>
        <v>1</v>
      </c>
      <c r="BF9" s="34">
        <f>IF(AND(NOT(ISBLANK(Jumpoverwrite12)),AND(NOT(BE9),AND(BE$4:BE8))),($J9*$G9-LN(1+Jumpoverwrite12*BG$2))/$G9,_xll.qlInterpolationInterpolate(BE$3,$F9,TRUE))</f>
        <v>4.2853444317501746E-3</v>
      </c>
      <c r="BG9" s="34" t="str">
        <f>IF(AND(NOT(BE9),AND(BE$4:BE8)),IF(BF9&gt;$J9,MAX(EXP((BF9-$J9)*$G9),1),MIN(EXP((BF9-$J9)*$G9),1)),"")</f>
        <v/>
      </c>
      <c r="BI9" s="72" t="b">
        <f t="shared" si="1"/>
        <v>1</v>
      </c>
      <c r="BJ9" s="34">
        <f>IF(AND(NOT(ISBLANK(jumpoverwrite13)),AND(NOT(BI9),AND(BI$4:BI8))),($J9*$G9-LN(1+jumpoverwrite13*BK$2))/$G9,_xll.qlInterpolationInterpolate(BI$3,$F9,TRUE))</f>
        <v>4.2853444317501746E-3</v>
      </c>
      <c r="BK9" s="34" t="str">
        <f>IF(AND(NOT(BI9),AND(BI$4:BI8)),IF(BJ9&gt;$J9,MAX(EXP((BJ9-$J9)*$G9),1),MIN(EXP((BJ9-$J9)*$G9),1)),"")</f>
        <v/>
      </c>
      <c r="BM9" s="72" t="b">
        <f>IF(AND(NOT(BI9),AND(BI$4:BI8)),TRUE,BI9)</f>
        <v>1</v>
      </c>
      <c r="BN9" s="175">
        <f>IF(AND(NOT(ISBLANK(Jumpoverwrite14)),AND(NOT(BM9),AND(BM$4:BM8))),($J9*$G9-LN(1+Jumpoverwrite14*BO$2))/$G9,_xll.qlInterpolationInterpolate(BM$3,$F9,TRUE))</f>
        <v>4.2853444317501746E-3</v>
      </c>
      <c r="BO9" s="34" t="str">
        <f>IF(AND(NOT(BM9),AND(BM$4:BM8)),IF(BM9&gt;$J9,MAX(EXP((BM9-$J9)*$G9),1),MIN(EXP((BM9-$J9)*$G9),1)),"")</f>
        <v/>
      </c>
    </row>
    <row r="10" spans="1:67" x14ac:dyDescent="0.2">
      <c r="A10" s="33" t="str">
        <v>obj_00380</v>
      </c>
      <c r="B10" s="17">
        <f>_xll.qlRateHelperRate($A10,InterestRatesTrigger)</f>
        <v>4.3000000000000009E-3</v>
      </c>
      <c r="C10" s="18">
        <f>_xll.qlRateHelperEarliestDate($A10)</f>
        <v>42594</v>
      </c>
      <c r="D10" s="19">
        <f>_xll.qlRateHelperPillarDate($A10)</f>
        <v>42747</v>
      </c>
      <c r="F10" s="84">
        <f t="shared" si="0"/>
        <v>42731.5</v>
      </c>
      <c r="G10" s="85">
        <f>_xll.qlDayCounterYearFraction(DayCounter,D9,D10)</f>
        <v>8.611111111111111E-2</v>
      </c>
      <c r="I10" s="93" t="b">
        <f t="shared" si="2"/>
        <v>0</v>
      </c>
      <c r="J10" s="37">
        <v>4.7252308288055923E-3</v>
      </c>
      <c r="K10" s="94">
        <f t="shared" si="3"/>
        <v>42747</v>
      </c>
      <c r="L10" s="75"/>
      <c r="M10" s="72" t="b">
        <f>IF(AND(NOT(I10),AND(I$4:I9)),TRUE,I10)</f>
        <v>0</v>
      </c>
      <c r="N10" s="34">
        <f>IF(AND(NOT(ISBLANK(Jumpoverwrite1)),AND(NOT(M10),AND(M$4:M9))),($J10*$G10-LN(1+Jumpoverwrite1*O$2))/$G10,_xll.qlInterpolationInterpolate(M$3,$F10,TRUE))</f>
        <v>4.688485710866358E-3</v>
      </c>
      <c r="O10" s="34" t="str">
        <f>IF(AND(NOT(M10),AND(M$4:M9)),IF(N10&gt;$J10,MAX(EXP((N10-$J10)*$G10),1),MIN(EXP((N10-$J10)*$G10),1)),"")</f>
        <v/>
      </c>
      <c r="P10" s="108"/>
      <c r="Q10" s="72" t="b">
        <f>IF(AND(NOT(M10),AND(M$4:M9)),TRUE,M10)</f>
        <v>0</v>
      </c>
      <c r="R10" s="34">
        <f>IF(AND(NOT(ISBLANK(Jumpoverwrite2)),AND(NOT(Q10),AND(Q$4:Q9))),($J10*$G10-LN(1+Jumpoverwrite2*S$2))/$G10,_xll.qlInterpolationInterpolate(Q$3,$F10,TRUE))</f>
        <v>4.6884857108663589E-3</v>
      </c>
      <c r="S10" s="34" t="str">
        <f>IF(AND(NOT(Q10),AND(Q$4:Q9)),IF(R10&gt;$J10,MAX(EXP((R10-$J10)*$G10),1),MIN(EXP((R10-$J10)*$G10),1)),"")</f>
        <v/>
      </c>
      <c r="T10" s="108"/>
      <c r="U10" s="72" t="b">
        <f>IF(AND(NOT(Q10),AND(Q$4:Q9)),TRUE,Q10)</f>
        <v>0</v>
      </c>
      <c r="V10" s="34">
        <f>IF(AND(NOT(ISBLANK(Jumpoverwrite3)),AND(NOT(U10),AND(U$4:U9))),($J10*$G10-LN(1+Jumpoverwrite3*W$2))/$G10,_xll.qlInterpolationInterpolate(U$3,$F10,TRUE))</f>
        <v>4.5682725858498434E-3</v>
      </c>
      <c r="W10" s="34" t="str">
        <f>IF(AND(NOT(U10),AND(U$4:U9)),IF(V10&gt;$J10,MAX(EXP((V10-$J10)*$G10),1),MIN(EXP((V10-$J10)*$G10),1)),"")</f>
        <v/>
      </c>
      <c r="X10" s="108"/>
      <c r="Y10" s="72" t="b">
        <f>IF(AND(NOT(U10),AND(U$4:U9)),TRUE,U10)</f>
        <v>0</v>
      </c>
      <c r="Z10" s="34">
        <f>IF(AND(NOT(ISBLANK(Jumpoverwrite4)),AND(NOT(Y10),AND(Y$4:Y9))),($J10*$G10-LN(1+Jumpoverwrite4*AA$2))/$G10,_xll.qlInterpolationInterpolate(Y$3,$F10,TRUE))</f>
        <v>4.5541892933881386E-3</v>
      </c>
      <c r="AA10" s="34" t="str">
        <f>IF(AND(NOT(Y10),AND(Y$4:Y9)),IF(Z10&gt;$J10,MAX(EXP((Z10-$J10)*$G10),1),MIN(EXP((Z10-$J10)*$G10),1)),"")</f>
        <v/>
      </c>
      <c r="AB10" s="108"/>
      <c r="AC10" s="72" t="b">
        <f>IF(AND(NOT(Y10),AND(Y$4:Y9)),TRUE,Y10)</f>
        <v>0</v>
      </c>
      <c r="AD10" s="34">
        <f>IF(AND(NOT(ISBLANK(Jumpoverwrite5)),AND(NOT(AC10),AND(AC$4:AC9))),($J10*$G10-LN(1+Jumpoverwrite5*AE$2))/$G10,_xll.qlInterpolationInterpolate(AC$3,$F10,TRUE))</f>
        <v>4.7252308288055923E-3</v>
      </c>
      <c r="AE10" s="34">
        <f>IF(AND(NOT(AC10),AND(AC$4:AC9)),IF(AD10&gt;$J10,MAX(EXP((AD10-$J10)*$G10),1),MIN(EXP((AD10-$J10)*$G10),1)),"")</f>
        <v>1</v>
      </c>
      <c r="AF10" s="108"/>
      <c r="AG10" s="72" t="b">
        <f>IF(AND(NOT(AC10),AND(AC$4:AC9)),TRUE,AC10)</f>
        <v>1</v>
      </c>
      <c r="AH10" s="34">
        <f>IF(AND(NOT(ISBLANK(Jumpoverwrite6)),AND(NOT(AG10),AND(AG$4:AG9))),($J10*$G10-LN(1+Jumpoverwrite6*AI$2))/$G10,_xll.qlInterpolationInterpolate(AG$3,$F10,TRUE))</f>
        <v>4.7252308288055923E-3</v>
      </c>
      <c r="AI10" s="34" t="str">
        <f>IF(AND(NOT(AG10),AND(AG$4:AG9)),IF(AH10&gt;$J10,MAX(EXP((AH10-$J10)*$G10),1),MIN(EXP((AH10-$J10)*$G10),1)),"")</f>
        <v/>
      </c>
      <c r="AJ10" s="108"/>
      <c r="AK10" s="72" t="b">
        <f>IF(AND(NOT(AG10),AND(AG$4:AG9)),TRUE,AG10)</f>
        <v>1</v>
      </c>
      <c r="AL10" s="34">
        <f>IF(AND(NOT(ISBLANK(Jumpoverwrite7)),AND(NOT(AK10),AND(AK$4:AK9))),($J10*$G10-LN(1+Jumpoverwrite7*AM$2))/$G10,_xll.qlInterpolationInterpolate(AK$3,$F10,TRUE))</f>
        <v>4.7252308288055923E-3</v>
      </c>
      <c r="AM10" s="34" t="str">
        <f>IF(AND(NOT(AK10),AND(AK$4:AK9)),IF(AL10&gt;$J10,MAX(EXP((AL10-$J10)*$G10),1),MIN(EXP((AL10-$J10)*$G10),1)),"")</f>
        <v/>
      </c>
      <c r="AO10" s="72" t="b">
        <f>IF(AND(NOT(AK10),AND(AK$4:AK9)),TRUE,AK10)</f>
        <v>1</v>
      </c>
      <c r="AP10" s="34">
        <f>IF(AND(NOT(ISBLANK(Jumpoverwrite8)),AND(NOT(AO10),AND(AO$4:AO9))),($J10*$G10-LN(1+Jumpoverwrite8*AQ$2))/$G10,_xll.qlInterpolationInterpolate(AO$3,$F10,TRUE))</f>
        <v>4.7252308288055923E-3</v>
      </c>
      <c r="AQ10" s="34" t="str">
        <f>IF(AND(NOT(AO10),AND(AO$4:AO9)),IF(AP10&gt;$J10,MAX(EXP((AP10-$J10)*$G10),1),MIN(EXP((AP10-$J10)*$G10),1)),"")</f>
        <v/>
      </c>
      <c r="AS10" s="72" t="b">
        <f>IF(AND(NOT(AO10),AND(AO$4:AO9)),TRUE,AO10)</f>
        <v>1</v>
      </c>
      <c r="AT10" s="34">
        <f>IF(AND(NOT(ISBLANK(Jumpoverwrite9)),AND(NOT(AS10),AND(AS$4:AS9))),($J10*$G10-LN(1+Jumpoverwrite9*AU$2))/$G10,_xll.qlInterpolationInterpolate(AS$3,$F10,TRUE))</f>
        <v>4.7252308288055923E-3</v>
      </c>
      <c r="AU10" s="34" t="str">
        <f>IF(AND(NOT(AS10),AND(AS$4:AS9)),IF(AT10&gt;$J10,MAX(EXP((AT10-$J10)*$G10),1),MIN(EXP((AT10-$J10)*$G10),1)),"")</f>
        <v/>
      </c>
      <c r="AW10" s="72" t="b">
        <f>IF(AND(NOT(AS10),AND(AS$4:AS9)),TRUE,AS10)</f>
        <v>1</v>
      </c>
      <c r="AX10" s="34">
        <f>IF(AND(NOT(ISBLANK(Jumpoverwrite10)),AND(NOT(AW10),AND(AW$4:AW9))),($J10*$G10-LN(1+Jumpoverwrite10*AY$2))/$G10,_xll.qlInterpolationInterpolate(AW$3,$F10,TRUE))</f>
        <v>4.7252308288055923E-3</v>
      </c>
      <c r="AY10" s="34" t="str">
        <f>IF(AND(NOT(AW10),AND(AW$4:AW9)),IF(AX10&gt;$J10,MAX(EXP((AX10-$J10)*$G10),1),MIN(EXP((AX10-$J10)*$G10),1)),"")</f>
        <v/>
      </c>
      <c r="BA10" s="72" t="b">
        <f>IF(AND(NOT(AW10),AND(AW$4:AW9)),TRUE,AW10)</f>
        <v>1</v>
      </c>
      <c r="BB10" s="34">
        <f>IF(AND(NOT(ISBLANK(Jumpoverwrite11)),AND(NOT(BA10),AND(BA$4:BA9))),($J10*$G10-LN(1+Jumpoverwrite11*BC$2))/$G10,_xll.qlInterpolationInterpolate(BA$3,$F10,TRUE))</f>
        <v>4.7252308288055923E-3</v>
      </c>
      <c r="BC10" s="34" t="str">
        <f>IF(AND(NOT(BA10),AND(BA$4:BA9)),IF(BB10&gt;$J10,MAX(EXP((BB10-$J10)*$G10),1),MIN(EXP((BB10-$J10)*$G10),1)),"")</f>
        <v/>
      </c>
      <c r="BE10" s="72" t="b">
        <f>IF(AND(NOT(BA10),AND(BA$4:BA9)),TRUE,BA10)</f>
        <v>1</v>
      </c>
      <c r="BF10" s="34">
        <f>IF(AND(NOT(ISBLANK(Jumpoverwrite12)),AND(NOT(BE10),AND(BE$4:BE9))),($J10*$G10-LN(1+Jumpoverwrite12*BG$2))/$G10,_xll.qlInterpolationInterpolate(BE$3,$F10,TRUE))</f>
        <v>4.7252308288055923E-3</v>
      </c>
      <c r="BG10" s="34" t="str">
        <f>IF(AND(NOT(BE10),AND(BE$4:BE9)),IF(BF10&gt;$J10,MAX(EXP((BF10-$J10)*$G10),1),MIN(EXP((BF10-$J10)*$G10),1)),"")</f>
        <v/>
      </c>
      <c r="BI10" s="72" t="b">
        <f t="shared" si="1"/>
        <v>1</v>
      </c>
      <c r="BJ10" s="34">
        <f>IF(AND(NOT(ISBLANK(jumpoverwrite13)),AND(NOT(BI10),AND(BI$4:BI9))),($J10*$G10-LN(1+jumpoverwrite13*BK$2))/$G10,_xll.qlInterpolationInterpolate(BI$3,$F10,TRUE))</f>
        <v>4.7252308288055923E-3</v>
      </c>
      <c r="BK10" s="34" t="str">
        <f>IF(AND(NOT(BI10),AND(BI$4:BI9)),IF(BJ10&gt;$J10,MAX(EXP((BJ10-$J10)*$G10),1),MIN(EXP((BJ10-$J10)*$G10),1)),"")</f>
        <v/>
      </c>
      <c r="BM10" s="72" t="b">
        <f>IF(AND(NOT(BI10),AND(BI$4:BI9)),TRUE,BI10)</f>
        <v>1</v>
      </c>
      <c r="BN10" s="175">
        <f>IF(AND(NOT(ISBLANK(Jumpoverwrite14)),AND(NOT(BM10),AND(BM$4:BM9))),($J10*$G10-LN(1+Jumpoverwrite14*BO$2))/$G10,_xll.qlInterpolationInterpolate(BM$3,$F10,TRUE))</f>
        <v>4.7252308288055923E-3</v>
      </c>
      <c r="BO10" s="34" t="str">
        <f>IF(AND(NOT(BM10),AND(BM$4:BM9)),IF(BM10&gt;$J10,MAX(EXP((BM10-$J10)*$G10),1),MIN(EXP((BM10-$J10)*$G10),1)),"")</f>
        <v/>
      </c>
    </row>
    <row r="11" spans="1:67" x14ac:dyDescent="0.2">
      <c r="A11" s="33" t="str">
        <v>obj_00383</v>
      </c>
      <c r="B11" s="17">
        <f>_xll.qlRateHelperRate($A11,InterestRatesTrigger)</f>
        <v>4.4100000000000007E-3</v>
      </c>
      <c r="C11" s="18">
        <f>_xll.qlRateHelperEarliestDate($A11)</f>
        <v>42594</v>
      </c>
      <c r="D11" s="19">
        <f>_xll.qlRateHelperPillarDate($A11)</f>
        <v>42779</v>
      </c>
      <c r="F11" s="84">
        <f t="shared" si="0"/>
        <v>42763</v>
      </c>
      <c r="G11" s="85">
        <f>_xll.qlDayCounterYearFraction(DayCounter,D10,D11)</f>
        <v>8.8888888888888892E-2</v>
      </c>
      <c r="I11" s="93" t="b">
        <f t="shared" si="2"/>
        <v>0</v>
      </c>
      <c r="J11" s="37">
        <v>4.9258549694669159E-3</v>
      </c>
      <c r="K11" s="94">
        <f t="shared" si="3"/>
        <v>42779</v>
      </c>
      <c r="L11" s="75"/>
      <c r="M11" s="72" t="b">
        <f>IF(AND(NOT(I11),AND(I$4:I10)),TRUE,I11)</f>
        <v>0</v>
      </c>
      <c r="N11" s="34">
        <f>IF(AND(NOT(ISBLANK(Jumpoverwrite1)),AND(NOT(M11),AND(M$4:M10))),($J11*$G11-LN(1+Jumpoverwrite1*O$2))/$G11,_xll.qlInterpolationInterpolate(M$3,$F11,TRUE))</f>
        <v>4.8044239599659214E-3</v>
      </c>
      <c r="O11" s="34" t="str">
        <f>IF(AND(NOT(M11),AND(M$4:M10)),IF(N11&gt;$J11,MAX(EXP((N11-$J11)*$G11),1),MIN(EXP((N11-$J11)*$G11),1)),"")</f>
        <v/>
      </c>
      <c r="P11" s="108"/>
      <c r="Q11" s="72" t="b">
        <f>IF(AND(NOT(M11),AND(M$4:M10)),TRUE,M11)</f>
        <v>0</v>
      </c>
      <c r="R11" s="34">
        <f>IF(AND(NOT(ISBLANK(Jumpoverwrite2)),AND(NOT(Q11),AND(Q$4:Q10))),($J11*$G11-LN(1+Jumpoverwrite2*S$2))/$G11,_xll.qlInterpolationInterpolate(Q$3,$F11,TRUE))</f>
        <v>4.8044239599659214E-3</v>
      </c>
      <c r="S11" s="34" t="str">
        <f>IF(AND(NOT(Q11),AND(Q$4:Q10)),IF(R11&gt;$J11,MAX(EXP((R11-$J11)*$G11),1),MIN(EXP((R11-$J11)*$G11),1)),"")</f>
        <v/>
      </c>
      <c r="T11" s="108"/>
      <c r="U11" s="72" t="b">
        <f>IF(AND(NOT(Q11),AND(Q$4:Q10)),TRUE,Q11)</f>
        <v>0</v>
      </c>
      <c r="V11" s="34">
        <f>IF(AND(NOT(ISBLANK(Jumpoverwrite3)),AND(NOT(U11),AND(U$4:U10))),($J11*$G11-LN(1+Jumpoverwrite3*W$2))/$G11,_xll.qlInterpolationInterpolate(U$3,$F11,TRUE))</f>
        <v>4.6979807019967516E-3</v>
      </c>
      <c r="W11" s="34" t="str">
        <f>IF(AND(NOT(U11),AND(U$4:U10)),IF(V11&gt;$J11,MAX(EXP((V11-$J11)*$G11),1),MIN(EXP((V11-$J11)*$G11),1)),"")</f>
        <v/>
      </c>
      <c r="X11" s="108"/>
      <c r="Y11" s="72" t="b">
        <f>IF(AND(NOT(U11),AND(U$4:U10)),TRUE,U11)</f>
        <v>0</v>
      </c>
      <c r="Z11" s="34">
        <f>IF(AND(NOT(ISBLANK(Jumpoverwrite4)),AND(NOT(Y11),AND(Y$4:Y10))),($J11*$G11-LN(1+Jumpoverwrite4*AA$2))/$G11,_xll.qlInterpolationInterpolate(Y$3,$F11,TRUE))</f>
        <v>4.6855105866715702E-3</v>
      </c>
      <c r="AA11" s="34" t="str">
        <f>IF(AND(NOT(Y11),AND(Y$4:Y10)),IF(Z11&gt;$J11,MAX(EXP((Z11-$J11)*$G11),1),MIN(EXP((Z11-$J11)*$G11),1)),"")</f>
        <v/>
      </c>
      <c r="AB11" s="108"/>
      <c r="AC11" s="72" t="b">
        <f>IF(AND(NOT(Y11),AND(Y$4:Y10)),TRUE,Y11)</f>
        <v>0</v>
      </c>
      <c r="AD11" s="34">
        <f>IF(AND(NOT(ISBLANK(Jumpoverwrite5)),AND(NOT(AC11),AND(AC$4:AC10))),($J11*$G11-LN(1+Jumpoverwrite5*AE$2))/$G11,_xll.qlInterpolationInterpolate(AC$3,$F11,TRUE))</f>
        <v>4.5688693460220137E-3</v>
      </c>
      <c r="AE11" s="34" t="str">
        <f>IF(AND(NOT(AC11),AND(AC$4:AC10)),IF(AD11&gt;$J11,MAX(EXP((AD11-$J11)*$G11),1),MIN(EXP((AD11-$J11)*$G11),1)),"")</f>
        <v/>
      </c>
      <c r="AF11" s="108"/>
      <c r="AG11" s="72" t="b">
        <f>IF(AND(NOT(AC11),AND(AC$4:AC10)),TRUE,AC11)</f>
        <v>0</v>
      </c>
      <c r="AH11" s="34">
        <f>IF(AND(NOT(ISBLANK(Jumpoverwrite6)),AND(NOT(AG11),AND(AG$4:AG10))),($J11*$G11-LN(1+Jumpoverwrite6*AI$2))/$G11,_xll.qlInterpolationInterpolate(AG$3,$F11,TRUE))</f>
        <v>4.9258549694669159E-3</v>
      </c>
      <c r="AI11" s="34">
        <f>IF(AND(NOT(AG11),AND(AG$4:AG10)),IF(AH11&gt;$J11,MAX(EXP((AH11-$J11)*$G11),1),MIN(EXP((AH11-$J11)*$G11),1)),"")</f>
        <v>1</v>
      </c>
      <c r="AJ11" s="108"/>
      <c r="AK11" s="72" t="b">
        <f>IF(AND(NOT(AG11),AND(AG$4:AG10)),TRUE,AG11)</f>
        <v>1</v>
      </c>
      <c r="AL11" s="34">
        <f>IF(AND(NOT(ISBLANK(Jumpoverwrite7)),AND(NOT(AK11),AND(AK$4:AK10))),($J11*$G11-LN(1+Jumpoverwrite7*AM$2))/$G11,_xll.qlInterpolationInterpolate(AK$3,$F11,TRUE))</f>
        <v>4.9258549694669159E-3</v>
      </c>
      <c r="AM11" s="34" t="str">
        <f>IF(AND(NOT(AK11),AND(AK$4:AK10)),IF(AL11&gt;$J11,MAX(EXP((AL11-$J11)*$G11),1),MIN(EXP((AL11-$J11)*$G11),1)),"")</f>
        <v/>
      </c>
      <c r="AO11" s="72" t="b">
        <f>IF(AND(NOT(AK11),AND(AK$4:AK10)),TRUE,AK11)</f>
        <v>1</v>
      </c>
      <c r="AP11" s="34">
        <f>IF(AND(NOT(ISBLANK(Jumpoverwrite8)),AND(NOT(AO11),AND(AO$4:AO10))),($J11*$G11-LN(1+Jumpoverwrite8*AQ$2))/$G11,_xll.qlInterpolationInterpolate(AO$3,$F11,TRUE))</f>
        <v>4.9258549694669159E-3</v>
      </c>
      <c r="AQ11" s="34" t="str">
        <f>IF(AND(NOT(AO11),AND(AO$4:AO10)),IF(AP11&gt;$J11,MAX(EXP((AP11-$J11)*$G11),1),MIN(EXP((AP11-$J11)*$G11),1)),"")</f>
        <v/>
      </c>
      <c r="AS11" s="72" t="b">
        <f>IF(AND(NOT(AO11),AND(AO$4:AO10)),TRUE,AO11)</f>
        <v>1</v>
      </c>
      <c r="AT11" s="34">
        <f>IF(AND(NOT(ISBLANK(Jumpoverwrite9)),AND(NOT(AS11),AND(AS$4:AS10))),($J11*$G11-LN(1+Jumpoverwrite9*AU$2))/$G11,_xll.qlInterpolationInterpolate(AS$3,$F11,TRUE))</f>
        <v>4.9258549694669159E-3</v>
      </c>
      <c r="AU11" s="34" t="str">
        <f>IF(AND(NOT(AS11),AND(AS$4:AS10)),IF(AT11&gt;$J11,MAX(EXP((AT11-$J11)*$G11),1),MIN(EXP((AT11-$J11)*$G11),1)),"")</f>
        <v/>
      </c>
      <c r="AW11" s="72" t="b">
        <f>IF(AND(NOT(AS11),AND(AS$4:AS10)),TRUE,AS11)</f>
        <v>1</v>
      </c>
      <c r="AX11" s="34">
        <f>IF(AND(NOT(ISBLANK(Jumpoverwrite10)),AND(NOT(AW11),AND(AW$4:AW10))),($J11*$G11-LN(1+Jumpoverwrite10*AY$2))/$G11,_xll.qlInterpolationInterpolate(AW$3,$F11,TRUE))</f>
        <v>4.9258549694669159E-3</v>
      </c>
      <c r="AY11" s="34" t="str">
        <f>IF(AND(NOT(AW11),AND(AW$4:AW10)),IF(AX11&gt;$J11,MAX(EXP((AX11-$J11)*$G11),1),MIN(EXP((AX11-$J11)*$G11),1)),"")</f>
        <v/>
      </c>
      <c r="BA11" s="72" t="b">
        <f>IF(AND(NOT(AW11),AND(AW$4:AW10)),TRUE,AW11)</f>
        <v>1</v>
      </c>
      <c r="BB11" s="34">
        <f>IF(AND(NOT(ISBLANK(Jumpoverwrite11)),AND(NOT(BA11),AND(BA$4:BA10))),($J11*$G11-LN(1+Jumpoverwrite11*BC$2))/$G11,_xll.qlInterpolationInterpolate(BA$3,$F11,TRUE))</f>
        <v>4.9258549694669159E-3</v>
      </c>
      <c r="BC11" s="34" t="str">
        <f>IF(AND(NOT(BA11),AND(BA$4:BA10)),IF(BB11&gt;$J11,MAX(EXP((BB11-$J11)*$G11),1),MIN(EXP((BB11-$J11)*$G11),1)),"")</f>
        <v/>
      </c>
      <c r="BE11" s="72" t="b">
        <f>IF(AND(NOT(BA11),AND(BA$4:BA10)),TRUE,BA11)</f>
        <v>1</v>
      </c>
      <c r="BF11" s="34">
        <f>IF(AND(NOT(ISBLANK(Jumpoverwrite12)),AND(NOT(BE11),AND(BE$4:BE10))),($J11*$G11-LN(1+Jumpoverwrite12*BG$2))/$G11,_xll.qlInterpolationInterpolate(BE$3,$F11,TRUE))</f>
        <v>4.9258549694669159E-3</v>
      </c>
      <c r="BG11" s="34" t="str">
        <f>IF(AND(NOT(BE11),AND(BE$4:BE10)),IF(BF11&gt;$J11,MAX(EXP((BF11-$J11)*$G11),1),MIN(EXP((BF11-$J11)*$G11),1)),"")</f>
        <v/>
      </c>
      <c r="BI11" s="72" t="b">
        <f t="shared" si="1"/>
        <v>1</v>
      </c>
      <c r="BJ11" s="34">
        <f>IF(AND(NOT(ISBLANK(jumpoverwrite13)),AND(NOT(BI11),AND(BI$4:BI10))),($J11*$G11-LN(1+jumpoverwrite13*BK$2))/$G11,_xll.qlInterpolationInterpolate(BI$3,$F11,TRUE))</f>
        <v>4.9258549694669159E-3</v>
      </c>
      <c r="BK11" s="34" t="str">
        <f>IF(AND(NOT(BI11),AND(BI$4:BI10)),IF(BJ11&gt;$J11,MAX(EXP((BJ11-$J11)*$G11),1),MIN(EXP((BJ11-$J11)*$G11),1)),"")</f>
        <v/>
      </c>
      <c r="BM11" s="72" t="b">
        <f>IF(AND(NOT(BI11),AND(BI$4:BI10)),TRUE,BI11)</f>
        <v>1</v>
      </c>
      <c r="BN11" s="175">
        <f>IF(AND(NOT(ISBLANK(Jumpoverwrite14)),AND(NOT(BM11),AND(BM$4:BM10))),($J11*$G11-LN(1+Jumpoverwrite14*BO$2))/$G11,_xll.qlInterpolationInterpolate(BM$3,$F11,TRUE))</f>
        <v>4.9258549694669159E-3</v>
      </c>
      <c r="BO11" s="34" t="str">
        <f>IF(AND(NOT(BM11),AND(BM$4:BM10)),IF(BM11&gt;$J11,MAX(EXP((BM11-$J11)*$G11),1),MIN(EXP((BM11-$J11)*$G11),1)),"")</f>
        <v/>
      </c>
    </row>
    <row r="12" spans="1:67" x14ac:dyDescent="0.2">
      <c r="A12" s="33" t="str">
        <v>obj_00392</v>
      </c>
      <c r="B12" s="17">
        <f>_xll.qlRateHelperRate($A12,InterestRatesTrigger)</f>
        <v>4.4800000000000005E-3</v>
      </c>
      <c r="C12" s="18">
        <f>_xll.qlRateHelperEarliestDate($A12)</f>
        <v>42594</v>
      </c>
      <c r="D12" s="19">
        <f>_xll.qlRateHelperPillarDate($A12)</f>
        <v>42807</v>
      </c>
      <c r="F12" s="84">
        <f t="shared" si="0"/>
        <v>42793</v>
      </c>
      <c r="G12" s="85">
        <f>_xll.qlDayCounterYearFraction(DayCounter,D11,D12)</f>
        <v>7.7777777777777779E-2</v>
      </c>
      <c r="I12" s="93" t="b">
        <f t="shared" si="2"/>
        <v>0</v>
      </c>
      <c r="J12" s="37">
        <v>4.930378929404333E-3</v>
      </c>
      <c r="K12" s="94">
        <f t="shared" si="3"/>
        <v>42807</v>
      </c>
      <c r="L12" s="75"/>
      <c r="M12" s="72" t="b">
        <f>IF(AND(NOT(I12),AND(I$4:I11)),TRUE,I12)</f>
        <v>0</v>
      </c>
      <c r="N12" s="34">
        <f>IF(AND(NOT(ISBLANK(Jumpoverwrite1)),AND(NOT(M12),AND(M$4:M11))),($J12*$G12-LN(1+Jumpoverwrite1*O$2))/$G12,_xll.qlInterpolationInterpolate(M$3,$F12,TRUE))</f>
        <v>4.9148413400607422E-3</v>
      </c>
      <c r="O12" s="34" t="str">
        <f>IF(AND(NOT(M12),AND(M$4:M11)),IF(N12&gt;$J12,MAX(EXP((N12-$J12)*$G12),1),MIN(EXP((N12-$J12)*$G12),1)),"")</f>
        <v/>
      </c>
      <c r="P12" s="108"/>
      <c r="Q12" s="72" t="b">
        <f>IF(AND(NOT(M12),AND(M$4:M11)),TRUE,M12)</f>
        <v>0</v>
      </c>
      <c r="R12" s="34">
        <f>IF(AND(NOT(ISBLANK(Jumpoverwrite2)),AND(NOT(Q12),AND(Q$4:Q11))),($J12*$G12-LN(1+Jumpoverwrite2*S$2))/$G12,_xll.qlInterpolationInterpolate(Q$3,$F12,TRUE))</f>
        <v>4.9148413400607431E-3</v>
      </c>
      <c r="S12" s="34" t="str">
        <f>IF(AND(NOT(Q12),AND(Q$4:Q11)),IF(R12&gt;$J12,MAX(EXP((R12-$J12)*$G12),1),MIN(EXP((R12-$J12)*$G12),1)),"")</f>
        <v/>
      </c>
      <c r="T12" s="108"/>
      <c r="U12" s="72" t="b">
        <f>IF(AND(NOT(Q12),AND(Q$4:Q11)),TRUE,Q12)</f>
        <v>0</v>
      </c>
      <c r="V12" s="34">
        <f>IF(AND(NOT(ISBLANK(Jumpoverwrite3)),AND(NOT(U12),AND(U$4:U11))),($J12*$G12-LN(1+Jumpoverwrite3*W$2))/$G12,_xll.qlInterpolationInterpolate(U$3,$F12,TRUE))</f>
        <v>4.8215122411842844E-3</v>
      </c>
      <c r="W12" s="34" t="str">
        <f>IF(AND(NOT(U12),AND(U$4:U11)),IF(V12&gt;$J12,MAX(EXP((V12-$J12)*$G12),1),MIN(EXP((V12-$J12)*$G12),1)),"")</f>
        <v/>
      </c>
      <c r="X12" s="108"/>
      <c r="Y12" s="72" t="b">
        <f>IF(AND(NOT(U12),AND(U$4:U11)),TRUE,U12)</f>
        <v>0</v>
      </c>
      <c r="Z12" s="34">
        <f>IF(AND(NOT(ISBLANK(Jumpoverwrite4)),AND(NOT(Y12),AND(Y$4:Y11))),($J12*$G12-LN(1+Jumpoverwrite4*AA$2))/$G12,_xll.qlInterpolationInterpolate(Y$3,$F12,TRUE))</f>
        <v>4.8105784850367428E-3</v>
      </c>
      <c r="AA12" s="34" t="str">
        <f>IF(AND(NOT(Y12),AND(Y$4:Y11)),IF(Z12&gt;$J12,MAX(EXP((Z12-$J12)*$G12),1),MIN(EXP((Z12-$J12)*$G12),1)),"")</f>
        <v/>
      </c>
      <c r="AB12" s="108"/>
      <c r="AC12" s="72" t="b">
        <f>IF(AND(NOT(Y12),AND(Y$4:Y11)),TRUE,Y12)</f>
        <v>0</v>
      </c>
      <c r="AD12" s="34">
        <f>IF(AND(NOT(ISBLANK(Jumpoverwrite5)),AND(NOT(AC12),AND(AC$4:AC11))),($J12*$G12-LN(1+Jumpoverwrite5*AE$2))/$G12,_xll.qlInterpolationInterpolate(AC$3,$F12,TRUE))</f>
        <v>4.7083078284507864E-3</v>
      </c>
      <c r="AE12" s="34" t="str">
        <f>IF(AND(NOT(AC12),AND(AC$4:AC11)),IF(AD12&gt;$J12,MAX(EXP((AD12-$J12)*$G12),1),MIN(EXP((AD12-$J12)*$G12),1)),"")</f>
        <v/>
      </c>
      <c r="AF12" s="108"/>
      <c r="AG12" s="72" t="b">
        <f>IF(AND(NOT(AC12),AND(AC$4:AC11)),TRUE,AC12)</f>
        <v>0</v>
      </c>
      <c r="AH12" s="34">
        <f>IF(AND(NOT(ISBLANK(Jumpoverwrite6)),AND(NOT(AG12),AND(AG$4:AG11))),($J12*$G12-LN(1+Jumpoverwrite6*AI$2))/$G12,_xll.qlInterpolationInterpolate(AG$3,$F12,TRUE))</f>
        <v>4.9433689134426567E-3</v>
      </c>
      <c r="AI12" s="34" t="str">
        <f>IF(AND(NOT(AG12),AND(AG$4:AG11)),IF(AH12&gt;$J12,MAX(EXP((AH12-$J12)*$G12),1),MIN(EXP((AH12-$J12)*$G12),1)),"")</f>
        <v/>
      </c>
      <c r="AJ12" s="108"/>
      <c r="AK12" s="72" t="b">
        <f>IF(AND(NOT(AG12),AND(AG$4:AG11)),TRUE,AG12)</f>
        <v>0</v>
      </c>
      <c r="AL12" s="34">
        <f>IF(AND(NOT(ISBLANK(Jumpoverwrite7)),AND(NOT(AK12),AND(AK$4:AK11))),($J12*$G12-LN(1+Jumpoverwrite7*AM$2))/$G12,_xll.qlInterpolationInterpolate(AK$3,$F12,TRUE))</f>
        <v>4.9018075325787018E-3</v>
      </c>
      <c r="AM12" s="34">
        <f>IF(AND(NOT(AK12),AND(AK$4:AK11)),IF(AL12&gt;$J12,MAX(EXP((AL12-$J12)*$G12),1),MIN(EXP((AL12-$J12)*$G12),1)),"")</f>
        <v>0.99999777778271604</v>
      </c>
      <c r="AO12" s="72" t="b">
        <f>IF(AND(NOT(AK12),AND(AK$4:AK11)),TRUE,AK12)</f>
        <v>1</v>
      </c>
      <c r="AP12" s="34">
        <f>IF(AND(NOT(ISBLANK(Jumpoverwrite8)),AND(NOT(AO12),AND(AO$4:AO11))),($J12*$G12-LN(1+Jumpoverwrite8*AQ$2))/$G12,_xll.qlInterpolationInterpolate(AO$3,$F12,TRUE))</f>
        <v>4.9018075325787018E-3</v>
      </c>
      <c r="AQ12" s="34" t="str">
        <f>IF(AND(NOT(AO12),AND(AO$4:AO11)),IF(AP12&gt;$J12,MAX(EXP((AP12-$J12)*$G12),1),MIN(EXP((AP12-$J12)*$G12),1)),"")</f>
        <v/>
      </c>
      <c r="AS12" s="72" t="b">
        <f>IF(AND(NOT(AO12),AND(AO$4:AO11)),TRUE,AO12)</f>
        <v>1</v>
      </c>
      <c r="AT12" s="34">
        <f>IF(AND(NOT(ISBLANK(Jumpoverwrite9)),AND(NOT(AS12),AND(AS$4:AS11))),($J12*$G12-LN(1+Jumpoverwrite9*AU$2))/$G12,_xll.qlInterpolationInterpolate(AS$3,$F12,TRUE))</f>
        <v>4.9018075325787018E-3</v>
      </c>
      <c r="AU12" s="34" t="str">
        <f>IF(AND(NOT(AS12),AND(AS$4:AS11)),IF(AT12&gt;$J12,MAX(EXP((AT12-$J12)*$G12),1),MIN(EXP((AT12-$J12)*$G12),1)),"")</f>
        <v/>
      </c>
      <c r="AW12" s="72" t="b">
        <f>IF(AND(NOT(AS12),AND(AS$4:AS11)),TRUE,AS12)</f>
        <v>1</v>
      </c>
      <c r="AX12" s="34">
        <f>IF(AND(NOT(ISBLANK(Jumpoverwrite10)),AND(NOT(AW12),AND(AW$4:AW11))),($J12*$G12-LN(1+Jumpoverwrite10*AY$2))/$G12,_xll.qlInterpolationInterpolate(AW$3,$F12,TRUE))</f>
        <v>4.9018075325787018E-3</v>
      </c>
      <c r="AY12" s="34" t="str">
        <f>IF(AND(NOT(AW12),AND(AW$4:AW11)),IF(AX12&gt;$J12,MAX(EXP((AX12-$J12)*$G12),1),MIN(EXP((AX12-$J12)*$G12),1)),"")</f>
        <v/>
      </c>
      <c r="BA12" s="72" t="b">
        <f>IF(AND(NOT(AW12),AND(AW$4:AW11)),TRUE,AW12)</f>
        <v>1</v>
      </c>
      <c r="BB12" s="34">
        <f>IF(AND(NOT(ISBLANK(Jumpoverwrite11)),AND(NOT(BA12),AND(BA$4:BA11))),($J12*$G12-LN(1+Jumpoverwrite11*BC$2))/$G12,_xll.qlInterpolationInterpolate(BA$3,$F12,TRUE))</f>
        <v>4.9018075325787018E-3</v>
      </c>
      <c r="BC12" s="34" t="str">
        <f>IF(AND(NOT(BA12),AND(BA$4:BA11)),IF(BB12&gt;$J12,MAX(EXP((BB12-$J12)*$G12),1),MIN(EXP((BB12-$J12)*$G12),1)),"")</f>
        <v/>
      </c>
      <c r="BE12" s="72" t="b">
        <f>IF(AND(NOT(BA12),AND(BA$4:BA11)),TRUE,BA12)</f>
        <v>1</v>
      </c>
      <c r="BF12" s="34">
        <f>IF(AND(NOT(ISBLANK(Jumpoverwrite12)),AND(NOT(BE12),AND(BE$4:BE11))),($J12*$G12-LN(1+Jumpoverwrite12*BG$2))/$G12,_xll.qlInterpolationInterpolate(BE$3,$F12,TRUE))</f>
        <v>4.9018075325787018E-3</v>
      </c>
      <c r="BG12" s="34" t="str">
        <f>IF(AND(NOT(BE12),AND(BE$4:BE11)),IF(BF12&gt;$J12,MAX(EXP((BF12-$J12)*$G12),1),MIN(EXP((BF12-$J12)*$G12),1)),"")</f>
        <v/>
      </c>
      <c r="BI12" s="72" t="b">
        <f t="shared" si="1"/>
        <v>1</v>
      </c>
      <c r="BJ12" s="34">
        <f>IF(AND(NOT(ISBLANK(jumpoverwrite13)),AND(NOT(BI12),AND(BI$4:BI11))),($J12*$G12-LN(1+jumpoverwrite13*BK$2))/$G12,_xll.qlInterpolationInterpolate(BI$3,$F12,TRUE))</f>
        <v>4.9018075325787018E-3</v>
      </c>
      <c r="BK12" s="34" t="str">
        <f>IF(AND(NOT(BI12),AND(BI$4:BI11)),IF(BJ12&gt;$J12,MAX(EXP((BJ12-$J12)*$G12),1),MIN(EXP((BJ12-$J12)*$G12),1)),"")</f>
        <v/>
      </c>
      <c r="BM12" s="72" t="b">
        <f>IF(AND(NOT(BI12),AND(BI$4:BI11)),TRUE,BI12)</f>
        <v>1</v>
      </c>
      <c r="BN12" s="175">
        <f>IF(AND(NOT(ISBLANK(Jumpoverwrite14)),AND(NOT(BM12),AND(BM$4:BM11))),($J12*$G12-LN(1+Jumpoverwrite14*BO$2))/$G12,_xll.qlInterpolationInterpolate(BM$3,$F12,TRUE))</f>
        <v>4.9018075325787018E-3</v>
      </c>
      <c r="BO12" s="34" t="str">
        <f>IF(AND(NOT(BM12),AND(BM$4:BM11)),IF(BM12&gt;$J12,MAX(EXP((BM12-$J12)*$G12),1),MIN(EXP((BM12-$J12)*$G12),1)),"")</f>
        <v/>
      </c>
    </row>
    <row r="13" spans="1:67" x14ac:dyDescent="0.2">
      <c r="A13" s="33" t="str">
        <v>obj_0038b</v>
      </c>
      <c r="B13" s="17">
        <f>_xll.qlRateHelperRate($A13,InterestRatesTrigger)</f>
        <v>4.5599999999999998E-3</v>
      </c>
      <c r="C13" s="18">
        <f>_xll.qlRateHelperEarliestDate($A13)</f>
        <v>42594</v>
      </c>
      <c r="D13" s="19">
        <f>_xll.qlRateHelperPillarDate($A13)</f>
        <v>42837</v>
      </c>
      <c r="F13" s="84">
        <f t="shared" si="0"/>
        <v>42822</v>
      </c>
      <c r="G13" s="85">
        <f>_xll.qlDayCounterYearFraction(DayCounter,D12,D13)</f>
        <v>8.3333333333333329E-2</v>
      </c>
      <c r="I13" s="93" t="b">
        <f t="shared" si="2"/>
        <v>0</v>
      </c>
      <c r="J13" s="37">
        <v>5.1133537280586309E-3</v>
      </c>
      <c r="K13" s="94">
        <f t="shared" si="3"/>
        <v>42837</v>
      </c>
      <c r="L13" s="75"/>
      <c r="M13" s="72" t="b">
        <f>IF(AND(NOT(I13),AND(I$4:I12)),TRUE,I13)</f>
        <v>0</v>
      </c>
      <c r="N13" s="34">
        <f>IF(AND(NOT(ISBLANK(Jumpoverwrite1)),AND(NOT(M13),AND(M$4:M12))),($J13*$G13-LN(1+Jumpoverwrite1*O$2))/$G13,_xll.qlInterpolationInterpolate(M$3,$F13,TRUE))</f>
        <v>5.0215781408190696E-3</v>
      </c>
      <c r="O13" s="34" t="str">
        <f>IF(AND(NOT(M13),AND(M$4:M12)),IF(N13&gt;$J13,MAX(EXP((N13-$J13)*$G13),1),MIN(EXP((N13-$J13)*$G13),1)),"")</f>
        <v/>
      </c>
      <c r="P13" s="108"/>
      <c r="Q13" s="72" t="b">
        <f>IF(AND(NOT(M13),AND(M$4:M12)),TRUE,M13)</f>
        <v>0</v>
      </c>
      <c r="R13" s="34">
        <f>IF(AND(NOT(ISBLANK(Jumpoverwrite2)),AND(NOT(Q13),AND(Q$4:Q12))),($J13*$G13-LN(1+Jumpoverwrite2*S$2))/$G13,_xll.qlInterpolationInterpolate(Q$3,$F13,TRUE))</f>
        <v>5.0215781408190704E-3</v>
      </c>
      <c r="S13" s="34" t="str">
        <f>IF(AND(NOT(Q13),AND(Q$4:Q12)),IF(R13&gt;$J13,MAX(EXP((R13-$J13)*$G13),1),MIN(EXP((R13-$J13)*$G13),1)),"")</f>
        <v/>
      </c>
      <c r="T13" s="108"/>
      <c r="U13" s="72" t="b">
        <f>IF(AND(NOT(Q13),AND(Q$4:Q12)),TRUE,Q13)</f>
        <v>0</v>
      </c>
      <c r="V13" s="34">
        <f>IF(AND(NOT(ISBLANK(Jumpoverwrite3)),AND(NOT(U13),AND(U$4:U12))),($J13*$G13-LN(1+Jumpoverwrite3*W$2))/$G13,_xll.qlInterpolationInterpolate(U$3,$F13,TRUE))</f>
        <v>4.9409260623988985E-3</v>
      </c>
      <c r="W13" s="34" t="str">
        <f>IF(AND(NOT(U13),AND(U$4:U12)),IF(V13&gt;$J13,MAX(EXP((V13-$J13)*$G13),1),MIN(EXP((V13-$J13)*$G13),1)),"")</f>
        <v/>
      </c>
      <c r="X13" s="108"/>
      <c r="Y13" s="72" t="b">
        <f>IF(AND(NOT(U13),AND(U$4:U12)),TRUE,U13)</f>
        <v>0</v>
      </c>
      <c r="Z13" s="34">
        <f>IF(AND(NOT(ISBLANK(Jumpoverwrite4)),AND(NOT(Y13),AND(Y$4:Y12))),($J13*$G13-LN(1+Jumpoverwrite4*AA$2))/$G13,_xll.qlInterpolationInterpolate(Y$3,$F13,TRUE))</f>
        <v>4.9314774534564097E-3</v>
      </c>
      <c r="AA13" s="34" t="str">
        <f>IF(AND(NOT(Y13),AND(Y$4:Y12)),IF(Z13&gt;$J13,MAX(EXP((Z13-$J13)*$G13),1),MIN(EXP((Z13-$J13)*$G13),1)),"")</f>
        <v/>
      </c>
      <c r="AB13" s="108"/>
      <c r="AC13" s="72" t="b">
        <f>IF(AND(NOT(Y13),AND(Y$4:Y12)),TRUE,Y13)</f>
        <v>0</v>
      </c>
      <c r="AD13" s="34">
        <f>IF(AND(NOT(ISBLANK(Jumpoverwrite5)),AND(NOT(AC13),AND(AC$4:AC12))),($J13*$G13-LN(1+Jumpoverwrite5*AE$2))/$G13,_xll.qlInterpolationInterpolate(AC$3,$F13,TRUE))</f>
        <v>4.8430983614652671E-3</v>
      </c>
      <c r="AE13" s="34" t="str">
        <f>IF(AND(NOT(AC13),AND(AC$4:AC12)),IF(AD13&gt;$J13,MAX(EXP((AD13-$J13)*$G13),1),MIN(EXP((AD13-$J13)*$G13),1)),"")</f>
        <v/>
      </c>
      <c r="AF13" s="108"/>
      <c r="AG13" s="72" t="b">
        <f>IF(AND(NOT(AC13),AND(AC$4:AC12)),TRUE,AC13)</f>
        <v>0</v>
      </c>
      <c r="AH13" s="34">
        <f>IF(AND(NOT(ISBLANK(Jumpoverwrite6)),AND(NOT(AG13),AND(AG$4:AG12))),($J13*$G13-LN(1+Jumpoverwrite6*AI$2))/$G13,_xll.qlInterpolationInterpolate(AG$3,$F13,TRUE))</f>
        <v>5.0462307744910291E-3</v>
      </c>
      <c r="AI13" s="34" t="str">
        <f>IF(AND(NOT(AG13),AND(AG$4:AG12)),IF(AH13&gt;$J13,MAX(EXP((AH13-$J13)*$G13),1),MIN(EXP((AH13-$J13)*$G13),1)),"")</f>
        <v/>
      </c>
      <c r="AJ13" s="108"/>
      <c r="AK13" s="72" t="b">
        <f>IF(AND(NOT(AG13),AND(AG$4:AG12)),TRUE,AG13)</f>
        <v>0</v>
      </c>
      <c r="AL13" s="34">
        <f>IF(AND(NOT(ISBLANK(Jumpoverwrite7)),AND(NOT(AK13),AND(AK$4:AK12))),($J13*$G13-LN(1+Jumpoverwrite7*AM$2))/$G13,_xll.qlInterpolationInterpolate(AK$3,$F13,TRUE))</f>
        <v>5.1135864416524731E-3</v>
      </c>
      <c r="AM13" s="34" t="str">
        <f>IF(AND(NOT(AK13),AND(AK$4:AK12)),IF(AL13&gt;$J13,MAX(EXP((AL13-$J13)*$G13),1),MIN(EXP((AL13-$J13)*$G13),1)),"")</f>
        <v/>
      </c>
      <c r="AO13" s="72" t="b">
        <f>IF(AND(NOT(AK13),AND(AK$4:AK12)),TRUE,AK13)</f>
        <v>0</v>
      </c>
      <c r="AP13" s="34">
        <f>IF(AND(NOT(ISBLANK(Jumpoverwrite8)),AND(NOT(AO13),AND(AO$4:AO12))),($J13*$G13-LN(1+Jumpoverwrite8*AQ$2))/$G13,_xll.qlInterpolationInterpolate(AO$3,$F13,TRUE))</f>
        <v>5.1133537280586309E-3</v>
      </c>
      <c r="AQ13" s="34">
        <f>IF(AND(NOT(AO13),AND(AO$4:AO12)),IF(AP13&gt;$J13,MAX(EXP((AP13-$J13)*$G13),1),MIN(EXP((AP13-$J13)*$G13),1)),"")</f>
        <v>1</v>
      </c>
      <c r="AS13" s="72" t="b">
        <f>IF(AND(NOT(AO13),AND(AO$4:AO12)),TRUE,AO13)</f>
        <v>1</v>
      </c>
      <c r="AT13" s="34">
        <f>IF(AND(NOT(ISBLANK(Jumpoverwrite9)),AND(NOT(AS13),AND(AS$4:AS12))),($J13*$G13-LN(1+Jumpoverwrite9*AU$2))/$G13,_xll.qlInterpolationInterpolate(AS$3,$F13,TRUE))</f>
        <v>5.1133537280586309E-3</v>
      </c>
      <c r="AU13" s="34" t="str">
        <f>IF(AND(NOT(AS13),AND(AS$4:AS12)),IF(AT13&gt;$J13,MAX(EXP((AT13-$J13)*$G13),1),MIN(EXP((AT13-$J13)*$G13),1)),"")</f>
        <v/>
      </c>
      <c r="AW13" s="72" t="b">
        <f>IF(AND(NOT(AS13),AND(AS$4:AS12)),TRUE,AS13)</f>
        <v>1</v>
      </c>
      <c r="AX13" s="34">
        <f>IF(AND(NOT(ISBLANK(Jumpoverwrite10)),AND(NOT(AW13),AND(AW$4:AW12))),($J13*$G13-LN(1+Jumpoverwrite10*AY$2))/$G13,_xll.qlInterpolationInterpolate(AW$3,$F13,TRUE))</f>
        <v>5.1133537280586309E-3</v>
      </c>
      <c r="AY13" s="34" t="str">
        <f>IF(AND(NOT(AW13),AND(AW$4:AW12)),IF(AX13&gt;$J13,MAX(EXP((AX13-$J13)*$G13),1),MIN(EXP((AX13-$J13)*$G13),1)),"")</f>
        <v/>
      </c>
      <c r="BA13" s="72" t="b">
        <f>IF(AND(NOT(AW13),AND(AW$4:AW12)),TRUE,AW13)</f>
        <v>1</v>
      </c>
      <c r="BB13" s="34">
        <f>IF(AND(NOT(ISBLANK(Jumpoverwrite11)),AND(NOT(BA13),AND(BA$4:BA12))),($J13*$G13-LN(1+Jumpoverwrite11*BC$2))/$G13,_xll.qlInterpolationInterpolate(BA$3,$F13,TRUE))</f>
        <v>5.1133537280586309E-3</v>
      </c>
      <c r="BC13" s="34" t="str">
        <f>IF(AND(NOT(BA13),AND(BA$4:BA12)),IF(BB13&gt;$J13,MAX(EXP((BB13-$J13)*$G13),1),MIN(EXP((BB13-$J13)*$G13),1)),"")</f>
        <v/>
      </c>
      <c r="BE13" s="72" t="b">
        <f>IF(AND(NOT(BA13),AND(BA$4:BA12)),TRUE,BA13)</f>
        <v>1</v>
      </c>
      <c r="BF13" s="34">
        <f>IF(AND(NOT(ISBLANK(Jumpoverwrite12)),AND(NOT(BE13),AND(BE$4:BE12))),($J13*$G13-LN(1+Jumpoverwrite12*BG$2))/$G13,_xll.qlInterpolationInterpolate(BE$3,$F13,TRUE))</f>
        <v>5.1133537280586309E-3</v>
      </c>
      <c r="BG13" s="34" t="str">
        <f>IF(AND(NOT(BE13),AND(BE$4:BE12)),IF(BF13&gt;$J13,MAX(EXP((BF13-$J13)*$G13),1),MIN(EXP((BF13-$J13)*$G13),1)),"")</f>
        <v/>
      </c>
      <c r="BI13" s="72" t="b">
        <f t="shared" si="1"/>
        <v>1</v>
      </c>
      <c r="BJ13" s="34">
        <f>IF(AND(NOT(ISBLANK(jumpoverwrite13)),AND(NOT(BI13),AND(BI$4:BI12))),($J13*$G13-LN(1+jumpoverwrite13*BK$2))/$G13,_xll.qlInterpolationInterpolate(BI$3,$F13,TRUE))</f>
        <v>5.1133537280586309E-3</v>
      </c>
      <c r="BK13" s="34" t="str">
        <f>IF(AND(NOT(BI13),AND(BI$4:BI12)),IF(BJ13&gt;$J13,MAX(EXP((BJ13-$J13)*$G13),1),MIN(EXP((BJ13-$J13)*$G13),1)),"")</f>
        <v/>
      </c>
      <c r="BM13" s="72" t="b">
        <f>IF(AND(NOT(BI13),AND(BI$4:BI12)),TRUE,BI13)</f>
        <v>1</v>
      </c>
      <c r="BN13" s="175">
        <f>IF(AND(NOT(ISBLANK(Jumpoverwrite14)),AND(NOT(BM13),AND(BM$4:BM12))),($J13*$G13-LN(1+Jumpoverwrite14*BO$2))/$G13,_xll.qlInterpolationInterpolate(BM$3,$F13,TRUE))</f>
        <v>5.1133537280586309E-3</v>
      </c>
      <c r="BO13" s="34" t="str">
        <f>IF(AND(NOT(BM13),AND(BM$4:BM12)),IF(BM13&gt;$J13,MAX(EXP((BM13-$J13)*$G13),1),MIN(EXP((BM13-$J13)*$G13),1)),"")</f>
        <v/>
      </c>
    </row>
    <row r="14" spans="1:67" x14ac:dyDescent="0.2">
      <c r="A14" s="33" t="str">
        <v>obj_0037e</v>
      </c>
      <c r="B14" s="17">
        <f>_xll.qlRateHelperRate($A14,InterestRatesTrigger)</f>
        <v>4.64E-3</v>
      </c>
      <c r="C14" s="18">
        <f>_xll.qlRateHelperEarliestDate($A14)</f>
        <v>42594</v>
      </c>
      <c r="D14" s="19">
        <f>_xll.qlRateHelperPillarDate($A14)</f>
        <v>42867</v>
      </c>
      <c r="F14" s="84">
        <f t="shared" si="0"/>
        <v>42852</v>
      </c>
      <c r="G14" s="85">
        <f>_xll.qlDayCounterYearFraction(DayCounter,D13,D14)</f>
        <v>8.3333333333333329E-2</v>
      </c>
      <c r="I14" s="93" t="b">
        <f t="shared" si="2"/>
        <v>0</v>
      </c>
      <c r="J14" s="37">
        <v>5.2706158371091131E-3</v>
      </c>
      <c r="K14" s="94">
        <f t="shared" si="3"/>
        <v>42867</v>
      </c>
      <c r="L14" s="75"/>
      <c r="M14" s="72" t="b">
        <f>IF(AND(NOT(I14),AND(I$4:I13)),TRUE,I14)</f>
        <v>0</v>
      </c>
      <c r="N14" s="34">
        <f>IF(AND(NOT(ISBLANK(Jumpoverwrite1)),AND(NOT(M14),AND(M$4:M13))),($J14*$G14-LN(1+Jumpoverwrite1*O$2))/$G14,_xll.qlInterpolationInterpolate(M$3,$F14,TRUE))</f>
        <v>5.1319955209138913E-3</v>
      </c>
      <c r="O14" s="34" t="str">
        <f>IF(AND(NOT(M14),AND(M$4:M13)),IF(N14&gt;$J14,MAX(EXP((N14-$J14)*$G14),1),MIN(EXP((N14-$J14)*$G14),1)),"")</f>
        <v/>
      </c>
      <c r="P14" s="108"/>
      <c r="Q14" s="72" t="b">
        <f>IF(AND(NOT(M14),AND(M$4:M13)),TRUE,M14)</f>
        <v>0</v>
      </c>
      <c r="R14" s="34">
        <f>IF(AND(NOT(ISBLANK(Jumpoverwrite2)),AND(NOT(Q14),AND(Q$4:Q13))),($J14*$G14-LN(1+Jumpoverwrite2*S$2))/$G14,_xll.qlInterpolationInterpolate(Q$3,$F14,TRUE))</f>
        <v>5.1319955209138913E-3</v>
      </c>
      <c r="S14" s="34" t="str">
        <f>IF(AND(NOT(Q14),AND(Q$4:Q13)),IF(R14&gt;$J14,MAX(EXP((R14-$J14)*$G14),1),MIN(EXP((R14-$J14)*$G14),1)),"")</f>
        <v/>
      </c>
      <c r="T14" s="108"/>
      <c r="U14" s="72" t="b">
        <f>IF(AND(NOT(Q14),AND(Q$4:Q13)),TRUE,Q14)</f>
        <v>0</v>
      </c>
      <c r="V14" s="34">
        <f>IF(AND(NOT(ISBLANK(Jumpoverwrite3)),AND(NOT(U14),AND(U$4:U13))),($J14*$G14-LN(1+Jumpoverwrite3*W$2))/$G14,_xll.qlInterpolationInterpolate(U$3,$F14,TRUE))</f>
        <v>5.0644576015864314E-3</v>
      </c>
      <c r="W14" s="34" t="str">
        <f>IF(AND(NOT(U14),AND(U$4:U13)),IF(V14&gt;$J14,MAX(EXP((V14-$J14)*$G14),1),MIN(EXP((V14-$J14)*$G14),1)),"")</f>
        <v/>
      </c>
      <c r="X14" s="108"/>
      <c r="Y14" s="72" t="b">
        <f>IF(AND(NOT(U14),AND(U$4:U13)),TRUE,U14)</f>
        <v>0</v>
      </c>
      <c r="Z14" s="34">
        <f>IF(AND(NOT(ISBLANK(Jumpoverwrite4)),AND(NOT(Y14),AND(Y$4:Y13))),($J14*$G14-LN(1+Jumpoverwrite4*AA$2))/$G14,_xll.qlInterpolationInterpolate(Y$3,$F14,TRUE))</f>
        <v>5.0565453518215831E-3</v>
      </c>
      <c r="AA14" s="34" t="str">
        <f>IF(AND(NOT(Y14),AND(Y$4:Y13)),IF(Z14&gt;$J14,MAX(EXP((Z14-$J14)*$G14),1),MIN(EXP((Z14-$J14)*$G14),1)),"")</f>
        <v/>
      </c>
      <c r="AB14" s="108"/>
      <c r="AC14" s="72" t="b">
        <f>IF(AND(NOT(Y14),AND(Y$4:Y13)),TRUE,Y14)</f>
        <v>0</v>
      </c>
      <c r="AD14" s="34">
        <f>IF(AND(NOT(ISBLANK(Jumpoverwrite5)),AND(NOT(AC14),AND(AC$4:AC13))),($J14*$G14-LN(1+Jumpoverwrite5*AE$2))/$G14,_xll.qlInterpolationInterpolate(AC$3,$F14,TRUE))</f>
        <v>4.9825368438940407E-3</v>
      </c>
      <c r="AE14" s="34" t="str">
        <f>IF(AND(NOT(AC14),AND(AC$4:AC13)),IF(AD14&gt;$J14,MAX(EXP((AD14-$J14)*$G14),1),MIN(EXP((AD14-$J14)*$G14),1)),"")</f>
        <v/>
      </c>
      <c r="AF14" s="108"/>
      <c r="AG14" s="72" t="b">
        <f>IF(AND(NOT(AC14),AND(AC$4:AC13)),TRUE,AC14)</f>
        <v>0</v>
      </c>
      <c r="AH14" s="34">
        <f>IF(AND(NOT(ISBLANK(Jumpoverwrite6)),AND(NOT(AG14),AND(AG$4:AG13))),($J14*$G14-LN(1+Jumpoverwrite6*AI$2))/$G14,_xll.qlInterpolationInterpolate(AG$3,$F14,TRUE))</f>
        <v>5.1526395962652061E-3</v>
      </c>
      <c r="AI14" s="34" t="str">
        <f>IF(AND(NOT(AG14),AND(AG$4:AG13)),IF(AH14&gt;$J14,MAX(EXP((AH14-$J14)*$G14),1),MIN(EXP((AH14-$J14)*$G14),1)),"")</f>
        <v/>
      </c>
      <c r="AJ14" s="108"/>
      <c r="AK14" s="72" t="b">
        <f>IF(AND(NOT(AG14),AND(AG$4:AG13)),TRUE,AG14)</f>
        <v>0</v>
      </c>
      <c r="AL14" s="34">
        <f>IF(AND(NOT(ISBLANK(Jumpoverwrite7)),AND(NOT(AK14),AND(AK$4:AK13))),($J14*$G14-LN(1+Jumpoverwrite7*AM$2))/$G14,_xll.qlInterpolationInterpolate(AK$3,$F14,TRUE))</f>
        <v>5.2090431224247899E-3</v>
      </c>
      <c r="AM14" s="34" t="str">
        <f>IF(AND(NOT(AK14),AND(AK$4:AK13)),IF(AL14&gt;$J14,MAX(EXP((AL14-$J14)*$G14),1),MIN(EXP((AL14-$J14)*$G14),1)),"")</f>
        <v/>
      </c>
      <c r="AO14" s="72" t="b">
        <f>IF(AND(NOT(AK14),AND(AK$4:AK13)),TRUE,AK14)</f>
        <v>0</v>
      </c>
      <c r="AP14" s="34">
        <f>IF(AND(NOT(ISBLANK(Jumpoverwrite8)),AND(NOT(AO14),AND(AO$4:AO13))),($J14*$G14-LN(1+Jumpoverwrite8*AQ$2))/$G14,_xll.qlInterpolationInterpolate(AO$3,$F14,TRUE))</f>
        <v>5.1225635618695111E-3</v>
      </c>
      <c r="AQ14" s="34" t="str">
        <f>IF(AND(NOT(AO14),AND(AO$4:AO13)),IF(AP14&gt;$J14,MAX(EXP((AP14-$J14)*$G14),1),MIN(EXP((AP14-$J14)*$G14),1)),"")</f>
        <v/>
      </c>
      <c r="AS14" s="72" t="b">
        <f>IF(AND(NOT(AO14),AND(AO$4:AO13)),TRUE,AO14)</f>
        <v>0</v>
      </c>
      <c r="AT14" s="34">
        <f>IF(AND(NOT(ISBLANK(Jumpoverwrite9)),AND(NOT(AS14),AND(AS$4:AS13))),($J14*$G14-LN(1+Jumpoverwrite9*AU$2))/$G14,_xll.qlInterpolationInterpolate(AS$3,$F14,TRUE))</f>
        <v>5.2706158371091131E-3</v>
      </c>
      <c r="AU14" s="34">
        <f>IF(AND(NOT(AS14),AND(AS$4:AS13)),IF(AT14&gt;$J14,MAX(EXP((AT14-$J14)*$G14),1),MIN(EXP((AT14-$J14)*$G14),1)),"")</f>
        <v>1</v>
      </c>
      <c r="AW14" s="72" t="b">
        <f>IF(AND(NOT(AS14),AND(AS$4:AS13)),TRUE,AS14)</f>
        <v>1</v>
      </c>
      <c r="AX14" s="34">
        <f>IF(AND(NOT(ISBLANK(Jumpoverwrite10)),AND(NOT(AW14),AND(AW$4:AW13))),($J14*$G14-LN(1+Jumpoverwrite10*AY$2))/$G14,_xll.qlInterpolationInterpolate(AW$3,$F14,TRUE))</f>
        <v>5.2706158371091131E-3</v>
      </c>
      <c r="AY14" s="34" t="str">
        <f>IF(AND(NOT(AW14),AND(AW$4:AW13)),IF(AX14&gt;$J14,MAX(EXP((AX14-$J14)*$G14),1),MIN(EXP((AX14-$J14)*$G14),1)),"")</f>
        <v/>
      </c>
      <c r="BA14" s="72" t="b">
        <f>IF(AND(NOT(AW14),AND(AW$4:AW13)),TRUE,AW14)</f>
        <v>1</v>
      </c>
      <c r="BB14" s="34">
        <f>IF(AND(NOT(ISBLANK(Jumpoverwrite11)),AND(NOT(BA14),AND(BA$4:BA13))),($J14*$G14-LN(1+Jumpoverwrite11*BC$2))/$G14,_xll.qlInterpolationInterpolate(BA$3,$F14,TRUE))</f>
        <v>5.2706158371091131E-3</v>
      </c>
      <c r="BC14" s="34" t="str">
        <f>IF(AND(NOT(BA14),AND(BA$4:BA13)),IF(BB14&gt;$J14,MAX(EXP((BB14-$J14)*$G14),1),MIN(EXP((BB14-$J14)*$G14),1)),"")</f>
        <v/>
      </c>
      <c r="BE14" s="72" t="b">
        <f>IF(AND(NOT(BA14),AND(BA$4:BA13)),TRUE,BA14)</f>
        <v>1</v>
      </c>
      <c r="BF14" s="34">
        <f>IF(AND(NOT(ISBLANK(Jumpoverwrite12)),AND(NOT(BE14),AND(BE$4:BE13))),($J14*$G14-LN(1+Jumpoverwrite12*BG$2))/$G14,_xll.qlInterpolationInterpolate(BE$3,$F14,TRUE))</f>
        <v>5.2706158371091131E-3</v>
      </c>
      <c r="BG14" s="34" t="str">
        <f>IF(AND(NOT(BE14),AND(BE$4:BE13)),IF(BF14&gt;$J14,MAX(EXP((BF14-$J14)*$G14),1),MIN(EXP((BF14-$J14)*$G14),1)),"")</f>
        <v/>
      </c>
      <c r="BI14" s="72" t="b">
        <f t="shared" si="1"/>
        <v>1</v>
      </c>
      <c r="BJ14" s="34">
        <f>IF(AND(NOT(ISBLANK(jumpoverwrite13)),AND(NOT(BI14),AND(BI$4:BI13))),($J14*$G14-LN(1+jumpoverwrite13*BK$2))/$G14,_xll.qlInterpolationInterpolate(BI$3,$F14,TRUE))</f>
        <v>5.2706158371091131E-3</v>
      </c>
      <c r="BK14" s="34" t="str">
        <f>IF(AND(NOT(BI14),AND(BI$4:BI13)),IF(BJ14&gt;$J14,MAX(EXP((BJ14-$J14)*$G14),1),MIN(EXP((BJ14-$J14)*$G14),1)),"")</f>
        <v/>
      </c>
      <c r="BM14" s="72" t="b">
        <f>IF(AND(NOT(BI14),AND(BI$4:BI13)),TRUE,BI14)</f>
        <v>1</v>
      </c>
      <c r="BN14" s="175">
        <f>IF(AND(NOT(ISBLANK(Jumpoverwrite14)),AND(NOT(BM14),AND(BM$4:BM13))),($J14*$G14-LN(1+Jumpoverwrite14*BO$2))/$G14,_xll.qlInterpolationInterpolate(BM$3,$F14,TRUE))</f>
        <v>5.2706158371091131E-3</v>
      </c>
      <c r="BO14" s="34" t="str">
        <f>IF(AND(NOT(BM14),AND(BM$4:BM13)),IF(BM14&gt;$J14,MAX(EXP((BM14-$J14)*$G14),1),MIN(EXP((BM14-$J14)*$G14),1)),"")</f>
        <v/>
      </c>
    </row>
    <row r="15" spans="1:67" x14ac:dyDescent="0.2">
      <c r="A15" s="33" t="str">
        <v>obj_00389</v>
      </c>
      <c r="B15" s="17">
        <f>_xll.qlRateHelperRate($A15,InterestRatesTrigger)</f>
        <v>4.7399999999999994E-3</v>
      </c>
      <c r="C15" s="18">
        <f>_xll.qlRateHelperEarliestDate($A15)</f>
        <v>42594</v>
      </c>
      <c r="D15" s="19">
        <f>_xll.qlRateHelperPillarDate($A15)</f>
        <v>42898</v>
      </c>
      <c r="F15" s="84">
        <f t="shared" si="0"/>
        <v>42882.5</v>
      </c>
      <c r="G15" s="85">
        <f>_xll.qlDayCounterYearFraction(DayCounter,D14,D15)</f>
        <v>8.611111111111111E-2</v>
      </c>
      <c r="I15" s="93" t="b">
        <f t="shared" si="2"/>
        <v>0</v>
      </c>
      <c r="J15" s="37">
        <v>5.5995870896764117E-3</v>
      </c>
      <c r="K15" s="94">
        <f t="shared" si="3"/>
        <v>42898</v>
      </c>
      <c r="L15" s="75"/>
      <c r="M15" s="72" t="b">
        <f>IF(AND(NOT(I15),AND(I$4:I14)),TRUE,I15)</f>
        <v>0</v>
      </c>
      <c r="N15" s="34">
        <f>IF(AND(NOT(ISBLANK(Jumpoverwrite1)),AND(NOT(M15),AND(M$4:M14))),($J15*$G15-LN(1+Jumpoverwrite1*O$2))/$G15,_xll.qlInterpolationInterpolate(M$3,$F15,TRUE))</f>
        <v>5.2442531906769603E-3</v>
      </c>
      <c r="O15" s="34" t="str">
        <f>IF(AND(NOT(M15),AND(M$4:M14)),IF(N15&gt;$J15,MAX(EXP((N15-$J15)*$G15),1),MIN(EXP((N15-$J15)*$G15),1)),"")</f>
        <v/>
      </c>
      <c r="P15" s="108"/>
      <c r="Q15" s="72" t="b">
        <f>IF(AND(NOT(M15),AND(M$4:M14)),TRUE,M15)</f>
        <v>0</v>
      </c>
      <c r="R15" s="34">
        <f>IF(AND(NOT(ISBLANK(Jumpoverwrite2)),AND(NOT(Q15),AND(Q$4:Q14))),($J15*$G15-LN(1+Jumpoverwrite2*S$2))/$G15,_xll.qlInterpolationInterpolate(Q$3,$F15,TRUE))</f>
        <v>5.2442531906769603E-3</v>
      </c>
      <c r="S15" s="34" t="str">
        <f>IF(AND(NOT(Q15),AND(Q$4:Q14)),IF(R15&gt;$J15,MAX(EXP((R15-$J15)*$G15),1),MIN(EXP((R15-$J15)*$G15),1)),"")</f>
        <v/>
      </c>
      <c r="T15" s="108"/>
      <c r="U15" s="72" t="b">
        <f>IF(AND(NOT(Q15),AND(Q$4:Q14)),TRUE,Q15)</f>
        <v>0</v>
      </c>
      <c r="V15" s="34">
        <f>IF(AND(NOT(ISBLANK(Jumpoverwrite3)),AND(NOT(U15),AND(U$4:U14))),($J15*$G15-LN(1+Jumpoverwrite3*W$2))/$G15,_xll.qlInterpolationInterpolate(U$3,$F15,TRUE))</f>
        <v>5.1900479997604217E-3</v>
      </c>
      <c r="W15" s="34" t="str">
        <f>IF(AND(NOT(U15),AND(U$4:U14)),IF(V15&gt;$J15,MAX(EXP((V15-$J15)*$G15),1),MIN(EXP((V15-$J15)*$G15),1)),"")</f>
        <v/>
      </c>
      <c r="X15" s="108"/>
      <c r="Y15" s="72" t="b">
        <f>IF(AND(NOT(U15),AND(U$4:U14)),TRUE,U15)</f>
        <v>0</v>
      </c>
      <c r="Z15" s="34">
        <f>IF(AND(NOT(ISBLANK(Jumpoverwrite4)),AND(NOT(Y15),AND(Y$4:Y14))),($J15*$G15-LN(1+Jumpoverwrite4*AA$2))/$G15,_xll.qlInterpolationInterpolate(Y$3,$F15,TRUE))</f>
        <v>5.1836977151595081E-3</v>
      </c>
      <c r="AA15" s="34" t="str">
        <f>IF(AND(NOT(Y15),AND(Y$4:Y14)),IF(Z15&gt;$J15,MAX(EXP((Z15-$J15)*$G15),1),MIN(EXP((Z15-$J15)*$G15),1)),"")</f>
        <v/>
      </c>
      <c r="AB15" s="108"/>
      <c r="AC15" s="72" t="b">
        <f>IF(AND(NOT(Y15),AND(Y$4:Y14)),TRUE,Y15)</f>
        <v>0</v>
      </c>
      <c r="AD15" s="34">
        <f>IF(AND(NOT(ISBLANK(Jumpoverwrite5)),AND(NOT(AC15),AND(AC$4:AC14))),($J15*$G15-LN(1+Jumpoverwrite5*AE$2))/$G15,_xll.qlInterpolationInterpolate(AC$3,$F15,TRUE))</f>
        <v>5.1242993010299602E-3</v>
      </c>
      <c r="AE15" s="34" t="str">
        <f>IF(AND(NOT(AC15),AND(AC$4:AC14)),IF(AD15&gt;$J15,MAX(EXP((AD15-$J15)*$G15),1),MIN(EXP((AD15-$J15)*$G15),1)),"")</f>
        <v/>
      </c>
      <c r="AF15" s="108"/>
      <c r="AG15" s="72" t="b">
        <f>IF(AND(NOT(AC15),AND(AC$4:AC14)),TRUE,AC15)</f>
        <v>0</v>
      </c>
      <c r="AH15" s="34">
        <f>IF(AND(NOT(ISBLANK(Jumpoverwrite6)),AND(NOT(AG15),AND(AG$4:AG14))),($J15*$G15-LN(1+Jumpoverwrite6*AI$2))/$G15,_xll.qlInterpolationInterpolate(AG$3,$F15,TRUE))</f>
        <v>5.2608218984022872E-3</v>
      </c>
      <c r="AI15" s="34" t="str">
        <f>IF(AND(NOT(AG15),AND(AG$4:AG14)),IF(AH15&gt;$J15,MAX(EXP((AH15-$J15)*$G15),1),MIN(EXP((AH15-$J15)*$G15),1)),"")</f>
        <v/>
      </c>
      <c r="AJ15" s="108"/>
      <c r="AK15" s="72" t="b">
        <f>IF(AND(NOT(AG15),AND(AG$4:AG14)),TRUE,AG15)</f>
        <v>0</v>
      </c>
      <c r="AL15" s="34">
        <f>IF(AND(NOT(ISBLANK(Jumpoverwrite7)),AND(NOT(AK15),AND(AK$4:AK14))),($J15*$G15-LN(1+Jumpoverwrite7*AM$2))/$G15,_xll.qlInterpolationInterpolate(AK$3,$F15,TRUE))</f>
        <v>5.3060907478766454E-3</v>
      </c>
      <c r="AM15" s="34" t="str">
        <f>IF(AND(NOT(AK15),AND(AK$4:AK14)),IF(AL15&gt;$J15,MAX(EXP((AL15-$J15)*$G15),1),MIN(EXP((AL15-$J15)*$G15),1)),"")</f>
        <v/>
      </c>
      <c r="AO15" s="72" t="b">
        <f>IF(AND(NOT(AK15),AND(AK$4:AK14)),TRUE,AK15)</f>
        <v>0</v>
      </c>
      <c r="AP15" s="34">
        <f>IF(AND(NOT(ISBLANK(Jumpoverwrite8)),AND(NOT(AO15),AND(AO$4:AO14))),($J15*$G15-LN(1+Jumpoverwrite8*AQ$2))/$G15,_xll.qlInterpolationInterpolate(AO$3,$F15,TRUE))</f>
        <v>5.2366832041300139E-3</v>
      </c>
      <c r="AQ15" s="34" t="str">
        <f>IF(AND(NOT(AO15),AND(AO$4:AO14)),IF(AP15&gt;$J15,MAX(EXP((AP15-$J15)*$G15),1),MIN(EXP((AP15-$J15)*$G15),1)),"")</f>
        <v/>
      </c>
      <c r="AS15" s="72" t="b">
        <f>IF(AND(NOT(AO15),AND(AO$4:AO14)),TRUE,AO15)</f>
        <v>0</v>
      </c>
      <c r="AT15" s="34">
        <f>IF(AND(NOT(ISBLANK(Jumpoverwrite9)),AND(NOT(AS15),AND(AS$4:AS14))),($J15*$G15-LN(1+Jumpoverwrite9*AU$2))/$G15,_xll.qlInterpolationInterpolate(AS$3,$F15,TRUE))</f>
        <v>5.3059343441604588E-3</v>
      </c>
      <c r="AU15" s="34" t="str">
        <f>IF(AND(NOT(AS15),AND(AS$4:AS14)),IF(AT15&gt;$J15,MAX(EXP((AT15-$J15)*$G15),1),MIN(EXP((AT15-$J15)*$G15),1)),"")</f>
        <v/>
      </c>
      <c r="AW15" s="72" t="b">
        <f>IF(AND(NOT(AS15),AND(AS$4:AS14)),TRUE,AS15)</f>
        <v>0</v>
      </c>
      <c r="AX15" s="34">
        <f>IF(AND(NOT(ISBLANK(Jumpoverwrite10)),AND(NOT(AW15),AND(AW$4:AW14))),($J15*$G15-LN(1+Jumpoverwrite10*AY$2))/$G15,_xll.qlInterpolationInterpolate(AW$3,$F15,TRUE))</f>
        <v>5.5995870896764117E-3</v>
      </c>
      <c r="AY15" s="34">
        <f>IF(AND(NOT(AW15),AND(AW$4:AW14)),IF(AX15&gt;$J15,MAX(EXP((AX15-$J15)*$G15),1),MIN(EXP((AX15-$J15)*$G15),1)),"")</f>
        <v>1</v>
      </c>
      <c r="BA15" s="72" t="b">
        <f>IF(AND(NOT(AW15),AND(AW$4:AW14)),TRUE,AW15)</f>
        <v>1</v>
      </c>
      <c r="BB15" s="34">
        <f>IF(AND(NOT(ISBLANK(Jumpoverwrite11)),AND(NOT(BA15),AND(BA$4:BA14))),($J15*$G15-LN(1+Jumpoverwrite11*BC$2))/$G15,_xll.qlInterpolationInterpolate(BA$3,$F15,TRUE))</f>
        <v>5.5995870896764117E-3</v>
      </c>
      <c r="BC15" s="34" t="str">
        <f>IF(AND(NOT(BA15),AND(BA$4:BA14)),IF(BB15&gt;$J15,MAX(EXP((BB15-$J15)*$G15),1),MIN(EXP((BB15-$J15)*$G15),1)),"")</f>
        <v/>
      </c>
      <c r="BE15" s="72" t="b">
        <f>IF(AND(NOT(BA15),AND(BA$4:BA14)),TRUE,BA15)</f>
        <v>1</v>
      </c>
      <c r="BF15" s="34">
        <f>IF(AND(NOT(ISBLANK(Jumpoverwrite12)),AND(NOT(BE15),AND(BE$4:BE14))),($J15*$G15-LN(1+Jumpoverwrite12*BG$2))/$G15,_xll.qlInterpolationInterpolate(BE$3,$F15,TRUE))</f>
        <v>5.5995870896764117E-3</v>
      </c>
      <c r="BG15" s="34" t="str">
        <f>IF(AND(NOT(BE15),AND(BE$4:BE14)),IF(BF15&gt;$J15,MAX(EXP((BF15-$J15)*$G15),1),MIN(EXP((BF15-$J15)*$G15),1)),"")</f>
        <v/>
      </c>
      <c r="BI15" s="72" t="b">
        <f t="shared" si="1"/>
        <v>1</v>
      </c>
      <c r="BJ15" s="34">
        <f>IF(AND(NOT(ISBLANK(jumpoverwrite13)),AND(NOT(BI15),AND(BI$4:BI14))),($J15*$G15-LN(1+jumpoverwrite13*BK$2))/$G15,_xll.qlInterpolationInterpolate(BI$3,$F15,TRUE))</f>
        <v>5.5995870896764117E-3</v>
      </c>
      <c r="BK15" s="34" t="str">
        <f>IF(AND(NOT(BI15),AND(BI$4:BI14)),IF(BJ15&gt;$J15,MAX(EXP((BJ15-$J15)*$G15),1),MIN(EXP((BJ15-$J15)*$G15),1)),"")</f>
        <v/>
      </c>
      <c r="BM15" s="72" t="b">
        <f>IF(AND(NOT(BI15),AND(BI$4:BI14)),TRUE,BI15)</f>
        <v>1</v>
      </c>
      <c r="BN15" s="175">
        <f>IF(AND(NOT(ISBLANK(Jumpoverwrite14)),AND(NOT(BM15),AND(BM$4:BM14))),($J15*$G15-LN(1+Jumpoverwrite14*BO$2))/$G15,_xll.qlInterpolationInterpolate(BM$3,$F15,TRUE))</f>
        <v>5.5995870896764117E-3</v>
      </c>
      <c r="BO15" s="34" t="str">
        <f>IF(AND(NOT(BM15),AND(BM$4:BM14)),IF(BM15&gt;$J15,MAX(EXP((BM15-$J15)*$G15),1),MIN(EXP((BM15-$J15)*$G15),1)),"")</f>
        <v/>
      </c>
    </row>
    <row r="16" spans="1:67" x14ac:dyDescent="0.2">
      <c r="A16" s="33" t="str">
        <v>obj_00382</v>
      </c>
      <c r="B16" s="17">
        <f>_xll.qlRateHelperRate($A16,InterestRatesTrigger)</f>
        <v>4.8199999999999996E-3</v>
      </c>
      <c r="C16" s="18">
        <f>_xll.qlRateHelperEarliestDate($A16)</f>
        <v>42594</v>
      </c>
      <c r="D16" s="19">
        <f>_xll.qlRateHelperPillarDate($A16)</f>
        <v>42928</v>
      </c>
      <c r="F16" s="84">
        <f t="shared" si="0"/>
        <v>42913</v>
      </c>
      <c r="G16" s="85">
        <f>_xll.qlDayCounterYearFraction(DayCounter,D15,D16)</f>
        <v>8.3333333333333329E-2</v>
      </c>
      <c r="I16" s="93" t="b">
        <f t="shared" si="2"/>
        <v>0</v>
      </c>
      <c r="J16" s="37">
        <v>5.6069087393070668E-3</v>
      </c>
      <c r="K16" s="94">
        <f t="shared" si="3"/>
        <v>42928</v>
      </c>
      <c r="L16" s="75"/>
      <c r="M16" s="72" t="b">
        <f>IF(AND(NOT(I16),AND(I$4:I15)),TRUE,I16)</f>
        <v>0</v>
      </c>
      <c r="N16" s="34">
        <f>IF(AND(NOT(ISBLANK(Jumpoverwrite1)),AND(NOT(M16),AND(M$4:M15))),($J16*$G16-LN(1+Jumpoverwrite1*O$2))/$G16,_xll.qlInterpolationInterpolate(M$3,$F16,TRUE))</f>
        <v>5.3565108604400283E-3</v>
      </c>
      <c r="O16" s="34" t="str">
        <f>IF(AND(NOT(M16),AND(M$4:M15)),IF(N16&gt;$J16,MAX(EXP((N16-$J16)*$G16),1),MIN(EXP((N16-$J16)*$G16),1)),"")</f>
        <v/>
      </c>
      <c r="P16" s="108"/>
      <c r="Q16" s="72" t="b">
        <f>IF(AND(NOT(M16),AND(M$4:M15)),TRUE,M16)</f>
        <v>0</v>
      </c>
      <c r="R16" s="34">
        <f>IF(AND(NOT(ISBLANK(Jumpoverwrite2)),AND(NOT(Q16),AND(Q$4:Q15))),($J16*$G16-LN(1+Jumpoverwrite2*S$2))/$G16,_xll.qlInterpolationInterpolate(Q$3,$F16,TRUE))</f>
        <v>5.3565108604400283E-3</v>
      </c>
      <c r="S16" s="34" t="str">
        <f>IF(AND(NOT(Q16),AND(Q$4:Q15)),IF(R16&gt;$J16,MAX(EXP((R16-$J16)*$G16),1),MIN(EXP((R16-$J16)*$G16),1)),"")</f>
        <v/>
      </c>
      <c r="T16" s="108"/>
      <c r="U16" s="72" t="b">
        <f>IF(AND(NOT(Q16),AND(Q$4:Q15)),TRUE,Q16)</f>
        <v>0</v>
      </c>
      <c r="V16" s="34">
        <f>IF(AND(NOT(ISBLANK(Jumpoverwrite3)),AND(NOT(U16),AND(U$4:U15))),($J16*$G16-LN(1+Jumpoverwrite3*W$2))/$G16,_xll.qlInterpolationInterpolate(U$3,$F16,TRUE))</f>
        <v>5.3156383979344139E-3</v>
      </c>
      <c r="W16" s="34" t="str">
        <f>IF(AND(NOT(U16),AND(U$4:U15)),IF(V16&gt;$J16,MAX(EXP((V16-$J16)*$G16),1),MIN(EXP((V16-$J16)*$G16),1)),"")</f>
        <v/>
      </c>
      <c r="X16" s="108"/>
      <c r="Y16" s="72" t="b">
        <f>IF(AND(NOT(U16),AND(U$4:U15)),TRUE,U16)</f>
        <v>0</v>
      </c>
      <c r="Z16" s="34">
        <f>IF(AND(NOT(ISBLANK(Jumpoverwrite4)),AND(NOT(Y16),AND(Y$4:Y15))),($J16*$G16-LN(1+Jumpoverwrite4*AA$2))/$G16,_xll.qlInterpolationInterpolate(Y$3,$F16,TRUE))</f>
        <v>5.310850078497434E-3</v>
      </c>
      <c r="AA16" s="34" t="str">
        <f>IF(AND(NOT(Y16),AND(Y$4:Y15)),IF(Z16&gt;$J16,MAX(EXP((Z16-$J16)*$G16),1),MIN(EXP((Z16-$J16)*$G16),1)),"")</f>
        <v/>
      </c>
      <c r="AB16" s="108"/>
      <c r="AC16" s="72" t="b">
        <f>IF(AND(NOT(Y16),AND(Y$4:Y15)),TRUE,Y16)</f>
        <v>0</v>
      </c>
      <c r="AD16" s="34">
        <f>IF(AND(NOT(ISBLANK(Jumpoverwrite5)),AND(NOT(AC16),AND(AC$4:AC15))),($J16*$G16-LN(1+Jumpoverwrite5*AE$2))/$G16,_xll.qlInterpolationInterpolate(AC$3,$F16,TRUE))</f>
        <v>5.2660617581658797E-3</v>
      </c>
      <c r="AE16" s="34" t="str">
        <f>IF(AND(NOT(AC16),AND(AC$4:AC15)),IF(AD16&gt;$J16,MAX(EXP((AD16-$J16)*$G16),1),MIN(EXP((AD16-$J16)*$G16),1)),"")</f>
        <v/>
      </c>
      <c r="AF16" s="108"/>
      <c r="AG16" s="72" t="b">
        <f>IF(AND(NOT(AC16),AND(AC$4:AC15)),TRUE,AC16)</f>
        <v>0</v>
      </c>
      <c r="AH16" s="34">
        <f>IF(AND(NOT(ISBLANK(Jumpoverwrite6)),AND(NOT(AG16),AND(AG$4:AG15))),($J16*$G16-LN(1+Jumpoverwrite6*AI$2))/$G16,_xll.qlInterpolationInterpolate(AG$3,$F16,TRUE))</f>
        <v>5.3690042005393682E-3</v>
      </c>
      <c r="AI16" s="34" t="str">
        <f>IF(AND(NOT(AG16),AND(AG$4:AG15)),IF(AH16&gt;$J16,MAX(EXP((AH16-$J16)*$G16),1),MIN(EXP((AH16-$J16)*$G16),1)),"")</f>
        <v/>
      </c>
      <c r="AJ16" s="108"/>
      <c r="AK16" s="72" t="b">
        <f>IF(AND(NOT(AG16),AND(AG$4:AG15)),TRUE,AG16)</f>
        <v>0</v>
      </c>
      <c r="AL16" s="34">
        <f>IF(AND(NOT(ISBLANK(Jumpoverwrite7)),AND(NOT(AK16),AND(AK$4:AK15))),($J16*$G16-LN(1+Jumpoverwrite7*AM$2))/$G16,_xll.qlInterpolationInterpolate(AK$3,$F16,TRUE))</f>
        <v>5.403138373328501E-3</v>
      </c>
      <c r="AM16" s="34" t="str">
        <f>IF(AND(NOT(AK16),AND(AK$4:AK15)),IF(AL16&gt;$J16,MAX(EXP((AL16-$J16)*$G16),1),MIN(EXP((AL16-$J16)*$G16),1)),"")</f>
        <v/>
      </c>
      <c r="AO16" s="72" t="b">
        <f>IF(AND(NOT(AK16),AND(AK$4:AK15)),TRUE,AK16)</f>
        <v>0</v>
      </c>
      <c r="AP16" s="34">
        <f>IF(AND(NOT(ISBLANK(Jumpoverwrite8)),AND(NOT(AO16),AND(AO$4:AO15))),($J16*$G16-LN(1+Jumpoverwrite8*AQ$2))/$G16,_xll.qlInterpolationInterpolate(AO$3,$F16,TRUE))</f>
        <v>5.3508028463905167E-3</v>
      </c>
      <c r="AQ16" s="34" t="str">
        <f>IF(AND(NOT(AO16),AND(AO$4:AO15)),IF(AP16&gt;$J16,MAX(EXP((AP16-$J16)*$G16),1),MIN(EXP((AP16-$J16)*$G16),1)),"")</f>
        <v/>
      </c>
      <c r="AS16" s="72" t="b">
        <f>IF(AND(NOT(AO16),AND(AO$4:AO15)),TRUE,AO16)</f>
        <v>0</v>
      </c>
      <c r="AT16" s="34">
        <f>IF(AND(NOT(ISBLANK(Jumpoverwrite9)),AND(NOT(AS16),AND(AS$4:AS15))),($J16*$G16-LN(1+Jumpoverwrite9*AU$2))/$G16,_xll.qlInterpolationInterpolate(AS$3,$F16,TRUE))</f>
        <v>5.4030204398812154E-3</v>
      </c>
      <c r="AU16" s="34" t="str">
        <f>IF(AND(NOT(AS16),AND(AS$4:AS15)),IF(AT16&gt;$J16,MAX(EXP((AT16-$J16)*$G16),1),MIN(EXP((AT16-$J16)*$G16),1)),"")</f>
        <v/>
      </c>
      <c r="AW16" s="72" t="b">
        <f>IF(AND(NOT(AS16),AND(AS$4:AS15)),TRUE,AS16)</f>
        <v>0</v>
      </c>
      <c r="AX16" s="34">
        <f>IF(AND(NOT(ISBLANK(Jumpoverwrite10)),AND(NOT(AW16),AND(AW$4:AW15))),($J16*$G16-LN(1+Jumpoverwrite10*AY$2))/$G16,_xll.qlInterpolationInterpolate(AW$3,$F16,TRUE))</f>
        <v>5.4404008252572017E-3</v>
      </c>
      <c r="AY16" s="34" t="str">
        <f>IF(AND(NOT(AW16),AND(AW$4:AW15)),IF(AX16&gt;$J16,MAX(EXP((AX16-$J16)*$G16),1),MIN(EXP((AX16-$J16)*$G16),1)),"")</f>
        <v/>
      </c>
      <c r="BA16" s="72" t="b">
        <f>IF(AND(NOT(AW16),AND(AW$4:AW15)),TRUE,AW16)</f>
        <v>0</v>
      </c>
      <c r="BB16" s="34">
        <f>IF(AND(NOT(ISBLANK(Jumpoverwrite11)),AND(NOT(BA16),AND(BA$4:BA15))),($J16*$G16-LN(1+Jumpoverwrite11*BC$2))/$G16,_xll.qlInterpolationInterpolate(BA$3,$F16,TRUE))</f>
        <v>5.6069087393070668E-3</v>
      </c>
      <c r="BC16" s="34">
        <f>IF(AND(NOT(BA16),AND(BA$4:BA15)),IF(BB16&gt;$J16,MAX(EXP((BB16-$J16)*$G16),1),MIN(EXP((BB16-$J16)*$G16),1)),"")</f>
        <v>1</v>
      </c>
      <c r="BE16" s="72" t="b">
        <f>IF(AND(NOT(BA16),AND(BA$4:BA15)),TRUE,BA16)</f>
        <v>1</v>
      </c>
      <c r="BF16" s="34">
        <f>IF(AND(NOT(ISBLANK(Jumpoverwrite12)),AND(NOT(BE16),AND(BE$4:BE15))),($J16*$G16-LN(1+Jumpoverwrite12*BG$2))/$G16,_xll.qlInterpolationInterpolate(BE$3,$F16,TRUE))</f>
        <v>5.6069087393070668E-3</v>
      </c>
      <c r="BG16" s="34" t="str">
        <f>IF(AND(NOT(BE16),AND(BE$4:BE15)),IF(BF16&gt;$J16,MAX(EXP((BF16-$J16)*$G16),1),MIN(EXP((BF16-$J16)*$G16),1)),"")</f>
        <v/>
      </c>
      <c r="BI16" s="72" t="b">
        <f t="shared" si="1"/>
        <v>1</v>
      </c>
      <c r="BJ16" s="34">
        <f>IF(AND(NOT(ISBLANK(jumpoverwrite13)),AND(NOT(BI16),AND(BI$4:BI15))),($J16*$G16-LN(1+jumpoverwrite13*BK$2))/$G16,_xll.qlInterpolationInterpolate(BI$3,$F16,TRUE))</f>
        <v>5.6069087393070668E-3</v>
      </c>
      <c r="BK16" s="34" t="str">
        <f>IF(AND(NOT(BI16),AND(BI$4:BI15)),IF(BJ16&gt;$J16,MAX(EXP((BJ16-$J16)*$G16),1),MIN(EXP((BJ16-$J16)*$G16),1)),"")</f>
        <v/>
      </c>
      <c r="BM16" s="72" t="b">
        <f>IF(AND(NOT(BI16),AND(BI$4:BI15)),TRUE,BI16)</f>
        <v>1</v>
      </c>
      <c r="BN16" s="175">
        <f>IF(AND(NOT(ISBLANK(Jumpoverwrite14)),AND(NOT(BM16),AND(BM$4:BM15))),($J16*$G16-LN(1+Jumpoverwrite14*BO$2))/$G16,_xll.qlInterpolationInterpolate(BM$3,$F16,TRUE))</f>
        <v>5.6069087393070668E-3</v>
      </c>
      <c r="BO16" s="34" t="str">
        <f>IF(AND(NOT(BM16),AND(BM$4:BM15)),IF(BM16&gt;$J16,MAX(EXP((BM16-$J16)*$G16),1),MIN(EXP((BM16-$J16)*$G16),1)),"")</f>
        <v/>
      </c>
    </row>
    <row r="17" spans="1:67" x14ac:dyDescent="0.2">
      <c r="A17" s="33" t="str">
        <v>obj_0038a</v>
      </c>
      <c r="B17" s="17">
        <f>_xll.qlRateHelperRate($A17,InterestRatesTrigger)</f>
        <v>4.8999999999999998E-3</v>
      </c>
      <c r="C17" s="18">
        <f>_xll.qlRateHelperEarliestDate($A17)</f>
        <v>42594</v>
      </c>
      <c r="D17" s="19">
        <f>_xll.qlRateHelperPillarDate($A17)</f>
        <v>42961</v>
      </c>
      <c r="F17" s="84">
        <f t="shared" si="0"/>
        <v>42944.5</v>
      </c>
      <c r="G17" s="85">
        <f>_xll.qlDayCounterYearFraction(DayCounter,D16,D17)</f>
        <v>9.166666666666666E-2</v>
      </c>
      <c r="I17" s="93" t="b">
        <f t="shared" si="2"/>
        <v>0</v>
      </c>
      <c r="J17" s="37">
        <v>5.6827971051440929E-3</v>
      </c>
      <c r="K17" s="94">
        <f t="shared" si="3"/>
        <v>42961</v>
      </c>
      <c r="L17" s="75"/>
      <c r="M17" s="72" t="b">
        <f>IF(AND(NOT(I17),AND(I$4:I16)),TRUE,I17)</f>
        <v>0</v>
      </c>
      <c r="N17" s="34">
        <f>IF(AND(NOT(ISBLANK(Jumpoverwrite1)),AND(NOT(M17),AND(M$4:M16))),($J17*$G17-LN(1+Jumpoverwrite1*O$2))/$G17,_xll.qlInterpolationInterpolate(M$3,$F17,TRUE))</f>
        <v>5.4724491095395908E-3</v>
      </c>
      <c r="O17" s="34" t="str">
        <f>IF(AND(NOT(M17),AND(M$4:M16)),IF(N17&gt;$J17,MAX(EXP((N17-$J17)*$G17),1),MIN(EXP((N17-$J17)*$G17),1)),"")</f>
        <v/>
      </c>
      <c r="P17" s="108"/>
      <c r="Q17" s="72" t="b">
        <f>IF(AND(NOT(M17),AND(M$4:M16)),TRUE,M17)</f>
        <v>0</v>
      </c>
      <c r="R17" s="34">
        <f>IF(AND(NOT(ISBLANK(Jumpoverwrite2)),AND(NOT(Q17),AND(Q$4:Q16))),($J17*$G17-LN(1+Jumpoverwrite2*S$2))/$G17,_xll.qlInterpolationInterpolate(Q$3,$F17,TRUE))</f>
        <v>5.4724491095395917E-3</v>
      </c>
      <c r="S17" s="34" t="str">
        <f>IF(AND(NOT(Q17),AND(Q$4:Q16)),IF(R17&gt;$J17,MAX(EXP((R17-$J17)*$G17),1),MIN(EXP((R17-$J17)*$G17),1)),"")</f>
        <v/>
      </c>
      <c r="T17" s="108"/>
      <c r="U17" s="72" t="b">
        <f>IF(AND(NOT(Q17),AND(Q$4:Q16)),TRUE,Q17)</f>
        <v>0</v>
      </c>
      <c r="V17" s="34">
        <f>IF(AND(NOT(ISBLANK(Jumpoverwrite3)),AND(NOT(U17),AND(U$4:U16))),($J17*$G17-LN(1+Jumpoverwrite3*W$2))/$G17,_xll.qlInterpolationInterpolate(U$3,$F17,TRUE))</f>
        <v>5.445346514081322E-3</v>
      </c>
      <c r="W17" s="34" t="str">
        <f>IF(AND(NOT(U17),AND(U$4:U16)),IF(V17&gt;$J17,MAX(EXP((V17-$J17)*$G17),1),MIN(EXP((V17-$J17)*$G17),1)),"")</f>
        <v/>
      </c>
      <c r="X17" s="108"/>
      <c r="Y17" s="72" t="b">
        <f>IF(AND(NOT(U17),AND(U$4:U16)),TRUE,U17)</f>
        <v>0</v>
      </c>
      <c r="Z17" s="34">
        <f>IF(AND(NOT(ISBLANK(Jumpoverwrite4)),AND(NOT(Y17),AND(Y$4:Y16))),($J17*$G17-LN(1+Jumpoverwrite4*AA$2))/$G17,_xll.qlInterpolationInterpolate(Y$3,$F17,TRUE))</f>
        <v>5.4421713717808656E-3</v>
      </c>
      <c r="AA17" s="34" t="str">
        <f>IF(AND(NOT(Y17),AND(Y$4:Y16)),IF(Z17&gt;$J17,MAX(EXP((Z17-$J17)*$G17),1),MIN(EXP((Z17-$J17)*$G17),1)),"")</f>
        <v/>
      </c>
      <c r="AB17" s="108"/>
      <c r="AC17" s="72" t="b">
        <f>IF(AND(NOT(Y17),AND(Y$4:Y16)),TRUE,Y17)</f>
        <v>0</v>
      </c>
      <c r="AD17" s="34">
        <f>IF(AND(NOT(ISBLANK(Jumpoverwrite5)),AND(NOT(AC17),AND(AC$4:AC16))),($J17*$G17-LN(1+Jumpoverwrite5*AE$2))/$G17,_xll.qlInterpolationInterpolate(AC$3,$F17,TRUE))</f>
        <v>5.4124721647160912E-3</v>
      </c>
      <c r="AE17" s="34" t="str">
        <f>IF(AND(NOT(AC17),AND(AC$4:AC16)),IF(AD17&gt;$J17,MAX(EXP((AD17-$J17)*$G17),1),MIN(EXP((AD17-$J17)*$G17),1)),"")</f>
        <v/>
      </c>
      <c r="AF17" s="108"/>
      <c r="AG17" s="72" t="b">
        <f>IF(AND(NOT(AC17),AND(AC$4:AC16)),TRUE,AC17)</f>
        <v>0</v>
      </c>
      <c r="AH17" s="34">
        <f>IF(AND(NOT(ISBLANK(Jumpoverwrite6)),AND(NOT(AG17),AND(AG$4:AG16))),($J17*$G17-LN(1+Jumpoverwrite6*AI$2))/$G17,_xll.qlInterpolationInterpolate(AG$3,$F17,TRUE))</f>
        <v>5.4807334634022547E-3</v>
      </c>
      <c r="AI17" s="34" t="str">
        <f>IF(AND(NOT(AG17),AND(AG$4:AG16)),IF(AH17&gt;$J17,MAX(EXP((AH17-$J17)*$G17),1),MIN(EXP((AH17-$J17)*$G17),1)),"")</f>
        <v/>
      </c>
      <c r="AJ17" s="108"/>
      <c r="AK17" s="72" t="b">
        <f>IF(AND(NOT(AG17),AND(AG$4:AG16)),TRUE,AG17)</f>
        <v>0</v>
      </c>
      <c r="AL17" s="34">
        <f>IF(AND(NOT(ISBLANK(Jumpoverwrite7)),AND(NOT(AK17),AND(AK$4:AK16))),($J17*$G17-LN(1+Jumpoverwrite7*AM$2))/$G17,_xll.qlInterpolationInterpolate(AK$3,$F17,TRUE))</f>
        <v>5.5033678881394339E-3</v>
      </c>
      <c r="AM17" s="34" t="str">
        <f>IF(AND(NOT(AK17),AND(AK$4:AK16)),IF(AL17&gt;$J17,MAX(EXP((AL17-$J17)*$G17),1),MIN(EXP((AL17-$J17)*$G17),1)),"")</f>
        <v/>
      </c>
      <c r="AO17" s="72" t="b">
        <f>IF(AND(NOT(AK17),AND(AK$4:AK16)),TRUE,AK17)</f>
        <v>0</v>
      </c>
      <c r="AP17" s="34">
        <f>IF(AND(NOT(ISBLANK(Jumpoverwrite8)),AND(NOT(AO17),AND(AO$4:AO16))),($J17*$G17-LN(1+Jumpoverwrite8*AQ$2))/$G17,_xll.qlInterpolationInterpolate(AO$3,$F17,TRUE))</f>
        <v>5.4686641162661181E-3</v>
      </c>
      <c r="AQ17" s="34" t="str">
        <f>IF(AND(NOT(AO17),AND(AO$4:AO16)),IF(AP17&gt;$J17,MAX(EXP((AP17-$J17)*$G17),1),MIN(EXP((AP17-$J17)*$G17),1)),"")</f>
        <v/>
      </c>
      <c r="AS17" s="72" t="b">
        <f>IF(AND(NOT(AO17),AND(AO$4:AO16)),TRUE,AO17)</f>
        <v>0</v>
      </c>
      <c r="AT17" s="34">
        <f>IF(AND(NOT(ISBLANK(Jumpoverwrite9)),AND(NOT(AS17),AND(AS$4:AS16))),($J17*$G17-LN(1+Jumpoverwrite9*AU$2))/$G17,_xll.qlInterpolationInterpolate(AS$3,$F17,TRUE))</f>
        <v>5.5032896862813405E-3</v>
      </c>
      <c r="AU17" s="34" t="str">
        <f>IF(AND(NOT(AS17),AND(AS$4:AS16)),IF(AT17&gt;$J17,MAX(EXP((AT17-$J17)*$G17),1),MIN(EXP((AT17-$J17)*$G17),1)),"")</f>
        <v/>
      </c>
      <c r="AW17" s="72" t="b">
        <f>IF(AND(NOT(AS17),AND(AS$4:AS16)),TRUE,AS17)</f>
        <v>0</v>
      </c>
      <c r="AX17" s="34">
        <f>IF(AND(NOT(ISBLANK(Jumpoverwrite10)),AND(NOT(AW17),AND(AW$4:AW16))),($J17*$G17-LN(1+Jumpoverwrite10*AY$2))/$G17,_xll.qlInterpolationInterpolate(AW$3,$F17,TRUE))</f>
        <v>5.5280766797926898E-3</v>
      </c>
      <c r="AY17" s="34" t="str">
        <f>IF(AND(NOT(AW17),AND(AW$4:AW16)),IF(AX17&gt;$J17,MAX(EXP((AX17-$J17)*$G17),1),MIN(EXP((AX17-$J17)*$G17),1)),"")</f>
        <v/>
      </c>
      <c r="BA17" s="72" t="b">
        <f>IF(AND(NOT(AW17),AND(AW$4:AW16)),TRUE,AW17)</f>
        <v>0</v>
      </c>
      <c r="BB17" s="34">
        <f>IF(AND(NOT(ISBLANK(Jumpoverwrite11)),AND(NOT(BA17),AND(BA$4:BA16))),($J17*$G17-LN(1+Jumpoverwrite11*BC$2))/$G17,_xll.qlInterpolationInterpolate(BA$3,$F17,TRUE))</f>
        <v>5.650116059039317E-3</v>
      </c>
      <c r="BC17" s="34" t="str">
        <f>IF(AND(NOT(BA17),AND(BA$4:BA16)),IF(BB17&gt;$J17,MAX(EXP((BB17-$J17)*$G17),1),MIN(EXP((BB17-$J17)*$G17),1)),"")</f>
        <v/>
      </c>
      <c r="BE17" s="72" t="b">
        <f>IF(AND(NOT(BA17),AND(BA$4:BA16)),TRUE,BA17)</f>
        <v>0</v>
      </c>
      <c r="BF17" s="34">
        <f>IF(AND(NOT(ISBLANK(Jumpoverwrite12)),AND(NOT(BE17),AND(BE$4:BE16))),($J17*$G17-LN(1+Jumpoverwrite12*BG$2))/$G17,_xll.qlInterpolationInterpolate(BE$3,$F17,TRUE))</f>
        <v>5.6827971051440921E-3</v>
      </c>
      <c r="BG17" s="34">
        <f>IF(AND(NOT(BE17),AND(BE$4:BE16)),IF(BF17&gt;$J17,MAX(EXP((BF17-$J17)*$G17),1),MIN(EXP((BF17-$J17)*$G17),1)),"")</f>
        <v>1</v>
      </c>
      <c r="BI17" s="72" t="b">
        <f t="shared" si="1"/>
        <v>1</v>
      </c>
      <c r="BJ17" s="34">
        <f>IF(AND(NOT(ISBLANK(jumpoverwrite13)),AND(NOT(BI17),AND(BI$4:BI16))),($J17*$G17-LN(1+jumpoverwrite13*BK$2))/$G17,_xll.qlInterpolationInterpolate(BI$3,$F17,TRUE))</f>
        <v>5.6827971051440921E-3</v>
      </c>
      <c r="BK17" s="34" t="str">
        <f>IF(AND(NOT(BI17),AND(BI$4:BI16)),IF(BJ17&gt;$J17,MAX(EXP((BJ17-$J17)*$G17),1),MIN(EXP((BJ17-$J17)*$G17),1)),"")</f>
        <v/>
      </c>
      <c r="BM17" s="72" t="b">
        <f>IF(AND(NOT(BI17),AND(BI$4:BI16)),TRUE,BI17)</f>
        <v>1</v>
      </c>
      <c r="BN17" s="175">
        <f>IF(AND(NOT(ISBLANK(Jumpoverwrite14)),AND(NOT(BM17),AND(BM$4:BM16))),($J17*$G17-LN(1+Jumpoverwrite14*BO$2))/$G17,_xll.qlInterpolationInterpolate(BM$3,$F17,TRUE))</f>
        <v>5.6827971051440921E-3</v>
      </c>
      <c r="BO17" s="34" t="str">
        <f>IF(AND(NOT(BM17),AND(BM$4:BM16)),IF(BM17&gt;$J17,MAX(EXP((BM17-$J17)*$G17),1),MIN(EXP((BM17-$J17)*$G17),1)),"")</f>
        <v/>
      </c>
    </row>
    <row r="18" spans="1:67" x14ac:dyDescent="0.2">
      <c r="A18" s="33" t="str">
        <v>obj_00387</v>
      </c>
      <c r="B18" s="17">
        <f>_xll.qlRateHelperRate($A18,InterestRatesTrigger)</f>
        <v>5.0600000000000003E-3</v>
      </c>
      <c r="C18" s="18">
        <f>_xll.qlRateHelperEarliestDate($A18)</f>
        <v>42594</v>
      </c>
      <c r="D18" s="19">
        <f>_xll.qlRateHelperPillarDate($A18)</f>
        <v>43052</v>
      </c>
      <c r="F18" s="84">
        <f t="shared" si="0"/>
        <v>43006.5</v>
      </c>
      <c r="G18" s="85">
        <f>_xll.qlDayCounterYearFraction(DayCounter,D17,D18)</f>
        <v>0.25277777777777777</v>
      </c>
      <c r="I18" s="93" t="b">
        <f t="shared" si="2"/>
        <v>1</v>
      </c>
      <c r="J18" s="37">
        <v>5.7006450284022223E-3</v>
      </c>
      <c r="K18" s="94">
        <f t="shared" si="3"/>
        <v>43052</v>
      </c>
      <c r="L18" s="75"/>
      <c r="M18" s="72" t="b">
        <f>IF(AND(NOT(I18),AND(I$4:I17)),TRUE,I18)</f>
        <v>1</v>
      </c>
      <c r="N18" s="34">
        <f>IF(AND(NOT(ISBLANK(Jumpoverwrite1)),AND(NOT(M18),AND(M$4:M17))),($J18*$G18-LN(1+Jumpoverwrite1*O$2))/$G18,_xll.qlInterpolationInterpolate(M$3,$F18,TRUE))</f>
        <v>5.7006450284022223E-3</v>
      </c>
      <c r="O18" s="34" t="str">
        <f>IF(AND(NOT(M18),AND(M$4:M17)),IF(N18&gt;$J18,MAX(EXP((N18-$J18)*$G18),1),MIN(EXP((N18-$J18)*$G18),1)),"")</f>
        <v/>
      </c>
      <c r="P18" s="108"/>
      <c r="Q18" s="72" t="b">
        <f>IF(AND(NOT(M18),AND(M$4:M17)),TRUE,M18)</f>
        <v>1</v>
      </c>
      <c r="R18" s="34">
        <f>IF(AND(NOT(ISBLANK(Jumpoverwrite2)),AND(NOT(Q18),AND(Q$4:Q17))),($J18*$G18-LN(1+Jumpoverwrite2*S$2))/$G18,_xll.qlInterpolationInterpolate(Q$3,$F18,TRUE))</f>
        <v>5.7006450284022223E-3</v>
      </c>
      <c r="S18" s="34" t="str">
        <f>IF(AND(NOT(Q18),AND(Q$4:Q17)),IF(R18&gt;$J18,MAX(EXP((R18-$J18)*$G18),1),MIN(EXP((R18-$J18)*$G18),1)),"")</f>
        <v/>
      </c>
      <c r="T18" s="108"/>
      <c r="U18" s="72" t="b">
        <f>IF(AND(NOT(Q18),AND(Q$4:Q17)),TRUE,Q18)</f>
        <v>1</v>
      </c>
      <c r="V18" s="34">
        <f>IF(AND(NOT(ISBLANK(Jumpoverwrite3)),AND(NOT(U18),AND(U$4:U17))),($J18*$G18-LN(1+Jumpoverwrite3*W$2))/$G18,_xll.qlInterpolationInterpolate(U$3,$F18,TRUE))</f>
        <v>5.7006450284022223E-3</v>
      </c>
      <c r="W18" s="34" t="str">
        <f>IF(AND(NOT(U18),AND(U$4:U17)),IF(V18&gt;$J18,MAX(EXP((V18-$J18)*$G18),1),MIN(EXP((V18-$J18)*$G18),1)),"")</f>
        <v/>
      </c>
      <c r="X18" s="108"/>
      <c r="Y18" s="72" t="b">
        <f>IF(AND(NOT(U18),AND(U$4:U17)),TRUE,U18)</f>
        <v>1</v>
      </c>
      <c r="Z18" s="34">
        <f>IF(AND(NOT(ISBLANK(Jumpoverwrite4)),AND(NOT(Y18),AND(Y$4:Y17))),($J18*$G18-LN(1+Jumpoverwrite4*AA$2))/$G18,_xll.qlInterpolationInterpolate(Y$3,$F18,TRUE))</f>
        <v>5.7006450284022223E-3</v>
      </c>
      <c r="AA18" s="34" t="str">
        <f>IF(AND(NOT(Y18),AND(Y$4:Y17)),IF(Z18&gt;$J18,MAX(EXP((Z18-$J18)*$G18),1),MIN(EXP((Z18-$J18)*$G18),1)),"")</f>
        <v/>
      </c>
      <c r="AB18" s="108"/>
      <c r="AC18" s="72" t="b">
        <f>IF(AND(NOT(Y18),AND(Y$4:Y17)),TRUE,Y18)</f>
        <v>1</v>
      </c>
      <c r="AD18" s="34">
        <f>IF(AND(NOT(ISBLANK(Jumpoverwrite5)),AND(NOT(AC18),AND(AC$4:AC17))),($J18*$G18-LN(1+Jumpoverwrite5*AE$2))/$G18,_xll.qlInterpolationInterpolate(AC$3,$F18,TRUE))</f>
        <v>5.7006450284022223E-3</v>
      </c>
      <c r="AE18" s="34" t="str">
        <f>IF(AND(NOT(AC18),AND(AC$4:AC17)),IF(AD18&gt;$J18,MAX(EXP((AD18-$J18)*$G18),1),MIN(EXP((AD18-$J18)*$G18),1)),"")</f>
        <v/>
      </c>
      <c r="AF18" s="108"/>
      <c r="AG18" s="72" t="b">
        <f>IF(AND(NOT(AC18),AND(AC$4:AC17)),TRUE,AC18)</f>
        <v>1</v>
      </c>
      <c r="AH18" s="34">
        <f>IF(AND(NOT(ISBLANK(Jumpoverwrite6)),AND(NOT(AG18),AND(AG$4:AG17))),($J18*$G18-LN(1+Jumpoverwrite6*AI$2))/$G18,_xll.qlInterpolationInterpolate(AG$3,$F18,TRUE))</f>
        <v>5.7006450284022223E-3</v>
      </c>
      <c r="AI18" s="34" t="str">
        <f>IF(AND(NOT(AG18),AND(AG$4:AG17)),IF(AH18&gt;$J18,MAX(EXP((AH18-$J18)*$G18),1),MIN(EXP((AH18-$J18)*$G18),1)),"")</f>
        <v/>
      </c>
      <c r="AJ18" s="108"/>
      <c r="AK18" s="72" t="b">
        <f>IF(AND(NOT(AG18),AND(AG$4:AG17)),TRUE,AG18)</f>
        <v>1</v>
      </c>
      <c r="AL18" s="34">
        <f>IF(AND(NOT(ISBLANK(Jumpoverwrite7)),AND(NOT(AK18),AND(AK$4:AK17))),($J18*$G18-LN(1+Jumpoverwrite7*AM$2))/$G18,_xll.qlInterpolationInterpolate(AK$3,$F18,TRUE))</f>
        <v>5.7006450284022223E-3</v>
      </c>
      <c r="AM18" s="34" t="str">
        <f>IF(AND(NOT(AK18),AND(AK$4:AK17)),IF(AL18&gt;$J18,MAX(EXP((AL18-$J18)*$G18),1),MIN(EXP((AL18-$J18)*$G18),1)),"")</f>
        <v/>
      </c>
      <c r="AO18" s="72" t="b">
        <f>IF(AND(NOT(AK18),AND(AK$4:AK17)),TRUE,AK18)</f>
        <v>1</v>
      </c>
      <c r="AP18" s="34">
        <f>IF(AND(NOT(ISBLANK(Jumpoverwrite8)),AND(NOT(AO18),AND(AO$4:AO17))),($J18*$G18-LN(1+Jumpoverwrite8*AQ$2))/$G18,_xll.qlInterpolationInterpolate(AO$3,$F18,TRUE))</f>
        <v>5.7006450284022223E-3</v>
      </c>
      <c r="AQ18" s="34" t="str">
        <f>IF(AND(NOT(AO18),AND(AO$4:AO17)),IF(AP18&gt;$J18,MAX(EXP((AP18-$J18)*$G18),1),MIN(EXP((AP18-$J18)*$G18),1)),"")</f>
        <v/>
      </c>
      <c r="AS18" s="72" t="b">
        <f>IF(AND(NOT(AO18),AND(AO$4:AO17)),TRUE,AO18)</f>
        <v>1</v>
      </c>
      <c r="AT18" s="34">
        <f>IF(AND(NOT(ISBLANK(Jumpoverwrite9)),AND(NOT(AS18),AND(AS$4:AS17))),($J18*$G18-LN(1+Jumpoverwrite9*AU$2))/$G18,_xll.qlInterpolationInterpolate(AS$3,$F18,TRUE))</f>
        <v>5.7006450284022223E-3</v>
      </c>
      <c r="AU18" s="34" t="str">
        <f>IF(AND(NOT(AS18),AND(AS$4:AS17)),IF(AT18&gt;$J18,MAX(EXP((AT18-$J18)*$G18),1),MIN(EXP((AT18-$J18)*$G18),1)),"")</f>
        <v/>
      </c>
      <c r="AW18" s="72" t="b">
        <f>IF(AND(NOT(AS18),AND(AS$4:AS17)),TRUE,AS18)</f>
        <v>1</v>
      </c>
      <c r="AX18" s="34">
        <f>IF(AND(NOT(ISBLANK(Jumpoverwrite10)),AND(NOT(AW18),AND(AW$4:AW17))),($J18*$G18-LN(1+Jumpoverwrite10*AY$2))/$G18,_xll.qlInterpolationInterpolate(AW$3,$F18,TRUE))</f>
        <v>5.7006450284022223E-3</v>
      </c>
      <c r="AY18" s="34" t="str">
        <f>IF(AND(NOT(AW18),AND(AW$4:AW17)),IF(AX18&gt;$J18,MAX(EXP((AX18-$J18)*$G18),1),MIN(EXP((AX18-$J18)*$G18),1)),"")</f>
        <v/>
      </c>
      <c r="BA18" s="72" t="b">
        <f>IF(AND(NOT(AW18),AND(AW$4:AW17)),TRUE,AW18)</f>
        <v>1</v>
      </c>
      <c r="BB18" s="34">
        <f>IF(AND(NOT(ISBLANK(Jumpoverwrite11)),AND(NOT(BA18),AND(BA$4:BA17))),($J18*$G18-LN(1+Jumpoverwrite11*BC$2))/$G18,_xll.qlInterpolationInterpolate(BA$3,$F18,TRUE))</f>
        <v>5.7006450284022223E-3</v>
      </c>
      <c r="BC18" s="34" t="str">
        <f>IF(AND(NOT(BA18),AND(BA$4:BA17)),IF(BB18&gt;$J18,MAX(EXP((BB18-$J18)*$G18),1),MIN(EXP((BB18-$J18)*$G18),1)),"")</f>
        <v/>
      </c>
      <c r="BE18" s="72" t="b">
        <f>IF(AND(NOT(BA18),AND(BA$4:BA17)),TRUE,BA18)</f>
        <v>1</v>
      </c>
      <c r="BF18" s="34">
        <f>IF(AND(NOT(ISBLANK(Jumpoverwrite12)),AND(NOT(BE18),AND(BE$4:BE17))),($J18*$G18-LN(1+Jumpoverwrite12*BG$2))/$G18,_xll.qlInterpolationInterpolate(BE$3,$F18,TRUE))</f>
        <v>5.7006450284022223E-3</v>
      </c>
      <c r="BG18" s="34" t="str">
        <f>IF(AND(NOT(BE18),AND(BE$4:BE17)),IF(BF18&gt;$J18,MAX(EXP((BF18-$J18)*$G18),1),MIN(EXP((BF18-$J18)*$G18),1)),"")</f>
        <v/>
      </c>
      <c r="BI18" s="72" t="b">
        <f t="shared" si="1"/>
        <v>1</v>
      </c>
      <c r="BJ18" s="34">
        <f>IF(AND(NOT(ISBLANK(jumpoverwrite13)),AND(NOT(BI18),AND(BI$4:BI17))),($J18*$G18-LN(1+jumpoverwrite13*BK$2))/$G18,_xll.qlInterpolationInterpolate(BI$3,$F18,TRUE))</f>
        <v>5.7006450284022223E-3</v>
      </c>
      <c r="BK18" s="34" t="str">
        <f>IF(AND(NOT(BI18),AND(BI$4:BI17)),IF(BJ18&gt;$J18,MAX(EXP((BJ18-$J18)*$G18),1),MIN(EXP((BJ18-$J18)*$G18),1)),"")</f>
        <v/>
      </c>
      <c r="BM18" s="72" t="b">
        <f>IF(AND(NOT(BI18),AND(BI$4:BI17)),TRUE,BI18)</f>
        <v>1</v>
      </c>
      <c r="BN18" s="175">
        <f>IF(AND(NOT(ISBLANK(Jumpoverwrite14)),AND(NOT(BM18),AND(BM$4:BM17))),($J18*$G18-LN(1+Jumpoverwrite14*BO$2))/$G18,_xll.qlInterpolationInterpolate(BM$3,$F18,TRUE))</f>
        <v>5.7006450284022223E-3</v>
      </c>
      <c r="BO18" s="34" t="str">
        <f>IF(AND(NOT(BM18),AND(BM$4:BM17)),IF(BM18&gt;$J18,MAX(EXP((BM18-$J18)*$G18),1),MIN(EXP((BM18-$J18)*$G18),1)),"")</f>
        <v/>
      </c>
    </row>
    <row r="19" spans="1:67" x14ac:dyDescent="0.2">
      <c r="A19" s="33" t="str">
        <v>obj_00393</v>
      </c>
      <c r="B19" s="17">
        <f>_xll.qlRateHelperRate($A19,InterestRatesTrigger)</f>
        <v>5.2500000000000003E-3</v>
      </c>
      <c r="C19" s="18">
        <f>_xll.qlRateHelperEarliestDate($A19)</f>
        <v>42594</v>
      </c>
      <c r="D19" s="19">
        <f>_xll.qlRateHelperPillarDate($A19)</f>
        <v>43143</v>
      </c>
      <c r="F19" s="84">
        <f t="shared" si="0"/>
        <v>43097.5</v>
      </c>
      <c r="G19" s="85">
        <f>_xll.qlDayCounterYearFraction(DayCounter,D18,D19)</f>
        <v>0.25277777777777777</v>
      </c>
      <c r="I19" s="93" t="b">
        <f t="shared" si="2"/>
        <v>0</v>
      </c>
      <c r="J19" s="37">
        <v>6.194770935671676E-3</v>
      </c>
      <c r="K19" s="94">
        <f t="shared" si="3"/>
        <v>43143</v>
      </c>
      <c r="L19" s="75"/>
      <c r="M19" s="72" t="b">
        <f>IF(AND(NOT(I19),AND(I$4:I18)),TRUE,I19)</f>
        <v>0</v>
      </c>
      <c r="N19" s="34">
        <f>IF(AND(NOT(ISBLANK(Jumpoverwrite1)),AND(NOT(M19),AND(M$4:M18))),($J19*$G19-LN(1+Jumpoverwrite1*O$2))/$G19,_xll.qlInterpolationInterpolate(M$3,$F19,TRUE))</f>
        <v>5.9937028732605698E-3</v>
      </c>
      <c r="O19" s="34" t="str">
        <f>IF(AND(NOT(M19),AND(M$4:M18)),IF(N19&gt;$J19,MAX(EXP((N19-$J19)*$G19),1),MIN(EXP((N19-$J19)*$G19),1)),"")</f>
        <v/>
      </c>
      <c r="P19" s="108"/>
      <c r="Q19" s="72" t="b">
        <f>IF(AND(NOT(M19),AND(M$4:M18)),TRUE,M19)</f>
        <v>0</v>
      </c>
      <c r="R19" s="34">
        <f>IF(AND(NOT(ISBLANK(Jumpoverwrite2)),AND(NOT(Q19),AND(Q$4:Q18))),($J19*$G19-LN(1+Jumpoverwrite2*S$2))/$G19,_xll.qlInterpolationInterpolate(Q$3,$F19,TRUE))</f>
        <v>5.9937028732605698E-3</v>
      </c>
      <c r="S19" s="34" t="str">
        <f>IF(AND(NOT(Q19),AND(Q$4:Q18)),IF(R19&gt;$J19,MAX(EXP((R19-$J19)*$G19),1),MIN(EXP((R19-$J19)*$G19),1)),"")</f>
        <v/>
      </c>
      <c r="T19" s="108"/>
      <c r="U19" s="72" t="b">
        <f>IF(AND(NOT(Q19),AND(Q$4:Q18)),TRUE,Q19)</f>
        <v>0</v>
      </c>
      <c r="V19" s="34">
        <f>IF(AND(NOT(ISBLANK(Jumpoverwrite3)),AND(NOT(U19),AND(U$4:U18))),($J19*$G19-LN(1+Jumpoverwrite3*W$2))/$G19,_xll.qlInterpolationInterpolate(U$3,$F19,TRUE))</f>
        <v>5.9937028732605698E-3</v>
      </c>
      <c r="W19" s="34" t="str">
        <f>IF(AND(NOT(U19),AND(U$4:U18)),IF(V19&gt;$J19,MAX(EXP((V19-$J19)*$G19),1),MIN(EXP((V19-$J19)*$G19),1)),"")</f>
        <v/>
      </c>
      <c r="X19" s="108"/>
      <c r="Y19" s="72" t="b">
        <f>IF(AND(NOT(U19),AND(U$4:U18)),TRUE,U19)</f>
        <v>0</v>
      </c>
      <c r="Z19" s="34">
        <f>IF(AND(NOT(ISBLANK(Jumpoverwrite4)),AND(NOT(Y19),AND(Y$4:Y18))),($J19*$G19-LN(1+Jumpoverwrite4*AA$2))/$G19,_xll.qlInterpolationInterpolate(Y$3,$F19,TRUE))</f>
        <v>5.9937028732605698E-3</v>
      </c>
      <c r="AA19" s="34" t="str">
        <f>IF(AND(NOT(Y19),AND(Y$4:Y18)),IF(Z19&gt;$J19,MAX(EXP((Z19-$J19)*$G19),1),MIN(EXP((Z19-$J19)*$G19),1)),"")</f>
        <v/>
      </c>
      <c r="AB19" s="108"/>
      <c r="AC19" s="72" t="b">
        <f>IF(AND(NOT(Y19),AND(Y$4:Y18)),TRUE,Y19)</f>
        <v>0</v>
      </c>
      <c r="AD19" s="34">
        <f>IF(AND(NOT(ISBLANK(Jumpoverwrite5)),AND(NOT(AC19),AND(AC$4:AC18))),($J19*$G19-LN(1+Jumpoverwrite5*AE$2))/$G19,_xll.qlInterpolationInterpolate(AC$3,$F19,TRUE))</f>
        <v>5.9937028732605698E-3</v>
      </c>
      <c r="AE19" s="34" t="str">
        <f>IF(AND(NOT(AC19),AND(AC$4:AC18)),IF(AD19&gt;$J19,MAX(EXP((AD19-$J19)*$G19),1),MIN(EXP((AD19-$J19)*$G19),1)),"")</f>
        <v/>
      </c>
      <c r="AF19" s="108"/>
      <c r="AG19" s="72" t="b">
        <f>IF(AND(NOT(AC19),AND(AC$4:AC18)),TRUE,AC19)</f>
        <v>0</v>
      </c>
      <c r="AH19" s="34">
        <f>IF(AND(NOT(ISBLANK(Jumpoverwrite6)),AND(NOT(AG19),AND(AG$4:AG18))),($J19*$G19-LN(1+Jumpoverwrite6*AI$2))/$G19,_xll.qlInterpolationInterpolate(AG$3,$F19,TRUE))</f>
        <v>5.9937028732605698E-3</v>
      </c>
      <c r="AI19" s="34" t="str">
        <f>IF(AND(NOT(AG19),AND(AG$4:AG18)),IF(AH19&gt;$J19,MAX(EXP((AH19-$J19)*$G19),1),MIN(EXP((AH19-$J19)*$G19),1)),"")</f>
        <v/>
      </c>
      <c r="AJ19" s="108"/>
      <c r="AK19" s="72" t="b">
        <f>IF(AND(NOT(AG19),AND(AG$4:AG18)),TRUE,AG19)</f>
        <v>0</v>
      </c>
      <c r="AL19" s="34">
        <f>IF(AND(NOT(ISBLANK(Jumpoverwrite7)),AND(NOT(AK19),AND(AK$4:AK18))),($J19*$G19-LN(1+Jumpoverwrite7*AM$2))/$G19,_xll.qlInterpolationInterpolate(AK$3,$F19,TRUE))</f>
        <v>5.9937028732605698E-3</v>
      </c>
      <c r="AM19" s="34" t="str">
        <f>IF(AND(NOT(AK19),AND(AK$4:AK18)),IF(AL19&gt;$J19,MAX(EXP((AL19-$J19)*$G19),1),MIN(EXP((AL19-$J19)*$G19),1)),"")</f>
        <v/>
      </c>
      <c r="AO19" s="72" t="b">
        <f>IF(AND(NOT(AK19),AND(AK$4:AK18)),TRUE,AK19)</f>
        <v>0</v>
      </c>
      <c r="AP19" s="34">
        <f>IF(AND(NOT(ISBLANK(Jumpoverwrite8)),AND(NOT(AO19),AND(AO$4:AO18))),($J19*$G19-LN(1+Jumpoverwrite8*AQ$2))/$G19,_xll.qlInterpolationInterpolate(AO$3,$F19,TRUE))</f>
        <v>5.9937028732605698E-3</v>
      </c>
      <c r="AQ19" s="34" t="str">
        <f>IF(AND(NOT(AO19),AND(AO$4:AO18)),IF(AP19&gt;$J19,MAX(EXP((AP19-$J19)*$G19),1),MIN(EXP((AP19-$J19)*$G19),1)),"")</f>
        <v/>
      </c>
      <c r="AS19" s="72" t="b">
        <f>IF(AND(NOT(AO19),AND(AO$4:AO18)),TRUE,AO19)</f>
        <v>0</v>
      </c>
      <c r="AT19" s="34">
        <f>IF(AND(NOT(ISBLANK(Jumpoverwrite9)),AND(NOT(AS19),AND(AS$4:AS18))),($J19*$G19-LN(1+Jumpoverwrite9*AU$2))/$G19,_xll.qlInterpolationInterpolate(AS$3,$F19,TRUE))</f>
        <v>5.9937028732605698E-3</v>
      </c>
      <c r="AU19" s="34" t="str">
        <f>IF(AND(NOT(AS19),AND(AS$4:AS18)),IF(AT19&gt;$J19,MAX(EXP((AT19-$J19)*$G19),1),MIN(EXP((AT19-$J19)*$G19),1)),"")</f>
        <v/>
      </c>
      <c r="AW19" s="72" t="b">
        <f>IF(AND(NOT(AS19),AND(AS$4:AS18)),TRUE,AS19)</f>
        <v>0</v>
      </c>
      <c r="AX19" s="34">
        <f>IF(AND(NOT(ISBLANK(Jumpoverwrite10)),AND(NOT(AW19),AND(AW$4:AW18))),($J19*$G19-LN(1+Jumpoverwrite10*AY$2))/$G19,_xll.qlInterpolationInterpolate(AW$3,$F19,TRUE))</f>
        <v>5.9937028732605698E-3</v>
      </c>
      <c r="AY19" s="34" t="str">
        <f>IF(AND(NOT(AW19),AND(AW$4:AW18)),IF(AX19&gt;$J19,MAX(EXP((AX19-$J19)*$G19),1),MIN(EXP((AX19-$J19)*$G19),1)),"")</f>
        <v/>
      </c>
      <c r="BA19" s="72" t="b">
        <f>IF(AND(NOT(AW19),AND(AW$4:AW18)),TRUE,AW19)</f>
        <v>0</v>
      </c>
      <c r="BB19" s="34">
        <f>IF(AND(NOT(ISBLANK(Jumpoverwrite11)),AND(NOT(BA19),AND(BA$4:BA18))),($J19*$G19-LN(1+Jumpoverwrite11*BC$2))/$G19,_xll.qlInterpolationInterpolate(BA$3,$F19,TRUE))</f>
        <v>5.9937028732605698E-3</v>
      </c>
      <c r="BC19" s="34" t="str">
        <f>IF(AND(NOT(BA19),AND(BA$4:BA18)),IF(BB19&gt;$J19,MAX(EXP((BB19-$J19)*$G19),1),MIN(EXP((BB19-$J19)*$G19),1)),"")</f>
        <v/>
      </c>
      <c r="BE19" s="72" t="b">
        <f>IF(AND(NOT(BA19),AND(BA$4:BA18)),TRUE,BA19)</f>
        <v>0</v>
      </c>
      <c r="BF19" s="34">
        <f>IF(AND(NOT(ISBLANK(Jumpoverwrite12)),AND(NOT(BE19),AND(BE$4:BE18))),($J19*$G19-LN(1+Jumpoverwrite12*BG$2))/$G19,_xll.qlInterpolationInterpolate(BE$3,$F19,TRUE))</f>
        <v>5.9937028732605698E-3</v>
      </c>
      <c r="BG19" s="34" t="str">
        <f>IF(AND(NOT(BE19),AND(BE$4:BE18)),IF(BF19&gt;$J19,MAX(EXP((BF19-$J19)*$G19),1),MIN(EXP((BF19-$J19)*$G19),1)),"")</f>
        <v/>
      </c>
      <c r="BI19" s="72" t="b">
        <f t="shared" si="1"/>
        <v>0</v>
      </c>
      <c r="BJ19" s="34">
        <f>IF(AND(NOT(ISBLANK(jumpoverwrite13)),AND(NOT(BI19),AND(BI$4:BI18))),($J19*$G19-LN(1+jumpoverwrite13*BK$2))/$G19,_xll.qlInterpolationInterpolate(BI$3,$F19,TRUE))</f>
        <v>6.194770935671676E-3</v>
      </c>
      <c r="BK19" s="34">
        <f>IF(AND(NOT(BI19),AND(BI$4:BI18)),IF(BJ19&gt;$J19,MAX(EXP((BJ19-$J19)*$G19),1),MIN(EXP((BJ19-$J19)*$G19),1)),"")</f>
        <v>1</v>
      </c>
      <c r="BM19" s="72" t="b">
        <f>IF(AND(NOT(BI19),AND(BI$4:BI18)),TRUE,BI19)</f>
        <v>1</v>
      </c>
      <c r="BN19" s="175">
        <f>IF(AND(NOT(ISBLANK(Jumpoverwrite14)),AND(NOT(BM19),AND(BM$4:BM18))),($J19*$G19-LN(1+Jumpoverwrite14*BO$2))/$G19,_xll.qlInterpolationInterpolate(BM$3,$F19,TRUE))</f>
        <v>6.194770935671676E-3</v>
      </c>
      <c r="BO19" s="34" t="str">
        <f>IF(AND(NOT(BM19),AND(BM$4:BM18)),IF(BM19&gt;$J19,MAX(EXP((BM19-$J19)*$G19),1),MIN(EXP((BM19-$J19)*$G19),1)),"")</f>
        <v/>
      </c>
    </row>
    <row r="20" spans="1:67" x14ac:dyDescent="0.2">
      <c r="A20" s="33" t="str">
        <v>obj_00385</v>
      </c>
      <c r="B20" s="17">
        <f>_xll.qlRateHelperRate($A20,InterestRatesTrigger)</f>
        <v>5.4000000000000003E-3</v>
      </c>
      <c r="C20" s="18">
        <f>_xll.qlRateHelperEarliestDate($A20)</f>
        <v>42594</v>
      </c>
      <c r="D20" s="19">
        <f>_xll.qlRateHelperPillarDate($A20)</f>
        <v>43234</v>
      </c>
      <c r="F20" s="84">
        <f t="shared" si="0"/>
        <v>43188.5</v>
      </c>
      <c r="G20" s="85">
        <f>_xll.qlDayCounterYearFraction(DayCounter,D19,D20)</f>
        <v>0.25277777777777777</v>
      </c>
      <c r="I20" s="93" t="b">
        <f t="shared" si="2"/>
        <v>1</v>
      </c>
      <c r="J20" s="37">
        <v>6.2867607181189182E-3</v>
      </c>
      <c r="K20" s="94">
        <f t="shared" si="3"/>
        <v>43234</v>
      </c>
      <c r="L20" s="75"/>
      <c r="M20" s="72" t="b">
        <f>IF(AND(NOT(I20),AND(I$4:I19)),TRUE,I20)</f>
        <v>1</v>
      </c>
      <c r="N20" s="34">
        <f>IF(AND(NOT(ISBLANK(Jumpoverwrite1)),AND(NOT(M20),AND(M$4:M19))),($J20*$G20-LN(1+Jumpoverwrite1*O$2))/$G20,_xll.qlInterpolationInterpolate(M$3,$F20,TRUE))</f>
        <v>6.2867607181189182E-3</v>
      </c>
      <c r="O20" s="34" t="str">
        <f>IF(AND(NOT(M20),AND(M$4:M19)),IF(N20&gt;$J20,MAX(EXP((N20-$J20)*$G20),1),MIN(EXP((N20-$J20)*$G20),1)),"")</f>
        <v/>
      </c>
      <c r="P20" s="108"/>
      <c r="Q20" s="72" t="b">
        <f>IF(AND(NOT(M20),AND(M$4:M19)),TRUE,M20)</f>
        <v>1</v>
      </c>
      <c r="R20" s="34">
        <f>IF(AND(NOT(ISBLANK(Jumpoverwrite2)),AND(NOT(Q20),AND(Q$4:Q19))),($J20*$G20-LN(1+Jumpoverwrite2*S$2))/$G20,_xll.qlInterpolationInterpolate(Q$3,$F20,TRUE))</f>
        <v>6.2867607181189182E-3</v>
      </c>
      <c r="S20" s="34" t="str">
        <f>IF(AND(NOT(Q20),AND(Q$4:Q19)),IF(R20&gt;$J20,MAX(EXP((R20-$J20)*$G20),1),MIN(EXP((R20-$J20)*$G20),1)),"")</f>
        <v/>
      </c>
      <c r="T20" s="108"/>
      <c r="U20" s="72" t="b">
        <f>IF(AND(NOT(Q20),AND(Q$4:Q19)),TRUE,Q20)</f>
        <v>1</v>
      </c>
      <c r="V20" s="34">
        <f>IF(AND(NOT(ISBLANK(Jumpoverwrite3)),AND(NOT(U20),AND(U$4:U19))),($J20*$G20-LN(1+Jumpoverwrite3*W$2))/$G20,_xll.qlInterpolationInterpolate(U$3,$F20,TRUE))</f>
        <v>6.2867607181189182E-3</v>
      </c>
      <c r="W20" s="34" t="str">
        <f>IF(AND(NOT(U20),AND(U$4:U19)),IF(V20&gt;$J20,MAX(EXP((V20-$J20)*$G20),1),MIN(EXP((V20-$J20)*$G20),1)),"")</f>
        <v/>
      </c>
      <c r="X20" s="108"/>
      <c r="Y20" s="72" t="b">
        <f>IF(AND(NOT(U20),AND(U$4:U19)),TRUE,U20)</f>
        <v>1</v>
      </c>
      <c r="Z20" s="34">
        <f>IF(AND(NOT(ISBLANK(Jumpoverwrite4)),AND(NOT(Y20),AND(Y$4:Y19))),($J20*$G20-LN(1+Jumpoverwrite4*AA$2))/$G20,_xll.qlInterpolationInterpolate(Y$3,$F20,TRUE))</f>
        <v>6.2867607181189182E-3</v>
      </c>
      <c r="AA20" s="34" t="str">
        <f>IF(AND(NOT(Y20),AND(Y$4:Y19)),IF(Z20&gt;$J20,MAX(EXP((Z20-$J20)*$G20),1),MIN(EXP((Z20-$J20)*$G20),1)),"")</f>
        <v/>
      </c>
      <c r="AB20" s="108"/>
      <c r="AC20" s="72" t="b">
        <f>IF(AND(NOT(Y20),AND(Y$4:Y19)),TRUE,Y20)</f>
        <v>1</v>
      </c>
      <c r="AD20" s="34">
        <f>IF(AND(NOT(ISBLANK(Jumpoverwrite5)),AND(NOT(AC20),AND(AC$4:AC19))),($J20*$G20-LN(1+Jumpoverwrite5*AE$2))/$G20,_xll.qlInterpolationInterpolate(AC$3,$F20,TRUE))</f>
        <v>6.2867607181189182E-3</v>
      </c>
      <c r="AE20" s="34" t="str">
        <f>IF(AND(NOT(AC20),AND(AC$4:AC19)),IF(AD20&gt;$J20,MAX(EXP((AD20-$J20)*$G20),1),MIN(EXP((AD20-$J20)*$G20),1)),"")</f>
        <v/>
      </c>
      <c r="AF20" s="108"/>
      <c r="AG20" s="72" t="b">
        <f>IF(AND(NOT(AC20),AND(AC$4:AC19)),TRUE,AC20)</f>
        <v>1</v>
      </c>
      <c r="AH20" s="34">
        <f>IF(AND(NOT(ISBLANK(Jumpoverwrite6)),AND(NOT(AG20),AND(AG$4:AG19))),($J20*$G20-LN(1+Jumpoverwrite6*AI$2))/$G20,_xll.qlInterpolationInterpolate(AG$3,$F20,TRUE))</f>
        <v>6.2867607181189182E-3</v>
      </c>
      <c r="AI20" s="34" t="str">
        <f>IF(AND(NOT(AG20),AND(AG$4:AG19)),IF(AH20&gt;$J20,MAX(EXP((AH20-$J20)*$G20),1),MIN(EXP((AH20-$J20)*$G20),1)),"")</f>
        <v/>
      </c>
      <c r="AJ20" s="108"/>
      <c r="AK20" s="72" t="b">
        <f>IF(AND(NOT(AG20),AND(AG$4:AG19)),TRUE,AG20)</f>
        <v>1</v>
      </c>
      <c r="AL20" s="34">
        <f>IF(AND(NOT(ISBLANK(Jumpoverwrite7)),AND(NOT(AK20),AND(AK$4:AK19))),($J20*$G20-LN(1+Jumpoverwrite7*AM$2))/$G20,_xll.qlInterpolationInterpolate(AK$3,$F20,TRUE))</f>
        <v>6.2867607181189182E-3</v>
      </c>
      <c r="AM20" s="34" t="str">
        <f>IF(AND(NOT(AK20),AND(AK$4:AK19)),IF(AL20&gt;$J20,MAX(EXP((AL20-$J20)*$G20),1),MIN(EXP((AL20-$J20)*$G20),1)),"")</f>
        <v/>
      </c>
      <c r="AO20" s="72" t="b">
        <f>IF(AND(NOT(AK20),AND(AK$4:AK19)),TRUE,AK20)</f>
        <v>1</v>
      </c>
      <c r="AP20" s="34">
        <f>IF(AND(NOT(ISBLANK(Jumpoverwrite8)),AND(NOT(AO20),AND(AO$4:AO19))),($J20*$G20-LN(1+Jumpoverwrite8*AQ$2))/$G20,_xll.qlInterpolationInterpolate(AO$3,$F20,TRUE))</f>
        <v>6.2867607181189182E-3</v>
      </c>
      <c r="AQ20" s="34" t="str">
        <f>IF(AND(NOT(AO20),AND(AO$4:AO19)),IF(AP20&gt;$J20,MAX(EXP((AP20-$J20)*$G20),1),MIN(EXP((AP20-$J20)*$G20),1)),"")</f>
        <v/>
      </c>
      <c r="AS20" s="72" t="b">
        <f>IF(AND(NOT(AO20),AND(AO$4:AO19)),TRUE,AO20)</f>
        <v>1</v>
      </c>
      <c r="AT20" s="34">
        <f>IF(AND(NOT(ISBLANK(Jumpoverwrite9)),AND(NOT(AS20),AND(AS$4:AS19))),($J20*$G20-LN(1+Jumpoverwrite9*AU$2))/$G20,_xll.qlInterpolationInterpolate(AS$3,$F20,TRUE))</f>
        <v>6.2867607181189182E-3</v>
      </c>
      <c r="AU20" s="34" t="str">
        <f>IF(AND(NOT(AS20),AND(AS$4:AS19)),IF(AT20&gt;$J20,MAX(EXP((AT20-$J20)*$G20),1),MIN(EXP((AT20-$J20)*$G20),1)),"")</f>
        <v/>
      </c>
      <c r="AW20" s="72" t="b">
        <f>IF(AND(NOT(AS20),AND(AS$4:AS19)),TRUE,AS20)</f>
        <v>1</v>
      </c>
      <c r="AX20" s="34">
        <f>IF(AND(NOT(ISBLANK(Jumpoverwrite10)),AND(NOT(AW20),AND(AW$4:AW19))),($J20*$G20-LN(1+Jumpoverwrite10*AY$2))/$G20,_xll.qlInterpolationInterpolate(AW$3,$F20,TRUE))</f>
        <v>6.2867607181189182E-3</v>
      </c>
      <c r="AY20" s="34" t="str">
        <f>IF(AND(NOT(AW20),AND(AW$4:AW19)),IF(AX20&gt;$J20,MAX(EXP((AX20-$J20)*$G20),1),MIN(EXP((AX20-$J20)*$G20),1)),"")</f>
        <v/>
      </c>
      <c r="BA20" s="72" t="b">
        <f>IF(AND(NOT(AW20),AND(AW$4:AW19)),TRUE,AW20)</f>
        <v>1</v>
      </c>
      <c r="BB20" s="34">
        <f>IF(AND(NOT(ISBLANK(Jumpoverwrite11)),AND(NOT(BA20),AND(BA$4:BA19))),($J20*$G20-LN(1+Jumpoverwrite11*BC$2))/$G20,_xll.qlInterpolationInterpolate(BA$3,$F20,TRUE))</f>
        <v>6.2867607181189182E-3</v>
      </c>
      <c r="BC20" s="34" t="str">
        <f>IF(AND(NOT(BA20),AND(BA$4:BA19)),IF(BB20&gt;$J20,MAX(EXP((BB20-$J20)*$G20),1),MIN(EXP((BB20-$J20)*$G20),1)),"")</f>
        <v/>
      </c>
      <c r="BE20" s="72" t="b">
        <f>IF(AND(NOT(BA20),AND(BA$4:BA19)),TRUE,BA20)</f>
        <v>1</v>
      </c>
      <c r="BF20" s="34">
        <f>IF(AND(NOT(ISBLANK(Jumpoverwrite12)),AND(NOT(BE20),AND(BE$4:BE19))),($J20*$G20-LN(1+Jumpoverwrite12*BG$2))/$G20,_xll.qlInterpolationInterpolate(BE$3,$F20,TRUE))</f>
        <v>6.2867607181189182E-3</v>
      </c>
      <c r="BG20" s="34" t="str">
        <f>IF(AND(NOT(BE20),AND(BE$4:BE19)),IF(BF20&gt;$J20,MAX(EXP((BF20-$J20)*$G20),1),MIN(EXP((BF20-$J20)*$G20),1)),"")</f>
        <v/>
      </c>
      <c r="BI20" s="72" t="b">
        <f t="shared" si="1"/>
        <v>0</v>
      </c>
      <c r="BJ20" s="34">
        <f>IF(AND(NOT(ISBLANK(jumpoverwrite13)),AND(NOT(BI20),AND(BI$4:BI19))),($J20*$G20-LN(1+jumpoverwrite13*BK$2))/$G20,_xll.qlInterpolationInterpolate(BI$3,$F20,TRUE))</f>
        <v>5.7530373192567338E-3</v>
      </c>
      <c r="BK20" s="34" t="str">
        <f>IF(AND(NOT(BI20),AND(BI$4:BI19)),IF(BJ20&gt;$J20,MAX(EXP((BJ20-$J20)*$G20),1),MIN(EXP((BJ20-$J20)*$G20),1)),"")</f>
        <v/>
      </c>
      <c r="BM20" s="72" t="b">
        <f>IF(AND(NOT(BI20),AND(BI$4:BI19)),TRUE,BI20)</f>
        <v>0</v>
      </c>
      <c r="BN20" s="175">
        <f>IF(AND(NOT(ISBLANK(Jumpoverwrite14)),AND(NOT(BM20),AND(BM$4:BM19))),($J20*$G20-LN(1+Jumpoverwrite14*BO$2))/$G20,_xll.qlInterpolationInterpolate(BM$3,$F20,TRUE))</f>
        <v>6.2867607181189182E-3</v>
      </c>
      <c r="BO20" s="34">
        <f>IF(AND(NOT(BM20),AND(BM$4:BM19)),IF(BM20&gt;$J20,MAX(EXP((BM20-$J20)*$G20),1),MIN(EXP((BM20-$J20)*$G20),1)),"")</f>
        <v>1</v>
      </c>
    </row>
    <row r="21" spans="1:67" x14ac:dyDescent="0.2">
      <c r="A21" s="33" t="str">
        <v>obj_0037d</v>
      </c>
      <c r="B21" s="17">
        <f>_xll.qlRateHelperRate($A21,InterestRatesTrigger)</f>
        <v>5.5499999999999994E-3</v>
      </c>
      <c r="C21" s="18">
        <f>_xll.qlRateHelperEarliestDate($A21)</f>
        <v>42594</v>
      </c>
      <c r="D21" s="19">
        <f>_xll.qlRateHelperPillarDate($A21)</f>
        <v>43325</v>
      </c>
      <c r="F21" s="84">
        <f t="shared" si="0"/>
        <v>43279.5</v>
      </c>
      <c r="G21" s="85">
        <f>_xll.qlDayCounterYearFraction(DayCounter,D20,D21)</f>
        <v>0.25277777777777777</v>
      </c>
      <c r="I21" s="93" t="b">
        <v>0</v>
      </c>
      <c r="J21" s="37">
        <v>6.5780633589160829E-3</v>
      </c>
      <c r="K21" s="94">
        <f t="shared" si="3"/>
        <v>43325</v>
      </c>
      <c r="L21" s="75"/>
      <c r="M21" s="72" t="b">
        <f>IF(AND(NOT(I21),AND(I$4:I20)),TRUE,I21)</f>
        <v>0</v>
      </c>
      <c r="N21" s="34">
        <f>IF(AND(NOT(ISBLANK(Jumpoverwrite1)),AND(NOT(M21),AND(M$4:M20))),($J21*$G21-LN(1+Jumpoverwrite1*O$2))/$G21,_xll.qlInterpolationInterpolate(M$3,$F21,TRUE))</f>
        <v>6.5798185629772667E-3</v>
      </c>
      <c r="O21" s="34" t="str">
        <f>IF(AND(NOT(M21),AND(M$4:M20)),IF(N21&gt;$J21,MAX(EXP((N21-$J21)*$G21),1),MIN(EXP((N21-$J21)*$G21),1)),"")</f>
        <v/>
      </c>
      <c r="P21" s="108"/>
      <c r="Q21" s="72" t="b">
        <f>IF(AND(NOT(M21),AND(M$4:M20)),TRUE,M21)</f>
        <v>0</v>
      </c>
      <c r="R21" s="34">
        <f>IF(AND(NOT(ISBLANK(Jumpoverwrite2)),AND(NOT(Q21),AND(Q$4:Q20))),($J21*$G21-LN(1+Jumpoverwrite2*S$2))/$G21,_xll.qlInterpolationInterpolate(Q$3,$F21,TRUE))</f>
        <v>6.5798185629772667E-3</v>
      </c>
      <c r="S21" s="34" t="str">
        <f>IF(AND(NOT(Q21),AND(Q$4:Q20)),IF(R21&gt;$J21,MAX(EXP((R21-$J21)*$G21),1),MIN(EXP((R21-$J21)*$G21),1)),"")</f>
        <v/>
      </c>
      <c r="T21" s="108"/>
      <c r="U21" s="72" t="b">
        <f>IF(AND(NOT(Q21),AND(Q$4:Q20)),TRUE,Q21)</f>
        <v>0</v>
      </c>
      <c r="V21" s="34">
        <f>IF(AND(NOT(ISBLANK(Jumpoverwrite3)),AND(NOT(U21),AND(U$4:U20))),($J21*$G21-LN(1+Jumpoverwrite3*W$2))/$G21,_xll.qlInterpolationInterpolate(U$3,$F21,TRUE))</f>
        <v>6.5798185629772667E-3</v>
      </c>
      <c r="W21" s="34" t="str">
        <f>IF(AND(NOT(U21),AND(U$4:U20)),IF(V21&gt;$J21,MAX(EXP((V21-$J21)*$G21),1),MIN(EXP((V21-$J21)*$G21),1)),"")</f>
        <v/>
      </c>
      <c r="X21" s="108"/>
      <c r="Y21" s="72" t="b">
        <f>IF(AND(NOT(U21),AND(U$4:U20)),TRUE,U21)</f>
        <v>0</v>
      </c>
      <c r="Z21" s="34">
        <f>IF(AND(NOT(ISBLANK(Jumpoverwrite4)),AND(NOT(Y21),AND(Y$4:Y20))),($J21*$G21-LN(1+Jumpoverwrite4*AA$2))/$G21,_xll.qlInterpolationInterpolate(Y$3,$F21,TRUE))</f>
        <v>6.5798185629772667E-3</v>
      </c>
      <c r="AA21" s="34" t="str">
        <f>IF(AND(NOT(Y21),AND(Y$4:Y20)),IF(Z21&gt;$J21,MAX(EXP((Z21-$J21)*$G21),1),MIN(EXP((Z21-$J21)*$G21),1)),"")</f>
        <v/>
      </c>
      <c r="AB21" s="108"/>
      <c r="AC21" s="72" t="b">
        <f>IF(AND(NOT(Y21),AND(Y$4:Y20)),TRUE,Y21)</f>
        <v>0</v>
      </c>
      <c r="AD21" s="34">
        <f>IF(AND(NOT(ISBLANK(Jumpoverwrite5)),AND(NOT(AC21),AND(AC$4:AC20))),($J21*$G21-LN(1+Jumpoverwrite5*AE$2))/$G21,_xll.qlInterpolationInterpolate(AC$3,$F21,TRUE))</f>
        <v>6.5798185629772667E-3</v>
      </c>
      <c r="AE21" s="34" t="str">
        <f>IF(AND(NOT(AC21),AND(AC$4:AC20)),IF(AD21&gt;$J21,MAX(EXP((AD21-$J21)*$G21),1),MIN(EXP((AD21-$J21)*$G21),1)),"")</f>
        <v/>
      </c>
      <c r="AF21" s="108"/>
      <c r="AG21" s="72" t="b">
        <f>IF(AND(NOT(AC21),AND(AC$4:AC20)),TRUE,AC21)</f>
        <v>0</v>
      </c>
      <c r="AH21" s="34">
        <f>IF(AND(NOT(ISBLANK(Jumpoverwrite6)),AND(NOT(AG21),AND(AG$4:AG20))),($J21*$G21-LN(1+Jumpoverwrite6*AI$2))/$G21,_xll.qlInterpolationInterpolate(AG$3,$F21,TRUE))</f>
        <v>6.5798185629772667E-3</v>
      </c>
      <c r="AI21" s="34" t="str">
        <f>IF(AND(NOT(AG21),AND(AG$4:AG20)),IF(AH21&gt;$J21,MAX(EXP((AH21-$J21)*$G21),1),MIN(EXP((AH21-$J21)*$G21),1)),"")</f>
        <v/>
      </c>
      <c r="AJ21" s="108"/>
      <c r="AK21" s="72" t="b">
        <f>IF(AND(NOT(AG21),AND(AG$4:AG20)),TRUE,AG21)</f>
        <v>0</v>
      </c>
      <c r="AL21" s="34">
        <f>IF(AND(NOT(ISBLANK(Jumpoverwrite7)),AND(NOT(AK21),AND(AK$4:AK20))),($J21*$G21-LN(1+Jumpoverwrite7*AM$2))/$G21,_xll.qlInterpolationInterpolate(AK$3,$F21,TRUE))</f>
        <v>6.5798185629772667E-3</v>
      </c>
      <c r="AM21" s="34" t="str">
        <f>IF(AND(NOT(AK21),AND(AK$4:AK20)),IF(AL21&gt;$J21,MAX(EXP((AL21-$J21)*$G21),1),MIN(EXP((AL21-$J21)*$G21),1)),"")</f>
        <v/>
      </c>
      <c r="AO21" s="72" t="b">
        <f>IF(AND(NOT(AK21),AND(AK$4:AK20)),TRUE,AK21)</f>
        <v>0</v>
      </c>
      <c r="AP21" s="34">
        <f>IF(AND(NOT(ISBLANK(Jumpoverwrite8)),AND(NOT(AO21),AND(AO$4:AO20))),($J21*$G21-LN(1+Jumpoverwrite8*AQ$2))/$G21,_xll.qlInterpolationInterpolate(AO$3,$F21,TRUE))</f>
        <v>6.5798185629772667E-3</v>
      </c>
      <c r="AQ21" s="34" t="str">
        <f>IF(AND(NOT(AO21),AND(AO$4:AO20)),IF(AP21&gt;$J21,MAX(EXP((AP21-$J21)*$G21),1),MIN(EXP((AP21-$J21)*$G21),1)),"")</f>
        <v/>
      </c>
      <c r="AS21" s="72" t="b">
        <f>IF(AND(NOT(AO21),AND(AO$4:AO20)),TRUE,AO21)</f>
        <v>0</v>
      </c>
      <c r="AT21" s="34">
        <f>IF(AND(NOT(ISBLANK(Jumpoverwrite9)),AND(NOT(AS21),AND(AS$4:AS20))),($J21*$G21-LN(1+Jumpoverwrite9*AU$2))/$G21,_xll.qlInterpolationInterpolate(AS$3,$F21,TRUE))</f>
        <v>6.5798185629772667E-3</v>
      </c>
      <c r="AU21" s="34" t="str">
        <f>IF(AND(NOT(AS21),AND(AS$4:AS20)),IF(AT21&gt;$J21,MAX(EXP((AT21-$J21)*$G21),1),MIN(EXP((AT21-$J21)*$G21),1)),"")</f>
        <v/>
      </c>
      <c r="AW21" s="72" t="b">
        <f>IF(AND(NOT(AS21),AND(AS$4:AS20)),TRUE,AS21)</f>
        <v>0</v>
      </c>
      <c r="AX21" s="34">
        <f>IF(AND(NOT(ISBLANK(Jumpoverwrite10)),AND(NOT(AW21),AND(AW$4:AW20))),($J21*$G21-LN(1+Jumpoverwrite10*AY$2))/$G21,_xll.qlInterpolationInterpolate(AW$3,$F21,TRUE))</f>
        <v>6.5798185629772667E-3</v>
      </c>
      <c r="AY21" s="34" t="str">
        <f>IF(AND(NOT(AW21),AND(AW$4:AW20)),IF(AX21&gt;$J21,MAX(EXP((AX21-$J21)*$G21),1),MIN(EXP((AX21-$J21)*$G21),1)),"")</f>
        <v/>
      </c>
      <c r="BA21" s="72" t="b">
        <f>IF(AND(NOT(AW21),AND(AW$4:AW20)),TRUE,AW21)</f>
        <v>0</v>
      </c>
      <c r="BB21" s="34">
        <f>IF(AND(NOT(ISBLANK(Jumpoverwrite11)),AND(NOT(BA21),AND(BA$4:BA20))),($J21*$G21-LN(1+Jumpoverwrite11*BC$2))/$G21,_xll.qlInterpolationInterpolate(BA$3,$F21,TRUE))</f>
        <v>6.5798185629772667E-3</v>
      </c>
      <c r="BC21" s="34" t="str">
        <f>IF(AND(NOT(BA21),AND(BA$4:BA20)),IF(BB21&gt;$J21,MAX(EXP((BB21-$J21)*$G21),1),MIN(EXP((BB21-$J21)*$G21),1)),"")</f>
        <v/>
      </c>
      <c r="BE21" s="72" t="b">
        <f>IF(AND(NOT(BA21),AND(BA$4:BA20)),TRUE,BA21)</f>
        <v>0</v>
      </c>
      <c r="BF21" s="34">
        <f>IF(AND(NOT(ISBLANK(Jumpoverwrite12)),AND(NOT(BE21),AND(BE$4:BE20))),($J21*$G21-LN(1+Jumpoverwrite12*BG$2))/$G21,_xll.qlInterpolationInterpolate(BE$3,$F21,TRUE))</f>
        <v>6.5798185629772667E-3</v>
      </c>
      <c r="BG21" s="34" t="str">
        <f>IF(AND(NOT(BE21),AND(BE$4:BE20)),IF(BF21&gt;$J21,MAX(EXP((BF21-$J21)*$G21),1),MIN(EXP((BF21-$J21)*$G21),1)),"")</f>
        <v/>
      </c>
      <c r="BI21" s="72" t="b">
        <f t="shared" si="1"/>
        <v>0</v>
      </c>
      <c r="BJ21" s="34">
        <f>IF(AND(NOT(ISBLANK(jumpoverwrite13)),AND(NOT(BI21),AND(BI$4:BI20))),($J21*$G21-LN(1+jumpoverwrite13*BK$2))/$G21,_xll.qlInterpolationInterpolate(BI$3,$F21,TRUE))</f>
        <v>5.7792334646839891E-3</v>
      </c>
      <c r="BK21" s="34" t="str">
        <f>IF(AND(NOT(BI21),AND(BI$4:BI20)),IF(BJ21&gt;$J21,MAX(EXP((BJ21-$J21)*$G21),1),MIN(EXP((BJ21-$J21)*$G21),1)),"")</f>
        <v/>
      </c>
      <c r="BM21" s="72" t="b">
        <f>IF(AND(NOT(BI21),AND(BI$4:BI20)),TRUE,BI21)</f>
        <v>0</v>
      </c>
      <c r="BN21" s="175">
        <f>IF(AND(NOT(ISBLANK(Jumpoverwrite14)),AND(NOT(BM21),AND(BM$4:BM20))),($J21*$G21-LN(1+Jumpoverwrite14*BO$2))/$G21,_xll.qlInterpolationInterpolate(BM$3,$F21,TRUE))</f>
        <v>7.1830227502105836E-3</v>
      </c>
      <c r="BO21" s="34" t="str">
        <f>IF(AND(NOT(BM21),AND(BM$4:BM20)),IF(BM21&gt;$J21,MAX(EXP((BM21-$J21)*$G21),1),MIN(EXP((BM21-$J21)*$G21),1)),"")</f>
        <v/>
      </c>
    </row>
    <row r="22" spans="1:67" x14ac:dyDescent="0.2">
      <c r="A22" s="33" t="e">
        <v>#N/A</v>
      </c>
      <c r="B22" s="17" t="e">
        <f>_xll.qlRateHelperRate($A22,InterestRatesTrigger)</f>
        <v>#VALUE!</v>
      </c>
      <c r="C22" s="18" t="e">
        <f>_xll.qlRateHelperEarliestDate($A22)</f>
        <v>#VALUE!</v>
      </c>
      <c r="D22" s="19" t="e">
        <f>_xll.qlRateHelperPillarDate($A22)</f>
        <v>#VALUE!</v>
      </c>
      <c r="F22" s="84" t="e">
        <f t="shared" si="0"/>
        <v>#N/A</v>
      </c>
      <c r="G22" s="85" t="e">
        <f>_xll.qlDayCounterYearFraction(DayCounter,D21,D22)</f>
        <v>#NUM!</v>
      </c>
      <c r="I22" s="93" t="b">
        <f t="shared" si="2"/>
        <v>0</v>
      </c>
      <c r="J22" s="37" t="e">
        <v>#N/A</v>
      </c>
      <c r="K22" s="94" t="e">
        <f t="shared" si="3"/>
        <v>#VALUE!</v>
      </c>
      <c r="L22" s="75"/>
      <c r="M22" s="72" t="b">
        <f>IF(AND(NOT(I22),AND(I$4:I21)),TRUE,I22)</f>
        <v>0</v>
      </c>
      <c r="N22" s="34" t="e">
        <f>IF(AND(NOT(ISBLANK(Jumpoverwrite1)),AND(NOT(M22),AND(M$4:M21))),($J22*$G22-LN(1+Jumpoverwrite1*O$2))/$G22,_xll.qlInterpolationInterpolate(M$3,$F22,TRUE))</f>
        <v>#NUM!</v>
      </c>
      <c r="O22" s="34" t="str">
        <f>IF(AND(NOT(M22),AND(M$4:M21)),IF(N22&gt;$J22,MAX(EXP((N22-$J22)*$G22),1),MIN(EXP((N22-$J22)*$G22),1)),"")</f>
        <v/>
      </c>
      <c r="P22" s="108"/>
      <c r="Q22" s="72" t="b">
        <f>IF(AND(NOT(M22),AND(M$4:M21)),TRUE,M22)</f>
        <v>0</v>
      </c>
      <c r="R22" s="34" t="e">
        <f>IF(AND(NOT(ISBLANK(Jumpoverwrite2)),AND(NOT(Q22),AND(Q$4:Q21))),($J22*$G22-LN(1+Jumpoverwrite2*S$2))/$G22,_xll.qlInterpolationInterpolate(Q$3,$F22,TRUE))</f>
        <v>#NUM!</v>
      </c>
      <c r="S22" s="34" t="str">
        <f>IF(AND(NOT(Q22),AND(Q$4:Q21)),IF(R22&gt;$J22,MAX(EXP((R22-$J22)*$G22),1),MIN(EXP((R22-$J22)*$G22),1)),"")</f>
        <v/>
      </c>
      <c r="T22" s="108"/>
      <c r="U22" s="72" t="b">
        <f>IF(AND(NOT(Q22),AND(Q$4:Q21)),TRUE,Q22)</f>
        <v>0</v>
      </c>
      <c r="V22" s="34" t="e">
        <f>IF(AND(NOT(ISBLANK(Jumpoverwrite3)),AND(NOT(U22),AND(U$4:U21))),($J22*$G22-LN(1+Jumpoverwrite3*W$2))/$G22,_xll.qlInterpolationInterpolate(U$3,$F22,TRUE))</f>
        <v>#NUM!</v>
      </c>
      <c r="W22" s="34" t="str">
        <f>IF(AND(NOT(U22),AND(U$4:U21)),IF(V22&gt;$J22,MAX(EXP((V22-$J22)*$G22),1),MIN(EXP((V22-$J22)*$G22),1)),"")</f>
        <v/>
      </c>
      <c r="X22" s="108"/>
      <c r="Y22" s="72" t="b">
        <f>IF(AND(NOT(U22),AND(U$4:U21)),TRUE,U22)</f>
        <v>0</v>
      </c>
      <c r="Z22" s="34" t="e">
        <f>IF(AND(NOT(ISBLANK(Jumpoverwrite4)),AND(NOT(Y22),AND(Y$4:Y21))),($J22*$G22-LN(1+Jumpoverwrite4*AA$2))/$G22,_xll.qlInterpolationInterpolate(Y$3,$F22,TRUE))</f>
        <v>#NUM!</v>
      </c>
      <c r="AA22" s="34" t="str">
        <f>IF(AND(NOT(Y22),AND(Y$4:Y21)),IF(Z22&gt;$J22,MAX(EXP((Z22-$J22)*$G22),1),MIN(EXP((Z22-$J22)*$G22),1)),"")</f>
        <v/>
      </c>
      <c r="AB22" s="108"/>
      <c r="AC22" s="72" t="b">
        <f>IF(AND(NOT(Y22),AND(Y$4:Y21)),TRUE,Y22)</f>
        <v>0</v>
      </c>
      <c r="AD22" s="34" t="e">
        <f>IF(AND(NOT(ISBLANK(Jumpoverwrite5)),AND(NOT(AC22),AND(AC$4:AC21))),($J22*$G22-LN(1+Jumpoverwrite5*AE$2))/$G22,_xll.qlInterpolationInterpolate(AC$3,$F22,TRUE))</f>
        <v>#NUM!</v>
      </c>
      <c r="AE22" s="34" t="str">
        <f>IF(AND(NOT(AC22),AND(AC$4:AC21)),IF(AD22&gt;$J22,MAX(EXP((AD22-$J22)*$G22),1),MIN(EXP((AD22-$J22)*$G22),1)),"")</f>
        <v/>
      </c>
      <c r="AF22" s="108"/>
      <c r="AG22" s="72" t="b">
        <f>IF(AND(NOT(AC22),AND(AC$4:AC21)),TRUE,AC22)</f>
        <v>0</v>
      </c>
      <c r="AH22" s="34" t="e">
        <f>IF(AND(NOT(ISBLANK(Jumpoverwrite6)),AND(NOT(AG22),AND(AG$4:AG21))),($J22*$G22-LN(1+Jumpoverwrite6*AI$2))/$G22,_xll.qlInterpolationInterpolate(AG$3,$F22,TRUE))</f>
        <v>#NUM!</v>
      </c>
      <c r="AI22" s="34" t="str">
        <f>IF(AND(NOT(AG22),AND(AG$4:AG21)),IF(AH22&gt;$J22,MAX(EXP((AH22-$J22)*$G22),1),MIN(EXP((AH22-$J22)*$G22),1)),"")</f>
        <v/>
      </c>
      <c r="AJ22" s="108"/>
      <c r="AK22" s="72" t="b">
        <f>IF(AND(NOT(AG22),AND(AG$4:AG21)),TRUE,AG22)</f>
        <v>0</v>
      </c>
      <c r="AL22" s="34" t="e">
        <f>IF(AND(NOT(ISBLANK(Jumpoverwrite7)),AND(NOT(AK22),AND(AK$4:AK21))),($J22*$G22-LN(1+Jumpoverwrite7*AM$2))/$G22,_xll.qlInterpolationInterpolate(AK$3,$F22,TRUE))</f>
        <v>#NUM!</v>
      </c>
      <c r="AM22" s="34" t="str">
        <f>IF(AND(NOT(AK22),AND(AK$4:AK21)),IF(AL22&gt;$J22,MAX(EXP((AL22-$J22)*$G22),1),MIN(EXP((AL22-$J22)*$G22),1)),"")</f>
        <v/>
      </c>
      <c r="AO22" s="72" t="b">
        <f>IF(AND(NOT(AK22),AND(AK$4:AK21)),TRUE,AK22)</f>
        <v>0</v>
      </c>
      <c r="AP22" s="34" t="e">
        <f>IF(AND(NOT(ISBLANK(Jumpoverwrite8)),AND(NOT(AO22),AND(AO$4:AO21))),($J22*$G22-LN(1+Jumpoverwrite8*AQ$2))/$G22,_xll.qlInterpolationInterpolate(AO$3,$F22,TRUE))</f>
        <v>#NUM!</v>
      </c>
      <c r="AQ22" s="34" t="str">
        <f>IF(AND(NOT(AO22),AND(AO$4:AO21)),IF(AP22&gt;$J22,MAX(EXP((AP22-$J22)*$G22),1),MIN(EXP((AP22-$J22)*$G22),1)),"")</f>
        <v/>
      </c>
      <c r="AS22" s="72" t="b">
        <f>IF(AND(NOT(AO22),AND(AO$4:AO21)),TRUE,AO22)</f>
        <v>0</v>
      </c>
      <c r="AT22" s="34" t="e">
        <f>IF(AND(NOT(ISBLANK(Jumpoverwrite9)),AND(NOT(AS22),AND(AS$4:AS21))),($J22*$G22-LN(1+Jumpoverwrite9*AU$2))/$G22,_xll.qlInterpolationInterpolate(AS$3,$F22,TRUE))</f>
        <v>#NUM!</v>
      </c>
      <c r="AU22" s="34" t="str">
        <f>IF(AND(NOT(AS22),AND(AS$4:AS21)),IF(AT22&gt;$J22,MAX(EXP((AT22-$J22)*$G22),1),MIN(EXP((AT22-$J22)*$G22),1)),"")</f>
        <v/>
      </c>
      <c r="AW22" s="72" t="b">
        <f>IF(AND(NOT(AS22),AND(AS$4:AS21)),TRUE,AS22)</f>
        <v>0</v>
      </c>
      <c r="AX22" s="34" t="e">
        <f>IF(AND(NOT(ISBLANK(Jumpoverwrite10)),AND(NOT(AW22),AND(AW$4:AW21))),($J22*$G22-LN(1+Jumpoverwrite10*AY$2))/$G22,_xll.qlInterpolationInterpolate(AW$3,$F22,TRUE))</f>
        <v>#NUM!</v>
      </c>
      <c r="AY22" s="34" t="str">
        <f>IF(AND(NOT(AW22),AND(AW$4:AW21)),IF(AX22&gt;$J22,MAX(EXP((AX22-$J22)*$G22),1),MIN(EXP((AX22-$J22)*$G22),1)),"")</f>
        <v/>
      </c>
      <c r="BA22" s="72" t="b">
        <f>IF(AND(NOT(AW22),AND(AW$4:AW21)),TRUE,AW22)</f>
        <v>0</v>
      </c>
      <c r="BB22" s="34" t="e">
        <f>IF(AND(NOT(ISBLANK(Jumpoverwrite11)),AND(NOT(BA22),AND(BA$4:BA21))),($J22*$G22-LN(1+Jumpoverwrite11*BC$2))/$G22,_xll.qlInterpolationInterpolate(BA$3,$F22,TRUE))</f>
        <v>#NUM!</v>
      </c>
      <c r="BC22" s="34" t="str">
        <f>IF(AND(NOT(BA22),AND(BA$4:BA21)),IF(BB22&gt;$J22,MAX(EXP((BB22-$J22)*$G22),1),MIN(EXP((BB22-$J22)*$G22),1)),"")</f>
        <v/>
      </c>
      <c r="BE22" s="72" t="b">
        <f>IF(AND(NOT(BA22),AND(BA$4:BA21)),TRUE,BA22)</f>
        <v>0</v>
      </c>
      <c r="BF22" s="34" t="e">
        <f>IF(AND(NOT(ISBLANK(Jumpoverwrite12)),AND(NOT(BE22),AND(BE$4:BE21))),($J22*$G22-LN(1+Jumpoverwrite12*BG$2))/$G22,_xll.qlInterpolationInterpolate(BE$3,$F22,TRUE))</f>
        <v>#NUM!</v>
      </c>
      <c r="BG22" s="34" t="str">
        <f>IF(AND(NOT(BE22),AND(BE$4:BE21)),IF(BF22&gt;$J22,MAX(EXP((BF22-$J22)*$G22),1),MIN(EXP((BF22-$J22)*$G22),1)),"")</f>
        <v/>
      </c>
      <c r="BI22" s="72" t="b">
        <f t="shared" si="1"/>
        <v>0</v>
      </c>
      <c r="BJ22" s="34" t="e">
        <f>IF(AND(NOT(ISBLANK(jumpoverwrite13)),AND(NOT(BI22),AND(BI$4:BI21))),($J22*$G22-LN(1+jumpoverwrite13*BK$2))/$G22,_xll.qlInterpolationInterpolate(BI$3,$F22,TRUE))</f>
        <v>#NUM!</v>
      </c>
      <c r="BK22" s="34" t="str">
        <f>IF(AND(NOT(BI22),AND(BI$4:BI21)),IF(BJ22&gt;$J22,MAX(EXP((BJ22-$J22)*$G22),1),MIN(EXP((BJ22-$J22)*$G22),1)),"")</f>
        <v/>
      </c>
      <c r="BM22" s="72" t="b">
        <f>IF(AND(NOT(BI22),AND(BI$4:BI21)),TRUE,BI22)</f>
        <v>0</v>
      </c>
      <c r="BN22" s="175" t="e">
        <f>IF(AND(NOT(ISBLANK(Jumpoverwrite14)),AND(NOT(BM22),AND(BM$4:BM21))),($J22*$G22-LN(1+Jumpoverwrite14*BO$2))/$G22,_xll.qlInterpolationInterpolate(BM$3,$F22,TRUE))</f>
        <v>#NUM!</v>
      </c>
      <c r="BO22" s="34" t="str">
        <f>IF(AND(NOT(BM22),AND(BM$4:BM21)),IF(BM22&gt;$J22,MAX(EXP((BM22-$J22)*$G22),1),MIN(EXP((BM22-$J22)*$G22),1)),"")</f>
        <v/>
      </c>
    </row>
    <row r="23" spans="1:67" x14ac:dyDescent="0.2">
      <c r="A23" s="33" t="e">
        <v>#N/A</v>
      </c>
      <c r="B23" s="17" t="e">
        <f>_xll.qlRateHelperRate($A23,InterestRatesTrigger)</f>
        <v>#VALUE!</v>
      </c>
      <c r="C23" s="18" t="e">
        <f>_xll.qlRateHelperEarliestDate($A23)</f>
        <v>#VALUE!</v>
      </c>
      <c r="D23" s="19" t="e">
        <f>_xll.qlRateHelperPillarDate($A23)</f>
        <v>#VALUE!</v>
      </c>
      <c r="F23" s="84" t="e">
        <f t="shared" si="0"/>
        <v>#N/A</v>
      </c>
      <c r="G23" s="85" t="e">
        <f>_xll.qlDayCounterYearFraction(DayCounter,D22,D23)</f>
        <v>#NUM!</v>
      </c>
      <c r="I23" s="93" t="b">
        <f t="shared" si="2"/>
        <v>0</v>
      </c>
      <c r="J23" s="37" t="e">
        <v>#N/A</v>
      </c>
      <c r="K23" s="94" t="e">
        <f t="shared" si="3"/>
        <v>#VALUE!</v>
      </c>
      <c r="L23" s="75"/>
      <c r="M23" s="72" t="b">
        <f>IF(AND(NOT(I23),AND(I$4:I22)),TRUE,I23)</f>
        <v>0</v>
      </c>
      <c r="N23" s="34" t="e">
        <f>IF(AND(NOT(ISBLANK(Jumpoverwrite1)),AND(NOT(M23),AND(M$4:M22))),($J23*$G23-LN(1+Jumpoverwrite1*O$2))/$G23,_xll.qlInterpolationInterpolate(M$3,$F23,TRUE))</f>
        <v>#NUM!</v>
      </c>
      <c r="O23" s="34" t="str">
        <f>IF(AND(NOT(M23),AND(M$4:M22)),IF(N23&gt;$J23,MAX(EXP((N23-$J23)*$G23),1),MIN(EXP((N23-$J23)*$G23),1)),"")</f>
        <v/>
      </c>
      <c r="P23" s="108"/>
      <c r="Q23" s="72" t="b">
        <f>IF(AND(NOT(M23),AND(M$4:M22)),TRUE,M23)</f>
        <v>0</v>
      </c>
      <c r="R23" s="34" t="e">
        <f>IF(AND(NOT(ISBLANK(Jumpoverwrite2)),AND(NOT(Q23),AND(Q$4:Q22))),($J23*$G23-LN(1+Jumpoverwrite2*S$2))/$G23,_xll.qlInterpolationInterpolate(Q$3,$F23,TRUE))</f>
        <v>#NUM!</v>
      </c>
      <c r="S23" s="34" t="str">
        <f>IF(AND(NOT(Q23),AND(Q$4:Q22)),IF(R23&gt;$J23,MAX(EXP((R23-$J23)*$G23),1),MIN(EXP((R23-$J23)*$G23),1)),"")</f>
        <v/>
      </c>
      <c r="T23" s="108"/>
      <c r="U23" s="72" t="b">
        <f>IF(AND(NOT(Q23),AND(Q$4:Q22)),TRUE,Q23)</f>
        <v>0</v>
      </c>
      <c r="V23" s="34" t="e">
        <f>IF(AND(NOT(ISBLANK(Jumpoverwrite3)),AND(NOT(U23),AND(U$4:U22))),($J23*$G23-LN(1+Jumpoverwrite3*W$2))/$G23,_xll.qlInterpolationInterpolate(U$3,$F23,TRUE))</f>
        <v>#NUM!</v>
      </c>
      <c r="W23" s="34" t="str">
        <f>IF(AND(NOT(U23),AND(U$4:U22)),IF(V23&gt;$J23,MAX(EXP((V23-$J23)*$G23),1),MIN(EXP((V23-$J23)*$G23),1)),"")</f>
        <v/>
      </c>
      <c r="X23" s="108"/>
      <c r="Y23" s="72" t="b">
        <f>IF(AND(NOT(U23),AND(U$4:U22)),TRUE,U23)</f>
        <v>0</v>
      </c>
      <c r="Z23" s="34" t="e">
        <f>IF(AND(NOT(ISBLANK(Jumpoverwrite4)),AND(NOT(Y23),AND(Y$4:Y22))),($J23*$G23-LN(1+Jumpoverwrite4*AA$2))/$G23,_xll.qlInterpolationInterpolate(Y$3,$F23,TRUE))</f>
        <v>#NUM!</v>
      </c>
      <c r="AA23" s="34" t="str">
        <f>IF(AND(NOT(Y23),AND(Y$4:Y22)),IF(Z23&gt;$J23,MAX(EXP((Z23-$J23)*$G23),1),MIN(EXP((Z23-$J23)*$G23),1)),"")</f>
        <v/>
      </c>
      <c r="AB23" s="108"/>
      <c r="AC23" s="72" t="b">
        <f>IF(AND(NOT(Y23),AND(Y$4:Y22)),TRUE,Y23)</f>
        <v>0</v>
      </c>
      <c r="AD23" s="34" t="e">
        <f>IF(AND(NOT(ISBLANK(Jumpoverwrite5)),AND(NOT(AC23),AND(AC$4:AC22))),($J23*$G23-LN(1+Jumpoverwrite5*AE$2))/$G23,_xll.qlInterpolationInterpolate(AC$3,$F23,TRUE))</f>
        <v>#NUM!</v>
      </c>
      <c r="AE23" s="34" t="str">
        <f>IF(AND(NOT(AC23),AND(AC$4:AC22)),IF(AD23&gt;$J23,MAX(EXP((AD23-$J23)*$G23),1),MIN(EXP((AD23-$J23)*$G23),1)),"")</f>
        <v/>
      </c>
      <c r="AF23" s="108"/>
      <c r="AG23" s="72" t="b">
        <f>IF(AND(NOT(AC23),AND(AC$4:AC22)),TRUE,AC23)</f>
        <v>0</v>
      </c>
      <c r="AH23" s="34" t="e">
        <f>IF(AND(NOT(ISBLANK(Jumpoverwrite6)),AND(NOT(AG23),AND(AG$4:AG22))),($J23*$G23-LN(1+Jumpoverwrite6*AI$2))/$G23,_xll.qlInterpolationInterpolate(AG$3,$F23,TRUE))</f>
        <v>#NUM!</v>
      </c>
      <c r="AI23" s="34" t="str">
        <f>IF(AND(NOT(AG23),AND(AG$4:AG22)),IF(AH23&gt;$J23,MAX(EXP((AH23-$J23)*$G23),1),MIN(EXP((AH23-$J23)*$G23),1)),"")</f>
        <v/>
      </c>
      <c r="AJ23" s="108"/>
      <c r="AK23" s="72" t="b">
        <f>IF(AND(NOT(AG23),AND(AG$4:AG22)),TRUE,AG23)</f>
        <v>0</v>
      </c>
      <c r="AL23" s="34" t="e">
        <f>IF(AND(NOT(ISBLANK(Jumpoverwrite7)),AND(NOT(AK23),AND(AK$4:AK22))),($J23*$G23-LN(1+Jumpoverwrite7*AM$2))/$G23,_xll.qlInterpolationInterpolate(AK$3,$F23,TRUE))</f>
        <v>#NUM!</v>
      </c>
      <c r="AM23" s="34" t="str">
        <f>IF(AND(NOT(AK23),AND(AK$4:AK22)),IF(AL23&gt;$J23,MAX(EXP((AL23-$J23)*$G23),1),MIN(EXP((AL23-$J23)*$G23),1)),"")</f>
        <v/>
      </c>
      <c r="AO23" s="72" t="b">
        <f>IF(AND(NOT(AK23),AND(AK$4:AK22)),TRUE,AK23)</f>
        <v>0</v>
      </c>
      <c r="AP23" s="34" t="e">
        <f>IF(AND(NOT(ISBLANK(Jumpoverwrite8)),AND(NOT(AO23),AND(AO$4:AO22))),($J23*$G23-LN(1+Jumpoverwrite8*AQ$2))/$G23,_xll.qlInterpolationInterpolate(AO$3,$F23,TRUE))</f>
        <v>#NUM!</v>
      </c>
      <c r="AQ23" s="34" t="str">
        <f>IF(AND(NOT(AO23),AND(AO$4:AO22)),IF(AP23&gt;$J23,MAX(EXP((AP23-$J23)*$G23),1),MIN(EXP((AP23-$J23)*$G23),1)),"")</f>
        <v/>
      </c>
      <c r="AS23" s="72" t="b">
        <f>IF(AND(NOT(AO23),AND(AO$4:AO22)),TRUE,AO23)</f>
        <v>0</v>
      </c>
      <c r="AT23" s="34" t="e">
        <f>IF(AND(NOT(ISBLANK(Jumpoverwrite9)),AND(NOT(AS23),AND(AS$4:AS22))),($J23*$G23-LN(1+Jumpoverwrite9*AU$2))/$G23,_xll.qlInterpolationInterpolate(AS$3,$F23,TRUE))</f>
        <v>#NUM!</v>
      </c>
      <c r="AU23" s="34" t="str">
        <f>IF(AND(NOT(AS23),AND(AS$4:AS22)),IF(AT23&gt;$J23,MAX(EXP((AT23-$J23)*$G23),1),MIN(EXP((AT23-$J23)*$G23),1)),"")</f>
        <v/>
      </c>
      <c r="AW23" s="72" t="b">
        <f>IF(AND(NOT(AS23),AND(AS$4:AS22)),TRUE,AS23)</f>
        <v>0</v>
      </c>
      <c r="AX23" s="34" t="e">
        <f>IF(AND(NOT(ISBLANK(Jumpoverwrite10)),AND(NOT(AW23),AND(AW$4:AW22))),($J23*$G23-LN(1+Jumpoverwrite10*AY$2))/$G23,_xll.qlInterpolationInterpolate(AW$3,$F23,TRUE))</f>
        <v>#NUM!</v>
      </c>
      <c r="AY23" s="34" t="str">
        <f>IF(AND(NOT(AW23),AND(AW$4:AW22)),IF(AX23&gt;$J23,MAX(EXP((AX23-$J23)*$G23),1),MIN(EXP((AX23-$J23)*$G23),1)),"")</f>
        <v/>
      </c>
      <c r="BA23" s="72" t="b">
        <f>IF(AND(NOT(AW23),AND(AW$4:AW22)),TRUE,AW23)</f>
        <v>0</v>
      </c>
      <c r="BB23" s="34" t="e">
        <f>IF(AND(NOT(ISBLANK(Jumpoverwrite11)),AND(NOT(BA23),AND(BA$4:BA22))),($J23*$G23-LN(1+Jumpoverwrite11*BC$2))/$G23,_xll.qlInterpolationInterpolate(BA$3,$F23,TRUE))</f>
        <v>#NUM!</v>
      </c>
      <c r="BC23" s="34" t="str">
        <f>IF(AND(NOT(BA23),AND(BA$4:BA22)),IF(BB23&gt;$J23,MAX(EXP((BB23-$J23)*$G23),1),MIN(EXP((BB23-$J23)*$G23),1)),"")</f>
        <v/>
      </c>
      <c r="BE23" s="72" t="b">
        <f>IF(AND(NOT(BA23),AND(BA$4:BA22)),TRUE,BA23)</f>
        <v>0</v>
      </c>
      <c r="BF23" s="34" t="e">
        <f>IF(AND(NOT(ISBLANK(Jumpoverwrite12)),AND(NOT(BE23),AND(BE$4:BE22))),($J23*$G23-LN(1+Jumpoverwrite12*BG$2))/$G23,_xll.qlInterpolationInterpolate(BE$3,$F23,TRUE))</f>
        <v>#NUM!</v>
      </c>
      <c r="BG23" s="34" t="str">
        <f>IF(AND(NOT(BE23),AND(BE$4:BE22)),IF(BF23&gt;$J23,MAX(EXP((BF23-$J23)*$G23),1),MIN(EXP((BF23-$J23)*$G23),1)),"")</f>
        <v/>
      </c>
      <c r="BI23" s="72" t="b">
        <f t="shared" si="1"/>
        <v>0</v>
      </c>
      <c r="BJ23" s="34" t="e">
        <f>IF(AND(NOT(ISBLANK(jumpoverwrite13)),AND(NOT(BI23),AND(BI$4:BI22))),($J23*$G23-LN(1+jumpoverwrite13*BK$2))/$G23,_xll.qlInterpolationInterpolate(BI$3,$F23,TRUE))</f>
        <v>#NUM!</v>
      </c>
      <c r="BK23" s="34" t="str">
        <f>IF(AND(NOT(BI23),AND(BI$4:BI22)),IF(BJ23&gt;$J23,MAX(EXP((BJ23-$J23)*$G23),1),MIN(EXP((BJ23-$J23)*$G23),1)),"")</f>
        <v/>
      </c>
      <c r="BM23" s="72" t="b">
        <f>IF(AND(NOT(BI23),AND(BI$4:BI22)),TRUE,BI23)</f>
        <v>0</v>
      </c>
      <c r="BN23" s="175" t="e">
        <f>IF(AND(NOT(ISBLANK(Jumpoverwrite14)),AND(NOT(BM23),AND(BM$4:BM22))),($J23*$G23-LN(1+Jumpoverwrite14*BO$2))/$G23,_xll.qlInterpolationInterpolate(BM$3,$F23,TRUE))</f>
        <v>#NUM!</v>
      </c>
      <c r="BO23" s="34" t="str">
        <f>IF(AND(NOT(BM23),AND(BM$4:BM22)),IF(BM23&gt;$J23,MAX(EXP((BM23-$J23)*$G23),1),MIN(EXP((BM23-$J23)*$G23),1)),"")</f>
        <v/>
      </c>
    </row>
    <row r="24" spans="1:67" x14ac:dyDescent="0.2">
      <c r="A24" s="33" t="e">
        <v>#N/A</v>
      </c>
      <c r="B24" s="17" t="e">
        <f>_xll.qlRateHelperRate($A24,InterestRatesTrigger)</f>
        <v>#VALUE!</v>
      </c>
      <c r="C24" s="18" t="e">
        <f>_xll.qlRateHelperEarliestDate($A24)</f>
        <v>#VALUE!</v>
      </c>
      <c r="D24" s="19" t="e">
        <f>_xll.qlRateHelperPillarDate($A24)</f>
        <v>#VALUE!</v>
      </c>
      <c r="F24" s="84" t="e">
        <f t="shared" si="0"/>
        <v>#N/A</v>
      </c>
      <c r="G24" s="85" t="e">
        <f>_xll.qlDayCounterYearFraction(DayCounter,D23,D24)</f>
        <v>#NUM!</v>
      </c>
      <c r="I24" s="93" t="b">
        <f t="shared" si="2"/>
        <v>0</v>
      </c>
      <c r="J24" s="37" t="e">
        <v>#N/A</v>
      </c>
      <c r="K24" s="94" t="e">
        <f t="shared" si="3"/>
        <v>#VALUE!</v>
      </c>
      <c r="L24" s="75"/>
      <c r="M24" s="72" t="b">
        <f>IF(AND(NOT(I24),AND(I$4:I23)),TRUE,I24)</f>
        <v>0</v>
      </c>
      <c r="N24" s="34" t="e">
        <f>IF(AND(NOT(ISBLANK(Jumpoverwrite1)),AND(NOT(M24),AND(M$4:M23))),($J24*$G24-LN(1+Jumpoverwrite1*O$2))/$G24,_xll.qlInterpolationInterpolate(M$3,$F24,TRUE))</f>
        <v>#NUM!</v>
      </c>
      <c r="O24" s="34" t="str">
        <f>IF(AND(NOT(M24),AND(M$4:M23)),IF(N24&gt;$J24,MAX(EXP((N24-$J24)*$G24),1),MIN(EXP((N24-$J24)*$G24),1)),"")</f>
        <v/>
      </c>
      <c r="P24" s="108"/>
      <c r="Q24" s="72" t="b">
        <f>IF(AND(NOT(M24),AND(M$4:M23)),TRUE,M24)</f>
        <v>0</v>
      </c>
      <c r="R24" s="34" t="e">
        <f>IF(AND(NOT(ISBLANK(Jumpoverwrite2)),AND(NOT(Q24),AND(Q$4:Q23))),($J24*$G24-LN(1+Jumpoverwrite2*S$2))/$G24,_xll.qlInterpolationInterpolate(Q$3,$F24,TRUE))</f>
        <v>#NUM!</v>
      </c>
      <c r="S24" s="34" t="str">
        <f>IF(AND(NOT(Q24),AND(Q$4:Q23)),IF(R24&gt;$J24,MAX(EXP((R24-$J24)*$G24),1),MIN(EXP((R24-$J24)*$G24),1)),"")</f>
        <v/>
      </c>
      <c r="T24" s="108"/>
      <c r="U24" s="72" t="b">
        <f>IF(AND(NOT(Q24),AND(Q$4:Q23)),TRUE,Q24)</f>
        <v>0</v>
      </c>
      <c r="V24" s="34" t="e">
        <f>IF(AND(NOT(ISBLANK(Jumpoverwrite3)),AND(NOT(U24),AND(U$4:U23))),($J24*$G24-LN(1+Jumpoverwrite3*W$2))/$G24,_xll.qlInterpolationInterpolate(U$3,$F24,TRUE))</f>
        <v>#NUM!</v>
      </c>
      <c r="W24" s="34" t="str">
        <f>IF(AND(NOT(U24),AND(U$4:U23)),IF(V24&gt;$J24,MAX(EXP((V24-$J24)*$G24),1),MIN(EXP((V24-$J24)*$G24),1)),"")</f>
        <v/>
      </c>
      <c r="X24" s="108"/>
      <c r="Y24" s="72" t="b">
        <f>IF(AND(NOT(U24),AND(U$4:U23)),TRUE,U24)</f>
        <v>0</v>
      </c>
      <c r="Z24" s="34" t="e">
        <f>IF(AND(NOT(ISBLANK(Jumpoverwrite4)),AND(NOT(Y24),AND(Y$4:Y23))),($J24*$G24-LN(1+Jumpoverwrite4*AA$2))/$G24,_xll.qlInterpolationInterpolate(Y$3,$F24,TRUE))</f>
        <v>#NUM!</v>
      </c>
      <c r="AA24" s="34" t="str">
        <f>IF(AND(NOT(Y24),AND(Y$4:Y23)),IF(Z24&gt;$J24,MAX(EXP((Z24-$J24)*$G24),1),MIN(EXP((Z24-$J24)*$G24),1)),"")</f>
        <v/>
      </c>
      <c r="AB24" s="108"/>
      <c r="AC24" s="72" t="b">
        <f>IF(AND(NOT(Y24),AND(Y$4:Y23)),TRUE,Y24)</f>
        <v>0</v>
      </c>
      <c r="AD24" s="34" t="e">
        <f>IF(AND(NOT(ISBLANK(Jumpoverwrite5)),AND(NOT(AC24),AND(AC$4:AC23))),($J24*$G24-LN(1+Jumpoverwrite5*AE$2))/$G24,_xll.qlInterpolationInterpolate(AC$3,$F24,TRUE))</f>
        <v>#NUM!</v>
      </c>
      <c r="AE24" s="34" t="str">
        <f>IF(AND(NOT(AC24),AND(AC$4:AC23)),IF(AD24&gt;$J24,MAX(EXP((AD24-$J24)*$G24),1),MIN(EXP((AD24-$J24)*$G24),1)),"")</f>
        <v/>
      </c>
      <c r="AF24" s="108"/>
      <c r="AG24" s="72" t="b">
        <f>IF(AND(NOT(AC24),AND(AC$4:AC23)),TRUE,AC24)</f>
        <v>0</v>
      </c>
      <c r="AH24" s="34" t="e">
        <f>IF(AND(NOT(ISBLANK(Jumpoverwrite6)),AND(NOT(AG24),AND(AG$4:AG23))),($J24*$G24-LN(1+Jumpoverwrite6*AI$2))/$G24,_xll.qlInterpolationInterpolate(AG$3,$F24,TRUE))</f>
        <v>#NUM!</v>
      </c>
      <c r="AI24" s="34" t="str">
        <f>IF(AND(NOT(AG24),AND(AG$4:AG23)),IF(AH24&gt;$J24,MAX(EXP((AH24-$J24)*$G24),1),MIN(EXP((AH24-$J24)*$G24),1)),"")</f>
        <v/>
      </c>
      <c r="AJ24" s="108"/>
      <c r="AK24" s="72" t="b">
        <f>IF(AND(NOT(AG24),AND(AG$4:AG23)),TRUE,AG24)</f>
        <v>0</v>
      </c>
      <c r="AL24" s="34" t="e">
        <f>IF(AND(NOT(ISBLANK(Jumpoverwrite7)),AND(NOT(AK24),AND(AK$4:AK23))),($J24*$G24-LN(1+Jumpoverwrite7*AM$2))/$G24,_xll.qlInterpolationInterpolate(AK$3,$F24,TRUE))</f>
        <v>#NUM!</v>
      </c>
      <c r="AM24" s="34" t="str">
        <f>IF(AND(NOT(AK24),AND(AK$4:AK23)),IF(AL24&gt;$J24,MAX(EXP((AL24-$J24)*$G24),1),MIN(EXP((AL24-$J24)*$G24),1)),"")</f>
        <v/>
      </c>
      <c r="AO24" s="72" t="b">
        <f>IF(AND(NOT(AK24),AND(AK$4:AK23)),TRUE,AK24)</f>
        <v>0</v>
      </c>
      <c r="AP24" s="34" t="e">
        <f>IF(AND(NOT(ISBLANK(Jumpoverwrite8)),AND(NOT(AO24),AND(AO$4:AO23))),($J24*$G24-LN(1+Jumpoverwrite8*AQ$2))/$G24,_xll.qlInterpolationInterpolate(AO$3,$F24,TRUE))</f>
        <v>#NUM!</v>
      </c>
      <c r="AQ24" s="34" t="str">
        <f>IF(AND(NOT(AO24),AND(AO$4:AO23)),IF(AP24&gt;$J24,MAX(EXP((AP24-$J24)*$G24),1),MIN(EXP((AP24-$J24)*$G24),1)),"")</f>
        <v/>
      </c>
      <c r="AS24" s="72" t="b">
        <f>IF(AND(NOT(AO24),AND(AO$4:AO23)),TRUE,AO24)</f>
        <v>0</v>
      </c>
      <c r="AT24" s="34" t="e">
        <f>IF(AND(NOT(ISBLANK(Jumpoverwrite9)),AND(NOT(AS24),AND(AS$4:AS23))),($J24*$G24-LN(1+Jumpoverwrite9*AU$2))/$G24,_xll.qlInterpolationInterpolate(AS$3,$F24,TRUE))</f>
        <v>#NUM!</v>
      </c>
      <c r="AU24" s="34" t="str">
        <f>IF(AND(NOT(AS24),AND(AS$4:AS23)),IF(AT24&gt;$J24,MAX(EXP((AT24-$J24)*$G24),1),MIN(EXP((AT24-$J24)*$G24),1)),"")</f>
        <v/>
      </c>
      <c r="AW24" s="72" t="b">
        <f>IF(AND(NOT(AS24),AND(AS$4:AS23)),TRUE,AS24)</f>
        <v>0</v>
      </c>
      <c r="AX24" s="34" t="e">
        <f>IF(AND(NOT(ISBLANK(Jumpoverwrite10)),AND(NOT(AW24),AND(AW$4:AW23))),($J24*$G24-LN(1+Jumpoverwrite10*AY$2))/$G24,_xll.qlInterpolationInterpolate(AW$3,$F24,TRUE))</f>
        <v>#NUM!</v>
      </c>
      <c r="AY24" s="34" t="str">
        <f>IF(AND(NOT(AW24),AND(AW$4:AW23)),IF(AX24&gt;$J24,MAX(EXP((AX24-$J24)*$G24),1),MIN(EXP((AX24-$J24)*$G24),1)),"")</f>
        <v/>
      </c>
      <c r="BA24" s="72" t="b">
        <f>IF(AND(NOT(AW24),AND(AW$4:AW23)),TRUE,AW24)</f>
        <v>0</v>
      </c>
      <c r="BB24" s="34" t="e">
        <f>IF(AND(NOT(ISBLANK(Jumpoverwrite11)),AND(NOT(BA24),AND(BA$4:BA23))),($J24*$G24-LN(1+Jumpoverwrite11*BC$2))/$G24,_xll.qlInterpolationInterpolate(BA$3,$F24,TRUE))</f>
        <v>#NUM!</v>
      </c>
      <c r="BC24" s="34" t="str">
        <f>IF(AND(NOT(BA24),AND(BA$4:BA23)),IF(BB24&gt;$J24,MAX(EXP((BB24-$J24)*$G24),1),MIN(EXP((BB24-$J24)*$G24),1)),"")</f>
        <v/>
      </c>
      <c r="BE24" s="72" t="b">
        <f>IF(AND(NOT(BA24),AND(BA$4:BA23)),TRUE,BA24)</f>
        <v>0</v>
      </c>
      <c r="BF24" s="34" t="e">
        <f>IF(AND(NOT(ISBLANK(Jumpoverwrite12)),AND(NOT(BE24),AND(BE$4:BE23))),($J24*$G24-LN(1+Jumpoverwrite12*BG$2))/$G24,_xll.qlInterpolationInterpolate(BE$3,$F24,TRUE))</f>
        <v>#NUM!</v>
      </c>
      <c r="BG24" s="34" t="str">
        <f>IF(AND(NOT(BE24),AND(BE$4:BE23)),IF(BF24&gt;$J24,MAX(EXP((BF24-$J24)*$G24),1),MIN(EXP((BF24-$J24)*$G24),1)),"")</f>
        <v/>
      </c>
      <c r="BI24" s="72" t="b">
        <f t="shared" si="1"/>
        <v>0</v>
      </c>
      <c r="BJ24" s="34" t="e">
        <f>IF(AND(NOT(ISBLANK(jumpoverwrite13)),AND(NOT(BI24),AND(BI$4:BI23))),($J24*$G24-LN(1+jumpoverwrite13*BK$2))/$G24,_xll.qlInterpolationInterpolate(BI$3,$F24,TRUE))</f>
        <v>#NUM!</v>
      </c>
      <c r="BK24" s="34" t="str">
        <f>IF(AND(NOT(BI24),AND(BI$4:BI23)),IF(BJ24&gt;$J24,MAX(EXP((BJ24-$J24)*$G24),1),MIN(EXP((BJ24-$J24)*$G24),1)),"")</f>
        <v/>
      </c>
      <c r="BM24" s="72" t="b">
        <f>IF(AND(NOT(BI24),AND(BI$4:BI23)),TRUE,BI24)</f>
        <v>0</v>
      </c>
      <c r="BN24" s="175" t="e">
        <f>IF(AND(NOT(ISBLANK(Jumpoverwrite14)),AND(NOT(BM24),AND(BM$4:BM23))),($J24*$G24-LN(1+Jumpoverwrite14*BO$2))/$G24,_xll.qlInterpolationInterpolate(BM$3,$F24,TRUE))</f>
        <v>#NUM!</v>
      </c>
      <c r="BO24" s="34" t="str">
        <f>IF(AND(NOT(BM24),AND(BM$4:BM23)),IF(BM24&gt;$J24,MAX(EXP((BM24-$J24)*$G24),1),MIN(EXP((BM24-$J24)*$G24),1)),"")</f>
        <v/>
      </c>
    </row>
    <row r="25" spans="1:67" x14ac:dyDescent="0.2">
      <c r="A25" s="33" t="e">
        <v>#N/A</v>
      </c>
      <c r="B25" s="17" t="e">
        <f>_xll.qlRateHelperRate($A25,InterestRatesTrigger)</f>
        <v>#VALUE!</v>
      </c>
      <c r="C25" s="18" t="e">
        <f>_xll.qlRateHelperEarliestDate($A25)</f>
        <v>#VALUE!</v>
      </c>
      <c r="D25" s="19" t="e">
        <f>_xll.qlRateHelperPillarDate($A25)</f>
        <v>#VALUE!</v>
      </c>
      <c r="F25" s="84" t="e">
        <f t="shared" si="0"/>
        <v>#N/A</v>
      </c>
      <c r="G25" s="85" t="e">
        <f>_xll.qlDayCounterYearFraction(DayCounter,D24,D25)</f>
        <v>#NUM!</v>
      </c>
      <c r="I25" s="93" t="b">
        <f t="shared" si="2"/>
        <v>0</v>
      </c>
      <c r="J25" s="37" t="e">
        <v>#N/A</v>
      </c>
      <c r="K25" s="94" t="e">
        <f t="shared" si="3"/>
        <v>#VALUE!</v>
      </c>
      <c r="L25" s="75"/>
      <c r="M25" s="72" t="b">
        <f>IF(AND(NOT(I25),AND(I$4:I24)),TRUE,I25)</f>
        <v>0</v>
      </c>
      <c r="N25" s="34" t="e">
        <f>IF(AND(NOT(ISBLANK(Jumpoverwrite1)),AND(NOT(M25),AND(M$4:M24))),($J25*$G25-LN(1+Jumpoverwrite1*O$2))/$G25,_xll.qlInterpolationInterpolate(M$3,$F25,TRUE))</f>
        <v>#NUM!</v>
      </c>
      <c r="O25" s="34" t="str">
        <f>IF(AND(NOT(M25),AND(M$4:M24)),IF(N25&gt;$J25,MAX(EXP((N25-$J25)*$G25),1),MIN(EXP((N25-$J25)*$G25),1)),"")</f>
        <v/>
      </c>
      <c r="P25" s="108"/>
      <c r="Q25" s="72" t="b">
        <f>IF(AND(NOT(M25),AND(M$4:M24)),TRUE,M25)</f>
        <v>0</v>
      </c>
      <c r="R25" s="34" t="e">
        <f>IF(AND(NOT(ISBLANK(Jumpoverwrite2)),AND(NOT(Q25),AND(Q$4:Q24))),($J25*$G25-LN(1+Jumpoverwrite2*S$2))/$G25,_xll.qlInterpolationInterpolate(Q$3,$F25,TRUE))</f>
        <v>#NUM!</v>
      </c>
      <c r="S25" s="34" t="str">
        <f>IF(AND(NOT(Q25),AND(Q$4:Q24)),IF(R25&gt;$J25,MAX(EXP((R25-$J25)*$G25),1),MIN(EXP((R25-$J25)*$G25),1)),"")</f>
        <v/>
      </c>
      <c r="T25" s="108"/>
      <c r="U25" s="72" t="b">
        <f>IF(AND(NOT(Q25),AND(Q$4:Q24)),TRUE,Q25)</f>
        <v>0</v>
      </c>
      <c r="V25" s="34" t="e">
        <f>IF(AND(NOT(ISBLANK(Jumpoverwrite3)),AND(NOT(U25),AND(U$4:U24))),($J25*$G25-LN(1+Jumpoverwrite3*W$2))/$G25,_xll.qlInterpolationInterpolate(U$3,$F25,TRUE))</f>
        <v>#NUM!</v>
      </c>
      <c r="W25" s="34" t="str">
        <f>IF(AND(NOT(U25),AND(U$4:U24)),IF(V25&gt;$J25,MAX(EXP((V25-$J25)*$G25),1),MIN(EXP((V25-$J25)*$G25),1)),"")</f>
        <v/>
      </c>
      <c r="X25" s="108"/>
      <c r="Y25" s="72" t="b">
        <f>IF(AND(NOT(U25),AND(U$4:U24)),TRUE,U25)</f>
        <v>0</v>
      </c>
      <c r="Z25" s="34" t="e">
        <f>IF(AND(NOT(ISBLANK(Jumpoverwrite4)),AND(NOT(Y25),AND(Y$4:Y24))),($J25*$G25-LN(1+Jumpoverwrite4*AA$2))/$G25,_xll.qlInterpolationInterpolate(Y$3,$F25,TRUE))</f>
        <v>#NUM!</v>
      </c>
      <c r="AA25" s="34" t="str">
        <f>IF(AND(NOT(Y25),AND(Y$4:Y24)),IF(Z25&gt;$J25,MAX(EXP((Z25-$J25)*$G25),1),MIN(EXP((Z25-$J25)*$G25),1)),"")</f>
        <v/>
      </c>
      <c r="AB25" s="108"/>
      <c r="AC25" s="72" t="b">
        <f>IF(AND(NOT(Y25),AND(Y$4:Y24)),TRUE,Y25)</f>
        <v>0</v>
      </c>
      <c r="AD25" s="34" t="e">
        <f>IF(AND(NOT(ISBLANK(Jumpoverwrite5)),AND(NOT(AC25),AND(AC$4:AC24))),($J25*$G25-LN(1+Jumpoverwrite5*AE$2))/$G25,_xll.qlInterpolationInterpolate(AC$3,$F25,TRUE))</f>
        <v>#NUM!</v>
      </c>
      <c r="AE25" s="34" t="str">
        <f>IF(AND(NOT(AC25),AND(AC$4:AC24)),IF(AD25&gt;$J25,MAX(EXP((AD25-$J25)*$G25),1),MIN(EXP((AD25-$J25)*$G25),1)),"")</f>
        <v/>
      </c>
      <c r="AF25" s="108"/>
      <c r="AG25" s="72" t="b">
        <f>IF(AND(NOT(AC25),AND(AC$4:AC24)),TRUE,AC25)</f>
        <v>0</v>
      </c>
      <c r="AH25" s="34" t="e">
        <f>IF(AND(NOT(ISBLANK(Jumpoverwrite6)),AND(NOT(AG25),AND(AG$4:AG24))),($J25*$G25-LN(1+Jumpoverwrite6*AI$2))/$G25,_xll.qlInterpolationInterpolate(AG$3,$F25,TRUE))</f>
        <v>#NUM!</v>
      </c>
      <c r="AI25" s="34" t="str">
        <f>IF(AND(NOT(AG25),AND(AG$4:AG24)),IF(AH25&gt;$J25,MAX(EXP((AH25-$J25)*$G25),1),MIN(EXP((AH25-$J25)*$G25),1)),"")</f>
        <v/>
      </c>
      <c r="AJ25" s="108"/>
      <c r="AK25" s="72" t="b">
        <f>IF(AND(NOT(AG25),AND(AG$4:AG24)),TRUE,AG25)</f>
        <v>0</v>
      </c>
      <c r="AL25" s="34" t="e">
        <f>IF(AND(NOT(ISBLANK(Jumpoverwrite7)),AND(NOT(AK25),AND(AK$4:AK24))),($J25*$G25-LN(1+Jumpoverwrite7*AM$2))/$G25,_xll.qlInterpolationInterpolate(AK$3,$F25,TRUE))</f>
        <v>#NUM!</v>
      </c>
      <c r="AM25" s="34" t="str">
        <f>IF(AND(NOT(AK25),AND(AK$4:AK24)),IF(AL25&gt;$J25,MAX(EXP((AL25-$J25)*$G25),1),MIN(EXP((AL25-$J25)*$G25),1)),"")</f>
        <v/>
      </c>
      <c r="AO25" s="72" t="b">
        <f>IF(AND(NOT(AK25),AND(AK$4:AK24)),TRUE,AK25)</f>
        <v>0</v>
      </c>
      <c r="AP25" s="34" t="e">
        <f>IF(AND(NOT(ISBLANK(Jumpoverwrite8)),AND(NOT(AO25),AND(AO$4:AO24))),($J25*$G25-LN(1+Jumpoverwrite8*AQ$2))/$G25,_xll.qlInterpolationInterpolate(AO$3,$F25,TRUE))</f>
        <v>#NUM!</v>
      </c>
      <c r="AQ25" s="34" t="str">
        <f>IF(AND(NOT(AO25),AND(AO$4:AO24)),IF(AP25&gt;$J25,MAX(EXP((AP25-$J25)*$G25),1),MIN(EXP((AP25-$J25)*$G25),1)),"")</f>
        <v/>
      </c>
      <c r="AS25" s="72" t="b">
        <f>IF(AND(NOT(AO25),AND(AO$4:AO24)),TRUE,AO25)</f>
        <v>0</v>
      </c>
      <c r="AT25" s="34" t="e">
        <f>IF(AND(NOT(ISBLANK(Jumpoverwrite9)),AND(NOT(AS25),AND(AS$4:AS24))),($J25*$G25-LN(1+Jumpoverwrite9*AU$2))/$G25,_xll.qlInterpolationInterpolate(AS$3,$F25,TRUE))</f>
        <v>#NUM!</v>
      </c>
      <c r="AU25" s="34" t="str">
        <f>IF(AND(NOT(AS25),AND(AS$4:AS24)),IF(AT25&gt;$J25,MAX(EXP((AT25-$J25)*$G25),1),MIN(EXP((AT25-$J25)*$G25),1)),"")</f>
        <v/>
      </c>
      <c r="AW25" s="72" t="b">
        <f>IF(AND(NOT(AS25),AND(AS$4:AS24)),TRUE,AS25)</f>
        <v>0</v>
      </c>
      <c r="AX25" s="34" t="e">
        <f>IF(AND(NOT(ISBLANK(Jumpoverwrite10)),AND(NOT(AW25),AND(AW$4:AW24))),($J25*$G25-LN(1+Jumpoverwrite10*AY$2))/$G25,_xll.qlInterpolationInterpolate(AW$3,$F25,TRUE))</f>
        <v>#NUM!</v>
      </c>
      <c r="AY25" s="34" t="str">
        <f>IF(AND(NOT(AW25),AND(AW$4:AW24)),IF(AX25&gt;$J25,MAX(EXP((AX25-$J25)*$G25),1),MIN(EXP((AX25-$J25)*$G25),1)),"")</f>
        <v/>
      </c>
      <c r="BA25" s="72" t="b">
        <f>IF(AND(NOT(AW25),AND(AW$4:AW24)),TRUE,AW25)</f>
        <v>0</v>
      </c>
      <c r="BB25" s="34" t="e">
        <f>IF(AND(NOT(ISBLANK(Jumpoverwrite11)),AND(NOT(BA25),AND(BA$4:BA24))),($J25*$G25-LN(1+Jumpoverwrite11*BC$2))/$G25,_xll.qlInterpolationInterpolate(BA$3,$F25,TRUE))</f>
        <v>#NUM!</v>
      </c>
      <c r="BC25" s="34" t="str">
        <f>IF(AND(NOT(BA25),AND(BA$4:BA24)),IF(BB25&gt;$J25,MAX(EXP((BB25-$J25)*$G25),1),MIN(EXP((BB25-$J25)*$G25),1)),"")</f>
        <v/>
      </c>
      <c r="BE25" s="72" t="b">
        <f>IF(AND(NOT(BA25),AND(BA$4:BA24)),TRUE,BA25)</f>
        <v>0</v>
      </c>
      <c r="BF25" s="34" t="e">
        <f>IF(AND(NOT(ISBLANK(Jumpoverwrite12)),AND(NOT(BE25),AND(BE$4:BE24))),($J25*$G25-LN(1+Jumpoverwrite12*BG$2))/$G25,_xll.qlInterpolationInterpolate(BE$3,$F25,TRUE))</f>
        <v>#NUM!</v>
      </c>
      <c r="BG25" s="34" t="str">
        <f>IF(AND(NOT(BE25),AND(BE$4:BE24)),IF(BF25&gt;$J25,MAX(EXP((BF25-$J25)*$G25),1),MIN(EXP((BF25-$J25)*$G25),1)),"")</f>
        <v/>
      </c>
      <c r="BI25" s="72" t="b">
        <f t="shared" si="1"/>
        <v>0</v>
      </c>
      <c r="BJ25" s="34" t="e">
        <f>IF(AND(NOT(ISBLANK(jumpoverwrite13)),AND(NOT(BI25),AND(BI$4:BI24))),($J25*$G25-LN(1+jumpoverwrite13*BK$2))/$G25,_xll.qlInterpolationInterpolate(BI$3,$F25,TRUE))</f>
        <v>#NUM!</v>
      </c>
      <c r="BK25" s="34" t="str">
        <f>IF(AND(NOT(BI25),AND(BI$4:BI24)),IF(BJ25&gt;$J25,MAX(EXP((BJ25-$J25)*$G25),1),MIN(EXP((BJ25-$J25)*$G25),1)),"")</f>
        <v/>
      </c>
      <c r="BM25" s="72" t="b">
        <f>IF(AND(NOT(BI25),AND(BI$4:BI24)),TRUE,BI25)</f>
        <v>0</v>
      </c>
      <c r="BN25" s="175" t="e">
        <f>IF(AND(NOT(ISBLANK(Jumpoverwrite14)),AND(NOT(BM25),AND(BM$4:BM24))),($J25*$G25-LN(1+Jumpoverwrite14*BO$2))/$G25,_xll.qlInterpolationInterpolate(BM$3,$F25,TRUE))</f>
        <v>#NUM!</v>
      </c>
      <c r="BO25" s="34" t="str">
        <f>IF(AND(NOT(BM25),AND(BM$4:BM24)),IF(BM25&gt;$J25,MAX(EXP((BM25-$J25)*$G25),1),MIN(EXP((BM25-$J25)*$G25),1)),"")</f>
        <v/>
      </c>
    </row>
    <row r="26" spans="1:67" x14ac:dyDescent="0.2">
      <c r="A26" s="33" t="e">
        <v>#N/A</v>
      </c>
      <c r="B26" s="17" t="e">
        <f>_xll.qlRateHelperRate($A26,InterestRatesTrigger)</f>
        <v>#VALUE!</v>
      </c>
      <c r="C26" s="18" t="e">
        <f>_xll.qlRateHelperEarliestDate($A26)</f>
        <v>#VALUE!</v>
      </c>
      <c r="D26" s="19" t="e">
        <f>_xll.qlRateHelperPillarDate($A26)</f>
        <v>#VALUE!</v>
      </c>
      <c r="F26" s="84" t="e">
        <f t="shared" si="0"/>
        <v>#N/A</v>
      </c>
      <c r="G26" s="85" t="e">
        <f>_xll.qlDayCounterYearFraction(DayCounter,D25,D26)</f>
        <v>#NUM!</v>
      </c>
      <c r="I26" s="93" t="b">
        <f t="shared" si="2"/>
        <v>0</v>
      </c>
      <c r="J26" s="37" t="e">
        <v>#N/A</v>
      </c>
      <c r="K26" s="94" t="e">
        <f t="shared" si="3"/>
        <v>#VALUE!</v>
      </c>
      <c r="L26" s="75"/>
      <c r="M26" s="72" t="b">
        <f>IF(AND(NOT(I26),AND(I$4:I25)),TRUE,I26)</f>
        <v>0</v>
      </c>
      <c r="N26" s="34" t="e">
        <f>IF(AND(NOT(ISBLANK(Jumpoverwrite1)),AND(NOT(M26),AND(M$4:M25))),($J26*$G26-LN(1+Jumpoverwrite1*O$2))/$G26,_xll.qlInterpolationInterpolate(M$3,$F26,TRUE))</f>
        <v>#NUM!</v>
      </c>
      <c r="O26" s="34" t="str">
        <f>IF(AND(NOT(M26),AND(M$4:M25)),IF(N26&gt;$J26,MAX(EXP((N26-$J26)*$G26),1),MIN(EXP((N26-$J26)*$G26),1)),"")</f>
        <v/>
      </c>
      <c r="P26" s="108"/>
      <c r="Q26" s="72" t="b">
        <f>IF(AND(NOT(M26),AND(M$4:M25)),TRUE,M26)</f>
        <v>0</v>
      </c>
      <c r="R26" s="34" t="e">
        <f>IF(AND(NOT(ISBLANK(Jumpoverwrite2)),AND(NOT(Q26),AND(Q$4:Q25))),($J26*$G26-LN(1+Jumpoverwrite2*S$2))/$G26,_xll.qlInterpolationInterpolate(Q$3,$F26,TRUE))</f>
        <v>#NUM!</v>
      </c>
      <c r="S26" s="34" t="str">
        <f>IF(AND(NOT(Q26),AND(Q$4:Q25)),IF(R26&gt;$J26,MAX(EXP((R26-$J26)*$G26),1),MIN(EXP((R26-$J26)*$G26),1)),"")</f>
        <v/>
      </c>
      <c r="T26" s="108"/>
      <c r="U26" s="72" t="b">
        <f>IF(AND(NOT(Q26),AND(Q$4:Q25)),TRUE,Q26)</f>
        <v>0</v>
      </c>
      <c r="V26" s="34" t="e">
        <f>IF(AND(NOT(ISBLANK(Jumpoverwrite3)),AND(NOT(U26),AND(U$4:U25))),($J26*$G26-LN(1+Jumpoverwrite3*W$2))/$G26,_xll.qlInterpolationInterpolate(U$3,$F26,TRUE))</f>
        <v>#NUM!</v>
      </c>
      <c r="W26" s="34" t="str">
        <f>IF(AND(NOT(U26),AND(U$4:U25)),IF(V26&gt;$J26,MAX(EXP((V26-$J26)*$G26),1),MIN(EXP((V26-$J26)*$G26),1)),"")</f>
        <v/>
      </c>
      <c r="X26" s="108"/>
      <c r="Y26" s="72" t="b">
        <f>IF(AND(NOT(U26),AND(U$4:U25)),TRUE,U26)</f>
        <v>0</v>
      </c>
      <c r="Z26" s="34" t="e">
        <f>IF(AND(NOT(ISBLANK(Jumpoverwrite4)),AND(NOT(Y26),AND(Y$4:Y25))),($J26*$G26-LN(1+Jumpoverwrite4*AA$2))/$G26,_xll.qlInterpolationInterpolate(Y$3,$F26,TRUE))</f>
        <v>#NUM!</v>
      </c>
      <c r="AA26" s="34" t="str">
        <f>IF(AND(NOT(Y26),AND(Y$4:Y25)),IF(Z26&gt;$J26,MAX(EXP((Z26-$J26)*$G26),1),MIN(EXP((Z26-$J26)*$G26),1)),"")</f>
        <v/>
      </c>
      <c r="AB26" s="108"/>
      <c r="AC26" s="72" t="b">
        <f>IF(AND(NOT(Y26),AND(Y$4:Y25)),TRUE,Y26)</f>
        <v>0</v>
      </c>
      <c r="AD26" s="34" t="e">
        <f>IF(AND(NOT(ISBLANK(Jumpoverwrite5)),AND(NOT(AC26),AND(AC$4:AC25))),($J26*$G26-LN(1+Jumpoverwrite5*AE$2))/$G26,_xll.qlInterpolationInterpolate(AC$3,$F26,TRUE))</f>
        <v>#NUM!</v>
      </c>
      <c r="AE26" s="34" t="str">
        <f>IF(AND(NOT(AC26),AND(AC$4:AC25)),IF(AD26&gt;$J26,MAX(EXP((AD26-$J26)*$G26),1),MIN(EXP((AD26-$J26)*$G26),1)),"")</f>
        <v/>
      </c>
      <c r="AF26" s="108"/>
      <c r="AG26" s="72" t="b">
        <f>IF(AND(NOT(AC26),AND(AC$4:AC25)),TRUE,AC26)</f>
        <v>0</v>
      </c>
      <c r="AH26" s="34" t="e">
        <f>IF(AND(NOT(ISBLANK(Jumpoverwrite6)),AND(NOT(AG26),AND(AG$4:AG25))),($J26*$G26-LN(1+Jumpoverwrite6*AI$2))/$G26,_xll.qlInterpolationInterpolate(AG$3,$F26,TRUE))</f>
        <v>#NUM!</v>
      </c>
      <c r="AI26" s="34" t="str">
        <f>IF(AND(NOT(AG26),AND(AG$4:AG25)),IF(AH26&gt;$J26,MAX(EXP((AH26-$J26)*$G26),1),MIN(EXP((AH26-$J26)*$G26),1)),"")</f>
        <v/>
      </c>
      <c r="AJ26" s="108"/>
      <c r="AK26" s="72" t="b">
        <f>IF(AND(NOT(AG26),AND(AG$4:AG25)),TRUE,AG26)</f>
        <v>0</v>
      </c>
      <c r="AL26" s="34" t="e">
        <f>IF(AND(NOT(ISBLANK(Jumpoverwrite7)),AND(NOT(AK26),AND(AK$4:AK25))),($J26*$G26-LN(1+Jumpoverwrite7*AM$2))/$G26,_xll.qlInterpolationInterpolate(AK$3,$F26,TRUE))</f>
        <v>#NUM!</v>
      </c>
      <c r="AM26" s="34" t="str">
        <f>IF(AND(NOT(AK26),AND(AK$4:AK25)),IF(AL26&gt;$J26,MAX(EXP((AL26-$J26)*$G26),1),MIN(EXP((AL26-$J26)*$G26),1)),"")</f>
        <v/>
      </c>
      <c r="AO26" s="72" t="b">
        <f>IF(AND(NOT(AK26),AND(AK$4:AK25)),TRUE,AK26)</f>
        <v>0</v>
      </c>
      <c r="AP26" s="34" t="e">
        <f>IF(AND(NOT(ISBLANK(Jumpoverwrite8)),AND(NOT(AO26),AND(AO$4:AO25))),($J26*$G26-LN(1+Jumpoverwrite8*AQ$2))/$G26,_xll.qlInterpolationInterpolate(AO$3,$F26,TRUE))</f>
        <v>#NUM!</v>
      </c>
      <c r="AQ26" s="34" t="str">
        <f>IF(AND(NOT(AO26),AND(AO$4:AO25)),IF(AP26&gt;$J26,MAX(EXP((AP26-$J26)*$G26),1),MIN(EXP((AP26-$J26)*$G26),1)),"")</f>
        <v/>
      </c>
      <c r="AS26" s="72" t="b">
        <f>IF(AND(NOT(AO26),AND(AO$4:AO25)),TRUE,AO26)</f>
        <v>0</v>
      </c>
      <c r="AT26" s="34" t="e">
        <f>IF(AND(NOT(ISBLANK(Jumpoverwrite9)),AND(NOT(AS26),AND(AS$4:AS25))),($J26*$G26-LN(1+Jumpoverwrite9*AU$2))/$G26,_xll.qlInterpolationInterpolate(AS$3,$F26,TRUE))</f>
        <v>#NUM!</v>
      </c>
      <c r="AU26" s="34" t="str">
        <f>IF(AND(NOT(AS26),AND(AS$4:AS25)),IF(AT26&gt;$J26,MAX(EXP((AT26-$J26)*$G26),1),MIN(EXP((AT26-$J26)*$G26),1)),"")</f>
        <v/>
      </c>
      <c r="AW26" s="72" t="b">
        <f>IF(AND(NOT(AS26),AND(AS$4:AS25)),TRUE,AS26)</f>
        <v>0</v>
      </c>
      <c r="AX26" s="34" t="e">
        <f>IF(AND(NOT(ISBLANK(Jumpoverwrite10)),AND(NOT(AW26),AND(AW$4:AW25))),($J26*$G26-LN(1+Jumpoverwrite10*AY$2))/$G26,_xll.qlInterpolationInterpolate(AW$3,$F26,TRUE))</f>
        <v>#NUM!</v>
      </c>
      <c r="AY26" s="34" t="str">
        <f>IF(AND(NOT(AW26),AND(AW$4:AW25)),IF(AX26&gt;$J26,MAX(EXP((AX26-$J26)*$G26),1),MIN(EXP((AX26-$J26)*$G26),1)),"")</f>
        <v/>
      </c>
      <c r="BA26" s="72" t="b">
        <f>IF(AND(NOT(AW26),AND(AW$4:AW25)),TRUE,AW26)</f>
        <v>0</v>
      </c>
      <c r="BB26" s="34" t="e">
        <f>IF(AND(NOT(ISBLANK(Jumpoverwrite11)),AND(NOT(BA26),AND(BA$4:BA25))),($J26*$G26-LN(1+Jumpoverwrite11*BC$2))/$G26,_xll.qlInterpolationInterpolate(BA$3,$F26,TRUE))</f>
        <v>#NUM!</v>
      </c>
      <c r="BC26" s="34" t="str">
        <f>IF(AND(NOT(BA26),AND(BA$4:BA25)),IF(BB26&gt;$J26,MAX(EXP((BB26-$J26)*$G26),1),MIN(EXP((BB26-$J26)*$G26),1)),"")</f>
        <v/>
      </c>
      <c r="BE26" s="72" t="b">
        <f>IF(AND(NOT(BA26),AND(BA$4:BA25)),TRUE,BA26)</f>
        <v>0</v>
      </c>
      <c r="BF26" s="34" t="e">
        <f>IF(AND(NOT(ISBLANK(Jumpoverwrite12)),AND(NOT(BE26),AND(BE$4:BE25))),($J26*$G26-LN(1+Jumpoverwrite12*BG$2))/$G26,_xll.qlInterpolationInterpolate(BE$3,$F26,TRUE))</f>
        <v>#NUM!</v>
      </c>
      <c r="BG26" s="34" t="str">
        <f>IF(AND(NOT(BE26),AND(BE$4:BE25)),IF(BF26&gt;$J26,MAX(EXP((BF26-$J26)*$G26),1),MIN(EXP((BF26-$J26)*$G26),1)),"")</f>
        <v/>
      </c>
      <c r="BI26" s="72" t="b">
        <f t="shared" si="1"/>
        <v>0</v>
      </c>
      <c r="BJ26" s="34" t="e">
        <f>IF(AND(NOT(ISBLANK(jumpoverwrite13)),AND(NOT(BI26),AND(BI$4:BI25))),($J26*$G26-LN(1+jumpoverwrite13*BK$2))/$G26,_xll.qlInterpolationInterpolate(BI$3,$F26,TRUE))</f>
        <v>#NUM!</v>
      </c>
      <c r="BK26" s="34" t="str">
        <f>IF(AND(NOT(BI26),AND(BI$4:BI25)),IF(BJ26&gt;$J26,MAX(EXP((BJ26-$J26)*$G26),1),MIN(EXP((BJ26-$J26)*$G26),1)),"")</f>
        <v/>
      </c>
      <c r="BM26" s="72" t="b">
        <f>IF(AND(NOT(BI26),AND(BI$4:BI25)),TRUE,BI26)</f>
        <v>0</v>
      </c>
      <c r="BN26" s="175" t="e">
        <f>IF(AND(NOT(ISBLANK(Jumpoverwrite14)),AND(NOT(BM26),AND(BM$4:BM25))),($J26*$G26-LN(1+Jumpoverwrite14*BO$2))/$G26,_xll.qlInterpolationInterpolate(BM$3,$F26,TRUE))</f>
        <v>#NUM!</v>
      </c>
      <c r="BO26" s="34" t="str">
        <f>IF(AND(NOT(BM26),AND(BM$4:BM25)),IF(BM26&gt;$J26,MAX(EXP((BM26-$J26)*$G26),1),MIN(EXP((BM26-$J26)*$G26),1)),"")</f>
        <v/>
      </c>
    </row>
    <row r="27" spans="1:67" x14ac:dyDescent="0.2">
      <c r="A27" s="33" t="e">
        <v>#N/A</v>
      </c>
      <c r="B27" s="17" t="e">
        <f>_xll.qlRateHelperRate($A27,InterestRatesTrigger)</f>
        <v>#VALUE!</v>
      </c>
      <c r="C27" s="18" t="e">
        <f>_xll.qlRateHelperEarliestDate($A27)</f>
        <v>#VALUE!</v>
      </c>
      <c r="D27" s="19" t="e">
        <f>_xll.qlRateHelperPillarDate($A27)</f>
        <v>#VALUE!</v>
      </c>
      <c r="F27" s="84" t="e">
        <f t="shared" si="0"/>
        <v>#N/A</v>
      </c>
      <c r="G27" s="85" t="e">
        <f>_xll.qlDayCounterYearFraction(DayCounter,D26,D27)</f>
        <v>#NUM!</v>
      </c>
      <c r="I27" s="93" t="b">
        <f t="shared" si="2"/>
        <v>0</v>
      </c>
      <c r="J27" s="37" t="e">
        <v>#N/A</v>
      </c>
      <c r="K27" s="94" t="e">
        <f t="shared" si="3"/>
        <v>#VALUE!</v>
      </c>
      <c r="L27" s="75"/>
      <c r="M27" s="72" t="b">
        <f>IF(AND(NOT(I27),AND(I$4:I26)),TRUE,I27)</f>
        <v>0</v>
      </c>
      <c r="N27" s="34" t="e">
        <f>IF(AND(NOT(ISBLANK(Jumpoverwrite1)),AND(NOT(M27),AND(M$4:M26))),($J27*$G27-LN(1+Jumpoverwrite1*O$2))/$G27,_xll.qlInterpolationInterpolate(M$3,$F27,TRUE))</f>
        <v>#NUM!</v>
      </c>
      <c r="O27" s="34" t="str">
        <f>IF(AND(NOT(M27),AND(M$4:M26)),IF(N27&gt;$J27,MAX(EXP((N27-$J27)*$G27),1),MIN(EXP((N27-$J27)*$G27),1)),"")</f>
        <v/>
      </c>
      <c r="P27" s="108"/>
      <c r="Q27" s="72" t="b">
        <f>IF(AND(NOT(M27),AND(M$4:M26)),TRUE,M27)</f>
        <v>0</v>
      </c>
      <c r="R27" s="34" t="e">
        <f>IF(AND(NOT(ISBLANK(Jumpoverwrite2)),AND(NOT(Q27),AND(Q$4:Q26))),($J27*$G27-LN(1+Jumpoverwrite2*S$2))/$G27,_xll.qlInterpolationInterpolate(Q$3,$F27,TRUE))</f>
        <v>#NUM!</v>
      </c>
      <c r="S27" s="34" t="str">
        <f>IF(AND(NOT(Q27),AND(Q$4:Q26)),IF(R27&gt;$J27,MAX(EXP((R27-$J27)*$G27),1),MIN(EXP((R27-$J27)*$G27),1)),"")</f>
        <v/>
      </c>
      <c r="T27" s="108"/>
      <c r="U27" s="72" t="b">
        <f>IF(AND(NOT(Q27),AND(Q$4:Q26)),TRUE,Q27)</f>
        <v>0</v>
      </c>
      <c r="V27" s="34" t="e">
        <f>IF(AND(NOT(ISBLANK(Jumpoverwrite3)),AND(NOT(U27),AND(U$4:U26))),($J27*$G27-LN(1+Jumpoverwrite3*W$2))/$G27,_xll.qlInterpolationInterpolate(U$3,$F27,TRUE))</f>
        <v>#NUM!</v>
      </c>
      <c r="W27" s="34" t="str">
        <f>IF(AND(NOT(U27),AND(U$4:U26)),IF(V27&gt;$J27,MAX(EXP((V27-$J27)*$G27),1),MIN(EXP((V27-$J27)*$G27),1)),"")</f>
        <v/>
      </c>
      <c r="X27" s="108"/>
      <c r="Y27" s="72" t="b">
        <f>IF(AND(NOT(U27),AND(U$4:U26)),TRUE,U27)</f>
        <v>0</v>
      </c>
      <c r="Z27" s="34" t="e">
        <f>IF(AND(NOT(ISBLANK(Jumpoverwrite4)),AND(NOT(Y27),AND(Y$4:Y26))),($J27*$G27-LN(1+Jumpoverwrite4*AA$2))/$G27,_xll.qlInterpolationInterpolate(Y$3,$F27,TRUE))</f>
        <v>#NUM!</v>
      </c>
      <c r="AA27" s="34" t="str">
        <f>IF(AND(NOT(Y27),AND(Y$4:Y26)),IF(Z27&gt;$J27,MAX(EXP((Z27-$J27)*$G27),1),MIN(EXP((Z27-$J27)*$G27),1)),"")</f>
        <v/>
      </c>
      <c r="AB27" s="108"/>
      <c r="AC27" s="72" t="b">
        <f>IF(AND(NOT(Y27),AND(Y$4:Y26)),TRUE,Y27)</f>
        <v>0</v>
      </c>
      <c r="AD27" s="34" t="e">
        <f>IF(AND(NOT(ISBLANK(Jumpoverwrite5)),AND(NOT(AC27),AND(AC$4:AC26))),($J27*$G27-LN(1+Jumpoverwrite5*AE$2))/$G27,_xll.qlInterpolationInterpolate(AC$3,$F27,TRUE))</f>
        <v>#NUM!</v>
      </c>
      <c r="AE27" s="34" t="str">
        <f>IF(AND(NOT(AC27),AND(AC$4:AC26)),IF(AD27&gt;$J27,MAX(EXP((AD27-$J27)*$G27),1),MIN(EXP((AD27-$J27)*$G27),1)),"")</f>
        <v/>
      </c>
      <c r="AF27" s="108"/>
      <c r="AG27" s="72" t="b">
        <f>IF(AND(NOT(AC27),AND(AC$4:AC26)),TRUE,AC27)</f>
        <v>0</v>
      </c>
      <c r="AH27" s="34" t="e">
        <f>IF(AND(NOT(ISBLANK(Jumpoverwrite6)),AND(NOT(AG27),AND(AG$4:AG26))),($J27*$G27-LN(1+Jumpoverwrite6*AI$2))/$G27,_xll.qlInterpolationInterpolate(AG$3,$F27,TRUE))</f>
        <v>#NUM!</v>
      </c>
      <c r="AI27" s="34" t="str">
        <f>IF(AND(NOT(AG27),AND(AG$4:AG26)),IF(AH27&gt;$J27,MAX(EXP((AH27-$J27)*$G27),1),MIN(EXP((AH27-$J27)*$G27),1)),"")</f>
        <v/>
      </c>
      <c r="AJ27" s="108"/>
      <c r="AK27" s="72" t="b">
        <f>IF(AND(NOT(AG27),AND(AG$4:AG26)),TRUE,AG27)</f>
        <v>0</v>
      </c>
      <c r="AL27" s="34" t="e">
        <f>IF(AND(NOT(ISBLANK(Jumpoverwrite7)),AND(NOT(AK27),AND(AK$4:AK26))),($J27*$G27-LN(1+Jumpoverwrite7*AM$2))/$G27,_xll.qlInterpolationInterpolate(AK$3,$F27,TRUE))</f>
        <v>#NUM!</v>
      </c>
      <c r="AM27" s="34" t="str">
        <f>IF(AND(NOT(AK27),AND(AK$4:AK26)),IF(AL27&gt;$J27,MAX(EXP((AL27-$J27)*$G27),1),MIN(EXP((AL27-$J27)*$G27),1)),"")</f>
        <v/>
      </c>
      <c r="AO27" s="72" t="b">
        <f>IF(AND(NOT(AK27),AND(AK$4:AK26)),TRUE,AK27)</f>
        <v>0</v>
      </c>
      <c r="AP27" s="34" t="e">
        <f>IF(AND(NOT(ISBLANK(Jumpoverwrite8)),AND(NOT(AO27),AND(AO$4:AO26))),($J27*$G27-LN(1+Jumpoverwrite8*AQ$2))/$G27,_xll.qlInterpolationInterpolate(AO$3,$F27,TRUE))</f>
        <v>#NUM!</v>
      </c>
      <c r="AQ27" s="34" t="str">
        <f>IF(AND(NOT(AO27),AND(AO$4:AO26)),IF(AP27&gt;$J27,MAX(EXP((AP27-$J27)*$G27),1),MIN(EXP((AP27-$J27)*$G27),1)),"")</f>
        <v/>
      </c>
      <c r="AS27" s="72" t="b">
        <f>IF(AND(NOT(AO27),AND(AO$4:AO26)),TRUE,AO27)</f>
        <v>0</v>
      </c>
      <c r="AT27" s="34" t="e">
        <f>IF(AND(NOT(ISBLANK(Jumpoverwrite9)),AND(NOT(AS27),AND(AS$4:AS26))),($J27*$G27-LN(1+Jumpoverwrite9*AU$2))/$G27,_xll.qlInterpolationInterpolate(AS$3,$F27,TRUE))</f>
        <v>#NUM!</v>
      </c>
      <c r="AU27" s="34" t="str">
        <f>IF(AND(NOT(AS27),AND(AS$4:AS26)),IF(AT27&gt;$J27,MAX(EXP((AT27-$J27)*$G27),1),MIN(EXP((AT27-$J27)*$G27),1)),"")</f>
        <v/>
      </c>
      <c r="AW27" s="72" t="b">
        <f>IF(AND(NOT(AS27),AND(AS$4:AS26)),TRUE,AS27)</f>
        <v>0</v>
      </c>
      <c r="AX27" s="34" t="e">
        <f>IF(AND(NOT(ISBLANK(Jumpoverwrite10)),AND(NOT(AW27),AND(AW$4:AW26))),($J27*$G27-LN(1+Jumpoverwrite10*AY$2))/$G27,_xll.qlInterpolationInterpolate(AW$3,$F27,TRUE))</f>
        <v>#NUM!</v>
      </c>
      <c r="AY27" s="34" t="str">
        <f>IF(AND(NOT(AW27),AND(AW$4:AW26)),IF(AX27&gt;$J27,MAX(EXP((AX27-$J27)*$G27),1),MIN(EXP((AX27-$J27)*$G27),1)),"")</f>
        <v/>
      </c>
      <c r="BA27" s="72" t="b">
        <f>IF(AND(NOT(AW27),AND(AW$4:AW26)),TRUE,AW27)</f>
        <v>0</v>
      </c>
      <c r="BB27" s="34" t="e">
        <f>IF(AND(NOT(ISBLANK(Jumpoverwrite11)),AND(NOT(BA27),AND(BA$4:BA26))),($J27*$G27-LN(1+Jumpoverwrite11*BC$2))/$G27,_xll.qlInterpolationInterpolate(BA$3,$F27,TRUE))</f>
        <v>#NUM!</v>
      </c>
      <c r="BC27" s="34" t="str">
        <f>IF(AND(NOT(BA27),AND(BA$4:BA26)),IF(BB27&gt;$J27,MAX(EXP((BB27-$J27)*$G27),1),MIN(EXP((BB27-$J27)*$G27),1)),"")</f>
        <v/>
      </c>
      <c r="BE27" s="72" t="b">
        <f>IF(AND(NOT(BA27),AND(BA$4:BA26)),TRUE,BA27)</f>
        <v>0</v>
      </c>
      <c r="BF27" s="34" t="e">
        <f>IF(AND(NOT(ISBLANK(Jumpoverwrite12)),AND(NOT(BE27),AND(BE$4:BE26))),($J27*$G27-LN(1+Jumpoverwrite12*BG$2))/$G27,_xll.qlInterpolationInterpolate(BE$3,$F27,TRUE))</f>
        <v>#NUM!</v>
      </c>
      <c r="BG27" s="34" t="str">
        <f>IF(AND(NOT(BE27),AND(BE$4:BE26)),IF(BF27&gt;$J27,MAX(EXP((BF27-$J27)*$G27),1),MIN(EXP((BF27-$J27)*$G27),1)),"")</f>
        <v/>
      </c>
      <c r="BI27" s="72" t="b">
        <f t="shared" si="1"/>
        <v>0</v>
      </c>
      <c r="BJ27" s="34" t="e">
        <f>IF(AND(NOT(ISBLANK(jumpoverwrite13)),AND(NOT(BI27),AND(BI$4:BI26))),($J27*$G27-LN(1+jumpoverwrite13*BK$2))/$G27,_xll.qlInterpolationInterpolate(BI$3,$F27,TRUE))</f>
        <v>#NUM!</v>
      </c>
      <c r="BK27" s="34" t="str">
        <f>IF(AND(NOT(BI27),AND(BI$4:BI26)),IF(BJ27&gt;$J27,MAX(EXP((BJ27-$J27)*$G27),1),MIN(EXP((BJ27-$J27)*$G27),1)),"")</f>
        <v/>
      </c>
      <c r="BM27" s="72" t="b">
        <f>IF(AND(NOT(BI27),AND(BI$4:BI26)),TRUE,BI27)</f>
        <v>0</v>
      </c>
      <c r="BN27" s="175" t="e">
        <f>IF(AND(NOT(ISBLANK(Jumpoverwrite14)),AND(NOT(BM27),AND(BM$4:BM26))),($J27*$G27-LN(1+Jumpoverwrite14*BO$2))/$G27,_xll.qlInterpolationInterpolate(BM$3,$F27,TRUE))</f>
        <v>#NUM!</v>
      </c>
      <c r="BO27" s="34" t="str">
        <f>IF(AND(NOT(BM27),AND(BM$4:BM26)),IF(BM27&gt;$J27,MAX(EXP((BM27-$J27)*$G27),1),MIN(EXP((BM27-$J27)*$G27),1)),"")</f>
        <v/>
      </c>
    </row>
    <row r="28" spans="1:67" x14ac:dyDescent="0.2">
      <c r="A28" s="33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84" t="e">
        <f t="shared" si="0"/>
        <v>#N/A</v>
      </c>
      <c r="G28" s="85" t="e">
        <f>_xll.qlDayCounterYearFraction(DayCounter,D27,D28)</f>
        <v>#NUM!</v>
      </c>
      <c r="I28" s="93" t="b">
        <f t="shared" si="2"/>
        <v>0</v>
      </c>
      <c r="J28" s="37" t="e">
        <v>#N/A</v>
      </c>
      <c r="K28" s="94" t="e">
        <f t="shared" si="3"/>
        <v>#VALUE!</v>
      </c>
      <c r="L28" s="75"/>
      <c r="M28" s="72" t="b">
        <f>IF(AND(NOT(I28),AND(I$4:I27)),TRUE,I28)</f>
        <v>0</v>
      </c>
      <c r="N28" s="34" t="e">
        <f>IF(AND(NOT(ISBLANK(Jumpoverwrite1)),AND(NOT(M28),AND(M$4:M27))),($J28*$G28-LN(1+Jumpoverwrite1*O$2))/$G28,_xll.qlInterpolationInterpolate(M$3,$F28,TRUE))</f>
        <v>#NUM!</v>
      </c>
      <c r="O28" s="34" t="str">
        <f>IF(AND(NOT(M28),AND(M$4:M27)),IF(N28&gt;$J28,MAX(EXP((N28-$J28)*$G28),1),MIN(EXP((N28-$J28)*$G28),1)),"")</f>
        <v/>
      </c>
      <c r="P28" s="108"/>
      <c r="Q28" s="72" t="b">
        <f>IF(AND(NOT(M28),AND(M$4:M27)),TRUE,M28)</f>
        <v>0</v>
      </c>
      <c r="R28" s="34" t="e">
        <f>IF(AND(NOT(ISBLANK(Jumpoverwrite2)),AND(NOT(Q28),AND(Q$4:Q27))),($J28*$G28-LN(1+Jumpoverwrite2*S$2))/$G28,_xll.qlInterpolationInterpolate(Q$3,$F28,TRUE))</f>
        <v>#NUM!</v>
      </c>
      <c r="S28" s="34" t="str">
        <f>IF(AND(NOT(Q28),AND(Q$4:Q27)),IF(R28&gt;$J28,MAX(EXP((R28-$J28)*$G28),1),MIN(EXP((R28-$J28)*$G28),1)),"")</f>
        <v/>
      </c>
      <c r="T28" s="108"/>
      <c r="U28" s="72" t="b">
        <f>IF(AND(NOT(Q28),AND(Q$4:Q27)),TRUE,Q28)</f>
        <v>0</v>
      </c>
      <c r="V28" s="34" t="e">
        <f>IF(AND(NOT(ISBLANK(Jumpoverwrite3)),AND(NOT(U28),AND(U$4:U27))),($J28*$G28-LN(1+Jumpoverwrite3*W$2))/$G28,_xll.qlInterpolationInterpolate(U$3,$F28,TRUE))</f>
        <v>#NUM!</v>
      </c>
      <c r="W28" s="34" t="str">
        <f>IF(AND(NOT(U28),AND(U$4:U27)),IF(V28&gt;$J28,MAX(EXP((V28-$J28)*$G28),1),MIN(EXP((V28-$J28)*$G28),1)),"")</f>
        <v/>
      </c>
      <c r="X28" s="108"/>
      <c r="Y28" s="72" t="b">
        <f>IF(AND(NOT(U28),AND(U$4:U27)),TRUE,U28)</f>
        <v>0</v>
      </c>
      <c r="Z28" s="34" t="e">
        <f>IF(AND(NOT(ISBLANK(Jumpoverwrite4)),AND(NOT(Y28),AND(Y$4:Y27))),($J28*$G28-LN(1+Jumpoverwrite4*AA$2))/$G28,_xll.qlInterpolationInterpolate(Y$3,$F28,TRUE))</f>
        <v>#NUM!</v>
      </c>
      <c r="AA28" s="34" t="str">
        <f>IF(AND(NOT(Y28),AND(Y$4:Y27)),IF(Z28&gt;$J28,MAX(EXP((Z28-$J28)*$G28),1),MIN(EXP((Z28-$J28)*$G28),1)),"")</f>
        <v/>
      </c>
      <c r="AB28" s="108"/>
      <c r="AC28" s="72" t="b">
        <f>IF(AND(NOT(Y28),AND(Y$4:Y27)),TRUE,Y28)</f>
        <v>0</v>
      </c>
      <c r="AD28" s="34" t="e">
        <f>IF(AND(NOT(ISBLANK(Jumpoverwrite5)),AND(NOT(AC28),AND(AC$4:AC27))),($J28*$G28-LN(1+Jumpoverwrite5*AE$2))/$G28,_xll.qlInterpolationInterpolate(AC$3,$F28,TRUE))</f>
        <v>#NUM!</v>
      </c>
      <c r="AE28" s="34" t="str">
        <f>IF(AND(NOT(AC28),AND(AC$4:AC27)),IF(AD28&gt;$J28,MAX(EXP((AD28-$J28)*$G28),1),MIN(EXP((AD28-$J28)*$G28),1)),"")</f>
        <v/>
      </c>
      <c r="AF28" s="108"/>
      <c r="AG28" s="72" t="b">
        <f>IF(AND(NOT(AC28),AND(AC$4:AC27)),TRUE,AC28)</f>
        <v>0</v>
      </c>
      <c r="AH28" s="34" t="e">
        <f>IF(AND(NOT(ISBLANK(Jumpoverwrite6)),AND(NOT(AG28),AND(AG$4:AG27))),($J28*$G28-LN(1+Jumpoverwrite6*AI$2))/$G28,_xll.qlInterpolationInterpolate(AG$3,$F28,TRUE))</f>
        <v>#NUM!</v>
      </c>
      <c r="AI28" s="34" t="str">
        <f>IF(AND(NOT(AG28),AND(AG$4:AG27)),IF(AH28&gt;$J28,MAX(EXP((AH28-$J28)*$G28),1),MIN(EXP((AH28-$J28)*$G28),1)),"")</f>
        <v/>
      </c>
      <c r="AJ28" s="108"/>
      <c r="AK28" s="72" t="b">
        <f>IF(AND(NOT(AG28),AND(AG$4:AG27)),TRUE,AG28)</f>
        <v>0</v>
      </c>
      <c r="AL28" s="34" t="e">
        <f>IF(AND(NOT(ISBLANK(Jumpoverwrite7)),AND(NOT(AK28),AND(AK$4:AK27))),($J28*$G28-LN(1+Jumpoverwrite7*AM$2))/$G28,_xll.qlInterpolationInterpolate(AK$3,$F28,TRUE))</f>
        <v>#NUM!</v>
      </c>
      <c r="AM28" s="34" t="str">
        <f>IF(AND(NOT(AK28),AND(AK$4:AK27)),IF(AL28&gt;$J28,MAX(EXP((AL28-$J28)*$G28),1),MIN(EXP((AL28-$J28)*$G28),1)),"")</f>
        <v/>
      </c>
      <c r="AO28" s="72" t="b">
        <f>IF(AND(NOT(AK28),AND(AK$4:AK27)),TRUE,AK28)</f>
        <v>0</v>
      </c>
      <c r="AP28" s="34" t="e">
        <f>IF(AND(NOT(ISBLANK(Jumpoverwrite8)),AND(NOT(AO28),AND(AO$4:AO27))),($J28*$G28-LN(1+Jumpoverwrite8*AQ$2))/$G28,_xll.qlInterpolationInterpolate(AO$3,$F28,TRUE))</f>
        <v>#NUM!</v>
      </c>
      <c r="AQ28" s="34" t="str">
        <f>IF(AND(NOT(AO28),AND(AO$4:AO27)),IF(AP28&gt;$J28,MAX(EXP((AP28-$J28)*$G28),1),MIN(EXP((AP28-$J28)*$G28),1)),"")</f>
        <v/>
      </c>
      <c r="AS28" s="72" t="b">
        <f>IF(AND(NOT(AO28),AND(AO$4:AO27)),TRUE,AO28)</f>
        <v>0</v>
      </c>
      <c r="AT28" s="34" t="e">
        <f>IF(AND(NOT(ISBLANK(Jumpoverwrite9)),AND(NOT(AS28),AND(AS$4:AS27))),($J28*$G28-LN(1+Jumpoverwrite9*AU$2))/$G28,_xll.qlInterpolationInterpolate(AS$3,$F28,TRUE))</f>
        <v>#NUM!</v>
      </c>
      <c r="AU28" s="34" t="str">
        <f>IF(AND(NOT(AS28),AND(AS$4:AS27)),IF(AT28&gt;$J28,MAX(EXP((AT28-$J28)*$G28),1),MIN(EXP((AT28-$J28)*$G28),1)),"")</f>
        <v/>
      </c>
      <c r="AW28" s="72" t="b">
        <f>IF(AND(NOT(AS28),AND(AS$4:AS27)),TRUE,AS28)</f>
        <v>0</v>
      </c>
      <c r="AX28" s="34" t="e">
        <f>IF(AND(NOT(ISBLANK(Jumpoverwrite10)),AND(NOT(AW28),AND(AW$4:AW27))),($J28*$G28-LN(1+Jumpoverwrite10*AY$2))/$G28,_xll.qlInterpolationInterpolate(AW$3,$F28,TRUE))</f>
        <v>#NUM!</v>
      </c>
      <c r="AY28" s="34" t="str">
        <f>IF(AND(NOT(AW28),AND(AW$4:AW27)),IF(AX28&gt;$J28,MAX(EXP((AX28-$J28)*$G28),1),MIN(EXP((AX28-$J28)*$G28),1)),"")</f>
        <v/>
      </c>
      <c r="BA28" s="72" t="b">
        <f>IF(AND(NOT(AW28),AND(AW$4:AW27)),TRUE,AW28)</f>
        <v>0</v>
      </c>
      <c r="BB28" s="34" t="e">
        <f>IF(AND(NOT(ISBLANK(Jumpoverwrite11)),AND(NOT(BA28),AND(BA$4:BA27))),($J28*$G28-LN(1+Jumpoverwrite11*BC$2))/$G28,_xll.qlInterpolationInterpolate(BA$3,$F28,TRUE))</f>
        <v>#NUM!</v>
      </c>
      <c r="BC28" s="34" t="str">
        <f>IF(AND(NOT(BA28),AND(BA$4:BA27)),IF(BB28&gt;$J28,MAX(EXP((BB28-$J28)*$G28),1),MIN(EXP((BB28-$J28)*$G28),1)),"")</f>
        <v/>
      </c>
      <c r="BE28" s="72" t="b">
        <f>IF(AND(NOT(BA28),AND(BA$4:BA27)),TRUE,BA28)</f>
        <v>0</v>
      </c>
      <c r="BF28" s="34" t="e">
        <f>IF(AND(NOT(ISBLANK(Jumpoverwrite12)),AND(NOT(BE28),AND(BE$4:BE27))),($J28*$G28-LN(1+Jumpoverwrite12*BG$2))/$G28,_xll.qlInterpolationInterpolate(BE$3,$F28,TRUE))</f>
        <v>#NUM!</v>
      </c>
      <c r="BG28" s="34" t="str">
        <f>IF(AND(NOT(BE28),AND(BE$4:BE27)),IF(BF28&gt;$J28,MAX(EXP((BF28-$J28)*$G28),1),MIN(EXP((BF28-$J28)*$G28),1)),"")</f>
        <v/>
      </c>
      <c r="BI28" s="72" t="b">
        <f t="shared" si="1"/>
        <v>0</v>
      </c>
      <c r="BJ28" s="34" t="e">
        <f>IF(AND(NOT(ISBLANK(jumpoverwrite13)),AND(NOT(BI28),AND(BI$4:BI27))),($J28*$G28-LN(1+jumpoverwrite13*BK$2))/$G28,_xll.qlInterpolationInterpolate(BI$3,$F28,TRUE))</f>
        <v>#NUM!</v>
      </c>
      <c r="BK28" s="34" t="str">
        <f>IF(AND(NOT(BI28),AND(BI$4:BI27)),IF(BJ28&gt;$J28,MAX(EXP((BJ28-$J28)*$G28),1),MIN(EXP((BJ28-$J28)*$G28),1)),"")</f>
        <v/>
      </c>
      <c r="BM28" s="72" t="b">
        <f>IF(AND(NOT(BI28),AND(BI$4:BI27)),TRUE,BI28)</f>
        <v>0</v>
      </c>
      <c r="BN28" s="175" t="e">
        <f>IF(AND(NOT(ISBLANK(Jumpoverwrite14)),AND(NOT(BM28),AND(BM$4:BM27))),($J28*$G28-LN(1+Jumpoverwrite14*BO$2))/$G28,_xll.qlInterpolationInterpolate(BM$3,$F28,TRUE))</f>
        <v>#NUM!</v>
      </c>
      <c r="BO28" s="34" t="str">
        <f>IF(AND(NOT(BM28),AND(BM$4:BM27)),IF(BM28&gt;$J28,MAX(EXP((BM28-$J28)*$G28),1),MIN(EXP((BM28-$J28)*$G28),1)),"")</f>
        <v/>
      </c>
    </row>
    <row r="29" spans="1:67" x14ac:dyDescent="0.2">
      <c r="A29" s="33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84" t="e">
        <f t="shared" si="0"/>
        <v>#N/A</v>
      </c>
      <c r="G29" s="85" t="e">
        <f>_xll.qlDayCounterYearFraction(DayCounter,D28,D29)</f>
        <v>#NUM!</v>
      </c>
      <c r="I29" s="93" t="b">
        <f t="shared" si="2"/>
        <v>0</v>
      </c>
      <c r="J29" s="37" t="e">
        <v>#N/A</v>
      </c>
      <c r="K29" s="94" t="e">
        <f t="shared" si="3"/>
        <v>#VALUE!</v>
      </c>
      <c r="L29" s="75"/>
      <c r="M29" s="72" t="b">
        <f>IF(AND(NOT(I29),AND(I$4:I28)),TRUE,I29)</f>
        <v>0</v>
      </c>
      <c r="N29" s="34" t="e">
        <f>IF(AND(NOT(ISBLANK(Jumpoverwrite1)),AND(NOT(M29),AND(M$4:M28))),($J29*$G29-LN(1+Jumpoverwrite1*O$2))/$G29,_xll.qlInterpolationInterpolate(M$3,$F29,TRUE))</f>
        <v>#NUM!</v>
      </c>
      <c r="O29" s="34" t="str">
        <f>IF(AND(NOT(M29),AND(M$4:M28)),IF(N29&gt;$J29,MAX(EXP((N29-$J29)*$G29),1),MIN(EXP((N29-$J29)*$G29),1)),"")</f>
        <v/>
      </c>
      <c r="P29" s="108"/>
      <c r="Q29" s="72" t="b">
        <f>IF(AND(NOT(M29),AND(M$4:M28)),TRUE,M29)</f>
        <v>0</v>
      </c>
      <c r="R29" s="34" t="e">
        <f>IF(AND(NOT(ISBLANK(Jumpoverwrite2)),AND(NOT(Q29),AND(Q$4:Q28))),($J29*$G29-LN(1+Jumpoverwrite2*S$2))/$G29,_xll.qlInterpolationInterpolate(Q$3,$F29,TRUE))</f>
        <v>#NUM!</v>
      </c>
      <c r="S29" s="34" t="str">
        <f>IF(AND(NOT(Q29),AND(Q$4:Q28)),IF(R29&gt;$J29,MAX(EXP((R29-$J29)*$G29),1),MIN(EXP((R29-$J29)*$G29),1)),"")</f>
        <v/>
      </c>
      <c r="T29" s="108"/>
      <c r="U29" s="72" t="b">
        <f>IF(AND(NOT(Q29),AND(Q$4:Q28)),TRUE,Q29)</f>
        <v>0</v>
      </c>
      <c r="V29" s="34" t="e">
        <f>IF(AND(NOT(ISBLANK(Jumpoverwrite3)),AND(NOT(U29),AND(U$4:U28))),($J29*$G29-LN(1+Jumpoverwrite3*W$2))/$G29,_xll.qlInterpolationInterpolate(U$3,$F29,TRUE))</f>
        <v>#NUM!</v>
      </c>
      <c r="W29" s="34" t="str">
        <f>IF(AND(NOT(U29),AND(U$4:U28)),IF(V29&gt;$J29,MAX(EXP((V29-$J29)*$G29),1),MIN(EXP((V29-$J29)*$G29),1)),"")</f>
        <v/>
      </c>
      <c r="X29" s="108"/>
      <c r="Y29" s="72" t="b">
        <f>IF(AND(NOT(U29),AND(U$4:U28)),TRUE,U29)</f>
        <v>0</v>
      </c>
      <c r="Z29" s="34" t="e">
        <f>IF(AND(NOT(ISBLANK(Jumpoverwrite4)),AND(NOT(Y29),AND(Y$4:Y28))),($J29*$G29-LN(1+Jumpoverwrite4*AA$2))/$G29,_xll.qlInterpolationInterpolate(Y$3,$F29,TRUE))</f>
        <v>#NUM!</v>
      </c>
      <c r="AA29" s="34" t="str">
        <f>IF(AND(NOT(Y29),AND(Y$4:Y28)),IF(Z29&gt;$J29,MAX(EXP((Z29-$J29)*$G29),1),MIN(EXP((Z29-$J29)*$G29),1)),"")</f>
        <v/>
      </c>
      <c r="AB29" s="108"/>
      <c r="AC29" s="72" t="b">
        <f>IF(AND(NOT(Y29),AND(Y$4:Y28)),TRUE,Y29)</f>
        <v>0</v>
      </c>
      <c r="AD29" s="34" t="e">
        <f>IF(AND(NOT(ISBLANK(Jumpoverwrite5)),AND(NOT(AC29),AND(AC$4:AC28))),($J29*$G29-LN(1+Jumpoverwrite5*AE$2))/$G29,_xll.qlInterpolationInterpolate(AC$3,$F29,TRUE))</f>
        <v>#NUM!</v>
      </c>
      <c r="AE29" s="34" t="str">
        <f>IF(AND(NOT(AC29),AND(AC$4:AC28)),IF(AD29&gt;$J29,MAX(EXP((AD29-$J29)*$G29),1),MIN(EXP((AD29-$J29)*$G29),1)),"")</f>
        <v/>
      </c>
      <c r="AF29" s="108"/>
      <c r="AG29" s="72" t="b">
        <f>IF(AND(NOT(AC29),AND(AC$4:AC28)),TRUE,AC29)</f>
        <v>0</v>
      </c>
      <c r="AH29" s="34" t="e">
        <f>IF(AND(NOT(ISBLANK(Jumpoverwrite6)),AND(NOT(AG29),AND(AG$4:AG28))),($J29*$G29-LN(1+Jumpoverwrite6*AI$2))/$G29,_xll.qlInterpolationInterpolate(AG$3,$F29,TRUE))</f>
        <v>#NUM!</v>
      </c>
      <c r="AI29" s="34" t="str">
        <f>IF(AND(NOT(AG29),AND(AG$4:AG28)),IF(AH29&gt;$J29,MAX(EXP((AH29-$J29)*$G29),1),MIN(EXP((AH29-$J29)*$G29),1)),"")</f>
        <v/>
      </c>
      <c r="AJ29" s="108"/>
      <c r="AK29" s="72" t="b">
        <f>IF(AND(NOT(AG29),AND(AG$4:AG28)),TRUE,AG29)</f>
        <v>0</v>
      </c>
      <c r="AL29" s="34" t="e">
        <f>IF(AND(NOT(ISBLANK(Jumpoverwrite7)),AND(NOT(AK29),AND(AK$4:AK28))),($J29*$G29-LN(1+Jumpoverwrite7*AM$2))/$G29,_xll.qlInterpolationInterpolate(AK$3,$F29,TRUE))</f>
        <v>#NUM!</v>
      </c>
      <c r="AM29" s="34" t="str">
        <f>IF(AND(NOT(AK29),AND(AK$4:AK28)),IF(AL29&gt;$J29,MAX(EXP((AL29-$J29)*$G29),1),MIN(EXP((AL29-$J29)*$G29),1)),"")</f>
        <v/>
      </c>
      <c r="AO29" s="72" t="b">
        <f>IF(AND(NOT(AK29),AND(AK$4:AK28)),TRUE,AK29)</f>
        <v>0</v>
      </c>
      <c r="AP29" s="34" t="e">
        <f>IF(AND(NOT(ISBLANK(Jumpoverwrite8)),AND(NOT(AO29),AND(AO$4:AO28))),($J29*$G29-LN(1+Jumpoverwrite8*AQ$2))/$G29,_xll.qlInterpolationInterpolate(AO$3,$F29,TRUE))</f>
        <v>#NUM!</v>
      </c>
      <c r="AQ29" s="34" t="str">
        <f>IF(AND(NOT(AO29),AND(AO$4:AO28)),IF(AP29&gt;$J29,MAX(EXP((AP29-$J29)*$G29),1),MIN(EXP((AP29-$J29)*$G29),1)),"")</f>
        <v/>
      </c>
      <c r="AS29" s="72" t="b">
        <f>IF(AND(NOT(AO29),AND(AO$4:AO28)),TRUE,AO29)</f>
        <v>0</v>
      </c>
      <c r="AT29" s="34" t="e">
        <f>IF(AND(NOT(ISBLANK(Jumpoverwrite9)),AND(NOT(AS29),AND(AS$4:AS28))),($J29*$G29-LN(1+Jumpoverwrite9*AU$2))/$G29,_xll.qlInterpolationInterpolate(AS$3,$F29,TRUE))</f>
        <v>#NUM!</v>
      </c>
      <c r="AU29" s="34" t="str">
        <f>IF(AND(NOT(AS29),AND(AS$4:AS28)),IF(AT29&gt;$J29,MAX(EXP((AT29-$J29)*$G29),1),MIN(EXP((AT29-$J29)*$G29),1)),"")</f>
        <v/>
      </c>
      <c r="AW29" s="72" t="b">
        <f>IF(AND(NOT(AS29),AND(AS$4:AS28)),TRUE,AS29)</f>
        <v>0</v>
      </c>
      <c r="AX29" s="34" t="e">
        <f>IF(AND(NOT(ISBLANK(Jumpoverwrite10)),AND(NOT(AW29),AND(AW$4:AW28))),($J29*$G29-LN(1+Jumpoverwrite10*AY$2))/$G29,_xll.qlInterpolationInterpolate(AW$3,$F29,TRUE))</f>
        <v>#NUM!</v>
      </c>
      <c r="AY29" s="34" t="str">
        <f>IF(AND(NOT(AW29),AND(AW$4:AW28)),IF(AX29&gt;$J29,MAX(EXP((AX29-$J29)*$G29),1),MIN(EXP((AX29-$J29)*$G29),1)),"")</f>
        <v/>
      </c>
      <c r="BA29" s="72" t="b">
        <f>IF(AND(NOT(AW29),AND(AW$4:AW28)),TRUE,AW29)</f>
        <v>0</v>
      </c>
      <c r="BB29" s="34" t="e">
        <f>IF(AND(NOT(ISBLANK(Jumpoverwrite11)),AND(NOT(BA29),AND(BA$4:BA28))),($J29*$G29-LN(1+Jumpoverwrite11*BC$2))/$G29,_xll.qlInterpolationInterpolate(BA$3,$F29,TRUE))</f>
        <v>#NUM!</v>
      </c>
      <c r="BC29" s="34" t="str">
        <f>IF(AND(NOT(BA29),AND(BA$4:BA28)),IF(BB29&gt;$J29,MAX(EXP((BB29-$J29)*$G29),1),MIN(EXP((BB29-$J29)*$G29),1)),"")</f>
        <v/>
      </c>
      <c r="BE29" s="72" t="b">
        <f>IF(AND(NOT(BA29),AND(BA$4:BA28)),TRUE,BA29)</f>
        <v>0</v>
      </c>
      <c r="BF29" s="34" t="e">
        <f>IF(AND(NOT(ISBLANK(Jumpoverwrite12)),AND(NOT(BE29),AND(BE$4:BE28))),($J29*$G29-LN(1+Jumpoverwrite12*BG$2))/$G29,_xll.qlInterpolationInterpolate(BE$3,$F29,TRUE))</f>
        <v>#NUM!</v>
      </c>
      <c r="BG29" s="34" t="str">
        <f>IF(AND(NOT(BE29),AND(BE$4:BE28)),IF(BF29&gt;$J29,MAX(EXP((BF29-$J29)*$G29),1),MIN(EXP((BF29-$J29)*$G29),1)),"")</f>
        <v/>
      </c>
      <c r="BI29" s="72" t="b">
        <f t="shared" si="1"/>
        <v>0</v>
      </c>
      <c r="BJ29" s="34" t="e">
        <f>IF(AND(NOT(ISBLANK(jumpoverwrite13)),AND(NOT(BI29),AND(BI$4:BI28))),($J29*$G29-LN(1+jumpoverwrite13*BK$2))/$G29,_xll.qlInterpolationInterpolate(BI$3,$F29,TRUE))</f>
        <v>#NUM!</v>
      </c>
      <c r="BK29" s="34" t="str">
        <f>IF(AND(NOT(BI29),AND(BI$4:BI28)),IF(BJ29&gt;$J29,MAX(EXP((BJ29-$J29)*$G29),1),MIN(EXP((BJ29-$J29)*$G29),1)),"")</f>
        <v/>
      </c>
      <c r="BM29" s="72" t="b">
        <f>IF(AND(NOT(BI29),AND(BI$4:BI28)),TRUE,BI29)</f>
        <v>0</v>
      </c>
      <c r="BN29" s="175" t="e">
        <f>IF(AND(NOT(ISBLANK(Jumpoverwrite14)),AND(NOT(BM29),AND(BM$4:BM28))),($J29*$G29-LN(1+Jumpoverwrite14*BO$2))/$G29,_xll.qlInterpolationInterpolate(BM$3,$F29,TRUE))</f>
        <v>#NUM!</v>
      </c>
      <c r="BO29" s="34" t="str">
        <f>IF(AND(NOT(BM29),AND(BM$4:BM28)),IF(BM29&gt;$J29,MAX(EXP((BM29-$J29)*$G29),1),MIN(EXP((BM29-$J29)*$G29),1)),"")</f>
        <v/>
      </c>
    </row>
    <row r="30" spans="1:67" x14ac:dyDescent="0.2">
      <c r="A30" s="33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84" t="e">
        <f t="shared" si="0"/>
        <v>#N/A</v>
      </c>
      <c r="G30" s="85" t="e">
        <f>_xll.qlDayCounterYearFraction(DayCounter,D29,D30)</f>
        <v>#NUM!</v>
      </c>
      <c r="I30" s="93" t="b">
        <f t="shared" si="2"/>
        <v>0</v>
      </c>
      <c r="J30" s="37" t="e">
        <v>#N/A</v>
      </c>
      <c r="K30" s="94" t="e">
        <f t="shared" si="3"/>
        <v>#VALUE!</v>
      </c>
      <c r="L30" s="75"/>
      <c r="M30" s="72" t="b">
        <f>IF(AND(NOT(I30),AND(I$4:I29)),TRUE,I30)</f>
        <v>0</v>
      </c>
      <c r="N30" s="34" t="e">
        <f>IF(AND(NOT(ISBLANK(Jumpoverwrite1)),AND(NOT(M30),AND(M$4:M29))),($J30*$G30-LN(1+Jumpoverwrite1*O$2))/$G30,_xll.qlInterpolationInterpolate(M$3,$F30,TRUE))</f>
        <v>#NUM!</v>
      </c>
      <c r="O30" s="34" t="str">
        <f>IF(AND(NOT(M30),AND(M$4:M29)),IF(N30&gt;$J30,MAX(EXP((N30-$J30)*$G30),1),MIN(EXP((N30-$J30)*$G30),1)),"")</f>
        <v/>
      </c>
      <c r="P30" s="108"/>
      <c r="Q30" s="72" t="b">
        <f>IF(AND(NOT(M30),AND(M$4:M29)),TRUE,M30)</f>
        <v>0</v>
      </c>
      <c r="R30" s="34" t="e">
        <f>IF(AND(NOT(ISBLANK(Jumpoverwrite2)),AND(NOT(Q30),AND(Q$4:Q29))),($J30*$G30-LN(1+Jumpoverwrite2*S$2))/$G30,_xll.qlInterpolationInterpolate(Q$3,$F30,TRUE))</f>
        <v>#NUM!</v>
      </c>
      <c r="S30" s="34" t="str">
        <f>IF(AND(NOT(Q30),AND(Q$4:Q29)),IF(R30&gt;$J30,MAX(EXP((R30-$J30)*$G30),1),MIN(EXP((R30-$J30)*$G30),1)),"")</f>
        <v/>
      </c>
      <c r="T30" s="108"/>
      <c r="U30" s="72" t="b">
        <f>IF(AND(NOT(Q30),AND(Q$4:Q29)),TRUE,Q30)</f>
        <v>0</v>
      </c>
      <c r="V30" s="34" t="e">
        <f>IF(AND(NOT(ISBLANK(Jumpoverwrite3)),AND(NOT(U30),AND(U$4:U29))),($J30*$G30-LN(1+Jumpoverwrite3*W$2))/$G30,_xll.qlInterpolationInterpolate(U$3,$F30,TRUE))</f>
        <v>#NUM!</v>
      </c>
      <c r="W30" s="34" t="str">
        <f>IF(AND(NOT(U30),AND(U$4:U29)),IF(V30&gt;$J30,MAX(EXP((V30-$J30)*$G30),1),MIN(EXP((V30-$J30)*$G30),1)),"")</f>
        <v/>
      </c>
      <c r="X30" s="108"/>
      <c r="Y30" s="72" t="b">
        <f>IF(AND(NOT(U30),AND(U$4:U29)),TRUE,U30)</f>
        <v>0</v>
      </c>
      <c r="Z30" s="34" t="e">
        <f>IF(AND(NOT(ISBLANK(Jumpoverwrite4)),AND(NOT(Y30),AND(Y$4:Y29))),($J30*$G30-LN(1+Jumpoverwrite4*AA$2))/$G30,_xll.qlInterpolationInterpolate(Y$3,$F30,TRUE))</f>
        <v>#NUM!</v>
      </c>
      <c r="AA30" s="34" t="str">
        <f>IF(AND(NOT(Y30),AND(Y$4:Y29)),IF(Z30&gt;$J30,MAX(EXP((Z30-$J30)*$G30),1),MIN(EXP((Z30-$J30)*$G30),1)),"")</f>
        <v/>
      </c>
      <c r="AB30" s="108"/>
      <c r="AC30" s="72" t="b">
        <f>IF(AND(NOT(Y30),AND(Y$4:Y29)),TRUE,Y30)</f>
        <v>0</v>
      </c>
      <c r="AD30" s="34" t="e">
        <f>IF(AND(NOT(ISBLANK(Jumpoverwrite5)),AND(NOT(AC30),AND(AC$4:AC29))),($J30*$G30-LN(1+Jumpoverwrite5*AE$2))/$G30,_xll.qlInterpolationInterpolate(AC$3,$F30,TRUE))</f>
        <v>#NUM!</v>
      </c>
      <c r="AE30" s="34" t="str">
        <f>IF(AND(NOT(AC30),AND(AC$4:AC29)),IF(AD30&gt;$J30,MAX(EXP((AD30-$J30)*$G30),1),MIN(EXP((AD30-$J30)*$G30),1)),"")</f>
        <v/>
      </c>
      <c r="AF30" s="108"/>
      <c r="AG30" s="72" t="b">
        <f>IF(AND(NOT(AC30),AND(AC$4:AC29)),TRUE,AC30)</f>
        <v>0</v>
      </c>
      <c r="AH30" s="34" t="e">
        <f>IF(AND(NOT(ISBLANK(Jumpoverwrite6)),AND(NOT(AG30),AND(AG$4:AG29))),($J30*$G30-LN(1+Jumpoverwrite6*AI$2))/$G30,_xll.qlInterpolationInterpolate(AG$3,$F30,TRUE))</f>
        <v>#NUM!</v>
      </c>
      <c r="AI30" s="34" t="str">
        <f>IF(AND(NOT(AG30),AND(AG$4:AG29)),IF(AH30&gt;$J30,MAX(EXP((AH30-$J30)*$G30),1),MIN(EXP((AH30-$J30)*$G30),1)),"")</f>
        <v/>
      </c>
      <c r="AJ30" s="108"/>
      <c r="AK30" s="72" t="b">
        <f>IF(AND(NOT(AG30),AND(AG$4:AG29)),TRUE,AG30)</f>
        <v>0</v>
      </c>
      <c r="AL30" s="34" t="e">
        <f>IF(AND(NOT(ISBLANK(Jumpoverwrite7)),AND(NOT(AK30),AND(AK$4:AK29))),($J30*$G30-LN(1+Jumpoverwrite7*AM$2))/$G30,_xll.qlInterpolationInterpolate(AK$3,$F30,TRUE))</f>
        <v>#NUM!</v>
      </c>
      <c r="AM30" s="34" t="str">
        <f>IF(AND(NOT(AK30),AND(AK$4:AK29)),IF(AL30&gt;$J30,MAX(EXP((AL30-$J30)*$G30),1),MIN(EXP((AL30-$J30)*$G30),1)),"")</f>
        <v/>
      </c>
      <c r="AO30" s="72" t="b">
        <f>IF(AND(NOT(AK30),AND(AK$4:AK29)),TRUE,AK30)</f>
        <v>0</v>
      </c>
      <c r="AP30" s="34" t="e">
        <f>IF(AND(NOT(ISBLANK(Jumpoverwrite8)),AND(NOT(AO30),AND(AO$4:AO29))),($J30*$G30-LN(1+Jumpoverwrite8*AQ$2))/$G30,_xll.qlInterpolationInterpolate(AO$3,$F30,TRUE))</f>
        <v>#NUM!</v>
      </c>
      <c r="AQ30" s="34" t="str">
        <f>IF(AND(NOT(AO30),AND(AO$4:AO29)),IF(AP30&gt;$J30,MAX(EXP((AP30-$J30)*$G30),1),MIN(EXP((AP30-$J30)*$G30),1)),"")</f>
        <v/>
      </c>
      <c r="AS30" s="72" t="b">
        <f>IF(AND(NOT(AO30),AND(AO$4:AO29)),TRUE,AO30)</f>
        <v>0</v>
      </c>
      <c r="AT30" s="34" t="e">
        <f>IF(AND(NOT(ISBLANK(Jumpoverwrite9)),AND(NOT(AS30),AND(AS$4:AS29))),($J30*$G30-LN(1+Jumpoverwrite9*AU$2))/$G30,_xll.qlInterpolationInterpolate(AS$3,$F30,TRUE))</f>
        <v>#NUM!</v>
      </c>
      <c r="AU30" s="34" t="str">
        <f>IF(AND(NOT(AS30),AND(AS$4:AS29)),IF(AT30&gt;$J30,MAX(EXP((AT30-$J30)*$G30),1),MIN(EXP((AT30-$J30)*$G30),1)),"")</f>
        <v/>
      </c>
      <c r="AW30" s="72" t="b">
        <f>IF(AND(NOT(AS30),AND(AS$4:AS29)),TRUE,AS30)</f>
        <v>0</v>
      </c>
      <c r="AX30" s="34" t="e">
        <f>IF(AND(NOT(ISBLANK(Jumpoverwrite10)),AND(NOT(AW30),AND(AW$4:AW29))),($J30*$G30-LN(1+Jumpoverwrite10*AY$2))/$G30,_xll.qlInterpolationInterpolate(AW$3,$F30,TRUE))</f>
        <v>#NUM!</v>
      </c>
      <c r="AY30" s="34" t="str">
        <f>IF(AND(NOT(AW30),AND(AW$4:AW29)),IF(AX30&gt;$J30,MAX(EXP((AX30-$J30)*$G30),1),MIN(EXP((AX30-$J30)*$G30),1)),"")</f>
        <v/>
      </c>
      <c r="BA30" s="72" t="b">
        <f>IF(AND(NOT(AW30),AND(AW$4:AW29)),TRUE,AW30)</f>
        <v>0</v>
      </c>
      <c r="BB30" s="34" t="e">
        <f>IF(AND(NOT(ISBLANK(Jumpoverwrite11)),AND(NOT(BA30),AND(BA$4:BA29))),($J30*$G30-LN(1+Jumpoverwrite11*BC$2))/$G30,_xll.qlInterpolationInterpolate(BA$3,$F30,TRUE))</f>
        <v>#NUM!</v>
      </c>
      <c r="BC30" s="34" t="str">
        <f>IF(AND(NOT(BA30),AND(BA$4:BA29)),IF(BB30&gt;$J30,MAX(EXP((BB30-$J30)*$G30),1),MIN(EXP((BB30-$J30)*$G30),1)),"")</f>
        <v/>
      </c>
      <c r="BE30" s="72" t="b">
        <f>IF(AND(NOT(BA30),AND(BA$4:BA29)),TRUE,BA30)</f>
        <v>0</v>
      </c>
      <c r="BF30" s="34" t="e">
        <f>IF(AND(NOT(ISBLANK(Jumpoverwrite12)),AND(NOT(BE30),AND(BE$4:BE29))),($J30*$G30-LN(1+Jumpoverwrite12*BG$2))/$G30,_xll.qlInterpolationInterpolate(BE$3,$F30,TRUE))</f>
        <v>#NUM!</v>
      </c>
      <c r="BG30" s="34" t="str">
        <f>IF(AND(NOT(BE30),AND(BE$4:BE29)),IF(BF30&gt;$J30,MAX(EXP((BF30-$J30)*$G30),1),MIN(EXP((BF30-$J30)*$G30),1)),"")</f>
        <v/>
      </c>
      <c r="BI30" s="72" t="b">
        <f t="shared" si="1"/>
        <v>0</v>
      </c>
      <c r="BJ30" s="34" t="e">
        <f>IF(AND(NOT(ISBLANK(jumpoverwrite13)),AND(NOT(BI30),AND(BI$4:BI29))),($J30*$G30-LN(1+jumpoverwrite13*BK$2))/$G30,_xll.qlInterpolationInterpolate(BI$3,$F30,TRUE))</f>
        <v>#NUM!</v>
      </c>
      <c r="BK30" s="34" t="str">
        <f>IF(AND(NOT(BI30),AND(BI$4:BI29)),IF(BJ30&gt;$J30,MAX(EXP((BJ30-$J30)*$G30),1),MIN(EXP((BJ30-$J30)*$G30),1)),"")</f>
        <v/>
      </c>
      <c r="BM30" s="72" t="b">
        <f>IF(AND(NOT(BI30),AND(BI$4:BI29)),TRUE,BI30)</f>
        <v>0</v>
      </c>
      <c r="BN30" s="175" t="e">
        <f>IF(AND(NOT(ISBLANK(Jumpoverwrite14)),AND(NOT(BM30),AND(BM$4:BM29))),($J30*$G30-LN(1+Jumpoverwrite14*BO$2))/$G30,_xll.qlInterpolationInterpolate(BM$3,$F30,TRUE))</f>
        <v>#NUM!</v>
      </c>
      <c r="BO30" s="34" t="str">
        <f>IF(AND(NOT(BM30),AND(BM$4:BM29)),IF(BM30&gt;$J30,MAX(EXP((BM30-$J30)*$G30),1),MIN(EXP((BM30-$J30)*$G30),1)),"")</f>
        <v/>
      </c>
    </row>
    <row r="31" spans="1:67" x14ac:dyDescent="0.2">
      <c r="A31" s="33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84" t="e">
        <f t="shared" ref="F31:F94" si="4">IF(ISERROR(D31),NA(),(D31-D30)/2+D30)</f>
        <v>#N/A</v>
      </c>
      <c r="G31" s="85" t="e">
        <f>_xll.qlDayCounterYearFraction(DayCounter,D30,D31)</f>
        <v>#NUM!</v>
      </c>
      <c r="I31" s="93" t="b">
        <f t="shared" si="2"/>
        <v>0</v>
      </c>
      <c r="J31" s="37" t="e">
        <v>#N/A</v>
      </c>
      <c r="K31" s="94" t="e">
        <f t="shared" si="3"/>
        <v>#VALUE!</v>
      </c>
      <c r="L31" s="106"/>
      <c r="M31" s="72" t="b">
        <f>IF(AND(NOT(I31),AND(I$4:I30)),TRUE,I31)</f>
        <v>0</v>
      </c>
      <c r="N31" s="34" t="e">
        <f>IF(AND(NOT(ISBLANK(Jumpoverwrite1)),AND(NOT(M31),AND(M$4:M30))),($J31*$G31-LN(1+Jumpoverwrite1*O$2))/$G31,_xll.qlInterpolationInterpolate(M$3,$F31,TRUE))</f>
        <v>#NUM!</v>
      </c>
      <c r="O31" s="34" t="str">
        <f>IF(AND(NOT(M31),AND(M$4:M30)),IF(N31&gt;$J31,MAX(EXP((N31-$J31)*$G31),1),MIN(EXP((N31-$J31)*$G31),1)),"")</f>
        <v/>
      </c>
      <c r="P31" s="108"/>
      <c r="Q31" s="72" t="b">
        <f>IF(AND(NOT(M31),AND(M$4:M30)),TRUE,M31)</f>
        <v>0</v>
      </c>
      <c r="R31" s="34" t="e">
        <f>IF(AND(NOT(ISBLANK(Jumpoverwrite2)),AND(NOT(Q31),AND(Q$4:Q30))),($J31*$G31-LN(1+Jumpoverwrite2*S$2))/$G31,_xll.qlInterpolationInterpolate(Q$3,$F31,TRUE))</f>
        <v>#NUM!</v>
      </c>
      <c r="S31" s="34" t="str">
        <f>IF(AND(NOT(Q31),AND(Q$4:Q30)),IF(R31&gt;$J31,MAX(EXP((R31-$J31)*$G31),1),MIN(EXP((R31-$J31)*$G31),1)),"")</f>
        <v/>
      </c>
      <c r="T31" s="108"/>
      <c r="U31" s="72" t="b">
        <f>IF(AND(NOT(Q31),AND(Q$4:Q30)),TRUE,Q31)</f>
        <v>0</v>
      </c>
      <c r="V31" s="34" t="e">
        <f>IF(AND(NOT(ISBLANK(Jumpoverwrite3)),AND(NOT(U31),AND(U$4:U30))),($J31*$G31-LN(1+Jumpoverwrite3*W$2))/$G31,_xll.qlInterpolationInterpolate(U$3,$F31,TRUE))</f>
        <v>#NUM!</v>
      </c>
      <c r="W31" s="34" t="str">
        <f>IF(AND(NOT(U31),AND(U$4:U30)),IF(V31&gt;$J31,MAX(EXP((V31-$J31)*$G31),1),MIN(EXP((V31-$J31)*$G31),1)),"")</f>
        <v/>
      </c>
      <c r="X31" s="108"/>
      <c r="Y31" s="72" t="b">
        <f>IF(AND(NOT(U31),AND(U$4:U30)),TRUE,U31)</f>
        <v>0</v>
      </c>
      <c r="Z31" s="34" t="e">
        <f>IF(AND(NOT(ISBLANK(Jumpoverwrite4)),AND(NOT(Y31),AND(Y$4:Y30))),($J31*$G31-LN(1+Jumpoverwrite4*AA$2))/$G31,_xll.qlInterpolationInterpolate(Y$3,$F31,TRUE))</f>
        <v>#NUM!</v>
      </c>
      <c r="AA31" s="34" t="str">
        <f>IF(AND(NOT(Y31),AND(Y$4:Y30)),IF(Z31&gt;$J31,MAX(EXP((Z31-$J31)*$G31),1),MIN(EXP((Z31-$J31)*$G31),1)),"")</f>
        <v/>
      </c>
      <c r="AB31" s="108"/>
      <c r="AC31" s="72" t="b">
        <f>IF(AND(NOT(Y31),AND(Y$4:Y30)),TRUE,Y31)</f>
        <v>0</v>
      </c>
      <c r="AD31" s="34" t="e">
        <f>IF(AND(NOT(ISBLANK(Jumpoverwrite5)),AND(NOT(AC31),AND(AC$4:AC30))),($J31*$G31-LN(1+Jumpoverwrite5*AE$2))/$G31,_xll.qlInterpolationInterpolate(AC$3,$F31,TRUE))</f>
        <v>#NUM!</v>
      </c>
      <c r="AE31" s="34" t="str">
        <f>IF(AND(NOT(AC31),AND(AC$4:AC30)),IF(AD31&gt;$J31,MAX(EXP((AD31-$J31)*$G31),1),MIN(EXP((AD31-$J31)*$G31),1)),"")</f>
        <v/>
      </c>
      <c r="AF31" s="108"/>
      <c r="AG31" s="72" t="b">
        <f>IF(AND(NOT(AC31),AND(AC$4:AC30)),TRUE,AC31)</f>
        <v>0</v>
      </c>
      <c r="AH31" s="34" t="e">
        <f>IF(AND(NOT(ISBLANK(Jumpoverwrite6)),AND(NOT(AG31),AND(AG$4:AG30))),($J31*$G31-LN(1+Jumpoverwrite6*AI$2))/$G31,_xll.qlInterpolationInterpolate(AG$3,$F31,TRUE))</f>
        <v>#NUM!</v>
      </c>
      <c r="AI31" s="34" t="str">
        <f>IF(AND(NOT(AG31),AND(AG$4:AG30)),IF(AH31&gt;$J31,MAX(EXP((AH31-$J31)*$G31),1),MIN(EXP((AH31-$J31)*$G31),1)),"")</f>
        <v/>
      </c>
      <c r="AJ31" s="108"/>
      <c r="AK31" s="72" t="b">
        <f>IF(AND(NOT(AG31),AND(AG$4:AG30)),TRUE,AG31)</f>
        <v>0</v>
      </c>
      <c r="AL31" s="34" t="e">
        <f>IF(AND(NOT(ISBLANK(Jumpoverwrite7)),AND(NOT(AK31),AND(AK$4:AK30))),($J31*$G31-LN(1+Jumpoverwrite7*AM$2))/$G31,_xll.qlInterpolationInterpolate(AK$3,$F31,TRUE))</f>
        <v>#NUM!</v>
      </c>
      <c r="AM31" s="34" t="str">
        <f>IF(AND(NOT(AK31),AND(AK$4:AK30)),IF(AL31&gt;$J31,MAX(EXP((AL31-$J31)*$G31),1),MIN(EXP((AL31-$J31)*$G31),1)),"")</f>
        <v/>
      </c>
      <c r="AO31" s="72" t="b">
        <f>IF(AND(NOT(AK31),AND(AK$4:AK30)),TRUE,AK31)</f>
        <v>0</v>
      </c>
      <c r="AP31" s="34" t="e">
        <f>IF(AND(NOT(ISBLANK(Jumpoverwrite8)),AND(NOT(AO31),AND(AO$4:AO30))),($J31*$G31-LN(1+Jumpoverwrite8*AQ$2))/$G31,_xll.qlInterpolationInterpolate(AO$3,$F31,TRUE))</f>
        <v>#NUM!</v>
      </c>
      <c r="AQ31" s="34" t="str">
        <f>IF(AND(NOT(AO31),AND(AO$4:AO30)),IF(AP31&gt;$J31,MAX(EXP((AP31-$J31)*$G31),1),MIN(EXP((AP31-$J31)*$G31),1)),"")</f>
        <v/>
      </c>
      <c r="AS31" s="72" t="b">
        <f>IF(AND(NOT(AO31),AND(AO$4:AO30)),TRUE,AO31)</f>
        <v>0</v>
      </c>
      <c r="AT31" s="34" t="e">
        <f>IF(AND(NOT(ISBLANK(Jumpoverwrite9)),AND(NOT(AS31),AND(AS$4:AS30))),($J31*$G31-LN(1+Jumpoverwrite9*AU$2))/$G31,_xll.qlInterpolationInterpolate(AS$3,$F31,TRUE))</f>
        <v>#NUM!</v>
      </c>
      <c r="AU31" s="34" t="str">
        <f>IF(AND(NOT(AS31),AND(AS$4:AS30)),IF(AT31&gt;$J31,MAX(EXP((AT31-$J31)*$G31),1),MIN(EXP((AT31-$J31)*$G31),1)),"")</f>
        <v/>
      </c>
      <c r="AW31" s="72" t="b">
        <f>IF(AND(NOT(AS31),AND(AS$4:AS30)),TRUE,AS31)</f>
        <v>0</v>
      </c>
      <c r="AX31" s="34" t="e">
        <f>IF(AND(NOT(ISBLANK(Jumpoverwrite10)),AND(NOT(AW31),AND(AW$4:AW30))),($J31*$G31-LN(1+Jumpoverwrite10*AY$2))/$G31,_xll.qlInterpolationInterpolate(AW$3,$F31,TRUE))</f>
        <v>#NUM!</v>
      </c>
      <c r="AY31" s="34" t="str">
        <f>IF(AND(NOT(AW31),AND(AW$4:AW30)),IF(AX31&gt;$J31,MAX(EXP((AX31-$J31)*$G31),1),MIN(EXP((AX31-$J31)*$G31),1)),"")</f>
        <v/>
      </c>
      <c r="BA31" s="72" t="b">
        <f>IF(AND(NOT(AW31),AND(AW$4:AW30)),TRUE,AW31)</f>
        <v>0</v>
      </c>
      <c r="BB31" s="34" t="e">
        <f>IF(AND(NOT(ISBLANK(Jumpoverwrite11)),AND(NOT(BA31),AND(BA$4:BA30))),($J31*$G31-LN(1+Jumpoverwrite11*BC$2))/$G31,_xll.qlInterpolationInterpolate(BA$3,$F31,TRUE))</f>
        <v>#NUM!</v>
      </c>
      <c r="BC31" s="34" t="str">
        <f>IF(AND(NOT(BA31),AND(BA$4:BA30)),IF(BB31&gt;$J31,MAX(EXP((BB31-$J31)*$G31),1),MIN(EXP((BB31-$J31)*$G31),1)),"")</f>
        <v/>
      </c>
      <c r="BE31" s="72" t="b">
        <f>IF(AND(NOT(BA31),AND(BA$4:BA30)),TRUE,BA31)</f>
        <v>0</v>
      </c>
      <c r="BF31" s="34" t="e">
        <f>IF(AND(NOT(ISBLANK(Jumpoverwrite12)),AND(NOT(BE31),AND(BE$4:BE30))),($J31*$G31-LN(1+Jumpoverwrite12*BG$2))/$G31,_xll.qlInterpolationInterpolate(BE$3,$F31,TRUE))</f>
        <v>#NUM!</v>
      </c>
      <c r="BG31" s="34" t="str">
        <f>IF(AND(NOT(BE31),AND(BE$4:BE30)),IF(BF31&gt;$J31,MAX(EXP((BF31-$J31)*$G31),1),MIN(EXP((BF31-$J31)*$G31),1)),"")</f>
        <v/>
      </c>
      <c r="BI31" s="72" t="b">
        <f t="shared" si="1"/>
        <v>0</v>
      </c>
      <c r="BJ31" s="34" t="e">
        <f>IF(AND(NOT(ISBLANK(jumpoverwrite13)),AND(NOT(BI31),AND(BI$4:BI30))),($J31*$G31-LN(1+jumpoverwrite13*BK$2))/$G31,_xll.qlInterpolationInterpolate(BI$3,$F31,TRUE))</f>
        <v>#NUM!</v>
      </c>
      <c r="BK31" s="34" t="str">
        <f>IF(AND(NOT(BI31),AND(BI$4:BI30)),IF(BJ31&gt;$J31,MAX(EXP((BJ31-$J31)*$G31),1),MIN(EXP((BJ31-$J31)*$G31),1)),"")</f>
        <v/>
      </c>
      <c r="BM31" s="72" t="b">
        <f>IF(AND(NOT(BI31),AND(BI$4:BI30)),TRUE,BI31)</f>
        <v>0</v>
      </c>
      <c r="BN31" s="175" t="e">
        <f>IF(AND(NOT(ISBLANK(Jumpoverwrite14)),AND(NOT(BM31),AND(BM$4:BM30))),($J31*$G31-LN(1+Jumpoverwrite14*BO$2))/$G31,_xll.qlInterpolationInterpolate(BM$3,$F31,TRUE))</f>
        <v>#NUM!</v>
      </c>
      <c r="BO31" s="34" t="str">
        <f>IF(AND(NOT(BM31),AND(BM$4:BM30)),IF(BM31&gt;$J31,MAX(EXP((BM31-$J31)*$G31),1),MIN(EXP((BM31-$J31)*$G31),1)),"")</f>
        <v/>
      </c>
    </row>
    <row r="32" spans="1:67" x14ac:dyDescent="0.2">
      <c r="A32" s="33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84" t="e">
        <f t="shared" si="4"/>
        <v>#N/A</v>
      </c>
      <c r="G32" s="85" t="e">
        <f>_xll.qlDayCounterYearFraction(DayCounter,D31,D32)</f>
        <v>#NUM!</v>
      </c>
      <c r="I32" s="93" t="b">
        <f t="shared" si="2"/>
        <v>0</v>
      </c>
      <c r="J32" s="37" t="e">
        <v>#N/A</v>
      </c>
      <c r="K32" s="94" t="e">
        <f t="shared" si="3"/>
        <v>#VALUE!</v>
      </c>
      <c r="L32" s="106"/>
      <c r="M32" s="72" t="b">
        <f>IF(AND(NOT(I32),AND(I$4:I31)),TRUE,I32)</f>
        <v>0</v>
      </c>
      <c r="N32" s="34" t="e">
        <f>IF(AND(NOT(ISBLANK(Jumpoverwrite1)),AND(NOT(M32),AND(M$4:M31))),($J32*$G32-LN(1+Jumpoverwrite1*O$2))/$G32,_xll.qlInterpolationInterpolate(M$3,$F32,TRUE))</f>
        <v>#NUM!</v>
      </c>
      <c r="O32" s="34" t="str">
        <f>IF(AND(NOT(M32),AND(M$4:M31)),IF(N32&gt;$J32,MAX(EXP((N32-$J32)*$G32),1),MIN(EXP((N32-$J32)*$G32),1)),"")</f>
        <v/>
      </c>
      <c r="P32" s="108"/>
      <c r="Q32" s="72" t="b">
        <f>IF(AND(NOT(M32),AND(M$4:M31)),TRUE,M32)</f>
        <v>0</v>
      </c>
      <c r="R32" s="34" t="e">
        <f>IF(AND(NOT(ISBLANK(Jumpoverwrite2)),AND(NOT(Q32),AND(Q$4:Q31))),($J32*$G32-LN(1+Jumpoverwrite2*S$2))/$G32,_xll.qlInterpolationInterpolate(Q$3,$F32,TRUE))</f>
        <v>#NUM!</v>
      </c>
      <c r="S32" s="34" t="str">
        <f>IF(AND(NOT(Q32),AND(Q$4:Q31)),IF(R32&gt;$J32,MAX(EXP((R32-$J32)*$G32),1),MIN(EXP((R32-$J32)*$G32),1)),"")</f>
        <v/>
      </c>
      <c r="T32" s="108"/>
      <c r="U32" s="72" t="b">
        <f>IF(AND(NOT(Q32),AND(Q$4:Q31)),TRUE,Q32)</f>
        <v>0</v>
      </c>
      <c r="V32" s="34" t="e">
        <f>IF(AND(NOT(ISBLANK(Jumpoverwrite3)),AND(NOT(U32),AND(U$4:U31))),($J32*$G32-LN(1+Jumpoverwrite3*W$2))/$G32,_xll.qlInterpolationInterpolate(U$3,$F32,TRUE))</f>
        <v>#NUM!</v>
      </c>
      <c r="W32" s="34" t="str">
        <f>IF(AND(NOT(U32),AND(U$4:U31)),IF(V32&gt;$J32,MAX(EXP((V32-$J32)*$G32),1),MIN(EXP((V32-$J32)*$G32),1)),"")</f>
        <v/>
      </c>
      <c r="X32" s="108"/>
      <c r="Y32" s="72" t="b">
        <f>IF(AND(NOT(U32),AND(U$4:U31)),TRUE,U32)</f>
        <v>0</v>
      </c>
      <c r="Z32" s="34" t="e">
        <f>IF(AND(NOT(ISBLANK(Jumpoverwrite4)),AND(NOT(Y32),AND(Y$4:Y31))),($J32*$G32-LN(1+Jumpoverwrite4*AA$2))/$G32,_xll.qlInterpolationInterpolate(Y$3,$F32,TRUE))</f>
        <v>#NUM!</v>
      </c>
      <c r="AA32" s="34" t="str">
        <f>IF(AND(NOT(Y32),AND(Y$4:Y31)),IF(Z32&gt;$J32,MAX(EXP((Z32-$J32)*$G32),1),MIN(EXP((Z32-$J32)*$G32),1)),"")</f>
        <v/>
      </c>
      <c r="AB32" s="108"/>
      <c r="AC32" s="72" t="b">
        <f>IF(AND(NOT(Y32),AND(Y$4:Y31)),TRUE,Y32)</f>
        <v>0</v>
      </c>
      <c r="AD32" s="34" t="e">
        <f>IF(AND(NOT(ISBLANK(Jumpoverwrite5)),AND(NOT(AC32),AND(AC$4:AC31))),($J32*$G32-LN(1+Jumpoverwrite5*AE$2))/$G32,_xll.qlInterpolationInterpolate(AC$3,$F32,TRUE))</f>
        <v>#NUM!</v>
      </c>
      <c r="AE32" s="34" t="str">
        <f>IF(AND(NOT(AC32),AND(AC$4:AC31)),IF(AD32&gt;$J32,MAX(EXP((AD32-$J32)*$G32),1),MIN(EXP((AD32-$J32)*$G32),1)),"")</f>
        <v/>
      </c>
      <c r="AF32" s="108"/>
      <c r="AG32" s="72" t="b">
        <f>IF(AND(NOT(AC32),AND(AC$4:AC31)),TRUE,AC32)</f>
        <v>0</v>
      </c>
      <c r="AH32" s="34" t="e">
        <f>IF(AND(NOT(ISBLANK(Jumpoverwrite6)),AND(NOT(AG32),AND(AG$4:AG31))),($J32*$G32-LN(1+Jumpoverwrite6*AI$2))/$G32,_xll.qlInterpolationInterpolate(AG$3,$F32,TRUE))</f>
        <v>#NUM!</v>
      </c>
      <c r="AI32" s="34" t="str">
        <f>IF(AND(NOT(AG32),AND(AG$4:AG31)),IF(AH32&gt;$J32,MAX(EXP((AH32-$J32)*$G32),1),MIN(EXP((AH32-$J32)*$G32),1)),"")</f>
        <v/>
      </c>
      <c r="AJ32" s="108"/>
      <c r="AK32" s="72" t="b">
        <f>IF(AND(NOT(AG32),AND(AG$4:AG31)),TRUE,AG32)</f>
        <v>0</v>
      </c>
      <c r="AL32" s="34" t="e">
        <f>IF(AND(NOT(ISBLANK(Jumpoverwrite7)),AND(NOT(AK32),AND(AK$4:AK31))),($J32*$G32-LN(1+Jumpoverwrite7*AM$2))/$G32,_xll.qlInterpolationInterpolate(AK$3,$F32,TRUE))</f>
        <v>#NUM!</v>
      </c>
      <c r="AM32" s="34" t="str">
        <f>IF(AND(NOT(AK32),AND(AK$4:AK31)),IF(AL32&gt;$J32,MAX(EXP((AL32-$J32)*$G32),1),MIN(EXP((AL32-$J32)*$G32),1)),"")</f>
        <v/>
      </c>
      <c r="AO32" s="72" t="b">
        <f>IF(AND(NOT(AK32),AND(AK$4:AK31)),TRUE,AK32)</f>
        <v>0</v>
      </c>
      <c r="AP32" s="34" t="e">
        <f>IF(AND(NOT(ISBLANK(Jumpoverwrite8)),AND(NOT(AO32),AND(AO$4:AO31))),($J32*$G32-LN(1+Jumpoverwrite8*AQ$2))/$G32,_xll.qlInterpolationInterpolate(AO$3,$F32,TRUE))</f>
        <v>#NUM!</v>
      </c>
      <c r="AQ32" s="34" t="str">
        <f>IF(AND(NOT(AO32),AND(AO$4:AO31)),IF(AP32&gt;$J32,MAX(EXP((AP32-$J32)*$G32),1),MIN(EXP((AP32-$J32)*$G32),1)),"")</f>
        <v/>
      </c>
      <c r="AS32" s="72" t="b">
        <f>IF(AND(NOT(AO32),AND(AO$4:AO31)),TRUE,AO32)</f>
        <v>0</v>
      </c>
      <c r="AT32" s="34" t="e">
        <f>IF(AND(NOT(ISBLANK(Jumpoverwrite9)),AND(NOT(AS32),AND(AS$4:AS31))),($J32*$G32-LN(1+Jumpoverwrite9*AU$2))/$G32,_xll.qlInterpolationInterpolate(AS$3,$F32,TRUE))</f>
        <v>#NUM!</v>
      </c>
      <c r="AU32" s="34" t="str">
        <f>IF(AND(NOT(AS32),AND(AS$4:AS31)),IF(AT32&gt;$J32,MAX(EXP((AT32-$J32)*$G32),1),MIN(EXP((AT32-$J32)*$G32),1)),"")</f>
        <v/>
      </c>
      <c r="AW32" s="72" t="b">
        <f>IF(AND(NOT(AS32),AND(AS$4:AS31)),TRUE,AS32)</f>
        <v>0</v>
      </c>
      <c r="AX32" s="34" t="e">
        <f>IF(AND(NOT(ISBLANK(Jumpoverwrite10)),AND(NOT(AW32),AND(AW$4:AW31))),($J32*$G32-LN(1+Jumpoverwrite10*AY$2))/$G32,_xll.qlInterpolationInterpolate(AW$3,$F32,TRUE))</f>
        <v>#NUM!</v>
      </c>
      <c r="AY32" s="34" t="str">
        <f>IF(AND(NOT(AW32),AND(AW$4:AW31)),IF(AX32&gt;$J32,MAX(EXP((AX32-$J32)*$G32),1),MIN(EXP((AX32-$J32)*$G32),1)),"")</f>
        <v/>
      </c>
      <c r="BA32" s="72" t="b">
        <f>IF(AND(NOT(AW32),AND(AW$4:AW31)),TRUE,AW32)</f>
        <v>0</v>
      </c>
      <c r="BB32" s="34" t="e">
        <f>IF(AND(NOT(ISBLANK(Jumpoverwrite11)),AND(NOT(BA32),AND(BA$4:BA31))),($J32*$G32-LN(1+Jumpoverwrite11*BC$2))/$G32,_xll.qlInterpolationInterpolate(BA$3,$F32,TRUE))</f>
        <v>#NUM!</v>
      </c>
      <c r="BC32" s="34" t="str">
        <f>IF(AND(NOT(BA32),AND(BA$4:BA31)),IF(BB32&gt;$J32,MAX(EXP((BB32-$J32)*$G32),1),MIN(EXP((BB32-$J32)*$G32),1)),"")</f>
        <v/>
      </c>
      <c r="BE32" s="72" t="b">
        <f>IF(AND(NOT(BA32),AND(BA$4:BA31)),TRUE,BA32)</f>
        <v>0</v>
      </c>
      <c r="BF32" s="34" t="e">
        <f>IF(AND(NOT(ISBLANK(Jumpoverwrite12)),AND(NOT(BE32),AND(BE$4:BE31))),($J32*$G32-LN(1+Jumpoverwrite12*BG$2))/$G32,_xll.qlInterpolationInterpolate(BE$3,$F32,TRUE))</f>
        <v>#NUM!</v>
      </c>
      <c r="BG32" s="34" t="str">
        <f>IF(AND(NOT(BE32),AND(BE$4:BE31)),IF(BF32&gt;$J32,MAX(EXP((BF32-$J32)*$G32),1),MIN(EXP((BF32-$J32)*$G32),1)),"")</f>
        <v/>
      </c>
      <c r="BI32" s="72" t="b">
        <f t="shared" si="1"/>
        <v>0</v>
      </c>
      <c r="BJ32" s="34" t="e">
        <f>IF(AND(NOT(ISBLANK(jumpoverwrite13)),AND(NOT(BI32),AND(BI$4:BI31))),($J32*$G32-LN(1+jumpoverwrite13*BK$2))/$G32,_xll.qlInterpolationInterpolate(BI$3,$F32,TRUE))</f>
        <v>#NUM!</v>
      </c>
      <c r="BK32" s="34" t="str">
        <f>IF(AND(NOT(BI32),AND(BI$4:BI31)),IF(BJ32&gt;$J32,MAX(EXP((BJ32-$J32)*$G32),1),MIN(EXP((BJ32-$J32)*$G32),1)),"")</f>
        <v/>
      </c>
      <c r="BM32" s="72" t="b">
        <f>IF(AND(NOT(BI32),AND(BI$4:BI31)),TRUE,BI32)</f>
        <v>0</v>
      </c>
      <c r="BN32" s="175" t="e">
        <f>IF(AND(NOT(ISBLANK(Jumpoverwrite14)),AND(NOT(BM32),AND(BM$4:BM31))),($J32*$G32-LN(1+Jumpoverwrite14*BO$2))/$G32,_xll.qlInterpolationInterpolate(BM$3,$F32,TRUE))</f>
        <v>#NUM!</v>
      </c>
      <c r="BO32" s="34" t="str">
        <f>IF(AND(NOT(BM32),AND(BM$4:BM31)),IF(BM32&gt;$J32,MAX(EXP((BM32-$J32)*$G32),1),MIN(EXP((BM32-$J32)*$G32),1)),"")</f>
        <v/>
      </c>
    </row>
    <row r="33" spans="1:67" x14ac:dyDescent="0.2">
      <c r="A33" s="33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84" t="e">
        <f t="shared" si="4"/>
        <v>#N/A</v>
      </c>
      <c r="G33" s="85" t="e">
        <f>_xll.qlDayCounterYearFraction(DayCounter,D32,D33)</f>
        <v>#NUM!</v>
      </c>
      <c r="I33" s="93" t="b">
        <f t="shared" si="2"/>
        <v>0</v>
      </c>
      <c r="J33" s="37" t="e">
        <v>#N/A</v>
      </c>
      <c r="K33" s="94" t="e">
        <f t="shared" si="3"/>
        <v>#VALUE!</v>
      </c>
      <c r="L33" s="106"/>
      <c r="M33" s="72" t="b">
        <f>IF(AND(NOT(I33),AND(I$4:I32)),TRUE,I33)</f>
        <v>0</v>
      </c>
      <c r="N33" s="34" t="e">
        <f>IF(AND(NOT(ISBLANK(Jumpoverwrite1)),AND(NOT(M33),AND(M$4:M32))),($J33*$G33-LN(1+Jumpoverwrite1*O$2))/$G33,_xll.qlInterpolationInterpolate(M$3,$F33,TRUE))</f>
        <v>#NUM!</v>
      </c>
      <c r="O33" s="34" t="str">
        <f>IF(AND(NOT(M33),AND(M$4:M32)),IF(N33&gt;$J33,MAX(EXP((N33-$J33)*$G33),1),MIN(EXP((N33-$J33)*$G33),1)),"")</f>
        <v/>
      </c>
      <c r="P33" s="108"/>
      <c r="Q33" s="72" t="b">
        <f>IF(AND(NOT(M33),AND(M$4:M32)),TRUE,M33)</f>
        <v>0</v>
      </c>
      <c r="R33" s="34" t="e">
        <f>IF(AND(NOT(ISBLANK(Jumpoverwrite2)),AND(NOT(Q33),AND(Q$4:Q32))),($J33*$G33-LN(1+Jumpoverwrite2*S$2))/$G33,_xll.qlInterpolationInterpolate(Q$3,$F33,TRUE))</f>
        <v>#NUM!</v>
      </c>
      <c r="S33" s="34" t="str">
        <f>IF(AND(NOT(Q33),AND(Q$4:Q32)),IF(R33&gt;$J33,MAX(EXP((R33-$J33)*$G33),1),MIN(EXP((R33-$J33)*$G33),1)),"")</f>
        <v/>
      </c>
      <c r="T33" s="108"/>
      <c r="U33" s="72" t="b">
        <f>IF(AND(NOT(Q33),AND(Q$4:Q32)),TRUE,Q33)</f>
        <v>0</v>
      </c>
      <c r="V33" s="34" t="e">
        <f>IF(AND(NOT(ISBLANK(Jumpoverwrite3)),AND(NOT(U33),AND(U$4:U32))),($J33*$G33-LN(1+Jumpoverwrite3*W$2))/$G33,_xll.qlInterpolationInterpolate(U$3,$F33,TRUE))</f>
        <v>#NUM!</v>
      </c>
      <c r="W33" s="34" t="str">
        <f>IF(AND(NOT(U33),AND(U$4:U32)),IF(V33&gt;$J33,MAX(EXP((V33-$J33)*$G33),1),MIN(EXP((V33-$J33)*$G33),1)),"")</f>
        <v/>
      </c>
      <c r="X33" s="108"/>
      <c r="Y33" s="72" t="b">
        <f>IF(AND(NOT(U33),AND(U$4:U32)),TRUE,U33)</f>
        <v>0</v>
      </c>
      <c r="Z33" s="34" t="e">
        <f>IF(AND(NOT(ISBLANK(Jumpoverwrite4)),AND(NOT(Y33),AND(Y$4:Y32))),($J33*$G33-LN(1+Jumpoverwrite4*AA$2))/$G33,_xll.qlInterpolationInterpolate(Y$3,$F33,TRUE))</f>
        <v>#NUM!</v>
      </c>
      <c r="AA33" s="34" t="str">
        <f>IF(AND(NOT(Y33),AND(Y$4:Y32)),IF(Z33&gt;$J33,MAX(EXP((Z33-$J33)*$G33),1),MIN(EXP((Z33-$J33)*$G33),1)),"")</f>
        <v/>
      </c>
      <c r="AB33" s="108"/>
      <c r="AC33" s="72" t="b">
        <f>IF(AND(NOT(Y33),AND(Y$4:Y32)),TRUE,Y33)</f>
        <v>0</v>
      </c>
      <c r="AD33" s="34" t="e">
        <f>IF(AND(NOT(ISBLANK(Jumpoverwrite5)),AND(NOT(AC33),AND(AC$4:AC32))),($J33*$G33-LN(1+Jumpoverwrite5*AE$2))/$G33,_xll.qlInterpolationInterpolate(AC$3,$F33,TRUE))</f>
        <v>#NUM!</v>
      </c>
      <c r="AE33" s="34" t="str">
        <f>IF(AND(NOT(AC33),AND(AC$4:AC32)),IF(AD33&gt;$J33,MAX(EXP((AD33-$J33)*$G33),1),MIN(EXP((AD33-$J33)*$G33),1)),"")</f>
        <v/>
      </c>
      <c r="AF33" s="108"/>
      <c r="AG33" s="72" t="b">
        <f>IF(AND(NOT(AC33),AND(AC$4:AC32)),TRUE,AC33)</f>
        <v>0</v>
      </c>
      <c r="AH33" s="34" t="e">
        <f>IF(AND(NOT(ISBLANK(Jumpoverwrite6)),AND(NOT(AG33),AND(AG$4:AG32))),($J33*$G33-LN(1+Jumpoverwrite6*AI$2))/$G33,_xll.qlInterpolationInterpolate(AG$3,$F33,TRUE))</f>
        <v>#NUM!</v>
      </c>
      <c r="AI33" s="34" t="str">
        <f>IF(AND(NOT(AG33),AND(AG$4:AG32)),IF(AH33&gt;$J33,MAX(EXP((AH33-$J33)*$G33),1),MIN(EXP((AH33-$J33)*$G33),1)),"")</f>
        <v/>
      </c>
      <c r="AJ33" s="108"/>
      <c r="AK33" s="72" t="b">
        <f>IF(AND(NOT(AG33),AND(AG$4:AG32)),TRUE,AG33)</f>
        <v>0</v>
      </c>
      <c r="AL33" s="34" t="e">
        <f>IF(AND(NOT(ISBLANK(Jumpoverwrite7)),AND(NOT(AK33),AND(AK$4:AK32))),($J33*$G33-LN(1+Jumpoverwrite7*AM$2))/$G33,_xll.qlInterpolationInterpolate(AK$3,$F33,TRUE))</f>
        <v>#NUM!</v>
      </c>
      <c r="AM33" s="34" t="str">
        <f>IF(AND(NOT(AK33),AND(AK$4:AK32)),IF(AL33&gt;$J33,MAX(EXP((AL33-$J33)*$G33),1),MIN(EXP((AL33-$J33)*$G33),1)),"")</f>
        <v/>
      </c>
      <c r="AO33" s="72" t="b">
        <f>IF(AND(NOT(AK33),AND(AK$4:AK32)),TRUE,AK33)</f>
        <v>0</v>
      </c>
      <c r="AP33" s="34" t="e">
        <f>IF(AND(NOT(ISBLANK(Jumpoverwrite8)),AND(NOT(AO33),AND(AO$4:AO32))),($J33*$G33-LN(1+Jumpoverwrite8*AQ$2))/$G33,_xll.qlInterpolationInterpolate(AO$3,$F33,TRUE))</f>
        <v>#NUM!</v>
      </c>
      <c r="AQ33" s="34" t="str">
        <f>IF(AND(NOT(AO33),AND(AO$4:AO32)),IF(AP33&gt;$J33,MAX(EXP((AP33-$J33)*$G33),1),MIN(EXP((AP33-$J33)*$G33),1)),"")</f>
        <v/>
      </c>
      <c r="AS33" s="72" t="b">
        <f>IF(AND(NOT(AO33),AND(AO$4:AO32)),TRUE,AO33)</f>
        <v>0</v>
      </c>
      <c r="AT33" s="34" t="e">
        <f>IF(AND(NOT(ISBLANK(Jumpoverwrite9)),AND(NOT(AS33),AND(AS$4:AS32))),($J33*$G33-LN(1+Jumpoverwrite9*AU$2))/$G33,_xll.qlInterpolationInterpolate(AS$3,$F33,TRUE))</f>
        <v>#NUM!</v>
      </c>
      <c r="AU33" s="34" t="str">
        <f>IF(AND(NOT(AS33),AND(AS$4:AS32)),IF(AT33&gt;$J33,MAX(EXP((AT33-$J33)*$G33),1),MIN(EXP((AT33-$J33)*$G33),1)),"")</f>
        <v/>
      </c>
      <c r="AW33" s="72" t="b">
        <f>IF(AND(NOT(AS33),AND(AS$4:AS32)),TRUE,AS33)</f>
        <v>0</v>
      </c>
      <c r="AX33" s="34" t="e">
        <f>IF(AND(NOT(ISBLANK(Jumpoverwrite10)),AND(NOT(AW33),AND(AW$4:AW32))),($J33*$G33-LN(1+Jumpoverwrite10*AY$2))/$G33,_xll.qlInterpolationInterpolate(AW$3,$F33,TRUE))</f>
        <v>#NUM!</v>
      </c>
      <c r="AY33" s="34" t="str">
        <f>IF(AND(NOT(AW33),AND(AW$4:AW32)),IF(AX33&gt;$J33,MAX(EXP((AX33-$J33)*$G33),1),MIN(EXP((AX33-$J33)*$G33),1)),"")</f>
        <v/>
      </c>
      <c r="BA33" s="72" t="b">
        <f>IF(AND(NOT(AW33),AND(AW$4:AW32)),TRUE,AW33)</f>
        <v>0</v>
      </c>
      <c r="BB33" s="34" t="e">
        <f>IF(AND(NOT(ISBLANK(Jumpoverwrite11)),AND(NOT(BA33),AND(BA$4:BA32))),($J33*$G33-LN(1+Jumpoverwrite11*BC$2))/$G33,_xll.qlInterpolationInterpolate(BA$3,$F33,TRUE))</f>
        <v>#NUM!</v>
      </c>
      <c r="BC33" s="34" t="str">
        <f>IF(AND(NOT(BA33),AND(BA$4:BA32)),IF(BB33&gt;$J33,MAX(EXP((BB33-$J33)*$G33),1),MIN(EXP((BB33-$J33)*$G33),1)),"")</f>
        <v/>
      </c>
      <c r="BE33" s="72" t="b">
        <f>IF(AND(NOT(BA33),AND(BA$4:BA32)),TRUE,BA33)</f>
        <v>0</v>
      </c>
      <c r="BF33" s="34" t="e">
        <f>IF(AND(NOT(ISBLANK(Jumpoverwrite12)),AND(NOT(BE33),AND(BE$4:BE32))),($J33*$G33-LN(1+Jumpoverwrite12*BG$2))/$G33,_xll.qlInterpolationInterpolate(BE$3,$F33,TRUE))</f>
        <v>#NUM!</v>
      </c>
      <c r="BG33" s="34" t="str">
        <f>IF(AND(NOT(BE33),AND(BE$4:BE32)),IF(BF33&gt;$J33,MAX(EXP((BF33-$J33)*$G33),1),MIN(EXP((BF33-$J33)*$G33),1)),"")</f>
        <v/>
      </c>
      <c r="BI33" s="72" t="b">
        <f t="shared" si="1"/>
        <v>0</v>
      </c>
      <c r="BJ33" s="34" t="e">
        <f>IF(AND(NOT(ISBLANK(jumpoverwrite13)),AND(NOT(BI33),AND(BI$4:BI32))),($J33*$G33-LN(1+jumpoverwrite13*BK$2))/$G33,_xll.qlInterpolationInterpolate(BI$3,$F33,TRUE))</f>
        <v>#NUM!</v>
      </c>
      <c r="BK33" s="34" t="str">
        <f>IF(AND(NOT(BI33),AND(BI$4:BI32)),IF(BJ33&gt;$J33,MAX(EXP((BJ33-$J33)*$G33),1),MIN(EXP((BJ33-$J33)*$G33),1)),"")</f>
        <v/>
      </c>
      <c r="BM33" s="72" t="b">
        <f>IF(AND(NOT(BI33),AND(BI$4:BI32)),TRUE,BI33)</f>
        <v>0</v>
      </c>
      <c r="BN33" s="175" t="e">
        <f>IF(AND(NOT(ISBLANK(Jumpoverwrite14)),AND(NOT(BM33),AND(BM$4:BM32))),($J33*$G33-LN(1+Jumpoverwrite14*BO$2))/$G33,_xll.qlInterpolationInterpolate(BM$3,$F33,TRUE))</f>
        <v>#NUM!</v>
      </c>
      <c r="BO33" s="34" t="str">
        <f>IF(AND(NOT(BM33),AND(BM$4:BM32)),IF(BM33&gt;$J33,MAX(EXP((BM33-$J33)*$G33),1),MIN(EXP((BM33-$J33)*$G33),1)),"")</f>
        <v/>
      </c>
    </row>
    <row r="34" spans="1:67" x14ac:dyDescent="0.2">
      <c r="A34" s="33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84" t="e">
        <f t="shared" si="4"/>
        <v>#N/A</v>
      </c>
      <c r="G34" s="85" t="e">
        <f>_xll.qlDayCounterYearFraction(DayCounter,D33,D34)</f>
        <v>#NUM!</v>
      </c>
      <c r="I34" s="93" t="b">
        <f t="shared" si="2"/>
        <v>0</v>
      </c>
      <c r="J34" s="37" t="e">
        <v>#N/A</v>
      </c>
      <c r="K34" s="94" t="e">
        <f t="shared" si="3"/>
        <v>#VALUE!</v>
      </c>
      <c r="L34" s="106"/>
      <c r="M34" s="72" t="b">
        <f>IF(AND(NOT(I34),AND(I$4:I33)),TRUE,I34)</f>
        <v>0</v>
      </c>
      <c r="N34" s="34" t="e">
        <f>IF(AND(NOT(ISBLANK(Jumpoverwrite1)),AND(NOT(M34),AND(M$4:M33))),($J34*$G34-LN(1+Jumpoverwrite1*O$2))/$G34,_xll.qlInterpolationInterpolate(M$3,$F34,TRUE))</f>
        <v>#NUM!</v>
      </c>
      <c r="O34" s="34" t="str">
        <f>IF(AND(NOT(M34),AND(M$4:M33)),IF(N34&gt;$J34,MAX(EXP((N34-$J34)*$G34),1),MIN(EXP((N34-$J34)*$G34),1)),"")</f>
        <v/>
      </c>
      <c r="P34" s="108"/>
      <c r="Q34" s="72" t="b">
        <f>IF(AND(NOT(M34),AND(M$4:M33)),TRUE,M34)</f>
        <v>0</v>
      </c>
      <c r="R34" s="34" t="e">
        <f>IF(AND(NOT(ISBLANK(Jumpoverwrite2)),AND(NOT(Q34),AND(Q$4:Q33))),($J34*$G34-LN(1+Jumpoverwrite2*S$2))/$G34,_xll.qlInterpolationInterpolate(Q$3,$F34,TRUE))</f>
        <v>#NUM!</v>
      </c>
      <c r="S34" s="34" t="str">
        <f>IF(AND(NOT(Q34),AND(Q$4:Q33)),IF(R34&gt;$J34,MAX(EXP((R34-$J34)*$G34),1),MIN(EXP((R34-$J34)*$G34),1)),"")</f>
        <v/>
      </c>
      <c r="T34" s="108"/>
      <c r="U34" s="72" t="b">
        <f>IF(AND(NOT(Q34),AND(Q$4:Q33)),TRUE,Q34)</f>
        <v>0</v>
      </c>
      <c r="V34" s="34" t="e">
        <f>IF(AND(NOT(ISBLANK(Jumpoverwrite3)),AND(NOT(U34),AND(U$4:U33))),($J34*$G34-LN(1+Jumpoverwrite3*W$2))/$G34,_xll.qlInterpolationInterpolate(U$3,$F34,TRUE))</f>
        <v>#NUM!</v>
      </c>
      <c r="W34" s="34" t="str">
        <f>IF(AND(NOT(U34),AND(U$4:U33)),IF(V34&gt;$J34,MAX(EXP((V34-$J34)*$G34),1),MIN(EXP((V34-$J34)*$G34),1)),"")</f>
        <v/>
      </c>
      <c r="X34" s="108"/>
      <c r="Y34" s="72" t="b">
        <f>IF(AND(NOT(U34),AND(U$4:U33)),TRUE,U34)</f>
        <v>0</v>
      </c>
      <c r="Z34" s="34" t="e">
        <f>IF(AND(NOT(ISBLANK(Jumpoverwrite4)),AND(NOT(Y34),AND(Y$4:Y33))),($J34*$G34-LN(1+Jumpoverwrite4*AA$2))/$G34,_xll.qlInterpolationInterpolate(Y$3,$F34,TRUE))</f>
        <v>#NUM!</v>
      </c>
      <c r="AA34" s="34" t="str">
        <f>IF(AND(NOT(Y34),AND(Y$4:Y33)),IF(Z34&gt;$J34,MAX(EXP((Z34-$J34)*$G34),1),MIN(EXP((Z34-$J34)*$G34),1)),"")</f>
        <v/>
      </c>
      <c r="AB34" s="108"/>
      <c r="AC34" s="72" t="b">
        <f>IF(AND(NOT(Y34),AND(Y$4:Y33)),TRUE,Y34)</f>
        <v>0</v>
      </c>
      <c r="AD34" s="34" t="e">
        <f>IF(AND(NOT(ISBLANK(Jumpoverwrite5)),AND(NOT(AC34),AND(AC$4:AC33))),($J34*$G34-LN(1+Jumpoverwrite5*AE$2))/$G34,_xll.qlInterpolationInterpolate(AC$3,$F34,TRUE))</f>
        <v>#NUM!</v>
      </c>
      <c r="AE34" s="34" t="str">
        <f>IF(AND(NOT(AC34),AND(AC$4:AC33)),IF(AD34&gt;$J34,MAX(EXP((AD34-$J34)*$G34),1),MIN(EXP((AD34-$J34)*$G34),1)),"")</f>
        <v/>
      </c>
      <c r="AF34" s="108"/>
      <c r="AG34" s="72" t="b">
        <f>IF(AND(NOT(AC34),AND(AC$4:AC33)),TRUE,AC34)</f>
        <v>0</v>
      </c>
      <c r="AH34" s="34" t="e">
        <f>IF(AND(NOT(ISBLANK(Jumpoverwrite6)),AND(NOT(AG34),AND(AG$4:AG33))),($J34*$G34-LN(1+Jumpoverwrite6*AI$2))/$G34,_xll.qlInterpolationInterpolate(AG$3,$F34,TRUE))</f>
        <v>#NUM!</v>
      </c>
      <c r="AI34" s="34" t="str">
        <f>IF(AND(NOT(AG34),AND(AG$4:AG33)),IF(AH34&gt;$J34,MAX(EXP((AH34-$J34)*$G34),1),MIN(EXP((AH34-$J34)*$G34),1)),"")</f>
        <v/>
      </c>
      <c r="AJ34" s="108"/>
      <c r="AK34" s="72" t="b">
        <f>IF(AND(NOT(AG34),AND(AG$4:AG33)),TRUE,AG34)</f>
        <v>0</v>
      </c>
      <c r="AL34" s="34" t="e">
        <f>IF(AND(NOT(ISBLANK(Jumpoverwrite7)),AND(NOT(AK34),AND(AK$4:AK33))),($J34*$G34-LN(1+Jumpoverwrite7*AM$2))/$G34,_xll.qlInterpolationInterpolate(AK$3,$F34,TRUE))</f>
        <v>#NUM!</v>
      </c>
      <c r="AM34" s="34" t="str">
        <f>IF(AND(NOT(AK34),AND(AK$4:AK33)),IF(AL34&gt;$J34,MAX(EXP((AL34-$J34)*$G34),1),MIN(EXP((AL34-$J34)*$G34),1)),"")</f>
        <v/>
      </c>
      <c r="AO34" s="72" t="b">
        <f>IF(AND(NOT(AK34),AND(AK$4:AK33)),TRUE,AK34)</f>
        <v>0</v>
      </c>
      <c r="AP34" s="34" t="e">
        <f>IF(AND(NOT(ISBLANK(Jumpoverwrite8)),AND(NOT(AO34),AND(AO$4:AO33))),($J34*$G34-LN(1+Jumpoverwrite8*AQ$2))/$G34,_xll.qlInterpolationInterpolate(AO$3,$F34,TRUE))</f>
        <v>#NUM!</v>
      </c>
      <c r="AQ34" s="34" t="str">
        <f>IF(AND(NOT(AO34),AND(AO$4:AO33)),IF(AP34&gt;$J34,MAX(EXP((AP34-$J34)*$G34),1),MIN(EXP((AP34-$J34)*$G34),1)),"")</f>
        <v/>
      </c>
      <c r="AS34" s="72" t="b">
        <f>IF(AND(NOT(AO34),AND(AO$4:AO33)),TRUE,AO34)</f>
        <v>0</v>
      </c>
      <c r="AT34" s="34" t="e">
        <f>IF(AND(NOT(ISBLANK(Jumpoverwrite9)),AND(NOT(AS34),AND(AS$4:AS33))),($J34*$G34-LN(1+Jumpoverwrite9*AU$2))/$G34,_xll.qlInterpolationInterpolate(AS$3,$F34,TRUE))</f>
        <v>#NUM!</v>
      </c>
      <c r="AU34" s="34" t="str">
        <f>IF(AND(NOT(AS34),AND(AS$4:AS33)),IF(AT34&gt;$J34,MAX(EXP((AT34-$J34)*$G34),1),MIN(EXP((AT34-$J34)*$G34),1)),"")</f>
        <v/>
      </c>
      <c r="AW34" s="72" t="b">
        <f>IF(AND(NOT(AS34),AND(AS$4:AS33)),TRUE,AS34)</f>
        <v>0</v>
      </c>
      <c r="AX34" s="34" t="e">
        <f>IF(AND(NOT(ISBLANK(Jumpoverwrite10)),AND(NOT(AW34),AND(AW$4:AW33))),($J34*$G34-LN(1+Jumpoverwrite10*AY$2))/$G34,_xll.qlInterpolationInterpolate(AW$3,$F34,TRUE))</f>
        <v>#NUM!</v>
      </c>
      <c r="AY34" s="34" t="str">
        <f>IF(AND(NOT(AW34),AND(AW$4:AW33)),IF(AX34&gt;$J34,MAX(EXP((AX34-$J34)*$G34),1),MIN(EXP((AX34-$J34)*$G34),1)),"")</f>
        <v/>
      </c>
      <c r="BA34" s="72" t="b">
        <f>IF(AND(NOT(AW34),AND(AW$4:AW33)),TRUE,AW34)</f>
        <v>0</v>
      </c>
      <c r="BB34" s="34" t="e">
        <f>IF(AND(NOT(ISBLANK(Jumpoverwrite11)),AND(NOT(BA34),AND(BA$4:BA33))),($J34*$G34-LN(1+Jumpoverwrite11*BC$2))/$G34,_xll.qlInterpolationInterpolate(BA$3,$F34,TRUE))</f>
        <v>#NUM!</v>
      </c>
      <c r="BC34" s="34" t="str">
        <f>IF(AND(NOT(BA34),AND(BA$4:BA33)),IF(BB34&gt;$J34,MAX(EXP((BB34-$J34)*$G34),1),MIN(EXP((BB34-$J34)*$G34),1)),"")</f>
        <v/>
      </c>
      <c r="BE34" s="72" t="b">
        <f>IF(AND(NOT(BA34),AND(BA$4:BA33)),TRUE,BA34)</f>
        <v>0</v>
      </c>
      <c r="BF34" s="34" t="e">
        <f>IF(AND(NOT(ISBLANK(Jumpoverwrite12)),AND(NOT(BE34),AND(BE$4:BE33))),($J34*$G34-LN(1+Jumpoverwrite12*BG$2))/$G34,_xll.qlInterpolationInterpolate(BE$3,$F34,TRUE))</f>
        <v>#NUM!</v>
      </c>
      <c r="BG34" s="34" t="str">
        <f>IF(AND(NOT(BE34),AND(BE$4:BE33)),IF(BF34&gt;$J34,MAX(EXP((BF34-$J34)*$G34),1),MIN(EXP((BF34-$J34)*$G34),1)),"")</f>
        <v/>
      </c>
      <c r="BI34" s="72" t="b">
        <f t="shared" si="1"/>
        <v>0</v>
      </c>
      <c r="BJ34" s="34" t="e">
        <f>IF(AND(NOT(ISBLANK(jumpoverwrite13)),AND(NOT(BI34),AND(BI$4:BI33))),($J34*$G34-LN(1+jumpoverwrite13*BK$2))/$G34,_xll.qlInterpolationInterpolate(BI$3,$F34,TRUE))</f>
        <v>#NUM!</v>
      </c>
      <c r="BK34" s="34" t="str">
        <f>IF(AND(NOT(BI34),AND(BI$4:BI33)),IF(BJ34&gt;$J34,MAX(EXP((BJ34-$J34)*$G34),1),MIN(EXP((BJ34-$J34)*$G34),1)),"")</f>
        <v/>
      </c>
      <c r="BM34" s="72" t="b">
        <f>IF(AND(NOT(BI34),AND(BI$4:BI33)),TRUE,BI34)</f>
        <v>0</v>
      </c>
      <c r="BN34" s="175" t="e">
        <f>IF(AND(NOT(ISBLANK(Jumpoverwrite14)),AND(NOT(BM34),AND(BM$4:BM33))),($J34*$G34-LN(1+Jumpoverwrite14*BO$2))/$G34,_xll.qlInterpolationInterpolate(BM$3,$F34,TRUE))</f>
        <v>#NUM!</v>
      </c>
      <c r="BO34" s="34" t="str">
        <f>IF(AND(NOT(BM34),AND(BM$4:BM33)),IF(BM34&gt;$J34,MAX(EXP((BM34-$J34)*$G34),1),MIN(EXP((BM34-$J34)*$G34),1)),"")</f>
        <v/>
      </c>
    </row>
    <row r="35" spans="1:67" x14ac:dyDescent="0.2">
      <c r="A35" s="33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84" t="e">
        <f t="shared" si="4"/>
        <v>#N/A</v>
      </c>
      <c r="G35" s="85" t="e">
        <f>_xll.qlDayCounterYearFraction(DayCounter,D34,D35)</f>
        <v>#NUM!</v>
      </c>
      <c r="I35" s="93" t="b">
        <f t="shared" si="2"/>
        <v>0</v>
      </c>
      <c r="J35" s="37" t="e">
        <v>#N/A</v>
      </c>
      <c r="K35" s="94" t="e">
        <f t="shared" si="3"/>
        <v>#VALUE!</v>
      </c>
      <c r="L35" s="106"/>
      <c r="M35" s="72" t="b">
        <f>IF(AND(NOT(I35),AND(I$4:I34)),TRUE,I35)</f>
        <v>0</v>
      </c>
      <c r="N35" s="34" t="e">
        <f>IF(AND(NOT(ISBLANK(Jumpoverwrite1)),AND(NOT(M35),AND(M$4:M34))),($J35*$G35-LN(1+Jumpoverwrite1*O$2))/$G35,_xll.qlInterpolationInterpolate(M$3,$F35,TRUE))</f>
        <v>#NUM!</v>
      </c>
      <c r="O35" s="34" t="str">
        <f>IF(AND(NOT(M35),AND(M$4:M34)),IF(N35&gt;$J35,MAX(EXP((N35-$J35)*$G35),1),MIN(EXP((N35-$J35)*$G35),1)),"")</f>
        <v/>
      </c>
      <c r="P35" s="108"/>
      <c r="Q35" s="72" t="b">
        <f>IF(AND(NOT(M35),AND(M$4:M34)),TRUE,M35)</f>
        <v>0</v>
      </c>
      <c r="R35" s="34" t="e">
        <f>IF(AND(NOT(ISBLANK(Jumpoverwrite2)),AND(NOT(Q35),AND(Q$4:Q34))),($J35*$G35-LN(1+Jumpoverwrite2*S$2))/$G35,_xll.qlInterpolationInterpolate(Q$3,$F35,TRUE))</f>
        <v>#NUM!</v>
      </c>
      <c r="S35" s="34" t="str">
        <f>IF(AND(NOT(Q35),AND(Q$4:Q34)),IF(R35&gt;$J35,MAX(EXP((R35-$J35)*$G35),1),MIN(EXP((R35-$J35)*$G35),1)),"")</f>
        <v/>
      </c>
      <c r="T35" s="108"/>
      <c r="U35" s="72" t="b">
        <f>IF(AND(NOT(Q35),AND(Q$4:Q34)),TRUE,Q35)</f>
        <v>0</v>
      </c>
      <c r="V35" s="34" t="e">
        <f>IF(AND(NOT(ISBLANK(Jumpoverwrite3)),AND(NOT(U35),AND(U$4:U34))),($J35*$G35-LN(1+Jumpoverwrite3*W$2))/$G35,_xll.qlInterpolationInterpolate(U$3,$F35,TRUE))</f>
        <v>#NUM!</v>
      </c>
      <c r="W35" s="34" t="str">
        <f>IF(AND(NOT(U35),AND(U$4:U34)),IF(V35&gt;$J35,MAX(EXP((V35-$J35)*$G35),1),MIN(EXP((V35-$J35)*$G35),1)),"")</f>
        <v/>
      </c>
      <c r="X35" s="108"/>
      <c r="Y35" s="72" t="b">
        <f>IF(AND(NOT(U35),AND(U$4:U34)),TRUE,U35)</f>
        <v>0</v>
      </c>
      <c r="Z35" s="34" t="e">
        <f>IF(AND(NOT(ISBLANK(Jumpoverwrite4)),AND(NOT(Y35),AND(Y$4:Y34))),($J35*$G35-LN(1+Jumpoverwrite4*AA$2))/$G35,_xll.qlInterpolationInterpolate(Y$3,$F35,TRUE))</f>
        <v>#NUM!</v>
      </c>
      <c r="AA35" s="34" t="str">
        <f>IF(AND(NOT(Y35),AND(Y$4:Y34)),IF(Z35&gt;$J35,MAX(EXP((Z35-$J35)*$G35),1),MIN(EXP((Z35-$J35)*$G35),1)),"")</f>
        <v/>
      </c>
      <c r="AB35" s="108"/>
      <c r="AC35" s="72" t="b">
        <f>IF(AND(NOT(Y35),AND(Y$4:Y34)),TRUE,Y35)</f>
        <v>0</v>
      </c>
      <c r="AD35" s="34" t="e">
        <f>IF(AND(NOT(ISBLANK(Jumpoverwrite5)),AND(NOT(AC35),AND(AC$4:AC34))),($J35*$G35-LN(1+Jumpoverwrite5*AE$2))/$G35,_xll.qlInterpolationInterpolate(AC$3,$F35,TRUE))</f>
        <v>#NUM!</v>
      </c>
      <c r="AE35" s="34" t="str">
        <f>IF(AND(NOT(AC35),AND(AC$4:AC34)),IF(AD35&gt;$J35,MAX(EXP((AD35-$J35)*$G35),1),MIN(EXP((AD35-$J35)*$G35),1)),"")</f>
        <v/>
      </c>
      <c r="AF35" s="108"/>
      <c r="AG35" s="72" t="b">
        <f>IF(AND(NOT(AC35),AND(AC$4:AC34)),TRUE,AC35)</f>
        <v>0</v>
      </c>
      <c r="AH35" s="34" t="e">
        <f>IF(AND(NOT(ISBLANK(Jumpoverwrite6)),AND(NOT(AG35),AND(AG$4:AG34))),($J35*$G35-LN(1+Jumpoverwrite6*AI$2))/$G35,_xll.qlInterpolationInterpolate(AG$3,$F35,TRUE))</f>
        <v>#NUM!</v>
      </c>
      <c r="AI35" s="34" t="str">
        <f>IF(AND(NOT(AG35),AND(AG$4:AG34)),IF(AH35&gt;$J35,MAX(EXP((AH35-$J35)*$G35),1),MIN(EXP((AH35-$J35)*$G35),1)),"")</f>
        <v/>
      </c>
      <c r="AJ35" s="108"/>
      <c r="AK35" s="72" t="b">
        <f>IF(AND(NOT(AG35),AND(AG$4:AG34)),TRUE,AG35)</f>
        <v>0</v>
      </c>
      <c r="AL35" s="34" t="e">
        <f>IF(AND(NOT(ISBLANK(Jumpoverwrite7)),AND(NOT(AK35),AND(AK$4:AK34))),($J35*$G35-LN(1+Jumpoverwrite7*AM$2))/$G35,_xll.qlInterpolationInterpolate(AK$3,$F35,TRUE))</f>
        <v>#NUM!</v>
      </c>
      <c r="AM35" s="34" t="str">
        <f>IF(AND(NOT(AK35),AND(AK$4:AK34)),IF(AL35&gt;$J35,MAX(EXP((AL35-$J35)*$G35),1),MIN(EXP((AL35-$J35)*$G35),1)),"")</f>
        <v/>
      </c>
      <c r="AO35" s="72" t="b">
        <f>IF(AND(NOT(AK35),AND(AK$4:AK34)),TRUE,AK35)</f>
        <v>0</v>
      </c>
      <c r="AP35" s="34" t="e">
        <f>IF(AND(NOT(ISBLANK(Jumpoverwrite8)),AND(NOT(AO35),AND(AO$4:AO34))),($J35*$G35-LN(1+Jumpoverwrite8*AQ$2))/$G35,_xll.qlInterpolationInterpolate(AO$3,$F35,TRUE))</f>
        <v>#NUM!</v>
      </c>
      <c r="AQ35" s="34" t="str">
        <f>IF(AND(NOT(AO35),AND(AO$4:AO34)),IF(AP35&gt;$J35,MAX(EXP((AP35-$J35)*$G35),1),MIN(EXP((AP35-$J35)*$G35),1)),"")</f>
        <v/>
      </c>
      <c r="AS35" s="72" t="b">
        <f>IF(AND(NOT(AO35),AND(AO$4:AO34)),TRUE,AO35)</f>
        <v>0</v>
      </c>
      <c r="AT35" s="34" t="e">
        <f>IF(AND(NOT(ISBLANK(Jumpoverwrite9)),AND(NOT(AS35),AND(AS$4:AS34))),($J35*$G35-LN(1+Jumpoverwrite9*AU$2))/$G35,_xll.qlInterpolationInterpolate(AS$3,$F35,TRUE))</f>
        <v>#NUM!</v>
      </c>
      <c r="AU35" s="34" t="str">
        <f>IF(AND(NOT(AS35),AND(AS$4:AS34)),IF(AT35&gt;$J35,MAX(EXP((AT35-$J35)*$G35),1),MIN(EXP((AT35-$J35)*$G35),1)),"")</f>
        <v/>
      </c>
      <c r="AW35" s="72" t="b">
        <f>IF(AND(NOT(AS35),AND(AS$4:AS34)),TRUE,AS35)</f>
        <v>0</v>
      </c>
      <c r="AX35" s="34" t="e">
        <f>IF(AND(NOT(ISBLANK(Jumpoverwrite10)),AND(NOT(AW35),AND(AW$4:AW34))),($J35*$G35-LN(1+Jumpoverwrite10*AY$2))/$G35,_xll.qlInterpolationInterpolate(AW$3,$F35,TRUE))</f>
        <v>#NUM!</v>
      </c>
      <c r="AY35" s="34" t="str">
        <f>IF(AND(NOT(AW35),AND(AW$4:AW34)),IF(AX35&gt;$J35,MAX(EXP((AX35-$J35)*$G35),1),MIN(EXP((AX35-$J35)*$G35),1)),"")</f>
        <v/>
      </c>
      <c r="BA35" s="72" t="b">
        <f>IF(AND(NOT(AW35),AND(AW$4:AW34)),TRUE,AW35)</f>
        <v>0</v>
      </c>
      <c r="BB35" s="34" t="e">
        <f>IF(AND(NOT(ISBLANK(Jumpoverwrite11)),AND(NOT(BA35),AND(BA$4:BA34))),($J35*$G35-LN(1+Jumpoverwrite11*BC$2))/$G35,_xll.qlInterpolationInterpolate(BA$3,$F35,TRUE))</f>
        <v>#NUM!</v>
      </c>
      <c r="BC35" s="34" t="str">
        <f>IF(AND(NOT(BA35),AND(BA$4:BA34)),IF(BB35&gt;$J35,MAX(EXP((BB35-$J35)*$G35),1),MIN(EXP((BB35-$J35)*$G35),1)),"")</f>
        <v/>
      </c>
      <c r="BE35" s="72" t="b">
        <f>IF(AND(NOT(BA35),AND(BA$4:BA34)),TRUE,BA35)</f>
        <v>0</v>
      </c>
      <c r="BF35" s="34" t="e">
        <f>IF(AND(NOT(ISBLANK(Jumpoverwrite12)),AND(NOT(BE35),AND(BE$4:BE34))),($J35*$G35-LN(1+Jumpoverwrite12*BG$2))/$G35,_xll.qlInterpolationInterpolate(BE$3,$F35,TRUE))</f>
        <v>#NUM!</v>
      </c>
      <c r="BG35" s="34" t="str">
        <f>IF(AND(NOT(BE35),AND(BE$4:BE34)),IF(BF35&gt;$J35,MAX(EXP((BF35-$J35)*$G35),1),MIN(EXP((BF35-$J35)*$G35),1)),"")</f>
        <v/>
      </c>
      <c r="BI35" s="72" t="b">
        <f t="shared" si="1"/>
        <v>0</v>
      </c>
      <c r="BJ35" s="34" t="e">
        <f>IF(AND(NOT(ISBLANK(jumpoverwrite13)),AND(NOT(BI35),AND(BI$4:BI34))),($J35*$G35-LN(1+jumpoverwrite13*BK$2))/$G35,_xll.qlInterpolationInterpolate(BI$3,$F35,TRUE))</f>
        <v>#NUM!</v>
      </c>
      <c r="BK35" s="34" t="str">
        <f>IF(AND(NOT(BI35),AND(BI$4:BI34)),IF(BJ35&gt;$J35,MAX(EXP((BJ35-$J35)*$G35),1),MIN(EXP((BJ35-$J35)*$G35),1)),"")</f>
        <v/>
      </c>
      <c r="BM35" s="72" t="b">
        <f>IF(AND(NOT(BI35),AND(BI$4:BI34)),TRUE,BI35)</f>
        <v>0</v>
      </c>
      <c r="BN35" s="175" t="e">
        <f>IF(AND(NOT(ISBLANK(Jumpoverwrite14)),AND(NOT(BM35),AND(BM$4:BM34))),($J35*$G35-LN(1+Jumpoverwrite14*BO$2))/$G35,_xll.qlInterpolationInterpolate(BM$3,$F35,TRUE))</f>
        <v>#NUM!</v>
      </c>
      <c r="BO35" s="34" t="str">
        <f>IF(AND(NOT(BM35),AND(BM$4:BM34)),IF(BM35&gt;$J35,MAX(EXP((BM35-$J35)*$G35),1),MIN(EXP((BM35-$J35)*$G35),1)),"")</f>
        <v/>
      </c>
    </row>
    <row r="36" spans="1:67" x14ac:dyDescent="0.2">
      <c r="A36" s="33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84" t="e">
        <f t="shared" si="4"/>
        <v>#N/A</v>
      </c>
      <c r="G36" s="85" t="e">
        <f>_xll.qlDayCounterYearFraction(DayCounter,D35,D36)</f>
        <v>#NUM!</v>
      </c>
      <c r="I36" s="93" t="b">
        <f t="shared" si="2"/>
        <v>0</v>
      </c>
      <c r="J36" s="37" t="e">
        <v>#N/A</v>
      </c>
      <c r="K36" s="94" t="e">
        <f t="shared" si="3"/>
        <v>#VALUE!</v>
      </c>
      <c r="L36" s="106"/>
      <c r="M36" s="72" t="b">
        <f>IF(AND(NOT(I36),AND(I$4:I35)),TRUE,I36)</f>
        <v>0</v>
      </c>
      <c r="N36" s="34" t="e">
        <f>IF(AND(NOT(ISBLANK(Jumpoverwrite1)),AND(NOT(M36),AND(M$4:M35))),($J36*$G36-LN(1+Jumpoverwrite1*O$2))/$G36,_xll.qlInterpolationInterpolate(M$3,$F36,TRUE))</f>
        <v>#NUM!</v>
      </c>
      <c r="O36" s="34" t="str">
        <f>IF(AND(NOT(M36),AND(M$4:M35)),IF(N36&gt;$J36,MAX(EXP((N36-$J36)*$G36),1),MIN(EXP((N36-$J36)*$G36),1)),"")</f>
        <v/>
      </c>
      <c r="P36" s="108"/>
      <c r="Q36" s="72" t="b">
        <f>IF(AND(NOT(M36),AND(M$4:M35)),TRUE,M36)</f>
        <v>0</v>
      </c>
      <c r="R36" s="34" t="e">
        <f>IF(AND(NOT(ISBLANK(Jumpoverwrite2)),AND(NOT(Q36),AND(Q$4:Q35))),($J36*$G36-LN(1+Jumpoverwrite2*S$2))/$G36,_xll.qlInterpolationInterpolate(Q$3,$F36,TRUE))</f>
        <v>#NUM!</v>
      </c>
      <c r="S36" s="34" t="str">
        <f>IF(AND(NOT(Q36),AND(Q$4:Q35)),IF(R36&gt;$J36,MAX(EXP((R36-$J36)*$G36),1),MIN(EXP((R36-$J36)*$G36),1)),"")</f>
        <v/>
      </c>
      <c r="T36" s="108"/>
      <c r="U36" s="72" t="b">
        <f>IF(AND(NOT(Q36),AND(Q$4:Q35)),TRUE,Q36)</f>
        <v>0</v>
      </c>
      <c r="V36" s="34" t="e">
        <f>IF(AND(NOT(ISBLANK(Jumpoverwrite3)),AND(NOT(U36),AND(U$4:U35))),($J36*$G36-LN(1+Jumpoverwrite3*W$2))/$G36,_xll.qlInterpolationInterpolate(U$3,$F36,TRUE))</f>
        <v>#NUM!</v>
      </c>
      <c r="W36" s="34" t="str">
        <f>IF(AND(NOT(U36),AND(U$4:U35)),IF(V36&gt;$J36,MAX(EXP((V36-$J36)*$G36),1),MIN(EXP((V36-$J36)*$G36),1)),"")</f>
        <v/>
      </c>
      <c r="X36" s="108"/>
      <c r="Y36" s="72" t="b">
        <f>IF(AND(NOT(U36),AND(U$4:U35)),TRUE,U36)</f>
        <v>0</v>
      </c>
      <c r="Z36" s="34" t="e">
        <f>IF(AND(NOT(ISBLANK(Jumpoverwrite4)),AND(NOT(Y36),AND(Y$4:Y35))),($J36*$G36-LN(1+Jumpoverwrite4*AA$2))/$G36,_xll.qlInterpolationInterpolate(Y$3,$F36,TRUE))</f>
        <v>#NUM!</v>
      </c>
      <c r="AA36" s="34" t="str">
        <f>IF(AND(NOT(Y36),AND(Y$4:Y35)),IF(Z36&gt;$J36,MAX(EXP((Z36-$J36)*$G36),1),MIN(EXP((Z36-$J36)*$G36),1)),"")</f>
        <v/>
      </c>
      <c r="AB36" s="108"/>
      <c r="AC36" s="72" t="b">
        <f>IF(AND(NOT(Y36),AND(Y$4:Y35)),TRUE,Y36)</f>
        <v>0</v>
      </c>
      <c r="AD36" s="34" t="e">
        <f>IF(AND(NOT(ISBLANK(Jumpoverwrite5)),AND(NOT(AC36),AND(AC$4:AC35))),($J36*$G36-LN(1+Jumpoverwrite5*AE$2))/$G36,_xll.qlInterpolationInterpolate(AC$3,$F36,TRUE))</f>
        <v>#NUM!</v>
      </c>
      <c r="AE36" s="34" t="str">
        <f>IF(AND(NOT(AC36),AND(AC$4:AC35)),IF(AD36&gt;$J36,MAX(EXP((AD36-$J36)*$G36),1),MIN(EXP((AD36-$J36)*$G36),1)),"")</f>
        <v/>
      </c>
      <c r="AF36" s="108"/>
      <c r="AG36" s="72" t="b">
        <f>IF(AND(NOT(AC36),AND(AC$4:AC35)),TRUE,AC36)</f>
        <v>0</v>
      </c>
      <c r="AH36" s="34" t="e">
        <f>IF(AND(NOT(ISBLANK(Jumpoverwrite6)),AND(NOT(AG36),AND(AG$4:AG35))),($J36*$G36-LN(1+Jumpoverwrite6*AI$2))/$G36,_xll.qlInterpolationInterpolate(AG$3,$F36,TRUE))</f>
        <v>#NUM!</v>
      </c>
      <c r="AI36" s="34" t="str">
        <f>IF(AND(NOT(AG36),AND(AG$4:AG35)),IF(AH36&gt;$J36,MAX(EXP((AH36-$J36)*$G36),1),MIN(EXP((AH36-$J36)*$G36),1)),"")</f>
        <v/>
      </c>
      <c r="AJ36" s="108"/>
      <c r="AK36" s="72" t="b">
        <f>IF(AND(NOT(AG36),AND(AG$4:AG35)),TRUE,AG36)</f>
        <v>0</v>
      </c>
      <c r="AL36" s="34" t="e">
        <f>IF(AND(NOT(ISBLANK(Jumpoverwrite7)),AND(NOT(AK36),AND(AK$4:AK35))),($J36*$G36-LN(1+Jumpoverwrite7*AM$2))/$G36,_xll.qlInterpolationInterpolate(AK$3,$F36,TRUE))</f>
        <v>#NUM!</v>
      </c>
      <c r="AM36" s="34" t="str">
        <f>IF(AND(NOT(AK36),AND(AK$4:AK35)),IF(AL36&gt;$J36,MAX(EXP((AL36-$J36)*$G36),1),MIN(EXP((AL36-$J36)*$G36),1)),"")</f>
        <v/>
      </c>
      <c r="AO36" s="72" t="b">
        <f>IF(AND(NOT(AK36),AND(AK$4:AK35)),TRUE,AK36)</f>
        <v>0</v>
      </c>
      <c r="AP36" s="34" t="e">
        <f>IF(AND(NOT(ISBLANK(Jumpoverwrite8)),AND(NOT(AO36),AND(AO$4:AO35))),($J36*$G36-LN(1+Jumpoverwrite8*AQ$2))/$G36,_xll.qlInterpolationInterpolate(AO$3,$F36,TRUE))</f>
        <v>#NUM!</v>
      </c>
      <c r="AQ36" s="34" t="str">
        <f>IF(AND(NOT(AO36),AND(AO$4:AO35)),IF(AP36&gt;$J36,MAX(EXP((AP36-$J36)*$G36),1),MIN(EXP((AP36-$J36)*$G36),1)),"")</f>
        <v/>
      </c>
      <c r="AS36" s="72" t="b">
        <f>IF(AND(NOT(AO36),AND(AO$4:AO35)),TRUE,AO36)</f>
        <v>0</v>
      </c>
      <c r="AT36" s="34" t="e">
        <f>IF(AND(NOT(ISBLANK(Jumpoverwrite9)),AND(NOT(AS36),AND(AS$4:AS35))),($J36*$G36-LN(1+Jumpoverwrite9*AU$2))/$G36,_xll.qlInterpolationInterpolate(AS$3,$F36,TRUE))</f>
        <v>#NUM!</v>
      </c>
      <c r="AU36" s="34" t="str">
        <f>IF(AND(NOT(AS36),AND(AS$4:AS35)),IF(AT36&gt;$J36,MAX(EXP((AT36-$J36)*$G36),1),MIN(EXP((AT36-$J36)*$G36),1)),"")</f>
        <v/>
      </c>
      <c r="AW36" s="72" t="b">
        <f>IF(AND(NOT(AS36),AND(AS$4:AS35)),TRUE,AS36)</f>
        <v>0</v>
      </c>
      <c r="AX36" s="34" t="e">
        <f>IF(AND(NOT(ISBLANK(Jumpoverwrite10)),AND(NOT(AW36),AND(AW$4:AW35))),($J36*$G36-LN(1+Jumpoverwrite10*AY$2))/$G36,_xll.qlInterpolationInterpolate(AW$3,$F36,TRUE))</f>
        <v>#NUM!</v>
      </c>
      <c r="AY36" s="34" t="str">
        <f>IF(AND(NOT(AW36),AND(AW$4:AW35)),IF(AX36&gt;$J36,MAX(EXP((AX36-$J36)*$G36),1),MIN(EXP((AX36-$J36)*$G36),1)),"")</f>
        <v/>
      </c>
      <c r="BA36" s="72" t="b">
        <f>IF(AND(NOT(AW36),AND(AW$4:AW35)),TRUE,AW36)</f>
        <v>0</v>
      </c>
      <c r="BB36" s="34" t="e">
        <f>IF(AND(NOT(ISBLANK(Jumpoverwrite11)),AND(NOT(BA36),AND(BA$4:BA35))),($J36*$G36-LN(1+Jumpoverwrite11*BC$2))/$G36,_xll.qlInterpolationInterpolate(BA$3,$F36,TRUE))</f>
        <v>#NUM!</v>
      </c>
      <c r="BC36" s="34" t="str">
        <f>IF(AND(NOT(BA36),AND(BA$4:BA35)),IF(BB36&gt;$J36,MAX(EXP((BB36-$J36)*$G36),1),MIN(EXP((BB36-$J36)*$G36),1)),"")</f>
        <v/>
      </c>
      <c r="BE36" s="72" t="b">
        <f>IF(AND(NOT(BA36),AND(BA$4:BA35)),TRUE,BA36)</f>
        <v>0</v>
      </c>
      <c r="BF36" s="34" t="e">
        <f>IF(AND(NOT(ISBLANK(Jumpoverwrite12)),AND(NOT(BE36),AND(BE$4:BE35))),($J36*$G36-LN(1+Jumpoverwrite12*BG$2))/$G36,_xll.qlInterpolationInterpolate(BE$3,$F36,TRUE))</f>
        <v>#NUM!</v>
      </c>
      <c r="BG36" s="34" t="str">
        <f>IF(AND(NOT(BE36),AND(BE$4:BE35)),IF(BF36&gt;$J36,MAX(EXP((BF36-$J36)*$G36),1),MIN(EXP((BF36-$J36)*$G36),1)),"")</f>
        <v/>
      </c>
      <c r="BI36" s="72" t="b">
        <f t="shared" si="1"/>
        <v>0</v>
      </c>
      <c r="BJ36" s="34" t="e">
        <f>IF(AND(NOT(ISBLANK(jumpoverwrite13)),AND(NOT(BI36),AND(BI$4:BI35))),($J36*$G36-LN(1+jumpoverwrite13*BK$2))/$G36,_xll.qlInterpolationInterpolate(BI$3,$F36,TRUE))</f>
        <v>#NUM!</v>
      </c>
      <c r="BK36" s="34" t="str">
        <f>IF(AND(NOT(BI36),AND(BI$4:BI35)),IF(BJ36&gt;$J36,MAX(EXP((BJ36-$J36)*$G36),1),MIN(EXP((BJ36-$J36)*$G36),1)),"")</f>
        <v/>
      </c>
      <c r="BM36" s="72" t="b">
        <f>IF(AND(NOT(BI36),AND(BI$4:BI35)),TRUE,BI36)</f>
        <v>0</v>
      </c>
      <c r="BN36" s="175" t="e">
        <f>IF(AND(NOT(ISBLANK(Jumpoverwrite14)),AND(NOT(BM36),AND(BM$4:BM35))),($J36*$G36-LN(1+Jumpoverwrite14*BO$2))/$G36,_xll.qlInterpolationInterpolate(BM$3,$F36,TRUE))</f>
        <v>#NUM!</v>
      </c>
      <c r="BO36" s="34" t="str">
        <f>IF(AND(NOT(BM36),AND(BM$4:BM35)),IF(BM36&gt;$J36,MAX(EXP((BM36-$J36)*$G36),1),MIN(EXP((BM36-$J36)*$G36),1)),"")</f>
        <v/>
      </c>
    </row>
    <row r="37" spans="1:67" x14ac:dyDescent="0.2">
      <c r="A37" s="33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84" t="e">
        <f t="shared" si="4"/>
        <v>#N/A</v>
      </c>
      <c r="G37" s="85" t="e">
        <f>_xll.qlDayCounterYearFraction(DayCounter,D36,D37)</f>
        <v>#NUM!</v>
      </c>
      <c r="I37" s="93" t="b">
        <f t="shared" si="2"/>
        <v>0</v>
      </c>
      <c r="J37" s="37" t="e">
        <v>#N/A</v>
      </c>
      <c r="K37" s="94" t="e">
        <f t="shared" si="3"/>
        <v>#VALUE!</v>
      </c>
      <c r="L37" s="106"/>
      <c r="M37" s="72" t="b">
        <f>IF(AND(NOT(I37),AND(I$4:I36)),TRUE,I37)</f>
        <v>0</v>
      </c>
      <c r="N37" s="34" t="e">
        <f>IF(AND(NOT(ISBLANK(Jumpoverwrite1)),AND(NOT(M37),AND(M$4:M36))),($J37*$G37-LN(1+Jumpoverwrite1*O$2))/$G37,_xll.qlInterpolationInterpolate(M$3,$F37,TRUE))</f>
        <v>#NUM!</v>
      </c>
      <c r="O37" s="34" t="str">
        <f>IF(AND(NOT(M37),AND(M$4:M36)),IF(N37&gt;$J37,MAX(EXP((N37-$J37)*$G37),1),MIN(EXP((N37-$J37)*$G37),1)),"")</f>
        <v/>
      </c>
      <c r="P37" s="108"/>
      <c r="Q37" s="72" t="b">
        <f>IF(AND(NOT(M37),AND(M$4:M36)),TRUE,M37)</f>
        <v>0</v>
      </c>
      <c r="R37" s="34" t="e">
        <f>IF(AND(NOT(ISBLANK(Jumpoverwrite2)),AND(NOT(Q37),AND(Q$4:Q36))),($J37*$G37-LN(1+Jumpoverwrite2*S$2))/$G37,_xll.qlInterpolationInterpolate(Q$3,$F37,TRUE))</f>
        <v>#NUM!</v>
      </c>
      <c r="S37" s="34" t="str">
        <f>IF(AND(NOT(Q37),AND(Q$4:Q36)),IF(R37&gt;$J37,MAX(EXP((R37-$J37)*$G37),1),MIN(EXP((R37-$J37)*$G37),1)),"")</f>
        <v/>
      </c>
      <c r="T37" s="108"/>
      <c r="U37" s="72" t="b">
        <f>IF(AND(NOT(Q37),AND(Q$4:Q36)),TRUE,Q37)</f>
        <v>0</v>
      </c>
      <c r="V37" s="34" t="e">
        <f>IF(AND(NOT(ISBLANK(Jumpoverwrite3)),AND(NOT(U37),AND(U$4:U36))),($J37*$G37-LN(1+Jumpoverwrite3*W$2))/$G37,_xll.qlInterpolationInterpolate(U$3,$F37,TRUE))</f>
        <v>#NUM!</v>
      </c>
      <c r="W37" s="34" t="str">
        <f>IF(AND(NOT(U37),AND(U$4:U36)),IF(V37&gt;$J37,MAX(EXP((V37-$J37)*$G37),1),MIN(EXP((V37-$J37)*$G37),1)),"")</f>
        <v/>
      </c>
      <c r="X37" s="108"/>
      <c r="Y37" s="72" t="b">
        <f>IF(AND(NOT(U37),AND(U$4:U36)),TRUE,U37)</f>
        <v>0</v>
      </c>
      <c r="Z37" s="34" t="e">
        <f>IF(AND(NOT(ISBLANK(Jumpoverwrite4)),AND(NOT(Y37),AND(Y$4:Y36))),($J37*$G37-LN(1+Jumpoverwrite4*AA$2))/$G37,_xll.qlInterpolationInterpolate(Y$3,$F37,TRUE))</f>
        <v>#NUM!</v>
      </c>
      <c r="AA37" s="34" t="str">
        <f>IF(AND(NOT(Y37),AND(Y$4:Y36)),IF(Z37&gt;$J37,MAX(EXP((Z37-$J37)*$G37),1),MIN(EXP((Z37-$J37)*$G37),1)),"")</f>
        <v/>
      </c>
      <c r="AB37" s="108"/>
      <c r="AC37" s="72" t="b">
        <f>IF(AND(NOT(Y37),AND(Y$4:Y36)),TRUE,Y37)</f>
        <v>0</v>
      </c>
      <c r="AD37" s="34" t="e">
        <f>IF(AND(NOT(ISBLANK(Jumpoverwrite5)),AND(NOT(AC37),AND(AC$4:AC36))),($J37*$G37-LN(1+Jumpoverwrite5*AE$2))/$G37,_xll.qlInterpolationInterpolate(AC$3,$F37,TRUE))</f>
        <v>#NUM!</v>
      </c>
      <c r="AE37" s="34" t="str">
        <f>IF(AND(NOT(AC37),AND(AC$4:AC36)),IF(AD37&gt;$J37,MAX(EXP((AD37-$J37)*$G37),1),MIN(EXP((AD37-$J37)*$G37),1)),"")</f>
        <v/>
      </c>
      <c r="AF37" s="108"/>
      <c r="AG37" s="72" t="b">
        <f>IF(AND(NOT(AC37),AND(AC$4:AC36)),TRUE,AC37)</f>
        <v>0</v>
      </c>
      <c r="AH37" s="34" t="e">
        <f>IF(AND(NOT(ISBLANK(Jumpoverwrite6)),AND(NOT(AG37),AND(AG$4:AG36))),($J37*$G37-LN(1+Jumpoverwrite6*AI$2))/$G37,_xll.qlInterpolationInterpolate(AG$3,$F37,TRUE))</f>
        <v>#NUM!</v>
      </c>
      <c r="AI37" s="34" t="str">
        <f>IF(AND(NOT(AG37),AND(AG$4:AG36)),IF(AH37&gt;$J37,MAX(EXP((AH37-$J37)*$G37),1),MIN(EXP((AH37-$J37)*$G37),1)),"")</f>
        <v/>
      </c>
      <c r="AJ37" s="108"/>
      <c r="AK37" s="72" t="b">
        <f>IF(AND(NOT(AG37),AND(AG$4:AG36)),TRUE,AG37)</f>
        <v>0</v>
      </c>
      <c r="AL37" s="34" t="e">
        <f>IF(AND(NOT(ISBLANK(Jumpoverwrite7)),AND(NOT(AK37),AND(AK$4:AK36))),($J37*$G37-LN(1+Jumpoverwrite7*AM$2))/$G37,_xll.qlInterpolationInterpolate(AK$3,$F37,TRUE))</f>
        <v>#NUM!</v>
      </c>
      <c r="AM37" s="34" t="str">
        <f>IF(AND(NOT(AK37),AND(AK$4:AK36)),IF(AL37&gt;$J37,MAX(EXP((AL37-$J37)*$G37),1),MIN(EXP((AL37-$J37)*$G37),1)),"")</f>
        <v/>
      </c>
      <c r="AO37" s="72" t="b">
        <f>IF(AND(NOT(AK37),AND(AK$4:AK36)),TRUE,AK37)</f>
        <v>0</v>
      </c>
      <c r="AP37" s="34" t="e">
        <f>IF(AND(NOT(ISBLANK(Jumpoverwrite8)),AND(NOT(AO37),AND(AO$4:AO36))),($J37*$G37-LN(1+Jumpoverwrite8*AQ$2))/$G37,_xll.qlInterpolationInterpolate(AO$3,$F37,TRUE))</f>
        <v>#NUM!</v>
      </c>
      <c r="AQ37" s="34" t="str">
        <f>IF(AND(NOT(AO37),AND(AO$4:AO36)),IF(AP37&gt;$J37,MAX(EXP((AP37-$J37)*$G37),1),MIN(EXP((AP37-$J37)*$G37),1)),"")</f>
        <v/>
      </c>
      <c r="AS37" s="72" t="b">
        <f>IF(AND(NOT(AO37),AND(AO$4:AO36)),TRUE,AO37)</f>
        <v>0</v>
      </c>
      <c r="AT37" s="34" t="e">
        <f>IF(AND(NOT(ISBLANK(Jumpoverwrite9)),AND(NOT(AS37),AND(AS$4:AS36))),($J37*$G37-LN(1+Jumpoverwrite9*AU$2))/$G37,_xll.qlInterpolationInterpolate(AS$3,$F37,TRUE))</f>
        <v>#NUM!</v>
      </c>
      <c r="AU37" s="34" t="str">
        <f>IF(AND(NOT(AS37),AND(AS$4:AS36)),IF(AT37&gt;$J37,MAX(EXP((AT37-$J37)*$G37),1),MIN(EXP((AT37-$J37)*$G37),1)),"")</f>
        <v/>
      </c>
      <c r="AW37" s="72" t="b">
        <f>IF(AND(NOT(AS37),AND(AS$4:AS36)),TRUE,AS37)</f>
        <v>0</v>
      </c>
      <c r="AX37" s="34" t="e">
        <f>IF(AND(NOT(ISBLANK(Jumpoverwrite10)),AND(NOT(AW37),AND(AW$4:AW36))),($J37*$G37-LN(1+Jumpoverwrite10*AY$2))/$G37,_xll.qlInterpolationInterpolate(AW$3,$F37,TRUE))</f>
        <v>#NUM!</v>
      </c>
      <c r="AY37" s="34" t="str">
        <f>IF(AND(NOT(AW37),AND(AW$4:AW36)),IF(AX37&gt;$J37,MAX(EXP((AX37-$J37)*$G37),1),MIN(EXP((AX37-$J37)*$G37),1)),"")</f>
        <v/>
      </c>
      <c r="BA37" s="72" t="b">
        <f>IF(AND(NOT(AW37),AND(AW$4:AW36)),TRUE,AW37)</f>
        <v>0</v>
      </c>
      <c r="BB37" s="34" t="e">
        <f>IF(AND(NOT(ISBLANK(Jumpoverwrite11)),AND(NOT(BA37),AND(BA$4:BA36))),($J37*$G37-LN(1+Jumpoverwrite11*BC$2))/$G37,_xll.qlInterpolationInterpolate(BA$3,$F37,TRUE))</f>
        <v>#NUM!</v>
      </c>
      <c r="BC37" s="34" t="str">
        <f>IF(AND(NOT(BA37),AND(BA$4:BA36)),IF(BB37&gt;$J37,MAX(EXP((BB37-$J37)*$G37),1),MIN(EXP((BB37-$J37)*$G37),1)),"")</f>
        <v/>
      </c>
      <c r="BE37" s="72" t="b">
        <f>IF(AND(NOT(BA37),AND(BA$4:BA36)),TRUE,BA37)</f>
        <v>0</v>
      </c>
      <c r="BF37" s="34" t="e">
        <f>IF(AND(NOT(ISBLANK(Jumpoverwrite12)),AND(NOT(BE37),AND(BE$4:BE36))),($J37*$G37-LN(1+Jumpoverwrite12*BG$2))/$G37,_xll.qlInterpolationInterpolate(BE$3,$F37,TRUE))</f>
        <v>#NUM!</v>
      </c>
      <c r="BG37" s="34" t="str">
        <f>IF(AND(NOT(BE37),AND(BE$4:BE36)),IF(BF37&gt;$J37,MAX(EXP((BF37-$J37)*$G37),1),MIN(EXP((BF37-$J37)*$G37),1)),"")</f>
        <v/>
      </c>
      <c r="BI37" s="72" t="b">
        <f t="shared" ref="BI37:BI68" si="5">IF(ISERROR(K37),FALSE,IF(YEAR(K37)-YEAR(SettlementDate)=2,FALSE,TRUE))</f>
        <v>0</v>
      </c>
      <c r="BJ37" s="34" t="e">
        <f>IF(AND(NOT(ISBLANK(jumpoverwrite13)),AND(NOT(BI37),AND(BI$4:BI36))),($J37*$G37-LN(1+jumpoverwrite13*BK$2))/$G37,_xll.qlInterpolationInterpolate(BI$3,$F37,TRUE))</f>
        <v>#NUM!</v>
      </c>
      <c r="BK37" s="34" t="str">
        <f>IF(AND(NOT(BI37),AND(BI$4:BI36)),IF(BJ37&gt;$J37,MAX(EXP((BJ37-$J37)*$G37),1),MIN(EXP((BJ37-$J37)*$G37),1)),"")</f>
        <v/>
      </c>
      <c r="BM37" s="72" t="b">
        <f>IF(AND(NOT(BI37),AND(BI$4:BI36)),TRUE,BI37)</f>
        <v>0</v>
      </c>
      <c r="BN37" s="175" t="e">
        <f>IF(AND(NOT(ISBLANK(Jumpoverwrite14)),AND(NOT(BM37),AND(BM$4:BM36))),($J37*$G37-LN(1+Jumpoverwrite14*BO$2))/$G37,_xll.qlInterpolationInterpolate(BM$3,$F37,TRUE))</f>
        <v>#NUM!</v>
      </c>
      <c r="BO37" s="34" t="str">
        <f>IF(AND(NOT(BM37),AND(BM$4:BM36)),IF(BM37&gt;$J37,MAX(EXP((BM37-$J37)*$G37),1),MIN(EXP((BM37-$J37)*$G37),1)),"")</f>
        <v/>
      </c>
    </row>
    <row r="38" spans="1:67" x14ac:dyDescent="0.2">
      <c r="A38" s="33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84" t="e">
        <f t="shared" si="4"/>
        <v>#N/A</v>
      </c>
      <c r="G38" s="85" t="e">
        <f>_xll.qlDayCounterYearFraction(DayCounter,D37,D38)</f>
        <v>#NUM!</v>
      </c>
      <c r="I38" s="93" t="b">
        <f t="shared" si="2"/>
        <v>0</v>
      </c>
      <c r="J38" s="37" t="e">
        <v>#N/A</v>
      </c>
      <c r="K38" s="94" t="e">
        <f t="shared" si="3"/>
        <v>#VALUE!</v>
      </c>
      <c r="L38" s="106"/>
      <c r="M38" s="72" t="b">
        <f>IF(AND(NOT(I38),AND(I$4:I37)),TRUE,I38)</f>
        <v>0</v>
      </c>
      <c r="N38" s="34" t="e">
        <f>IF(AND(NOT(ISBLANK(Jumpoverwrite1)),AND(NOT(M38),AND(M$4:M37))),($J38*$G38-LN(1+Jumpoverwrite1*O$2))/$G38,_xll.qlInterpolationInterpolate(M$3,$F38,TRUE))</f>
        <v>#NUM!</v>
      </c>
      <c r="O38" s="34" t="str">
        <f>IF(AND(NOT(M38),AND(M$4:M37)),IF(N38&gt;$J38,MAX(EXP((N38-$J38)*$G38),1),MIN(EXP((N38-$J38)*$G38),1)),"")</f>
        <v/>
      </c>
      <c r="P38" s="108"/>
      <c r="Q38" s="72" t="b">
        <f>IF(AND(NOT(M38),AND(M$4:M37)),TRUE,M38)</f>
        <v>0</v>
      </c>
      <c r="R38" s="34" t="e">
        <f>IF(AND(NOT(ISBLANK(Jumpoverwrite2)),AND(NOT(Q38),AND(Q$4:Q37))),($J38*$G38-LN(1+Jumpoverwrite2*S$2))/$G38,_xll.qlInterpolationInterpolate(Q$3,$F38,TRUE))</f>
        <v>#NUM!</v>
      </c>
      <c r="S38" s="34" t="str">
        <f>IF(AND(NOT(Q38),AND(Q$4:Q37)),IF(R38&gt;$J38,MAX(EXP((R38-$J38)*$G38),1),MIN(EXP((R38-$J38)*$G38),1)),"")</f>
        <v/>
      </c>
      <c r="T38" s="108"/>
      <c r="U38" s="72" t="b">
        <f>IF(AND(NOT(Q38),AND(Q$4:Q37)),TRUE,Q38)</f>
        <v>0</v>
      </c>
      <c r="V38" s="34" t="e">
        <f>IF(AND(NOT(ISBLANK(Jumpoverwrite3)),AND(NOT(U38),AND(U$4:U37))),($J38*$G38-LN(1+Jumpoverwrite3*W$2))/$G38,_xll.qlInterpolationInterpolate(U$3,$F38,TRUE))</f>
        <v>#NUM!</v>
      </c>
      <c r="W38" s="34" t="str">
        <f>IF(AND(NOT(U38),AND(U$4:U37)),IF(V38&gt;$J38,MAX(EXP((V38-$J38)*$G38),1),MIN(EXP((V38-$J38)*$G38),1)),"")</f>
        <v/>
      </c>
      <c r="X38" s="108"/>
      <c r="Y38" s="72" t="b">
        <f>IF(AND(NOT(U38),AND(U$4:U37)),TRUE,U38)</f>
        <v>0</v>
      </c>
      <c r="Z38" s="34" t="e">
        <f>IF(AND(NOT(ISBLANK(Jumpoverwrite4)),AND(NOT(Y38),AND(Y$4:Y37))),($J38*$G38-LN(1+Jumpoverwrite4*AA$2))/$G38,_xll.qlInterpolationInterpolate(Y$3,$F38,TRUE))</f>
        <v>#NUM!</v>
      </c>
      <c r="AA38" s="34" t="str">
        <f>IF(AND(NOT(Y38),AND(Y$4:Y37)),IF(Z38&gt;$J38,MAX(EXP((Z38-$J38)*$G38),1),MIN(EXP((Z38-$J38)*$G38),1)),"")</f>
        <v/>
      </c>
      <c r="AB38" s="108"/>
      <c r="AC38" s="72" t="b">
        <f>IF(AND(NOT(Y38),AND(Y$4:Y37)),TRUE,Y38)</f>
        <v>0</v>
      </c>
      <c r="AD38" s="34" t="e">
        <f>IF(AND(NOT(ISBLANK(Jumpoverwrite5)),AND(NOT(AC38),AND(AC$4:AC37))),($J38*$G38-LN(1+Jumpoverwrite5*AE$2))/$G38,_xll.qlInterpolationInterpolate(AC$3,$F38,TRUE))</f>
        <v>#NUM!</v>
      </c>
      <c r="AE38" s="34" t="str">
        <f>IF(AND(NOT(AC38),AND(AC$4:AC37)),IF(AD38&gt;$J38,MAX(EXP((AD38-$J38)*$G38),1),MIN(EXP((AD38-$J38)*$G38),1)),"")</f>
        <v/>
      </c>
      <c r="AF38" s="108"/>
      <c r="AG38" s="72" t="b">
        <f>IF(AND(NOT(AC38),AND(AC$4:AC37)),TRUE,AC38)</f>
        <v>0</v>
      </c>
      <c r="AH38" s="34" t="e">
        <f>IF(AND(NOT(ISBLANK(Jumpoverwrite6)),AND(NOT(AG38),AND(AG$4:AG37))),($J38*$G38-LN(1+Jumpoverwrite6*AI$2))/$G38,_xll.qlInterpolationInterpolate(AG$3,$F38,TRUE))</f>
        <v>#NUM!</v>
      </c>
      <c r="AI38" s="34" t="str">
        <f>IF(AND(NOT(AG38),AND(AG$4:AG37)),IF(AH38&gt;$J38,MAX(EXP((AH38-$J38)*$G38),1),MIN(EXP((AH38-$J38)*$G38),1)),"")</f>
        <v/>
      </c>
      <c r="AJ38" s="108"/>
      <c r="AK38" s="72" t="b">
        <f>IF(AND(NOT(AG38),AND(AG$4:AG37)),TRUE,AG38)</f>
        <v>0</v>
      </c>
      <c r="AL38" s="34" t="e">
        <f>IF(AND(NOT(ISBLANK(Jumpoverwrite7)),AND(NOT(AK38),AND(AK$4:AK37))),($J38*$G38-LN(1+Jumpoverwrite7*AM$2))/$G38,_xll.qlInterpolationInterpolate(AK$3,$F38,TRUE))</f>
        <v>#NUM!</v>
      </c>
      <c r="AM38" s="34" t="str">
        <f>IF(AND(NOT(AK38),AND(AK$4:AK37)),IF(AL38&gt;$J38,MAX(EXP((AL38-$J38)*$G38),1),MIN(EXP((AL38-$J38)*$G38),1)),"")</f>
        <v/>
      </c>
      <c r="AO38" s="72" t="b">
        <f>IF(AND(NOT(AK38),AND(AK$4:AK37)),TRUE,AK38)</f>
        <v>0</v>
      </c>
      <c r="AP38" s="34" t="e">
        <f>IF(AND(NOT(ISBLANK(Jumpoverwrite8)),AND(NOT(AO38),AND(AO$4:AO37))),($J38*$G38-LN(1+Jumpoverwrite8*AQ$2))/$G38,_xll.qlInterpolationInterpolate(AO$3,$F38,TRUE))</f>
        <v>#NUM!</v>
      </c>
      <c r="AQ38" s="34" t="str">
        <f>IF(AND(NOT(AO38),AND(AO$4:AO37)),IF(AP38&gt;$J38,MAX(EXP((AP38-$J38)*$G38),1),MIN(EXP((AP38-$J38)*$G38),1)),"")</f>
        <v/>
      </c>
      <c r="AS38" s="72" t="b">
        <f>IF(AND(NOT(AO38),AND(AO$4:AO37)),TRUE,AO38)</f>
        <v>0</v>
      </c>
      <c r="AT38" s="34" t="e">
        <f>IF(AND(NOT(ISBLANK(Jumpoverwrite9)),AND(NOT(AS38),AND(AS$4:AS37))),($J38*$G38-LN(1+Jumpoverwrite9*AU$2))/$G38,_xll.qlInterpolationInterpolate(AS$3,$F38,TRUE))</f>
        <v>#NUM!</v>
      </c>
      <c r="AU38" s="34" t="str">
        <f>IF(AND(NOT(AS38),AND(AS$4:AS37)),IF(AT38&gt;$J38,MAX(EXP((AT38-$J38)*$G38),1),MIN(EXP((AT38-$J38)*$G38),1)),"")</f>
        <v/>
      </c>
      <c r="AW38" s="72" t="b">
        <f>IF(AND(NOT(AS38),AND(AS$4:AS37)),TRUE,AS38)</f>
        <v>0</v>
      </c>
      <c r="AX38" s="34" t="e">
        <f>IF(AND(NOT(ISBLANK(Jumpoverwrite10)),AND(NOT(AW38),AND(AW$4:AW37))),($J38*$G38-LN(1+Jumpoverwrite10*AY$2))/$G38,_xll.qlInterpolationInterpolate(AW$3,$F38,TRUE))</f>
        <v>#NUM!</v>
      </c>
      <c r="AY38" s="34" t="str">
        <f>IF(AND(NOT(AW38),AND(AW$4:AW37)),IF(AX38&gt;$J38,MAX(EXP((AX38-$J38)*$G38),1),MIN(EXP((AX38-$J38)*$G38),1)),"")</f>
        <v/>
      </c>
      <c r="BA38" s="72" t="b">
        <f>IF(AND(NOT(AW38),AND(AW$4:AW37)),TRUE,AW38)</f>
        <v>0</v>
      </c>
      <c r="BB38" s="34" t="e">
        <f>IF(AND(NOT(ISBLANK(Jumpoverwrite11)),AND(NOT(BA38),AND(BA$4:BA37))),($J38*$G38-LN(1+Jumpoverwrite11*BC$2))/$G38,_xll.qlInterpolationInterpolate(BA$3,$F38,TRUE))</f>
        <v>#NUM!</v>
      </c>
      <c r="BC38" s="34" t="str">
        <f>IF(AND(NOT(BA38),AND(BA$4:BA37)),IF(BB38&gt;$J38,MAX(EXP((BB38-$J38)*$G38),1),MIN(EXP((BB38-$J38)*$G38),1)),"")</f>
        <v/>
      </c>
      <c r="BE38" s="72" t="b">
        <f>IF(AND(NOT(BA38),AND(BA$4:BA37)),TRUE,BA38)</f>
        <v>0</v>
      </c>
      <c r="BF38" s="34" t="e">
        <f>IF(AND(NOT(ISBLANK(Jumpoverwrite12)),AND(NOT(BE38),AND(BE$4:BE37))),($J38*$G38-LN(1+Jumpoverwrite12*BG$2))/$G38,_xll.qlInterpolationInterpolate(BE$3,$F38,TRUE))</f>
        <v>#NUM!</v>
      </c>
      <c r="BG38" s="34" t="str">
        <f>IF(AND(NOT(BE38),AND(BE$4:BE37)),IF(BF38&gt;$J38,MAX(EXP((BF38-$J38)*$G38),1),MIN(EXP((BF38-$J38)*$G38),1)),"")</f>
        <v/>
      </c>
      <c r="BI38" s="72" t="b">
        <f t="shared" si="5"/>
        <v>0</v>
      </c>
      <c r="BJ38" s="34" t="e">
        <f>IF(AND(NOT(ISBLANK(jumpoverwrite13)),AND(NOT(BI38),AND(BI$4:BI37))),($J38*$G38-LN(1+jumpoverwrite13*BK$2))/$G38,_xll.qlInterpolationInterpolate(BI$3,$F38,TRUE))</f>
        <v>#NUM!</v>
      </c>
      <c r="BK38" s="34" t="str">
        <f>IF(AND(NOT(BI38),AND(BI$4:BI37)),IF(BJ38&gt;$J38,MAX(EXP((BJ38-$J38)*$G38),1),MIN(EXP((BJ38-$J38)*$G38),1)),"")</f>
        <v/>
      </c>
      <c r="BM38" s="72" t="b">
        <f>IF(AND(NOT(BI38),AND(BI$4:BI37)),TRUE,BI38)</f>
        <v>0</v>
      </c>
      <c r="BN38" s="175" t="e">
        <f>IF(AND(NOT(ISBLANK(Jumpoverwrite14)),AND(NOT(BM38),AND(BM$4:BM37))),($J38*$G38-LN(1+Jumpoverwrite14*BO$2))/$G38,_xll.qlInterpolationInterpolate(BM$3,$F38,TRUE))</f>
        <v>#NUM!</v>
      </c>
      <c r="BO38" s="34" t="str">
        <f>IF(AND(NOT(BM38),AND(BM$4:BM37)),IF(BM38&gt;$J38,MAX(EXP((BM38-$J38)*$G38),1),MIN(EXP((BM38-$J38)*$G38),1)),"")</f>
        <v/>
      </c>
    </row>
    <row r="39" spans="1:67" x14ac:dyDescent="0.2">
      <c r="A39" s="33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84" t="e">
        <f t="shared" si="4"/>
        <v>#N/A</v>
      </c>
      <c r="G39" s="85" t="e">
        <f>_xll.qlDayCounterYearFraction(DayCounter,D38,D39)</f>
        <v>#NUM!</v>
      </c>
      <c r="I39" s="93" t="b">
        <f t="shared" si="2"/>
        <v>0</v>
      </c>
      <c r="J39" s="37" t="e">
        <v>#N/A</v>
      </c>
      <c r="K39" s="94" t="e">
        <f t="shared" si="3"/>
        <v>#VALUE!</v>
      </c>
      <c r="L39" s="106"/>
      <c r="M39" s="72" t="b">
        <f>IF(AND(NOT(I39),AND(I$4:I38)),TRUE,I39)</f>
        <v>0</v>
      </c>
      <c r="N39" s="34" t="e">
        <f>IF(AND(NOT(ISBLANK(Jumpoverwrite1)),AND(NOT(M39),AND(M$4:M38))),($J39*$G39-LN(1+Jumpoverwrite1*O$2))/$G39,_xll.qlInterpolationInterpolate(M$3,$F39,TRUE))</f>
        <v>#NUM!</v>
      </c>
      <c r="O39" s="34" t="str">
        <f>IF(AND(NOT(M39),AND(M$4:M38)),IF(N39&gt;$J39,MAX(EXP((N39-$J39)*$G39),1),MIN(EXP((N39-$J39)*$G39),1)),"")</f>
        <v/>
      </c>
      <c r="P39" s="108"/>
      <c r="Q39" s="72" t="b">
        <f>IF(AND(NOT(M39),AND(M$4:M38)),TRUE,M39)</f>
        <v>0</v>
      </c>
      <c r="R39" s="34" t="e">
        <f>IF(AND(NOT(ISBLANK(Jumpoverwrite2)),AND(NOT(Q39),AND(Q$4:Q38))),($J39*$G39-LN(1+Jumpoverwrite2*S$2))/$G39,_xll.qlInterpolationInterpolate(Q$3,$F39,TRUE))</f>
        <v>#NUM!</v>
      </c>
      <c r="S39" s="34" t="str">
        <f>IF(AND(NOT(Q39),AND(Q$4:Q38)),IF(R39&gt;$J39,MAX(EXP((R39-$J39)*$G39),1),MIN(EXP((R39-$J39)*$G39),1)),"")</f>
        <v/>
      </c>
      <c r="T39" s="108"/>
      <c r="U39" s="72" t="b">
        <f>IF(AND(NOT(Q39),AND(Q$4:Q38)),TRUE,Q39)</f>
        <v>0</v>
      </c>
      <c r="V39" s="34" t="e">
        <f>IF(AND(NOT(ISBLANK(Jumpoverwrite3)),AND(NOT(U39),AND(U$4:U38))),($J39*$G39-LN(1+Jumpoverwrite3*W$2))/$G39,_xll.qlInterpolationInterpolate(U$3,$F39,TRUE))</f>
        <v>#NUM!</v>
      </c>
      <c r="W39" s="34" t="str">
        <f>IF(AND(NOT(U39),AND(U$4:U38)),IF(V39&gt;$J39,MAX(EXP((V39-$J39)*$G39),1),MIN(EXP((V39-$J39)*$G39),1)),"")</f>
        <v/>
      </c>
      <c r="X39" s="108"/>
      <c r="Y39" s="72" t="b">
        <f>IF(AND(NOT(U39),AND(U$4:U38)),TRUE,U39)</f>
        <v>0</v>
      </c>
      <c r="Z39" s="34" t="e">
        <f>IF(AND(NOT(ISBLANK(Jumpoverwrite4)),AND(NOT(Y39),AND(Y$4:Y38))),($J39*$G39-LN(1+Jumpoverwrite4*AA$2))/$G39,_xll.qlInterpolationInterpolate(Y$3,$F39,TRUE))</f>
        <v>#NUM!</v>
      </c>
      <c r="AA39" s="34" t="str">
        <f>IF(AND(NOT(Y39),AND(Y$4:Y38)),IF(Z39&gt;$J39,MAX(EXP((Z39-$J39)*$G39),1),MIN(EXP((Z39-$J39)*$G39),1)),"")</f>
        <v/>
      </c>
      <c r="AB39" s="108"/>
      <c r="AC39" s="72" t="b">
        <f>IF(AND(NOT(Y39),AND(Y$4:Y38)),TRUE,Y39)</f>
        <v>0</v>
      </c>
      <c r="AD39" s="34" t="e">
        <f>IF(AND(NOT(ISBLANK(Jumpoverwrite5)),AND(NOT(AC39),AND(AC$4:AC38))),($J39*$G39-LN(1+Jumpoverwrite5*AE$2))/$G39,_xll.qlInterpolationInterpolate(AC$3,$F39,TRUE))</f>
        <v>#NUM!</v>
      </c>
      <c r="AE39" s="34" t="str">
        <f>IF(AND(NOT(AC39),AND(AC$4:AC38)),IF(AD39&gt;$J39,MAX(EXP((AD39-$J39)*$G39),1),MIN(EXP((AD39-$J39)*$G39),1)),"")</f>
        <v/>
      </c>
      <c r="AF39" s="108"/>
      <c r="AG39" s="72" t="b">
        <f>IF(AND(NOT(AC39),AND(AC$4:AC38)),TRUE,AC39)</f>
        <v>0</v>
      </c>
      <c r="AH39" s="34" t="e">
        <f>IF(AND(NOT(ISBLANK(Jumpoverwrite6)),AND(NOT(AG39),AND(AG$4:AG38))),($J39*$G39-LN(1+Jumpoverwrite6*AI$2))/$G39,_xll.qlInterpolationInterpolate(AG$3,$F39,TRUE))</f>
        <v>#NUM!</v>
      </c>
      <c r="AI39" s="34" t="str">
        <f>IF(AND(NOT(AG39),AND(AG$4:AG38)),IF(AH39&gt;$J39,MAX(EXP((AH39-$J39)*$G39),1),MIN(EXP((AH39-$J39)*$G39),1)),"")</f>
        <v/>
      </c>
      <c r="AJ39" s="108"/>
      <c r="AK39" s="72" t="b">
        <f>IF(AND(NOT(AG39),AND(AG$4:AG38)),TRUE,AG39)</f>
        <v>0</v>
      </c>
      <c r="AL39" s="34" t="e">
        <f>IF(AND(NOT(ISBLANK(Jumpoverwrite7)),AND(NOT(AK39),AND(AK$4:AK38))),($J39*$G39-LN(1+Jumpoverwrite7*AM$2))/$G39,_xll.qlInterpolationInterpolate(AK$3,$F39,TRUE))</f>
        <v>#NUM!</v>
      </c>
      <c r="AM39" s="34" t="str">
        <f>IF(AND(NOT(AK39),AND(AK$4:AK38)),IF(AL39&gt;$J39,MAX(EXP((AL39-$J39)*$G39),1),MIN(EXP((AL39-$J39)*$G39),1)),"")</f>
        <v/>
      </c>
      <c r="AO39" s="72" t="b">
        <f>IF(AND(NOT(AK39),AND(AK$4:AK38)),TRUE,AK39)</f>
        <v>0</v>
      </c>
      <c r="AP39" s="34" t="e">
        <f>IF(AND(NOT(ISBLANK(Jumpoverwrite8)),AND(NOT(AO39),AND(AO$4:AO38))),($J39*$G39-LN(1+Jumpoverwrite8*AQ$2))/$G39,_xll.qlInterpolationInterpolate(AO$3,$F39,TRUE))</f>
        <v>#NUM!</v>
      </c>
      <c r="AQ39" s="34" t="str">
        <f>IF(AND(NOT(AO39),AND(AO$4:AO38)),IF(AP39&gt;$J39,MAX(EXP((AP39-$J39)*$G39),1),MIN(EXP((AP39-$J39)*$G39),1)),"")</f>
        <v/>
      </c>
      <c r="AS39" s="72" t="b">
        <f>IF(AND(NOT(AO39),AND(AO$4:AO38)),TRUE,AO39)</f>
        <v>0</v>
      </c>
      <c r="AT39" s="34" t="e">
        <f>IF(AND(NOT(ISBLANK(Jumpoverwrite9)),AND(NOT(AS39),AND(AS$4:AS38))),($J39*$G39-LN(1+Jumpoverwrite9*AU$2))/$G39,_xll.qlInterpolationInterpolate(AS$3,$F39,TRUE))</f>
        <v>#NUM!</v>
      </c>
      <c r="AU39" s="34" t="str">
        <f>IF(AND(NOT(AS39),AND(AS$4:AS38)),IF(AT39&gt;$J39,MAX(EXP((AT39-$J39)*$G39),1),MIN(EXP((AT39-$J39)*$G39),1)),"")</f>
        <v/>
      </c>
      <c r="AW39" s="72" t="b">
        <f>IF(AND(NOT(AS39),AND(AS$4:AS38)),TRUE,AS39)</f>
        <v>0</v>
      </c>
      <c r="AX39" s="34" t="e">
        <f>IF(AND(NOT(ISBLANK(Jumpoverwrite10)),AND(NOT(AW39),AND(AW$4:AW38))),($J39*$G39-LN(1+Jumpoverwrite10*AY$2))/$G39,_xll.qlInterpolationInterpolate(AW$3,$F39,TRUE))</f>
        <v>#NUM!</v>
      </c>
      <c r="AY39" s="34" t="str">
        <f>IF(AND(NOT(AW39),AND(AW$4:AW38)),IF(AX39&gt;$J39,MAX(EXP((AX39-$J39)*$G39),1),MIN(EXP((AX39-$J39)*$G39),1)),"")</f>
        <v/>
      </c>
      <c r="BA39" s="72" t="b">
        <f>IF(AND(NOT(AW39),AND(AW$4:AW38)),TRUE,AW39)</f>
        <v>0</v>
      </c>
      <c r="BB39" s="34" t="e">
        <f>IF(AND(NOT(ISBLANK(Jumpoverwrite11)),AND(NOT(BA39),AND(BA$4:BA38))),($J39*$G39-LN(1+Jumpoverwrite11*BC$2))/$G39,_xll.qlInterpolationInterpolate(BA$3,$F39,TRUE))</f>
        <v>#NUM!</v>
      </c>
      <c r="BC39" s="34" t="str">
        <f>IF(AND(NOT(BA39),AND(BA$4:BA38)),IF(BB39&gt;$J39,MAX(EXP((BB39-$J39)*$G39),1),MIN(EXP((BB39-$J39)*$G39),1)),"")</f>
        <v/>
      </c>
      <c r="BE39" s="72" t="b">
        <f>IF(AND(NOT(BA39),AND(BA$4:BA38)),TRUE,BA39)</f>
        <v>0</v>
      </c>
      <c r="BF39" s="34" t="e">
        <f>IF(AND(NOT(ISBLANK(Jumpoverwrite12)),AND(NOT(BE39),AND(BE$4:BE38))),($J39*$G39-LN(1+Jumpoverwrite12*BG$2))/$G39,_xll.qlInterpolationInterpolate(BE$3,$F39,TRUE))</f>
        <v>#NUM!</v>
      </c>
      <c r="BG39" s="34" t="str">
        <f>IF(AND(NOT(BE39),AND(BE$4:BE38)),IF(BF39&gt;$J39,MAX(EXP((BF39-$J39)*$G39),1),MIN(EXP((BF39-$J39)*$G39),1)),"")</f>
        <v/>
      </c>
      <c r="BI39" s="72" t="b">
        <f t="shared" si="5"/>
        <v>0</v>
      </c>
      <c r="BJ39" s="34" t="e">
        <f>IF(AND(NOT(ISBLANK(jumpoverwrite13)),AND(NOT(BI39),AND(BI$4:BI38))),($J39*$G39-LN(1+jumpoverwrite13*BK$2))/$G39,_xll.qlInterpolationInterpolate(BI$3,$F39,TRUE))</f>
        <v>#NUM!</v>
      </c>
      <c r="BK39" s="34" t="str">
        <f>IF(AND(NOT(BI39),AND(BI$4:BI38)),IF(BJ39&gt;$J39,MAX(EXP((BJ39-$J39)*$G39),1),MIN(EXP((BJ39-$J39)*$G39),1)),"")</f>
        <v/>
      </c>
      <c r="BM39" s="72" t="b">
        <f>IF(AND(NOT(BI39),AND(BI$4:BI38)),TRUE,BI39)</f>
        <v>0</v>
      </c>
      <c r="BN39" s="175" t="e">
        <f>IF(AND(NOT(ISBLANK(Jumpoverwrite14)),AND(NOT(BM39),AND(BM$4:BM38))),($J39*$G39-LN(1+Jumpoverwrite14*BO$2))/$G39,_xll.qlInterpolationInterpolate(BM$3,$F39,TRUE))</f>
        <v>#NUM!</v>
      </c>
      <c r="BO39" s="34" t="str">
        <f>IF(AND(NOT(BM39),AND(BM$4:BM38)),IF(BM39&gt;$J39,MAX(EXP((BM39-$J39)*$G39),1),MIN(EXP((BM39-$J39)*$G39),1)),"")</f>
        <v/>
      </c>
    </row>
    <row r="40" spans="1:67" x14ac:dyDescent="0.2">
      <c r="A40" s="33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84" t="e">
        <f t="shared" si="4"/>
        <v>#N/A</v>
      </c>
      <c r="G40" s="85" t="e">
        <f>_xll.qlDayCounterYearFraction(DayCounter,D39,D40)</f>
        <v>#NUM!</v>
      </c>
      <c r="I40" s="93" t="b">
        <f t="shared" si="2"/>
        <v>0</v>
      </c>
      <c r="J40" s="37" t="e">
        <v>#N/A</v>
      </c>
      <c r="K40" s="94" t="e">
        <f t="shared" si="3"/>
        <v>#VALUE!</v>
      </c>
      <c r="L40" s="106"/>
      <c r="M40" s="72" t="b">
        <f>IF(AND(NOT(I40),AND(I$4:I39)),TRUE,I40)</f>
        <v>0</v>
      </c>
      <c r="N40" s="34" t="e">
        <f>IF(AND(NOT(ISBLANK(Jumpoverwrite1)),AND(NOT(M40),AND(M$4:M39))),($J40*$G40-LN(1+Jumpoverwrite1*O$2))/$G40,_xll.qlInterpolationInterpolate(M$3,$F40,TRUE))</f>
        <v>#NUM!</v>
      </c>
      <c r="O40" s="34" t="str">
        <f>IF(AND(NOT(M40),AND(M$4:M39)),IF(N40&gt;$J40,MAX(EXP((N40-$J40)*$G40),1),MIN(EXP((N40-$J40)*$G40),1)),"")</f>
        <v/>
      </c>
      <c r="P40" s="108"/>
      <c r="Q40" s="72" t="b">
        <f>IF(AND(NOT(M40),AND(M$4:M39)),TRUE,M40)</f>
        <v>0</v>
      </c>
      <c r="R40" s="34" t="e">
        <f>IF(AND(NOT(ISBLANK(Jumpoverwrite2)),AND(NOT(Q40),AND(Q$4:Q39))),($J40*$G40-LN(1+Jumpoverwrite2*S$2))/$G40,_xll.qlInterpolationInterpolate(Q$3,$F40,TRUE))</f>
        <v>#NUM!</v>
      </c>
      <c r="S40" s="34" t="str">
        <f>IF(AND(NOT(Q40),AND(Q$4:Q39)),IF(R40&gt;$J40,MAX(EXP((R40-$J40)*$G40),1),MIN(EXP((R40-$J40)*$G40),1)),"")</f>
        <v/>
      </c>
      <c r="T40" s="108"/>
      <c r="U40" s="72" t="b">
        <f>IF(AND(NOT(Q40),AND(Q$4:Q39)),TRUE,Q40)</f>
        <v>0</v>
      </c>
      <c r="V40" s="34" t="e">
        <f>IF(AND(NOT(ISBLANK(Jumpoverwrite3)),AND(NOT(U40),AND(U$4:U39))),($J40*$G40-LN(1+Jumpoverwrite3*W$2))/$G40,_xll.qlInterpolationInterpolate(U$3,$F40,TRUE))</f>
        <v>#NUM!</v>
      </c>
      <c r="W40" s="34" t="str">
        <f>IF(AND(NOT(U40),AND(U$4:U39)),IF(V40&gt;$J40,MAX(EXP((V40-$J40)*$G40),1),MIN(EXP((V40-$J40)*$G40),1)),"")</f>
        <v/>
      </c>
      <c r="X40" s="108"/>
      <c r="Y40" s="72" t="b">
        <f>IF(AND(NOT(U40),AND(U$4:U39)),TRUE,U40)</f>
        <v>0</v>
      </c>
      <c r="Z40" s="34" t="e">
        <f>IF(AND(NOT(ISBLANK(Jumpoverwrite4)),AND(NOT(Y40),AND(Y$4:Y39))),($J40*$G40-LN(1+Jumpoverwrite4*AA$2))/$G40,_xll.qlInterpolationInterpolate(Y$3,$F40,TRUE))</f>
        <v>#NUM!</v>
      </c>
      <c r="AA40" s="34" t="str">
        <f>IF(AND(NOT(Y40),AND(Y$4:Y39)),IF(Z40&gt;$J40,MAX(EXP((Z40-$J40)*$G40),1),MIN(EXP((Z40-$J40)*$G40),1)),"")</f>
        <v/>
      </c>
      <c r="AB40" s="108"/>
      <c r="AC40" s="72" t="b">
        <f>IF(AND(NOT(Y40),AND(Y$4:Y39)),TRUE,Y40)</f>
        <v>0</v>
      </c>
      <c r="AD40" s="34" t="e">
        <f>IF(AND(NOT(ISBLANK(Jumpoverwrite5)),AND(NOT(AC40),AND(AC$4:AC39))),($J40*$G40-LN(1+Jumpoverwrite5*AE$2))/$G40,_xll.qlInterpolationInterpolate(AC$3,$F40,TRUE))</f>
        <v>#NUM!</v>
      </c>
      <c r="AE40" s="34" t="str">
        <f>IF(AND(NOT(AC40),AND(AC$4:AC39)),IF(AD40&gt;$J40,MAX(EXP((AD40-$J40)*$G40),1),MIN(EXP((AD40-$J40)*$G40),1)),"")</f>
        <v/>
      </c>
      <c r="AF40" s="108"/>
      <c r="AG40" s="72" t="b">
        <f>IF(AND(NOT(AC40),AND(AC$4:AC39)),TRUE,AC40)</f>
        <v>0</v>
      </c>
      <c r="AH40" s="34" t="e">
        <f>IF(AND(NOT(ISBLANK(Jumpoverwrite6)),AND(NOT(AG40),AND(AG$4:AG39))),($J40*$G40-LN(1+Jumpoverwrite6*AI$2))/$G40,_xll.qlInterpolationInterpolate(AG$3,$F40,TRUE))</f>
        <v>#NUM!</v>
      </c>
      <c r="AI40" s="34" t="str">
        <f>IF(AND(NOT(AG40),AND(AG$4:AG39)),IF(AH40&gt;$J40,MAX(EXP((AH40-$J40)*$G40),1),MIN(EXP((AH40-$J40)*$G40),1)),"")</f>
        <v/>
      </c>
      <c r="AJ40" s="108"/>
      <c r="AK40" s="72" t="b">
        <f>IF(AND(NOT(AG40),AND(AG$4:AG39)),TRUE,AG40)</f>
        <v>0</v>
      </c>
      <c r="AL40" s="34" t="e">
        <f>IF(AND(NOT(ISBLANK(Jumpoverwrite7)),AND(NOT(AK40),AND(AK$4:AK39))),($J40*$G40-LN(1+Jumpoverwrite7*AM$2))/$G40,_xll.qlInterpolationInterpolate(AK$3,$F40,TRUE))</f>
        <v>#NUM!</v>
      </c>
      <c r="AM40" s="34" t="str">
        <f>IF(AND(NOT(AK40),AND(AK$4:AK39)),IF(AL40&gt;$J40,MAX(EXP((AL40-$J40)*$G40),1),MIN(EXP((AL40-$J40)*$G40),1)),"")</f>
        <v/>
      </c>
      <c r="AO40" s="72" t="b">
        <f>IF(AND(NOT(AK40),AND(AK$4:AK39)),TRUE,AK40)</f>
        <v>0</v>
      </c>
      <c r="AP40" s="34" t="e">
        <f>IF(AND(NOT(ISBLANK(Jumpoverwrite8)),AND(NOT(AO40),AND(AO$4:AO39))),($J40*$G40-LN(1+Jumpoverwrite8*AQ$2))/$G40,_xll.qlInterpolationInterpolate(AO$3,$F40,TRUE))</f>
        <v>#NUM!</v>
      </c>
      <c r="AQ40" s="34" t="str">
        <f>IF(AND(NOT(AO40),AND(AO$4:AO39)),IF(AP40&gt;$J40,MAX(EXP((AP40-$J40)*$G40),1),MIN(EXP((AP40-$J40)*$G40),1)),"")</f>
        <v/>
      </c>
      <c r="AS40" s="72" t="b">
        <f>IF(AND(NOT(AO40),AND(AO$4:AO39)),TRUE,AO40)</f>
        <v>0</v>
      </c>
      <c r="AT40" s="34" t="e">
        <f>IF(AND(NOT(ISBLANK(Jumpoverwrite9)),AND(NOT(AS40),AND(AS$4:AS39))),($J40*$G40-LN(1+Jumpoverwrite9*AU$2))/$G40,_xll.qlInterpolationInterpolate(AS$3,$F40,TRUE))</f>
        <v>#NUM!</v>
      </c>
      <c r="AU40" s="34" t="str">
        <f>IF(AND(NOT(AS40),AND(AS$4:AS39)),IF(AT40&gt;$J40,MAX(EXP((AT40-$J40)*$G40),1),MIN(EXP((AT40-$J40)*$G40),1)),"")</f>
        <v/>
      </c>
      <c r="AW40" s="72" t="b">
        <f>IF(AND(NOT(AS40),AND(AS$4:AS39)),TRUE,AS40)</f>
        <v>0</v>
      </c>
      <c r="AX40" s="34" t="e">
        <f>IF(AND(NOT(ISBLANK(Jumpoverwrite10)),AND(NOT(AW40),AND(AW$4:AW39))),($J40*$G40-LN(1+Jumpoverwrite10*AY$2))/$G40,_xll.qlInterpolationInterpolate(AW$3,$F40,TRUE))</f>
        <v>#NUM!</v>
      </c>
      <c r="AY40" s="34" t="str">
        <f>IF(AND(NOT(AW40),AND(AW$4:AW39)),IF(AX40&gt;$J40,MAX(EXP((AX40-$J40)*$G40),1),MIN(EXP((AX40-$J40)*$G40),1)),"")</f>
        <v/>
      </c>
      <c r="BA40" s="72" t="b">
        <f>IF(AND(NOT(AW40),AND(AW$4:AW39)),TRUE,AW40)</f>
        <v>0</v>
      </c>
      <c r="BB40" s="34" t="e">
        <f>IF(AND(NOT(ISBLANK(Jumpoverwrite11)),AND(NOT(BA40),AND(BA$4:BA39))),($J40*$G40-LN(1+Jumpoverwrite11*BC$2))/$G40,_xll.qlInterpolationInterpolate(BA$3,$F40,TRUE))</f>
        <v>#NUM!</v>
      </c>
      <c r="BC40" s="34" t="str">
        <f>IF(AND(NOT(BA40),AND(BA$4:BA39)),IF(BB40&gt;$J40,MAX(EXP((BB40-$J40)*$G40),1),MIN(EXP((BB40-$J40)*$G40),1)),"")</f>
        <v/>
      </c>
      <c r="BE40" s="72" t="b">
        <f>IF(AND(NOT(BA40),AND(BA$4:BA39)),TRUE,BA40)</f>
        <v>0</v>
      </c>
      <c r="BF40" s="34" t="e">
        <f>IF(AND(NOT(ISBLANK(Jumpoverwrite12)),AND(NOT(BE40),AND(BE$4:BE39))),($J40*$G40-LN(1+Jumpoverwrite12*BG$2))/$G40,_xll.qlInterpolationInterpolate(BE$3,$F40,TRUE))</f>
        <v>#NUM!</v>
      </c>
      <c r="BG40" s="34" t="str">
        <f>IF(AND(NOT(BE40),AND(BE$4:BE39)),IF(BF40&gt;$J40,MAX(EXP((BF40-$J40)*$G40),1),MIN(EXP((BF40-$J40)*$G40),1)),"")</f>
        <v/>
      </c>
      <c r="BI40" s="72" t="b">
        <f t="shared" si="5"/>
        <v>0</v>
      </c>
      <c r="BJ40" s="34" t="e">
        <f>IF(AND(NOT(ISBLANK(jumpoverwrite13)),AND(NOT(BI40),AND(BI$4:BI39))),($J40*$G40-LN(1+jumpoverwrite13*BK$2))/$G40,_xll.qlInterpolationInterpolate(BI$3,$F40,TRUE))</f>
        <v>#NUM!</v>
      </c>
      <c r="BK40" s="34" t="str">
        <f>IF(AND(NOT(BI40),AND(BI$4:BI39)),IF(BJ40&gt;$J40,MAX(EXP((BJ40-$J40)*$G40),1),MIN(EXP((BJ40-$J40)*$G40),1)),"")</f>
        <v/>
      </c>
      <c r="BM40" s="72" t="b">
        <f>IF(AND(NOT(BI40),AND(BI$4:BI39)),TRUE,BI40)</f>
        <v>0</v>
      </c>
      <c r="BN40" s="175" t="e">
        <f>IF(AND(NOT(ISBLANK(Jumpoverwrite14)),AND(NOT(BM40),AND(BM$4:BM39))),($J40*$G40-LN(1+Jumpoverwrite14*BO$2))/$G40,_xll.qlInterpolationInterpolate(BM$3,$F40,TRUE))</f>
        <v>#NUM!</v>
      </c>
      <c r="BO40" s="34" t="str">
        <f>IF(AND(NOT(BM40),AND(BM$4:BM39)),IF(BM40&gt;$J40,MAX(EXP((BM40-$J40)*$G40),1),MIN(EXP((BM40-$J40)*$G40),1)),"")</f>
        <v/>
      </c>
    </row>
    <row r="41" spans="1:67" x14ac:dyDescent="0.2">
      <c r="A41" s="33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84" t="e">
        <f t="shared" si="4"/>
        <v>#N/A</v>
      </c>
      <c r="G41" s="85" t="e">
        <f>_xll.qlDayCounterYearFraction(DayCounter,D40,D41)</f>
        <v>#NUM!</v>
      </c>
      <c r="I41" s="93" t="b">
        <f t="shared" si="2"/>
        <v>0</v>
      </c>
      <c r="J41" s="37" t="e">
        <v>#N/A</v>
      </c>
      <c r="K41" s="94" t="e">
        <f t="shared" si="3"/>
        <v>#VALUE!</v>
      </c>
      <c r="L41" s="106"/>
      <c r="M41" s="72" t="b">
        <f>IF(AND(NOT(I41),AND(I$4:I40)),TRUE,I41)</f>
        <v>0</v>
      </c>
      <c r="N41" s="34" t="e">
        <f>IF(AND(NOT(ISBLANK(Jumpoverwrite1)),AND(NOT(M41),AND(M$4:M40))),($J41*$G41-LN(1+Jumpoverwrite1*O$2))/$G41,_xll.qlInterpolationInterpolate(M$3,$F41,TRUE))</f>
        <v>#NUM!</v>
      </c>
      <c r="O41" s="34" t="str">
        <f>IF(AND(NOT(M41),AND(M$4:M40)),IF(N41&gt;$J41,MAX(EXP((N41-$J41)*$G41),1),MIN(EXP((N41-$J41)*$G41),1)),"")</f>
        <v/>
      </c>
      <c r="P41" s="108"/>
      <c r="Q41" s="72" t="b">
        <f>IF(AND(NOT(M41),AND(M$4:M40)),TRUE,M41)</f>
        <v>0</v>
      </c>
      <c r="R41" s="34" t="e">
        <f>IF(AND(NOT(ISBLANK(Jumpoverwrite2)),AND(NOT(Q41),AND(Q$4:Q40))),($J41*$G41-LN(1+Jumpoverwrite2*S$2))/$G41,_xll.qlInterpolationInterpolate(Q$3,$F41,TRUE))</f>
        <v>#NUM!</v>
      </c>
      <c r="S41" s="34" t="str">
        <f>IF(AND(NOT(Q41),AND(Q$4:Q40)),IF(R41&gt;$J41,MAX(EXP((R41-$J41)*$G41),1),MIN(EXP((R41-$J41)*$G41),1)),"")</f>
        <v/>
      </c>
      <c r="T41" s="108"/>
      <c r="U41" s="72" t="b">
        <f>IF(AND(NOT(Q41),AND(Q$4:Q40)),TRUE,Q41)</f>
        <v>0</v>
      </c>
      <c r="V41" s="34" t="e">
        <f>IF(AND(NOT(ISBLANK(Jumpoverwrite3)),AND(NOT(U41),AND(U$4:U40))),($J41*$G41-LN(1+Jumpoverwrite3*W$2))/$G41,_xll.qlInterpolationInterpolate(U$3,$F41,TRUE))</f>
        <v>#NUM!</v>
      </c>
      <c r="W41" s="34" t="str">
        <f>IF(AND(NOT(U41),AND(U$4:U40)),IF(V41&gt;$J41,MAX(EXP((V41-$J41)*$G41),1),MIN(EXP((V41-$J41)*$G41),1)),"")</f>
        <v/>
      </c>
      <c r="X41" s="108"/>
      <c r="Y41" s="72" t="b">
        <f>IF(AND(NOT(U41),AND(U$4:U40)),TRUE,U41)</f>
        <v>0</v>
      </c>
      <c r="Z41" s="34" t="e">
        <f>IF(AND(NOT(ISBLANK(Jumpoverwrite4)),AND(NOT(Y41),AND(Y$4:Y40))),($J41*$G41-LN(1+Jumpoverwrite4*AA$2))/$G41,_xll.qlInterpolationInterpolate(Y$3,$F41,TRUE))</f>
        <v>#NUM!</v>
      </c>
      <c r="AA41" s="34" t="str">
        <f>IF(AND(NOT(Y41),AND(Y$4:Y40)),IF(Z41&gt;$J41,MAX(EXP((Z41-$J41)*$G41),1),MIN(EXP((Z41-$J41)*$G41),1)),"")</f>
        <v/>
      </c>
      <c r="AB41" s="108"/>
      <c r="AC41" s="72" t="b">
        <f>IF(AND(NOT(Y41),AND(Y$4:Y40)),TRUE,Y41)</f>
        <v>0</v>
      </c>
      <c r="AD41" s="34" t="e">
        <f>IF(AND(NOT(ISBLANK(Jumpoverwrite5)),AND(NOT(AC41),AND(AC$4:AC40))),($J41*$G41-LN(1+Jumpoverwrite5*AE$2))/$G41,_xll.qlInterpolationInterpolate(AC$3,$F41,TRUE))</f>
        <v>#NUM!</v>
      </c>
      <c r="AE41" s="34" t="str">
        <f>IF(AND(NOT(AC41),AND(AC$4:AC40)),IF(AD41&gt;$J41,MAX(EXP((AD41-$J41)*$G41),1),MIN(EXP((AD41-$J41)*$G41),1)),"")</f>
        <v/>
      </c>
      <c r="AF41" s="108"/>
      <c r="AG41" s="72" t="b">
        <f>IF(AND(NOT(AC41),AND(AC$4:AC40)),TRUE,AC41)</f>
        <v>0</v>
      </c>
      <c r="AH41" s="34" t="e">
        <f>IF(AND(NOT(ISBLANK(Jumpoverwrite6)),AND(NOT(AG41),AND(AG$4:AG40))),($J41*$G41-LN(1+Jumpoverwrite6*AI$2))/$G41,_xll.qlInterpolationInterpolate(AG$3,$F41,TRUE))</f>
        <v>#NUM!</v>
      </c>
      <c r="AI41" s="34" t="str">
        <f>IF(AND(NOT(AG41),AND(AG$4:AG40)),IF(AH41&gt;$J41,MAX(EXP((AH41-$J41)*$G41),1),MIN(EXP((AH41-$J41)*$G41),1)),"")</f>
        <v/>
      </c>
      <c r="AJ41" s="108"/>
      <c r="AK41" s="72" t="b">
        <f>IF(AND(NOT(AG41),AND(AG$4:AG40)),TRUE,AG41)</f>
        <v>0</v>
      </c>
      <c r="AL41" s="34" t="e">
        <f>IF(AND(NOT(ISBLANK(Jumpoverwrite7)),AND(NOT(AK41),AND(AK$4:AK40))),($J41*$G41-LN(1+Jumpoverwrite7*AM$2))/$G41,_xll.qlInterpolationInterpolate(AK$3,$F41,TRUE))</f>
        <v>#NUM!</v>
      </c>
      <c r="AM41" s="34" t="str">
        <f>IF(AND(NOT(AK41),AND(AK$4:AK40)),IF(AL41&gt;$J41,MAX(EXP((AL41-$J41)*$G41),1),MIN(EXP((AL41-$J41)*$G41),1)),"")</f>
        <v/>
      </c>
      <c r="AO41" s="72" t="b">
        <f>IF(AND(NOT(AK41),AND(AK$4:AK40)),TRUE,AK41)</f>
        <v>0</v>
      </c>
      <c r="AP41" s="34" t="e">
        <f>IF(AND(NOT(ISBLANK(Jumpoverwrite8)),AND(NOT(AO41),AND(AO$4:AO40))),($J41*$G41-LN(1+Jumpoverwrite8*AQ$2))/$G41,_xll.qlInterpolationInterpolate(AO$3,$F41,TRUE))</f>
        <v>#NUM!</v>
      </c>
      <c r="AQ41" s="34" t="str">
        <f>IF(AND(NOT(AO41),AND(AO$4:AO40)),IF(AP41&gt;$J41,MAX(EXP((AP41-$J41)*$G41),1),MIN(EXP((AP41-$J41)*$G41),1)),"")</f>
        <v/>
      </c>
      <c r="AS41" s="72" t="b">
        <f>IF(AND(NOT(AO41),AND(AO$4:AO40)),TRUE,AO41)</f>
        <v>0</v>
      </c>
      <c r="AT41" s="34" t="e">
        <f>IF(AND(NOT(ISBLANK(Jumpoverwrite9)),AND(NOT(AS41),AND(AS$4:AS40))),($J41*$G41-LN(1+Jumpoverwrite9*AU$2))/$G41,_xll.qlInterpolationInterpolate(AS$3,$F41,TRUE))</f>
        <v>#NUM!</v>
      </c>
      <c r="AU41" s="34" t="str">
        <f>IF(AND(NOT(AS41),AND(AS$4:AS40)),IF(AT41&gt;$J41,MAX(EXP((AT41-$J41)*$G41),1),MIN(EXP((AT41-$J41)*$G41),1)),"")</f>
        <v/>
      </c>
      <c r="AW41" s="72" t="b">
        <f>IF(AND(NOT(AS41),AND(AS$4:AS40)),TRUE,AS41)</f>
        <v>0</v>
      </c>
      <c r="AX41" s="34" t="e">
        <f>IF(AND(NOT(ISBLANK(Jumpoverwrite10)),AND(NOT(AW41),AND(AW$4:AW40))),($J41*$G41-LN(1+Jumpoverwrite10*AY$2))/$G41,_xll.qlInterpolationInterpolate(AW$3,$F41,TRUE))</f>
        <v>#NUM!</v>
      </c>
      <c r="AY41" s="34" t="str">
        <f>IF(AND(NOT(AW41),AND(AW$4:AW40)),IF(AX41&gt;$J41,MAX(EXP((AX41-$J41)*$G41),1),MIN(EXP((AX41-$J41)*$G41),1)),"")</f>
        <v/>
      </c>
      <c r="BA41" s="72" t="b">
        <f>IF(AND(NOT(AW41),AND(AW$4:AW40)),TRUE,AW41)</f>
        <v>0</v>
      </c>
      <c r="BB41" s="34" t="e">
        <f>IF(AND(NOT(ISBLANK(Jumpoverwrite11)),AND(NOT(BA41),AND(BA$4:BA40))),($J41*$G41-LN(1+Jumpoverwrite11*BC$2))/$G41,_xll.qlInterpolationInterpolate(BA$3,$F41,TRUE))</f>
        <v>#NUM!</v>
      </c>
      <c r="BC41" s="34" t="str">
        <f>IF(AND(NOT(BA41),AND(BA$4:BA40)),IF(BB41&gt;$J41,MAX(EXP((BB41-$J41)*$G41),1),MIN(EXP((BB41-$J41)*$G41),1)),"")</f>
        <v/>
      </c>
      <c r="BE41" s="72" t="b">
        <f>IF(AND(NOT(BA41),AND(BA$4:BA40)),TRUE,BA41)</f>
        <v>0</v>
      </c>
      <c r="BF41" s="34" t="e">
        <f>IF(AND(NOT(ISBLANK(Jumpoverwrite12)),AND(NOT(BE41),AND(BE$4:BE40))),($J41*$G41-LN(1+Jumpoverwrite12*BG$2))/$G41,_xll.qlInterpolationInterpolate(BE$3,$F41,TRUE))</f>
        <v>#NUM!</v>
      </c>
      <c r="BG41" s="34" t="str">
        <f>IF(AND(NOT(BE41),AND(BE$4:BE40)),IF(BF41&gt;$J41,MAX(EXP((BF41-$J41)*$G41),1),MIN(EXP((BF41-$J41)*$G41),1)),"")</f>
        <v/>
      </c>
      <c r="BI41" s="72" t="b">
        <f t="shared" si="5"/>
        <v>0</v>
      </c>
      <c r="BJ41" s="34" t="e">
        <f>IF(AND(NOT(ISBLANK(jumpoverwrite13)),AND(NOT(BI41),AND(BI$4:BI40))),($J41*$G41-LN(1+jumpoverwrite13*BK$2))/$G41,_xll.qlInterpolationInterpolate(BI$3,$F41,TRUE))</f>
        <v>#NUM!</v>
      </c>
      <c r="BK41" s="34" t="str">
        <f>IF(AND(NOT(BI41),AND(BI$4:BI40)),IF(BJ41&gt;$J41,MAX(EXP((BJ41-$J41)*$G41),1),MIN(EXP((BJ41-$J41)*$G41),1)),"")</f>
        <v/>
      </c>
      <c r="BM41" s="72" t="b">
        <f>IF(AND(NOT(BI41),AND(BI$4:BI40)),TRUE,BI41)</f>
        <v>0</v>
      </c>
      <c r="BN41" s="175" t="e">
        <f>IF(AND(NOT(ISBLANK(Jumpoverwrite14)),AND(NOT(BM41),AND(BM$4:BM40))),($J41*$G41-LN(1+Jumpoverwrite14*BO$2))/$G41,_xll.qlInterpolationInterpolate(BM$3,$F41,TRUE))</f>
        <v>#NUM!</v>
      </c>
      <c r="BO41" s="34" t="str">
        <f>IF(AND(NOT(BM41),AND(BM$4:BM40)),IF(BM41&gt;$J41,MAX(EXP((BM41-$J41)*$G41),1),MIN(EXP((BM41-$J41)*$G41),1)),"")</f>
        <v/>
      </c>
    </row>
    <row r="42" spans="1:67" x14ac:dyDescent="0.2">
      <c r="A42" s="33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84" t="e">
        <f t="shared" si="4"/>
        <v>#N/A</v>
      </c>
      <c r="G42" s="85" t="e">
        <f>_xll.qlDayCounterYearFraction(DayCounter,D41,D42)</f>
        <v>#NUM!</v>
      </c>
      <c r="I42" s="93" t="b">
        <f t="shared" si="2"/>
        <v>0</v>
      </c>
      <c r="J42" s="37" t="e">
        <v>#N/A</v>
      </c>
      <c r="K42" s="94" t="e">
        <f t="shared" si="3"/>
        <v>#VALUE!</v>
      </c>
      <c r="L42" s="106"/>
      <c r="M42" s="72" t="b">
        <f>IF(AND(NOT(I42),AND(I$4:I41)),TRUE,I42)</f>
        <v>0</v>
      </c>
      <c r="N42" s="34" t="e">
        <f>IF(AND(NOT(ISBLANK(Jumpoverwrite1)),AND(NOT(M42),AND(M$4:M41))),($J42*$G42-LN(1+Jumpoverwrite1*O$2))/$G42,_xll.qlInterpolationInterpolate(M$3,$F42,TRUE))</f>
        <v>#NUM!</v>
      </c>
      <c r="O42" s="34" t="str">
        <f>IF(AND(NOT(M42),AND(M$4:M41)),IF(N42&gt;$J42,MAX(EXP((N42-$J42)*$G42),1),MIN(EXP((N42-$J42)*$G42),1)),"")</f>
        <v/>
      </c>
      <c r="P42" s="108"/>
      <c r="Q42" s="72" t="b">
        <f>IF(AND(NOT(M42),AND(M$4:M41)),TRUE,M42)</f>
        <v>0</v>
      </c>
      <c r="R42" s="34" t="e">
        <f>IF(AND(NOT(ISBLANK(Jumpoverwrite2)),AND(NOT(Q42),AND(Q$4:Q41))),($J42*$G42-LN(1+Jumpoverwrite2*S$2))/$G42,_xll.qlInterpolationInterpolate(Q$3,$F42,TRUE))</f>
        <v>#NUM!</v>
      </c>
      <c r="S42" s="34" t="str">
        <f>IF(AND(NOT(Q42),AND(Q$4:Q41)),IF(R42&gt;$J42,MAX(EXP((R42-$J42)*$G42),1),MIN(EXP((R42-$J42)*$G42),1)),"")</f>
        <v/>
      </c>
      <c r="T42" s="108"/>
      <c r="U42" s="72" t="b">
        <f>IF(AND(NOT(Q42),AND(Q$4:Q41)),TRUE,Q42)</f>
        <v>0</v>
      </c>
      <c r="V42" s="34" t="e">
        <f>IF(AND(NOT(ISBLANK(Jumpoverwrite3)),AND(NOT(U42),AND(U$4:U41))),($J42*$G42-LN(1+Jumpoverwrite3*W$2))/$G42,_xll.qlInterpolationInterpolate(U$3,$F42,TRUE))</f>
        <v>#NUM!</v>
      </c>
      <c r="W42" s="34" t="str">
        <f>IF(AND(NOT(U42),AND(U$4:U41)),IF(V42&gt;$J42,MAX(EXP((V42-$J42)*$G42),1),MIN(EXP((V42-$J42)*$G42),1)),"")</f>
        <v/>
      </c>
      <c r="X42" s="108"/>
      <c r="Y42" s="72" t="b">
        <f>IF(AND(NOT(U42),AND(U$4:U41)),TRUE,U42)</f>
        <v>0</v>
      </c>
      <c r="Z42" s="34" t="e">
        <f>IF(AND(NOT(ISBLANK(Jumpoverwrite4)),AND(NOT(Y42),AND(Y$4:Y41))),($J42*$G42-LN(1+Jumpoverwrite4*AA$2))/$G42,_xll.qlInterpolationInterpolate(Y$3,$F42,TRUE))</f>
        <v>#NUM!</v>
      </c>
      <c r="AA42" s="34" t="str">
        <f>IF(AND(NOT(Y42),AND(Y$4:Y41)),IF(Z42&gt;$J42,MAX(EXP((Z42-$J42)*$G42),1),MIN(EXP((Z42-$J42)*$G42),1)),"")</f>
        <v/>
      </c>
      <c r="AB42" s="108"/>
      <c r="AC42" s="72" t="b">
        <f>IF(AND(NOT(Y42),AND(Y$4:Y41)),TRUE,Y42)</f>
        <v>0</v>
      </c>
      <c r="AD42" s="34" t="e">
        <f>IF(AND(NOT(ISBLANK(Jumpoverwrite5)),AND(NOT(AC42),AND(AC$4:AC41))),($J42*$G42-LN(1+Jumpoverwrite5*AE$2))/$G42,_xll.qlInterpolationInterpolate(AC$3,$F42,TRUE))</f>
        <v>#NUM!</v>
      </c>
      <c r="AE42" s="34" t="str">
        <f>IF(AND(NOT(AC42),AND(AC$4:AC41)),IF(AD42&gt;$J42,MAX(EXP((AD42-$J42)*$G42),1),MIN(EXP((AD42-$J42)*$G42),1)),"")</f>
        <v/>
      </c>
      <c r="AF42" s="108"/>
      <c r="AG42" s="72" t="b">
        <f>IF(AND(NOT(AC42),AND(AC$4:AC41)),TRUE,AC42)</f>
        <v>0</v>
      </c>
      <c r="AH42" s="34" t="e">
        <f>IF(AND(NOT(ISBLANK(Jumpoverwrite6)),AND(NOT(AG42),AND(AG$4:AG41))),($J42*$G42-LN(1+Jumpoverwrite6*AI$2))/$G42,_xll.qlInterpolationInterpolate(AG$3,$F42,TRUE))</f>
        <v>#NUM!</v>
      </c>
      <c r="AI42" s="34" t="str">
        <f>IF(AND(NOT(AG42),AND(AG$4:AG41)),IF(AH42&gt;$J42,MAX(EXP((AH42-$J42)*$G42),1),MIN(EXP((AH42-$J42)*$G42),1)),"")</f>
        <v/>
      </c>
      <c r="AJ42" s="108"/>
      <c r="AK42" s="72" t="b">
        <f>IF(AND(NOT(AG42),AND(AG$4:AG41)),TRUE,AG42)</f>
        <v>0</v>
      </c>
      <c r="AL42" s="34" t="e">
        <f>IF(AND(NOT(ISBLANK(Jumpoverwrite7)),AND(NOT(AK42),AND(AK$4:AK41))),($J42*$G42-LN(1+Jumpoverwrite7*AM$2))/$G42,_xll.qlInterpolationInterpolate(AK$3,$F42,TRUE))</f>
        <v>#NUM!</v>
      </c>
      <c r="AM42" s="34" t="str">
        <f>IF(AND(NOT(AK42),AND(AK$4:AK41)),IF(AL42&gt;$J42,MAX(EXP((AL42-$J42)*$G42),1),MIN(EXP((AL42-$J42)*$G42),1)),"")</f>
        <v/>
      </c>
      <c r="AO42" s="72" t="b">
        <f>IF(AND(NOT(AK42),AND(AK$4:AK41)),TRUE,AK42)</f>
        <v>0</v>
      </c>
      <c r="AP42" s="34" t="e">
        <f>IF(AND(NOT(ISBLANK(Jumpoverwrite8)),AND(NOT(AO42),AND(AO$4:AO41))),($J42*$G42-LN(1+Jumpoverwrite8*AQ$2))/$G42,_xll.qlInterpolationInterpolate(AO$3,$F42,TRUE))</f>
        <v>#NUM!</v>
      </c>
      <c r="AQ42" s="34" t="str">
        <f>IF(AND(NOT(AO42),AND(AO$4:AO41)),IF(AP42&gt;$J42,MAX(EXP((AP42-$J42)*$G42),1),MIN(EXP((AP42-$J42)*$G42),1)),"")</f>
        <v/>
      </c>
      <c r="AS42" s="72" t="b">
        <f>IF(AND(NOT(AO42),AND(AO$4:AO41)),TRUE,AO42)</f>
        <v>0</v>
      </c>
      <c r="AT42" s="34" t="e">
        <f>IF(AND(NOT(ISBLANK(Jumpoverwrite9)),AND(NOT(AS42),AND(AS$4:AS41))),($J42*$G42-LN(1+Jumpoverwrite9*AU$2))/$G42,_xll.qlInterpolationInterpolate(AS$3,$F42,TRUE))</f>
        <v>#NUM!</v>
      </c>
      <c r="AU42" s="34" t="str">
        <f>IF(AND(NOT(AS42),AND(AS$4:AS41)),IF(AT42&gt;$J42,MAX(EXP((AT42-$J42)*$G42),1),MIN(EXP((AT42-$J42)*$G42),1)),"")</f>
        <v/>
      </c>
      <c r="AW42" s="72" t="b">
        <f>IF(AND(NOT(AS42),AND(AS$4:AS41)),TRUE,AS42)</f>
        <v>0</v>
      </c>
      <c r="AX42" s="34" t="e">
        <f>IF(AND(NOT(ISBLANK(Jumpoverwrite10)),AND(NOT(AW42),AND(AW$4:AW41))),($J42*$G42-LN(1+Jumpoverwrite10*AY$2))/$G42,_xll.qlInterpolationInterpolate(AW$3,$F42,TRUE))</f>
        <v>#NUM!</v>
      </c>
      <c r="AY42" s="34" t="str">
        <f>IF(AND(NOT(AW42),AND(AW$4:AW41)),IF(AX42&gt;$J42,MAX(EXP((AX42-$J42)*$G42),1),MIN(EXP((AX42-$J42)*$G42),1)),"")</f>
        <v/>
      </c>
      <c r="BA42" s="72" t="b">
        <f>IF(AND(NOT(AW42),AND(AW$4:AW41)),TRUE,AW42)</f>
        <v>0</v>
      </c>
      <c r="BB42" s="34" t="e">
        <f>IF(AND(NOT(ISBLANK(Jumpoverwrite11)),AND(NOT(BA42),AND(BA$4:BA41))),($J42*$G42-LN(1+Jumpoverwrite11*BC$2))/$G42,_xll.qlInterpolationInterpolate(BA$3,$F42,TRUE))</f>
        <v>#NUM!</v>
      </c>
      <c r="BC42" s="34" t="str">
        <f>IF(AND(NOT(BA42),AND(BA$4:BA41)),IF(BB42&gt;$J42,MAX(EXP((BB42-$J42)*$G42),1),MIN(EXP((BB42-$J42)*$G42),1)),"")</f>
        <v/>
      </c>
      <c r="BE42" s="72" t="b">
        <f>IF(AND(NOT(BA42),AND(BA$4:BA41)),TRUE,BA42)</f>
        <v>0</v>
      </c>
      <c r="BF42" s="34" t="e">
        <f>IF(AND(NOT(ISBLANK(Jumpoverwrite12)),AND(NOT(BE42),AND(BE$4:BE41))),($J42*$G42-LN(1+Jumpoverwrite12*BG$2))/$G42,_xll.qlInterpolationInterpolate(BE$3,$F42,TRUE))</f>
        <v>#NUM!</v>
      </c>
      <c r="BG42" s="34" t="str">
        <f>IF(AND(NOT(BE42),AND(BE$4:BE41)),IF(BF42&gt;$J42,MAX(EXP((BF42-$J42)*$G42),1),MIN(EXP((BF42-$J42)*$G42),1)),"")</f>
        <v/>
      </c>
      <c r="BI42" s="72" t="b">
        <f t="shared" si="5"/>
        <v>0</v>
      </c>
      <c r="BJ42" s="34" t="e">
        <f>IF(AND(NOT(ISBLANK(jumpoverwrite13)),AND(NOT(BI42),AND(BI$4:BI41))),($J42*$G42-LN(1+jumpoverwrite13*BK$2))/$G42,_xll.qlInterpolationInterpolate(BI$3,$F42,TRUE))</f>
        <v>#NUM!</v>
      </c>
      <c r="BK42" s="34" t="str">
        <f>IF(AND(NOT(BI42),AND(BI$4:BI41)),IF(BJ42&gt;$J42,MAX(EXP((BJ42-$J42)*$G42),1),MIN(EXP((BJ42-$J42)*$G42),1)),"")</f>
        <v/>
      </c>
      <c r="BM42" s="72" t="b">
        <f>IF(AND(NOT(BI42),AND(BI$4:BI41)),TRUE,BI42)</f>
        <v>0</v>
      </c>
      <c r="BN42" s="175" t="e">
        <f>IF(AND(NOT(ISBLANK(Jumpoverwrite14)),AND(NOT(BM42),AND(BM$4:BM41))),($J42*$G42-LN(1+Jumpoverwrite14*BO$2))/$G42,_xll.qlInterpolationInterpolate(BM$3,$F42,TRUE))</f>
        <v>#NUM!</v>
      </c>
      <c r="BO42" s="34" t="str">
        <f>IF(AND(NOT(BM42),AND(BM$4:BM41)),IF(BM42&gt;$J42,MAX(EXP((BM42-$J42)*$G42),1),MIN(EXP((BM42-$J42)*$G42),1)),"")</f>
        <v/>
      </c>
    </row>
    <row r="43" spans="1:67" x14ac:dyDescent="0.2">
      <c r="A43" s="33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84" t="e">
        <f t="shared" si="4"/>
        <v>#N/A</v>
      </c>
      <c r="G43" s="85" t="e">
        <f>_xll.qlDayCounterYearFraction(DayCounter,D42,D43)</f>
        <v>#NUM!</v>
      </c>
      <c r="I43" s="93" t="b">
        <f t="shared" si="2"/>
        <v>0</v>
      </c>
      <c r="J43" s="37" t="e">
        <v>#N/A</v>
      </c>
      <c r="K43" s="94" t="e">
        <f t="shared" si="3"/>
        <v>#VALUE!</v>
      </c>
      <c r="L43" s="106"/>
      <c r="M43" s="72" t="b">
        <f>IF(AND(NOT(I43),AND(I$4:I42)),TRUE,I43)</f>
        <v>0</v>
      </c>
      <c r="N43" s="34" t="e">
        <f>IF(AND(NOT(ISBLANK(Jumpoverwrite1)),AND(NOT(M43),AND(M$4:M42))),($J43*$G43-LN(1+Jumpoverwrite1*O$2))/$G43,_xll.qlInterpolationInterpolate(M$3,$F43,TRUE))</f>
        <v>#NUM!</v>
      </c>
      <c r="O43" s="34" t="str">
        <f>IF(AND(NOT(M43),AND(M$4:M42)),IF(N43&gt;$J43,MAX(EXP((N43-$J43)*$G43),1),MIN(EXP((N43-$J43)*$G43),1)),"")</f>
        <v/>
      </c>
      <c r="P43" s="108"/>
      <c r="Q43" s="72" t="b">
        <f>IF(AND(NOT(M43),AND(M$4:M42)),TRUE,M43)</f>
        <v>0</v>
      </c>
      <c r="R43" s="34" t="e">
        <f>IF(AND(NOT(ISBLANK(Jumpoverwrite2)),AND(NOT(Q43),AND(Q$4:Q42))),($J43*$G43-LN(1+Jumpoverwrite2*S$2))/$G43,_xll.qlInterpolationInterpolate(Q$3,$F43,TRUE))</f>
        <v>#NUM!</v>
      </c>
      <c r="S43" s="34" t="str">
        <f>IF(AND(NOT(Q43),AND(Q$4:Q42)),IF(R43&gt;$J43,MAX(EXP((R43-$J43)*$G43),1),MIN(EXP((R43-$J43)*$G43),1)),"")</f>
        <v/>
      </c>
      <c r="T43" s="108"/>
      <c r="U43" s="72" t="b">
        <f>IF(AND(NOT(Q43),AND(Q$4:Q42)),TRUE,Q43)</f>
        <v>0</v>
      </c>
      <c r="V43" s="34" t="e">
        <f>IF(AND(NOT(ISBLANK(Jumpoverwrite3)),AND(NOT(U43),AND(U$4:U42))),($J43*$G43-LN(1+Jumpoverwrite3*W$2))/$G43,_xll.qlInterpolationInterpolate(U$3,$F43,TRUE))</f>
        <v>#NUM!</v>
      </c>
      <c r="W43" s="34" t="str">
        <f>IF(AND(NOT(U43),AND(U$4:U42)),IF(V43&gt;$J43,MAX(EXP((V43-$J43)*$G43),1),MIN(EXP((V43-$J43)*$G43),1)),"")</f>
        <v/>
      </c>
      <c r="X43" s="108"/>
      <c r="Y43" s="72" t="b">
        <f>IF(AND(NOT(U43),AND(U$4:U42)),TRUE,U43)</f>
        <v>0</v>
      </c>
      <c r="Z43" s="34" t="e">
        <f>IF(AND(NOT(ISBLANK(Jumpoverwrite4)),AND(NOT(Y43),AND(Y$4:Y42))),($J43*$G43-LN(1+Jumpoverwrite4*AA$2))/$G43,_xll.qlInterpolationInterpolate(Y$3,$F43,TRUE))</f>
        <v>#NUM!</v>
      </c>
      <c r="AA43" s="34" t="str">
        <f>IF(AND(NOT(Y43),AND(Y$4:Y42)),IF(Z43&gt;$J43,MAX(EXP((Z43-$J43)*$G43),1),MIN(EXP((Z43-$J43)*$G43),1)),"")</f>
        <v/>
      </c>
      <c r="AB43" s="108"/>
      <c r="AC43" s="72" t="b">
        <f>IF(AND(NOT(Y43),AND(Y$4:Y42)),TRUE,Y43)</f>
        <v>0</v>
      </c>
      <c r="AD43" s="34" t="e">
        <f>IF(AND(NOT(ISBLANK(Jumpoverwrite5)),AND(NOT(AC43),AND(AC$4:AC42))),($J43*$G43-LN(1+Jumpoverwrite5*AE$2))/$G43,_xll.qlInterpolationInterpolate(AC$3,$F43,TRUE))</f>
        <v>#NUM!</v>
      </c>
      <c r="AE43" s="34" t="str">
        <f>IF(AND(NOT(AC43),AND(AC$4:AC42)),IF(AD43&gt;$J43,MAX(EXP((AD43-$J43)*$G43),1),MIN(EXP((AD43-$J43)*$G43),1)),"")</f>
        <v/>
      </c>
      <c r="AF43" s="108"/>
      <c r="AG43" s="72" t="b">
        <f>IF(AND(NOT(AC43),AND(AC$4:AC42)),TRUE,AC43)</f>
        <v>0</v>
      </c>
      <c r="AH43" s="34" t="e">
        <f>IF(AND(NOT(ISBLANK(Jumpoverwrite6)),AND(NOT(AG43),AND(AG$4:AG42))),($J43*$G43-LN(1+Jumpoverwrite6*AI$2))/$G43,_xll.qlInterpolationInterpolate(AG$3,$F43,TRUE))</f>
        <v>#NUM!</v>
      </c>
      <c r="AI43" s="34" t="str">
        <f>IF(AND(NOT(AG43),AND(AG$4:AG42)),IF(AH43&gt;$J43,MAX(EXP((AH43-$J43)*$G43),1),MIN(EXP((AH43-$J43)*$G43),1)),"")</f>
        <v/>
      </c>
      <c r="AJ43" s="108"/>
      <c r="AK43" s="72" t="b">
        <f>IF(AND(NOT(AG43),AND(AG$4:AG42)),TRUE,AG43)</f>
        <v>0</v>
      </c>
      <c r="AL43" s="34" t="e">
        <f>IF(AND(NOT(ISBLANK(Jumpoverwrite7)),AND(NOT(AK43),AND(AK$4:AK42))),($J43*$G43-LN(1+Jumpoverwrite7*AM$2))/$G43,_xll.qlInterpolationInterpolate(AK$3,$F43,TRUE))</f>
        <v>#NUM!</v>
      </c>
      <c r="AM43" s="34" t="str">
        <f>IF(AND(NOT(AK43),AND(AK$4:AK42)),IF(AL43&gt;$J43,MAX(EXP((AL43-$J43)*$G43),1),MIN(EXP((AL43-$J43)*$G43),1)),"")</f>
        <v/>
      </c>
      <c r="AO43" s="72" t="b">
        <f>IF(AND(NOT(AK43),AND(AK$4:AK42)),TRUE,AK43)</f>
        <v>0</v>
      </c>
      <c r="AP43" s="34" t="e">
        <f>IF(AND(NOT(ISBLANK(Jumpoverwrite8)),AND(NOT(AO43),AND(AO$4:AO42))),($J43*$G43-LN(1+Jumpoverwrite8*AQ$2))/$G43,_xll.qlInterpolationInterpolate(AO$3,$F43,TRUE))</f>
        <v>#NUM!</v>
      </c>
      <c r="AQ43" s="34" t="str">
        <f>IF(AND(NOT(AO43),AND(AO$4:AO42)),IF(AP43&gt;$J43,MAX(EXP((AP43-$J43)*$G43),1),MIN(EXP((AP43-$J43)*$G43),1)),"")</f>
        <v/>
      </c>
      <c r="AS43" s="72" t="b">
        <f>IF(AND(NOT(AO43),AND(AO$4:AO42)),TRUE,AO43)</f>
        <v>0</v>
      </c>
      <c r="AT43" s="34" t="e">
        <f>IF(AND(NOT(ISBLANK(Jumpoverwrite9)),AND(NOT(AS43),AND(AS$4:AS42))),($J43*$G43-LN(1+Jumpoverwrite9*AU$2))/$G43,_xll.qlInterpolationInterpolate(AS$3,$F43,TRUE))</f>
        <v>#NUM!</v>
      </c>
      <c r="AU43" s="34" t="str">
        <f>IF(AND(NOT(AS43),AND(AS$4:AS42)),IF(AT43&gt;$J43,MAX(EXP((AT43-$J43)*$G43),1),MIN(EXP((AT43-$J43)*$G43),1)),"")</f>
        <v/>
      </c>
      <c r="AW43" s="72" t="b">
        <f>IF(AND(NOT(AS43),AND(AS$4:AS42)),TRUE,AS43)</f>
        <v>0</v>
      </c>
      <c r="AX43" s="34" t="e">
        <f>IF(AND(NOT(ISBLANK(Jumpoverwrite10)),AND(NOT(AW43),AND(AW$4:AW42))),($J43*$G43-LN(1+Jumpoverwrite10*AY$2))/$G43,_xll.qlInterpolationInterpolate(AW$3,$F43,TRUE))</f>
        <v>#NUM!</v>
      </c>
      <c r="AY43" s="34" t="str">
        <f>IF(AND(NOT(AW43),AND(AW$4:AW42)),IF(AX43&gt;$J43,MAX(EXP((AX43-$J43)*$G43),1),MIN(EXP((AX43-$J43)*$G43),1)),"")</f>
        <v/>
      </c>
      <c r="BA43" s="72" t="b">
        <f>IF(AND(NOT(AW43),AND(AW$4:AW42)),TRUE,AW43)</f>
        <v>0</v>
      </c>
      <c r="BB43" s="34" t="e">
        <f>IF(AND(NOT(ISBLANK(Jumpoverwrite11)),AND(NOT(BA43),AND(BA$4:BA42))),($J43*$G43-LN(1+Jumpoverwrite11*BC$2))/$G43,_xll.qlInterpolationInterpolate(BA$3,$F43,TRUE))</f>
        <v>#NUM!</v>
      </c>
      <c r="BC43" s="34" t="str">
        <f>IF(AND(NOT(BA43),AND(BA$4:BA42)),IF(BB43&gt;$J43,MAX(EXP((BB43-$J43)*$G43),1),MIN(EXP((BB43-$J43)*$G43),1)),"")</f>
        <v/>
      </c>
      <c r="BE43" s="72" t="b">
        <f>IF(AND(NOT(BA43),AND(BA$4:BA42)),TRUE,BA43)</f>
        <v>0</v>
      </c>
      <c r="BF43" s="34" t="e">
        <f>IF(AND(NOT(ISBLANK(Jumpoverwrite12)),AND(NOT(BE43),AND(BE$4:BE42))),($J43*$G43-LN(1+Jumpoverwrite12*BG$2))/$G43,_xll.qlInterpolationInterpolate(BE$3,$F43,TRUE))</f>
        <v>#NUM!</v>
      </c>
      <c r="BG43" s="34" t="str">
        <f>IF(AND(NOT(BE43),AND(BE$4:BE42)),IF(BF43&gt;$J43,MAX(EXP((BF43-$J43)*$G43),1),MIN(EXP((BF43-$J43)*$G43),1)),"")</f>
        <v/>
      </c>
      <c r="BI43" s="72" t="b">
        <f t="shared" si="5"/>
        <v>0</v>
      </c>
      <c r="BJ43" s="34" t="e">
        <f>IF(AND(NOT(ISBLANK(jumpoverwrite13)),AND(NOT(BI43),AND(BI$4:BI42))),($J43*$G43-LN(1+jumpoverwrite13*BK$2))/$G43,_xll.qlInterpolationInterpolate(BI$3,$F43,TRUE))</f>
        <v>#NUM!</v>
      </c>
      <c r="BK43" s="34" t="str">
        <f>IF(AND(NOT(BI43),AND(BI$4:BI42)),IF(BJ43&gt;$J43,MAX(EXP((BJ43-$J43)*$G43),1),MIN(EXP((BJ43-$J43)*$G43),1)),"")</f>
        <v/>
      </c>
      <c r="BM43" s="72" t="b">
        <f>IF(AND(NOT(BI43),AND(BI$4:BI42)),TRUE,BI43)</f>
        <v>0</v>
      </c>
      <c r="BN43" s="175" t="e">
        <f>IF(AND(NOT(ISBLANK(Jumpoverwrite14)),AND(NOT(BM43),AND(BM$4:BM42))),($J43*$G43-LN(1+Jumpoverwrite14*BO$2))/$G43,_xll.qlInterpolationInterpolate(BM$3,$F43,TRUE))</f>
        <v>#NUM!</v>
      </c>
      <c r="BO43" s="34" t="str">
        <f>IF(AND(NOT(BM43),AND(BM$4:BM42)),IF(BM43&gt;$J43,MAX(EXP((BM43-$J43)*$G43),1),MIN(EXP((BM43-$J43)*$G43),1)),"")</f>
        <v/>
      </c>
    </row>
    <row r="44" spans="1:67" x14ac:dyDescent="0.2">
      <c r="A44" s="33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84" t="e">
        <f t="shared" si="4"/>
        <v>#N/A</v>
      </c>
      <c r="G44" s="85" t="e">
        <f>_xll.qlDayCounterYearFraction(DayCounter,D43,D44)</f>
        <v>#NUM!</v>
      </c>
      <c r="I44" s="93" t="b">
        <f t="shared" si="2"/>
        <v>0</v>
      </c>
      <c r="J44" s="37" t="e">
        <v>#N/A</v>
      </c>
      <c r="K44" s="94" t="e">
        <f t="shared" si="3"/>
        <v>#VALUE!</v>
      </c>
      <c r="L44" s="106"/>
      <c r="M44" s="72" t="b">
        <f>IF(AND(NOT(I44),AND(I$4:I43)),TRUE,I44)</f>
        <v>0</v>
      </c>
      <c r="N44" s="34" t="e">
        <f>IF(AND(NOT(ISBLANK(Jumpoverwrite1)),AND(NOT(M44),AND(M$4:M43))),($J44*$G44-LN(1+Jumpoverwrite1*O$2))/$G44,_xll.qlInterpolationInterpolate(M$3,$F44,TRUE))</f>
        <v>#NUM!</v>
      </c>
      <c r="O44" s="34" t="str">
        <f>IF(AND(NOT(M44),AND(M$4:M43)),IF(N44&gt;$J44,MAX(EXP((N44-$J44)*$G44),1),MIN(EXP((N44-$J44)*$G44),1)),"")</f>
        <v/>
      </c>
      <c r="P44" s="108"/>
      <c r="Q44" s="72" t="b">
        <f>IF(AND(NOT(M44),AND(M$4:M43)),TRUE,M44)</f>
        <v>0</v>
      </c>
      <c r="R44" s="34" t="e">
        <f>IF(AND(NOT(ISBLANK(Jumpoverwrite2)),AND(NOT(Q44),AND(Q$4:Q43))),($J44*$G44-LN(1+Jumpoverwrite2*S$2))/$G44,_xll.qlInterpolationInterpolate(Q$3,$F44,TRUE))</f>
        <v>#NUM!</v>
      </c>
      <c r="S44" s="34" t="str">
        <f>IF(AND(NOT(Q44),AND(Q$4:Q43)),IF(R44&gt;$J44,MAX(EXP((R44-$J44)*$G44),1),MIN(EXP((R44-$J44)*$G44),1)),"")</f>
        <v/>
      </c>
      <c r="T44" s="108"/>
      <c r="U44" s="72" t="b">
        <f>IF(AND(NOT(Q44),AND(Q$4:Q43)),TRUE,Q44)</f>
        <v>0</v>
      </c>
      <c r="V44" s="34" t="e">
        <f>IF(AND(NOT(ISBLANK(Jumpoverwrite3)),AND(NOT(U44),AND(U$4:U43))),($J44*$G44-LN(1+Jumpoverwrite3*W$2))/$G44,_xll.qlInterpolationInterpolate(U$3,$F44,TRUE))</f>
        <v>#NUM!</v>
      </c>
      <c r="W44" s="34" t="str">
        <f>IF(AND(NOT(U44),AND(U$4:U43)),IF(V44&gt;$J44,MAX(EXP((V44-$J44)*$G44),1),MIN(EXP((V44-$J44)*$G44),1)),"")</f>
        <v/>
      </c>
      <c r="X44" s="108"/>
      <c r="Y44" s="72" t="b">
        <f>IF(AND(NOT(U44),AND(U$4:U43)),TRUE,U44)</f>
        <v>0</v>
      </c>
      <c r="Z44" s="34" t="e">
        <f>IF(AND(NOT(ISBLANK(Jumpoverwrite4)),AND(NOT(Y44),AND(Y$4:Y43))),($J44*$G44-LN(1+Jumpoverwrite4*AA$2))/$G44,_xll.qlInterpolationInterpolate(Y$3,$F44,TRUE))</f>
        <v>#NUM!</v>
      </c>
      <c r="AA44" s="34" t="str">
        <f>IF(AND(NOT(Y44),AND(Y$4:Y43)),IF(Z44&gt;$J44,MAX(EXP((Z44-$J44)*$G44),1),MIN(EXP((Z44-$J44)*$G44),1)),"")</f>
        <v/>
      </c>
      <c r="AB44" s="108"/>
      <c r="AC44" s="72" t="b">
        <f>IF(AND(NOT(Y44),AND(Y$4:Y43)),TRUE,Y44)</f>
        <v>0</v>
      </c>
      <c r="AD44" s="34" t="e">
        <f>IF(AND(NOT(ISBLANK(Jumpoverwrite5)),AND(NOT(AC44),AND(AC$4:AC43))),($J44*$G44-LN(1+Jumpoverwrite5*AE$2))/$G44,_xll.qlInterpolationInterpolate(AC$3,$F44,TRUE))</f>
        <v>#NUM!</v>
      </c>
      <c r="AE44" s="34" t="str">
        <f>IF(AND(NOT(AC44),AND(AC$4:AC43)),IF(AD44&gt;$J44,MAX(EXP((AD44-$J44)*$G44),1),MIN(EXP((AD44-$J44)*$G44),1)),"")</f>
        <v/>
      </c>
      <c r="AF44" s="108"/>
      <c r="AG44" s="72" t="b">
        <f>IF(AND(NOT(AC44),AND(AC$4:AC43)),TRUE,AC44)</f>
        <v>0</v>
      </c>
      <c r="AH44" s="34" t="e">
        <f>IF(AND(NOT(ISBLANK(Jumpoverwrite6)),AND(NOT(AG44),AND(AG$4:AG43))),($J44*$G44-LN(1+Jumpoverwrite6*AI$2))/$G44,_xll.qlInterpolationInterpolate(AG$3,$F44,TRUE))</f>
        <v>#NUM!</v>
      </c>
      <c r="AI44" s="34" t="str">
        <f>IF(AND(NOT(AG44),AND(AG$4:AG43)),IF(AH44&gt;$J44,MAX(EXP((AH44-$J44)*$G44),1),MIN(EXP((AH44-$J44)*$G44),1)),"")</f>
        <v/>
      </c>
      <c r="AJ44" s="108"/>
      <c r="AK44" s="72" t="b">
        <f>IF(AND(NOT(AG44),AND(AG$4:AG43)),TRUE,AG44)</f>
        <v>0</v>
      </c>
      <c r="AL44" s="34" t="e">
        <f>IF(AND(NOT(ISBLANK(Jumpoverwrite7)),AND(NOT(AK44),AND(AK$4:AK43))),($J44*$G44-LN(1+Jumpoverwrite7*AM$2))/$G44,_xll.qlInterpolationInterpolate(AK$3,$F44,TRUE))</f>
        <v>#NUM!</v>
      </c>
      <c r="AM44" s="34" t="str">
        <f>IF(AND(NOT(AK44),AND(AK$4:AK43)),IF(AL44&gt;$J44,MAX(EXP((AL44-$J44)*$G44),1),MIN(EXP((AL44-$J44)*$G44),1)),"")</f>
        <v/>
      </c>
      <c r="AO44" s="72" t="b">
        <f>IF(AND(NOT(AK44),AND(AK$4:AK43)),TRUE,AK44)</f>
        <v>0</v>
      </c>
      <c r="AP44" s="34" t="e">
        <f>IF(AND(NOT(ISBLANK(Jumpoverwrite8)),AND(NOT(AO44),AND(AO$4:AO43))),($J44*$G44-LN(1+Jumpoverwrite8*AQ$2))/$G44,_xll.qlInterpolationInterpolate(AO$3,$F44,TRUE))</f>
        <v>#NUM!</v>
      </c>
      <c r="AQ44" s="34" t="str">
        <f>IF(AND(NOT(AO44),AND(AO$4:AO43)),IF(AP44&gt;$J44,MAX(EXP((AP44-$J44)*$G44),1),MIN(EXP((AP44-$J44)*$G44),1)),"")</f>
        <v/>
      </c>
      <c r="AS44" s="72" t="b">
        <f>IF(AND(NOT(AO44),AND(AO$4:AO43)),TRUE,AO44)</f>
        <v>0</v>
      </c>
      <c r="AT44" s="34" t="e">
        <f>IF(AND(NOT(ISBLANK(Jumpoverwrite9)),AND(NOT(AS44),AND(AS$4:AS43))),($J44*$G44-LN(1+Jumpoverwrite9*AU$2))/$G44,_xll.qlInterpolationInterpolate(AS$3,$F44,TRUE))</f>
        <v>#NUM!</v>
      </c>
      <c r="AU44" s="34" t="str">
        <f>IF(AND(NOT(AS44),AND(AS$4:AS43)),IF(AT44&gt;$J44,MAX(EXP((AT44-$J44)*$G44),1),MIN(EXP((AT44-$J44)*$G44),1)),"")</f>
        <v/>
      </c>
      <c r="AW44" s="72" t="b">
        <f>IF(AND(NOT(AS44),AND(AS$4:AS43)),TRUE,AS44)</f>
        <v>0</v>
      </c>
      <c r="AX44" s="34" t="e">
        <f>IF(AND(NOT(ISBLANK(Jumpoverwrite10)),AND(NOT(AW44),AND(AW$4:AW43))),($J44*$G44-LN(1+Jumpoverwrite10*AY$2))/$G44,_xll.qlInterpolationInterpolate(AW$3,$F44,TRUE))</f>
        <v>#NUM!</v>
      </c>
      <c r="AY44" s="34" t="str">
        <f>IF(AND(NOT(AW44),AND(AW$4:AW43)),IF(AX44&gt;$J44,MAX(EXP((AX44-$J44)*$G44),1),MIN(EXP((AX44-$J44)*$G44),1)),"")</f>
        <v/>
      </c>
      <c r="BA44" s="72" t="b">
        <f>IF(AND(NOT(AW44),AND(AW$4:AW43)),TRUE,AW44)</f>
        <v>0</v>
      </c>
      <c r="BB44" s="34" t="e">
        <f>IF(AND(NOT(ISBLANK(Jumpoverwrite11)),AND(NOT(BA44),AND(BA$4:BA43))),($J44*$G44-LN(1+Jumpoverwrite11*BC$2))/$G44,_xll.qlInterpolationInterpolate(BA$3,$F44,TRUE))</f>
        <v>#NUM!</v>
      </c>
      <c r="BC44" s="34" t="str">
        <f>IF(AND(NOT(BA44),AND(BA$4:BA43)),IF(BB44&gt;$J44,MAX(EXP((BB44-$J44)*$G44),1),MIN(EXP((BB44-$J44)*$G44),1)),"")</f>
        <v/>
      </c>
      <c r="BE44" s="72" t="b">
        <f>IF(AND(NOT(BA44),AND(BA$4:BA43)),TRUE,BA44)</f>
        <v>0</v>
      </c>
      <c r="BF44" s="34" t="e">
        <f>IF(AND(NOT(ISBLANK(Jumpoverwrite12)),AND(NOT(BE44),AND(BE$4:BE43))),($J44*$G44-LN(1+Jumpoverwrite12*BG$2))/$G44,_xll.qlInterpolationInterpolate(BE$3,$F44,TRUE))</f>
        <v>#NUM!</v>
      </c>
      <c r="BG44" s="34" t="str">
        <f>IF(AND(NOT(BE44),AND(BE$4:BE43)),IF(BF44&gt;$J44,MAX(EXP((BF44-$J44)*$G44),1),MIN(EXP((BF44-$J44)*$G44),1)),"")</f>
        <v/>
      </c>
      <c r="BI44" s="72" t="b">
        <f t="shared" si="5"/>
        <v>0</v>
      </c>
      <c r="BJ44" s="34" t="e">
        <f>IF(AND(NOT(ISBLANK(jumpoverwrite13)),AND(NOT(BI44),AND(BI$4:BI43))),($J44*$G44-LN(1+jumpoverwrite13*BK$2))/$G44,_xll.qlInterpolationInterpolate(BI$3,$F44,TRUE))</f>
        <v>#NUM!</v>
      </c>
      <c r="BK44" s="34" t="str">
        <f>IF(AND(NOT(BI44),AND(BI$4:BI43)),IF(BJ44&gt;$J44,MAX(EXP((BJ44-$J44)*$G44),1),MIN(EXP((BJ44-$J44)*$G44),1)),"")</f>
        <v/>
      </c>
      <c r="BM44" s="72" t="b">
        <f>IF(AND(NOT(BI44),AND(BI$4:BI43)),TRUE,BI44)</f>
        <v>0</v>
      </c>
      <c r="BN44" s="175" t="e">
        <f>IF(AND(NOT(ISBLANK(Jumpoverwrite14)),AND(NOT(BM44),AND(BM$4:BM43))),($J44*$G44-LN(1+Jumpoverwrite14*BO$2))/$G44,_xll.qlInterpolationInterpolate(BM$3,$F44,TRUE))</f>
        <v>#NUM!</v>
      </c>
      <c r="BO44" s="34" t="str">
        <f>IF(AND(NOT(BM44),AND(BM$4:BM43)),IF(BM44&gt;$J44,MAX(EXP((BM44-$J44)*$G44),1),MIN(EXP((BM44-$J44)*$G44),1)),"")</f>
        <v/>
      </c>
    </row>
    <row r="45" spans="1:67" x14ac:dyDescent="0.2">
      <c r="A45" s="33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84" t="e">
        <f t="shared" si="4"/>
        <v>#N/A</v>
      </c>
      <c r="G45" s="85" t="e">
        <f>_xll.qlDayCounterYearFraction(DayCounter,D44,D45)</f>
        <v>#NUM!</v>
      </c>
      <c r="I45" s="93" t="b">
        <f t="shared" si="2"/>
        <v>0</v>
      </c>
      <c r="J45" s="37" t="e">
        <v>#N/A</v>
      </c>
      <c r="K45" s="94" t="e">
        <f t="shared" si="3"/>
        <v>#VALUE!</v>
      </c>
      <c r="L45" s="106"/>
      <c r="M45" s="72" t="b">
        <f>IF(AND(NOT(I45),AND(I$4:I44)),TRUE,I45)</f>
        <v>0</v>
      </c>
      <c r="N45" s="34" t="e">
        <f>IF(AND(NOT(ISBLANK(Jumpoverwrite1)),AND(NOT(M45),AND(M$4:M44))),($J45*$G45-LN(1+Jumpoverwrite1*O$2))/$G45,_xll.qlInterpolationInterpolate(M$3,$F45,TRUE))</f>
        <v>#NUM!</v>
      </c>
      <c r="O45" s="34" t="str">
        <f>IF(AND(NOT(M45),AND(M$4:M44)),IF(N45&gt;$J45,MAX(EXP((N45-$J45)*$G45),1),MIN(EXP((N45-$J45)*$G45),1)),"")</f>
        <v/>
      </c>
      <c r="P45" s="108"/>
      <c r="Q45" s="72" t="b">
        <f>IF(AND(NOT(M45),AND(M$4:M44)),TRUE,M45)</f>
        <v>0</v>
      </c>
      <c r="R45" s="34" t="e">
        <f>IF(AND(NOT(ISBLANK(Jumpoverwrite2)),AND(NOT(Q45),AND(Q$4:Q44))),($J45*$G45-LN(1+Jumpoverwrite2*S$2))/$G45,_xll.qlInterpolationInterpolate(Q$3,$F45,TRUE))</f>
        <v>#NUM!</v>
      </c>
      <c r="S45" s="34" t="str">
        <f>IF(AND(NOT(Q45),AND(Q$4:Q44)),IF(R45&gt;$J45,MAX(EXP((R45-$J45)*$G45),1),MIN(EXP((R45-$J45)*$G45),1)),"")</f>
        <v/>
      </c>
      <c r="T45" s="108"/>
      <c r="U45" s="72" t="b">
        <f>IF(AND(NOT(Q45),AND(Q$4:Q44)),TRUE,Q45)</f>
        <v>0</v>
      </c>
      <c r="V45" s="34" t="e">
        <f>IF(AND(NOT(ISBLANK(Jumpoverwrite3)),AND(NOT(U45),AND(U$4:U44))),($J45*$G45-LN(1+Jumpoverwrite3*W$2))/$G45,_xll.qlInterpolationInterpolate(U$3,$F45,TRUE))</f>
        <v>#NUM!</v>
      </c>
      <c r="W45" s="34" t="str">
        <f>IF(AND(NOT(U45),AND(U$4:U44)),IF(V45&gt;$J45,MAX(EXP((V45-$J45)*$G45),1),MIN(EXP((V45-$J45)*$G45),1)),"")</f>
        <v/>
      </c>
      <c r="X45" s="108"/>
      <c r="Y45" s="72" t="b">
        <f>IF(AND(NOT(U45),AND(U$4:U44)),TRUE,U45)</f>
        <v>0</v>
      </c>
      <c r="Z45" s="34" t="e">
        <f>IF(AND(NOT(ISBLANK(Jumpoverwrite4)),AND(NOT(Y45),AND(Y$4:Y44))),($J45*$G45-LN(1+Jumpoverwrite4*AA$2))/$G45,_xll.qlInterpolationInterpolate(Y$3,$F45,TRUE))</f>
        <v>#NUM!</v>
      </c>
      <c r="AA45" s="34" t="str">
        <f>IF(AND(NOT(Y45),AND(Y$4:Y44)),IF(Z45&gt;$J45,MAX(EXP((Z45-$J45)*$G45),1),MIN(EXP((Z45-$J45)*$G45),1)),"")</f>
        <v/>
      </c>
      <c r="AB45" s="108"/>
      <c r="AC45" s="72" t="b">
        <f>IF(AND(NOT(Y45),AND(Y$4:Y44)),TRUE,Y45)</f>
        <v>0</v>
      </c>
      <c r="AD45" s="34" t="e">
        <f>IF(AND(NOT(ISBLANK(Jumpoverwrite5)),AND(NOT(AC45),AND(AC$4:AC44))),($J45*$G45-LN(1+Jumpoverwrite5*AE$2))/$G45,_xll.qlInterpolationInterpolate(AC$3,$F45,TRUE))</f>
        <v>#NUM!</v>
      </c>
      <c r="AE45" s="34" t="str">
        <f>IF(AND(NOT(AC45),AND(AC$4:AC44)),IF(AD45&gt;$J45,MAX(EXP((AD45-$J45)*$G45),1),MIN(EXP((AD45-$J45)*$G45),1)),"")</f>
        <v/>
      </c>
      <c r="AF45" s="108"/>
      <c r="AG45" s="72" t="b">
        <f>IF(AND(NOT(AC45),AND(AC$4:AC44)),TRUE,AC45)</f>
        <v>0</v>
      </c>
      <c r="AH45" s="34" t="e">
        <f>IF(AND(NOT(ISBLANK(Jumpoverwrite6)),AND(NOT(AG45),AND(AG$4:AG44))),($J45*$G45-LN(1+Jumpoverwrite6*AI$2))/$G45,_xll.qlInterpolationInterpolate(AG$3,$F45,TRUE))</f>
        <v>#NUM!</v>
      </c>
      <c r="AI45" s="34" t="str">
        <f>IF(AND(NOT(AG45),AND(AG$4:AG44)),IF(AH45&gt;$J45,MAX(EXP((AH45-$J45)*$G45),1),MIN(EXP((AH45-$J45)*$G45),1)),"")</f>
        <v/>
      </c>
      <c r="AJ45" s="108"/>
      <c r="AK45" s="72" t="b">
        <f>IF(AND(NOT(AG45),AND(AG$4:AG44)),TRUE,AG45)</f>
        <v>0</v>
      </c>
      <c r="AL45" s="34" t="e">
        <f>IF(AND(NOT(ISBLANK(Jumpoverwrite7)),AND(NOT(AK45),AND(AK$4:AK44))),($J45*$G45-LN(1+Jumpoverwrite7*AM$2))/$G45,_xll.qlInterpolationInterpolate(AK$3,$F45,TRUE))</f>
        <v>#NUM!</v>
      </c>
      <c r="AM45" s="34" t="str">
        <f>IF(AND(NOT(AK45),AND(AK$4:AK44)),IF(AL45&gt;$J45,MAX(EXP((AL45-$J45)*$G45),1),MIN(EXP((AL45-$J45)*$G45),1)),"")</f>
        <v/>
      </c>
      <c r="AO45" s="72" t="b">
        <f>IF(AND(NOT(AK45),AND(AK$4:AK44)),TRUE,AK45)</f>
        <v>0</v>
      </c>
      <c r="AP45" s="34" t="e">
        <f>IF(AND(NOT(ISBLANK(Jumpoverwrite8)),AND(NOT(AO45),AND(AO$4:AO44))),($J45*$G45-LN(1+Jumpoverwrite8*AQ$2))/$G45,_xll.qlInterpolationInterpolate(AO$3,$F45,TRUE))</f>
        <v>#NUM!</v>
      </c>
      <c r="AQ45" s="34" t="str">
        <f>IF(AND(NOT(AO45),AND(AO$4:AO44)),IF(AP45&gt;$J45,MAX(EXP((AP45-$J45)*$G45),1),MIN(EXP((AP45-$J45)*$G45),1)),"")</f>
        <v/>
      </c>
      <c r="AS45" s="72" t="b">
        <f>IF(AND(NOT(AO45),AND(AO$4:AO44)),TRUE,AO45)</f>
        <v>0</v>
      </c>
      <c r="AT45" s="34" t="e">
        <f>IF(AND(NOT(ISBLANK(Jumpoverwrite9)),AND(NOT(AS45),AND(AS$4:AS44))),($J45*$G45-LN(1+Jumpoverwrite9*AU$2))/$G45,_xll.qlInterpolationInterpolate(AS$3,$F45,TRUE))</f>
        <v>#NUM!</v>
      </c>
      <c r="AU45" s="34" t="str">
        <f>IF(AND(NOT(AS45),AND(AS$4:AS44)),IF(AT45&gt;$J45,MAX(EXP((AT45-$J45)*$G45),1),MIN(EXP((AT45-$J45)*$G45),1)),"")</f>
        <v/>
      </c>
      <c r="AW45" s="72" t="b">
        <f>IF(AND(NOT(AS45),AND(AS$4:AS44)),TRUE,AS45)</f>
        <v>0</v>
      </c>
      <c r="AX45" s="34" t="e">
        <f>IF(AND(NOT(ISBLANK(Jumpoverwrite10)),AND(NOT(AW45),AND(AW$4:AW44))),($J45*$G45-LN(1+Jumpoverwrite10*AY$2))/$G45,_xll.qlInterpolationInterpolate(AW$3,$F45,TRUE))</f>
        <v>#NUM!</v>
      </c>
      <c r="AY45" s="34" t="str">
        <f>IF(AND(NOT(AW45),AND(AW$4:AW44)),IF(AX45&gt;$J45,MAX(EXP((AX45-$J45)*$G45),1),MIN(EXP((AX45-$J45)*$G45),1)),"")</f>
        <v/>
      </c>
      <c r="BA45" s="72" t="b">
        <f>IF(AND(NOT(AW45),AND(AW$4:AW44)),TRUE,AW45)</f>
        <v>0</v>
      </c>
      <c r="BB45" s="34" t="e">
        <f>IF(AND(NOT(ISBLANK(Jumpoverwrite11)),AND(NOT(BA45),AND(BA$4:BA44))),($J45*$G45-LN(1+Jumpoverwrite11*BC$2))/$G45,_xll.qlInterpolationInterpolate(BA$3,$F45,TRUE))</f>
        <v>#NUM!</v>
      </c>
      <c r="BC45" s="34" t="str">
        <f>IF(AND(NOT(BA45),AND(BA$4:BA44)),IF(BB45&gt;$J45,MAX(EXP((BB45-$J45)*$G45),1),MIN(EXP((BB45-$J45)*$G45),1)),"")</f>
        <v/>
      </c>
      <c r="BE45" s="72" t="b">
        <f>IF(AND(NOT(BA45),AND(BA$4:BA44)),TRUE,BA45)</f>
        <v>0</v>
      </c>
      <c r="BF45" s="34" t="e">
        <f>IF(AND(NOT(ISBLANK(Jumpoverwrite12)),AND(NOT(BE45),AND(BE$4:BE44))),($J45*$G45-LN(1+Jumpoverwrite12*BG$2))/$G45,_xll.qlInterpolationInterpolate(BE$3,$F45,TRUE))</f>
        <v>#NUM!</v>
      </c>
      <c r="BG45" s="34" t="str">
        <f>IF(AND(NOT(BE45),AND(BE$4:BE44)),IF(BF45&gt;$J45,MAX(EXP((BF45-$J45)*$G45),1),MIN(EXP((BF45-$J45)*$G45),1)),"")</f>
        <v/>
      </c>
      <c r="BI45" s="72" t="b">
        <f t="shared" si="5"/>
        <v>0</v>
      </c>
      <c r="BJ45" s="34" t="e">
        <f>IF(AND(NOT(ISBLANK(jumpoverwrite13)),AND(NOT(BI45),AND(BI$4:BI44))),($J45*$G45-LN(1+jumpoverwrite13*BK$2))/$G45,_xll.qlInterpolationInterpolate(BI$3,$F45,TRUE))</f>
        <v>#NUM!</v>
      </c>
      <c r="BK45" s="34" t="str">
        <f>IF(AND(NOT(BI45),AND(BI$4:BI44)),IF(BJ45&gt;$J45,MAX(EXP((BJ45-$J45)*$G45),1),MIN(EXP((BJ45-$J45)*$G45),1)),"")</f>
        <v/>
      </c>
      <c r="BM45" s="72" t="b">
        <f>IF(AND(NOT(BI45),AND(BI$4:BI44)),TRUE,BI45)</f>
        <v>0</v>
      </c>
      <c r="BN45" s="175" t="e">
        <f>IF(AND(NOT(ISBLANK(Jumpoverwrite14)),AND(NOT(BM45),AND(BM$4:BM44))),($J45*$G45-LN(1+Jumpoverwrite14*BO$2))/$G45,_xll.qlInterpolationInterpolate(BM$3,$F45,TRUE))</f>
        <v>#NUM!</v>
      </c>
      <c r="BO45" s="34" t="str">
        <f>IF(AND(NOT(BM45),AND(BM$4:BM44)),IF(BM45&gt;$J45,MAX(EXP((BM45-$J45)*$G45),1),MIN(EXP((BM45-$J45)*$G45),1)),"")</f>
        <v/>
      </c>
    </row>
    <row r="46" spans="1:67" x14ac:dyDescent="0.2">
      <c r="A46" s="33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84" t="e">
        <f t="shared" si="4"/>
        <v>#N/A</v>
      </c>
      <c r="G46" s="85" t="e">
        <f>_xll.qlDayCounterYearFraction(DayCounter,D45,D46)</f>
        <v>#NUM!</v>
      </c>
      <c r="I46" s="93" t="b">
        <f t="shared" si="2"/>
        <v>0</v>
      </c>
      <c r="J46" s="37" t="e">
        <v>#N/A</v>
      </c>
      <c r="K46" s="94" t="e">
        <f t="shared" si="3"/>
        <v>#VALUE!</v>
      </c>
      <c r="L46" s="106"/>
      <c r="M46" s="72" t="b">
        <f>IF(AND(NOT(I46),AND(I$4:I45)),TRUE,I46)</f>
        <v>0</v>
      </c>
      <c r="N46" s="34" t="e">
        <f>IF(AND(NOT(ISBLANK(Jumpoverwrite1)),AND(NOT(M46),AND(M$4:M45))),($J46*$G46-LN(1+Jumpoverwrite1*O$2))/$G46,_xll.qlInterpolationInterpolate(M$3,$F46,TRUE))</f>
        <v>#NUM!</v>
      </c>
      <c r="O46" s="34" t="str">
        <f>IF(AND(NOT(M46),AND(M$4:M45)),IF(N46&gt;$J46,MAX(EXP((N46-$J46)*$G46),1),MIN(EXP((N46-$J46)*$G46),1)),"")</f>
        <v/>
      </c>
      <c r="P46" s="108"/>
      <c r="Q46" s="72" t="b">
        <f>IF(AND(NOT(M46),AND(M$4:M45)),TRUE,M46)</f>
        <v>0</v>
      </c>
      <c r="R46" s="34" t="e">
        <f>IF(AND(NOT(ISBLANK(Jumpoverwrite2)),AND(NOT(Q46),AND(Q$4:Q45))),($J46*$G46-LN(1+Jumpoverwrite2*S$2))/$G46,_xll.qlInterpolationInterpolate(Q$3,$F46,TRUE))</f>
        <v>#NUM!</v>
      </c>
      <c r="S46" s="34" t="str">
        <f>IF(AND(NOT(Q46),AND(Q$4:Q45)),IF(R46&gt;$J46,MAX(EXP((R46-$J46)*$G46),1),MIN(EXP((R46-$J46)*$G46),1)),"")</f>
        <v/>
      </c>
      <c r="T46" s="108"/>
      <c r="U46" s="72" t="b">
        <f>IF(AND(NOT(Q46),AND(Q$4:Q45)),TRUE,Q46)</f>
        <v>0</v>
      </c>
      <c r="V46" s="34" t="e">
        <f>IF(AND(NOT(ISBLANK(Jumpoverwrite3)),AND(NOT(U46),AND(U$4:U45))),($J46*$G46-LN(1+Jumpoverwrite3*W$2))/$G46,_xll.qlInterpolationInterpolate(U$3,$F46,TRUE))</f>
        <v>#NUM!</v>
      </c>
      <c r="W46" s="34" t="str">
        <f>IF(AND(NOT(U46),AND(U$4:U45)),IF(V46&gt;$J46,MAX(EXP((V46-$J46)*$G46),1),MIN(EXP((V46-$J46)*$G46),1)),"")</f>
        <v/>
      </c>
      <c r="X46" s="108"/>
      <c r="Y46" s="72" t="b">
        <f>IF(AND(NOT(U46),AND(U$4:U45)),TRUE,U46)</f>
        <v>0</v>
      </c>
      <c r="Z46" s="34" t="e">
        <f>IF(AND(NOT(ISBLANK(Jumpoverwrite4)),AND(NOT(Y46),AND(Y$4:Y45))),($J46*$G46-LN(1+Jumpoverwrite4*AA$2))/$G46,_xll.qlInterpolationInterpolate(Y$3,$F46,TRUE))</f>
        <v>#NUM!</v>
      </c>
      <c r="AA46" s="34" t="str">
        <f>IF(AND(NOT(Y46),AND(Y$4:Y45)),IF(Z46&gt;$J46,MAX(EXP((Z46-$J46)*$G46),1),MIN(EXP((Z46-$J46)*$G46),1)),"")</f>
        <v/>
      </c>
      <c r="AB46" s="108"/>
      <c r="AC46" s="72" t="b">
        <f>IF(AND(NOT(Y46),AND(Y$4:Y45)),TRUE,Y46)</f>
        <v>0</v>
      </c>
      <c r="AD46" s="34" t="e">
        <f>IF(AND(NOT(ISBLANK(Jumpoverwrite5)),AND(NOT(AC46),AND(AC$4:AC45))),($J46*$G46-LN(1+Jumpoverwrite5*AE$2))/$G46,_xll.qlInterpolationInterpolate(AC$3,$F46,TRUE))</f>
        <v>#NUM!</v>
      </c>
      <c r="AE46" s="34" t="str">
        <f>IF(AND(NOT(AC46),AND(AC$4:AC45)),IF(AD46&gt;$J46,MAX(EXP((AD46-$J46)*$G46),1),MIN(EXP((AD46-$J46)*$G46),1)),"")</f>
        <v/>
      </c>
      <c r="AF46" s="108"/>
      <c r="AG46" s="72" t="b">
        <f>IF(AND(NOT(AC46),AND(AC$4:AC45)),TRUE,AC46)</f>
        <v>0</v>
      </c>
      <c r="AH46" s="34" t="e">
        <f>IF(AND(NOT(ISBLANK(Jumpoverwrite6)),AND(NOT(AG46),AND(AG$4:AG45))),($J46*$G46-LN(1+Jumpoverwrite6*AI$2))/$G46,_xll.qlInterpolationInterpolate(AG$3,$F46,TRUE))</f>
        <v>#NUM!</v>
      </c>
      <c r="AI46" s="34" t="str">
        <f>IF(AND(NOT(AG46),AND(AG$4:AG45)),IF(AH46&gt;$J46,MAX(EXP((AH46-$J46)*$G46),1),MIN(EXP((AH46-$J46)*$G46),1)),"")</f>
        <v/>
      </c>
      <c r="AJ46" s="108"/>
      <c r="AK46" s="72" t="b">
        <f>IF(AND(NOT(AG46),AND(AG$4:AG45)),TRUE,AG46)</f>
        <v>0</v>
      </c>
      <c r="AL46" s="34" t="e">
        <f>IF(AND(NOT(ISBLANK(Jumpoverwrite7)),AND(NOT(AK46),AND(AK$4:AK45))),($J46*$G46-LN(1+Jumpoverwrite7*AM$2))/$G46,_xll.qlInterpolationInterpolate(AK$3,$F46,TRUE))</f>
        <v>#NUM!</v>
      </c>
      <c r="AM46" s="34" t="str">
        <f>IF(AND(NOT(AK46),AND(AK$4:AK45)),IF(AL46&gt;$J46,MAX(EXP((AL46-$J46)*$G46),1),MIN(EXP((AL46-$J46)*$G46),1)),"")</f>
        <v/>
      </c>
      <c r="AO46" s="72" t="b">
        <f>IF(AND(NOT(AK46),AND(AK$4:AK45)),TRUE,AK46)</f>
        <v>0</v>
      </c>
      <c r="AP46" s="34" t="e">
        <f>IF(AND(NOT(ISBLANK(Jumpoverwrite8)),AND(NOT(AO46),AND(AO$4:AO45))),($J46*$G46-LN(1+Jumpoverwrite8*AQ$2))/$G46,_xll.qlInterpolationInterpolate(AO$3,$F46,TRUE))</f>
        <v>#NUM!</v>
      </c>
      <c r="AQ46" s="34" t="str">
        <f>IF(AND(NOT(AO46),AND(AO$4:AO45)),IF(AP46&gt;$J46,MAX(EXP((AP46-$J46)*$G46),1),MIN(EXP((AP46-$J46)*$G46),1)),"")</f>
        <v/>
      </c>
      <c r="AS46" s="72" t="b">
        <f>IF(AND(NOT(AO46),AND(AO$4:AO45)),TRUE,AO46)</f>
        <v>0</v>
      </c>
      <c r="AT46" s="34" t="e">
        <f>IF(AND(NOT(ISBLANK(Jumpoverwrite9)),AND(NOT(AS46),AND(AS$4:AS45))),($J46*$G46-LN(1+Jumpoverwrite9*AU$2))/$G46,_xll.qlInterpolationInterpolate(AS$3,$F46,TRUE))</f>
        <v>#NUM!</v>
      </c>
      <c r="AU46" s="34" t="str">
        <f>IF(AND(NOT(AS46),AND(AS$4:AS45)),IF(AT46&gt;$J46,MAX(EXP((AT46-$J46)*$G46),1),MIN(EXP((AT46-$J46)*$G46),1)),"")</f>
        <v/>
      </c>
      <c r="AW46" s="72" t="b">
        <f>IF(AND(NOT(AS46),AND(AS$4:AS45)),TRUE,AS46)</f>
        <v>0</v>
      </c>
      <c r="AX46" s="34" t="e">
        <f>IF(AND(NOT(ISBLANK(Jumpoverwrite10)),AND(NOT(AW46),AND(AW$4:AW45))),($J46*$G46-LN(1+Jumpoverwrite10*AY$2))/$G46,_xll.qlInterpolationInterpolate(AW$3,$F46,TRUE))</f>
        <v>#NUM!</v>
      </c>
      <c r="AY46" s="34" t="str">
        <f>IF(AND(NOT(AW46),AND(AW$4:AW45)),IF(AX46&gt;$J46,MAX(EXP((AX46-$J46)*$G46),1),MIN(EXP((AX46-$J46)*$G46),1)),"")</f>
        <v/>
      </c>
      <c r="BA46" s="72" t="b">
        <f>IF(AND(NOT(AW46),AND(AW$4:AW45)),TRUE,AW46)</f>
        <v>0</v>
      </c>
      <c r="BB46" s="34" t="e">
        <f>IF(AND(NOT(ISBLANK(Jumpoverwrite11)),AND(NOT(BA46),AND(BA$4:BA45))),($J46*$G46-LN(1+Jumpoverwrite11*BC$2))/$G46,_xll.qlInterpolationInterpolate(BA$3,$F46,TRUE))</f>
        <v>#NUM!</v>
      </c>
      <c r="BC46" s="34" t="str">
        <f>IF(AND(NOT(BA46),AND(BA$4:BA45)),IF(BB46&gt;$J46,MAX(EXP((BB46-$J46)*$G46),1),MIN(EXP((BB46-$J46)*$G46),1)),"")</f>
        <v/>
      </c>
      <c r="BE46" s="72" t="b">
        <f>IF(AND(NOT(BA46),AND(BA$4:BA45)),TRUE,BA46)</f>
        <v>0</v>
      </c>
      <c r="BF46" s="34" t="e">
        <f>IF(AND(NOT(ISBLANK(Jumpoverwrite12)),AND(NOT(BE46),AND(BE$4:BE45))),($J46*$G46-LN(1+Jumpoverwrite12*BG$2))/$G46,_xll.qlInterpolationInterpolate(BE$3,$F46,TRUE))</f>
        <v>#NUM!</v>
      </c>
      <c r="BG46" s="34" t="str">
        <f>IF(AND(NOT(BE46),AND(BE$4:BE45)),IF(BF46&gt;$J46,MAX(EXP((BF46-$J46)*$G46),1),MIN(EXP((BF46-$J46)*$G46),1)),"")</f>
        <v/>
      </c>
      <c r="BI46" s="72" t="b">
        <f t="shared" si="5"/>
        <v>0</v>
      </c>
      <c r="BJ46" s="34" t="e">
        <f>IF(AND(NOT(ISBLANK(jumpoverwrite13)),AND(NOT(BI46),AND(BI$4:BI45))),($J46*$G46-LN(1+jumpoverwrite13*BK$2))/$G46,_xll.qlInterpolationInterpolate(BI$3,$F46,TRUE))</f>
        <v>#NUM!</v>
      </c>
      <c r="BK46" s="34" t="str">
        <f>IF(AND(NOT(BI46),AND(BI$4:BI45)),IF(BJ46&gt;$J46,MAX(EXP((BJ46-$J46)*$G46),1),MIN(EXP((BJ46-$J46)*$G46),1)),"")</f>
        <v/>
      </c>
      <c r="BM46" s="72" t="b">
        <f>IF(AND(NOT(BI46),AND(BI$4:BI45)),TRUE,BI46)</f>
        <v>0</v>
      </c>
      <c r="BN46" s="175" t="e">
        <f>IF(AND(NOT(ISBLANK(Jumpoverwrite14)),AND(NOT(BM46),AND(BM$4:BM45))),($J46*$G46-LN(1+Jumpoverwrite14*BO$2))/$G46,_xll.qlInterpolationInterpolate(BM$3,$F46,TRUE))</f>
        <v>#NUM!</v>
      </c>
      <c r="BO46" s="34" t="str">
        <f>IF(AND(NOT(BM46),AND(BM$4:BM45)),IF(BM46&gt;$J46,MAX(EXP((BM46-$J46)*$G46),1),MIN(EXP((BM46-$J46)*$G46),1)),"")</f>
        <v/>
      </c>
    </row>
    <row r="47" spans="1:67" x14ac:dyDescent="0.2">
      <c r="A47" s="33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84" t="e">
        <f t="shared" si="4"/>
        <v>#N/A</v>
      </c>
      <c r="G47" s="85" t="e">
        <f>_xll.qlDayCounterYearFraction(DayCounter,D46,D47)</f>
        <v>#NUM!</v>
      </c>
      <c r="I47" s="93" t="b">
        <f t="shared" si="2"/>
        <v>0</v>
      </c>
      <c r="J47" s="37" t="e">
        <v>#N/A</v>
      </c>
      <c r="K47" s="94" t="e">
        <f t="shared" si="3"/>
        <v>#VALUE!</v>
      </c>
      <c r="L47" s="106"/>
      <c r="M47" s="72" t="b">
        <f>IF(AND(NOT(I47),AND(I$4:I46)),TRUE,I47)</f>
        <v>0</v>
      </c>
      <c r="N47" s="34" t="e">
        <f>IF(AND(NOT(ISBLANK(Jumpoverwrite1)),AND(NOT(M47),AND(M$4:M46))),($J47*$G47-LN(1+Jumpoverwrite1*O$2))/$G47,_xll.qlInterpolationInterpolate(M$3,$F47,TRUE))</f>
        <v>#NUM!</v>
      </c>
      <c r="O47" s="34" t="str">
        <f>IF(AND(NOT(M47),AND(M$4:M46)),IF(N47&gt;$J47,MAX(EXP((N47-$J47)*$G47),1),MIN(EXP((N47-$J47)*$G47),1)),"")</f>
        <v/>
      </c>
      <c r="P47" s="108"/>
      <c r="Q47" s="72" t="b">
        <f>IF(AND(NOT(M47),AND(M$4:M46)),TRUE,M47)</f>
        <v>0</v>
      </c>
      <c r="R47" s="34" t="e">
        <f>IF(AND(NOT(ISBLANK(Jumpoverwrite2)),AND(NOT(Q47),AND(Q$4:Q46))),($J47*$G47-LN(1+Jumpoverwrite2*S$2))/$G47,_xll.qlInterpolationInterpolate(Q$3,$F47,TRUE))</f>
        <v>#NUM!</v>
      </c>
      <c r="S47" s="34" t="str">
        <f>IF(AND(NOT(Q47),AND(Q$4:Q46)),IF(R47&gt;$J47,MAX(EXP((R47-$J47)*$G47),1),MIN(EXP((R47-$J47)*$G47),1)),"")</f>
        <v/>
      </c>
      <c r="T47" s="108"/>
      <c r="U47" s="72" t="b">
        <f>IF(AND(NOT(Q47),AND(Q$4:Q46)),TRUE,Q47)</f>
        <v>0</v>
      </c>
      <c r="V47" s="34" t="e">
        <f>IF(AND(NOT(ISBLANK(Jumpoverwrite3)),AND(NOT(U47),AND(U$4:U46))),($J47*$G47-LN(1+Jumpoverwrite3*W$2))/$G47,_xll.qlInterpolationInterpolate(U$3,$F47,TRUE))</f>
        <v>#NUM!</v>
      </c>
      <c r="W47" s="34" t="str">
        <f>IF(AND(NOT(U47),AND(U$4:U46)),IF(V47&gt;$J47,MAX(EXP((V47-$J47)*$G47),1),MIN(EXP((V47-$J47)*$G47),1)),"")</f>
        <v/>
      </c>
      <c r="X47" s="108"/>
      <c r="Y47" s="72" t="b">
        <f>IF(AND(NOT(U47),AND(U$4:U46)),TRUE,U47)</f>
        <v>0</v>
      </c>
      <c r="Z47" s="34" t="e">
        <f>IF(AND(NOT(ISBLANK(Jumpoverwrite4)),AND(NOT(Y47),AND(Y$4:Y46))),($J47*$G47-LN(1+Jumpoverwrite4*AA$2))/$G47,_xll.qlInterpolationInterpolate(Y$3,$F47,TRUE))</f>
        <v>#NUM!</v>
      </c>
      <c r="AA47" s="34" t="str">
        <f>IF(AND(NOT(Y47),AND(Y$4:Y46)),IF(Z47&gt;$J47,MAX(EXP((Z47-$J47)*$G47),1),MIN(EXP((Z47-$J47)*$G47),1)),"")</f>
        <v/>
      </c>
      <c r="AB47" s="108"/>
      <c r="AC47" s="72" t="b">
        <f>IF(AND(NOT(Y47),AND(Y$4:Y46)),TRUE,Y47)</f>
        <v>0</v>
      </c>
      <c r="AD47" s="34" t="e">
        <f>IF(AND(NOT(ISBLANK(Jumpoverwrite5)),AND(NOT(AC47),AND(AC$4:AC46))),($J47*$G47-LN(1+Jumpoverwrite5*AE$2))/$G47,_xll.qlInterpolationInterpolate(AC$3,$F47,TRUE))</f>
        <v>#NUM!</v>
      </c>
      <c r="AE47" s="34" t="str">
        <f>IF(AND(NOT(AC47),AND(AC$4:AC46)),IF(AD47&gt;$J47,MAX(EXP((AD47-$J47)*$G47),1),MIN(EXP((AD47-$J47)*$G47),1)),"")</f>
        <v/>
      </c>
      <c r="AF47" s="108"/>
      <c r="AG47" s="72" t="b">
        <f>IF(AND(NOT(AC47),AND(AC$4:AC46)),TRUE,AC47)</f>
        <v>0</v>
      </c>
      <c r="AH47" s="34" t="e">
        <f>IF(AND(NOT(ISBLANK(Jumpoverwrite6)),AND(NOT(AG47),AND(AG$4:AG46))),($J47*$G47-LN(1+Jumpoverwrite6*AI$2))/$G47,_xll.qlInterpolationInterpolate(AG$3,$F47,TRUE))</f>
        <v>#NUM!</v>
      </c>
      <c r="AI47" s="34" t="str">
        <f>IF(AND(NOT(AG47),AND(AG$4:AG46)),IF(AH47&gt;$J47,MAX(EXP((AH47-$J47)*$G47),1),MIN(EXP((AH47-$J47)*$G47),1)),"")</f>
        <v/>
      </c>
      <c r="AJ47" s="108"/>
      <c r="AK47" s="72" t="b">
        <f>IF(AND(NOT(AG47),AND(AG$4:AG46)),TRUE,AG47)</f>
        <v>0</v>
      </c>
      <c r="AL47" s="34" t="e">
        <f>IF(AND(NOT(ISBLANK(Jumpoverwrite7)),AND(NOT(AK47),AND(AK$4:AK46))),($J47*$G47-LN(1+Jumpoverwrite7*AM$2))/$G47,_xll.qlInterpolationInterpolate(AK$3,$F47,TRUE))</f>
        <v>#NUM!</v>
      </c>
      <c r="AM47" s="34" t="str">
        <f>IF(AND(NOT(AK47),AND(AK$4:AK46)),IF(AL47&gt;$J47,MAX(EXP((AL47-$J47)*$G47),1),MIN(EXP((AL47-$J47)*$G47),1)),"")</f>
        <v/>
      </c>
      <c r="AO47" s="72" t="b">
        <f>IF(AND(NOT(AK47),AND(AK$4:AK46)),TRUE,AK47)</f>
        <v>0</v>
      </c>
      <c r="AP47" s="34" t="e">
        <f>IF(AND(NOT(ISBLANK(Jumpoverwrite8)),AND(NOT(AO47),AND(AO$4:AO46))),($J47*$G47-LN(1+Jumpoverwrite8*AQ$2))/$G47,_xll.qlInterpolationInterpolate(AO$3,$F47,TRUE))</f>
        <v>#NUM!</v>
      </c>
      <c r="AQ47" s="34" t="str">
        <f>IF(AND(NOT(AO47),AND(AO$4:AO46)),IF(AP47&gt;$J47,MAX(EXP((AP47-$J47)*$G47),1),MIN(EXP((AP47-$J47)*$G47),1)),"")</f>
        <v/>
      </c>
      <c r="AS47" s="72" t="b">
        <f>IF(AND(NOT(AO47),AND(AO$4:AO46)),TRUE,AO47)</f>
        <v>0</v>
      </c>
      <c r="AT47" s="34" t="e">
        <f>IF(AND(NOT(ISBLANK(Jumpoverwrite9)),AND(NOT(AS47),AND(AS$4:AS46))),($J47*$G47-LN(1+Jumpoverwrite9*AU$2))/$G47,_xll.qlInterpolationInterpolate(AS$3,$F47,TRUE))</f>
        <v>#NUM!</v>
      </c>
      <c r="AU47" s="34" t="str">
        <f>IF(AND(NOT(AS47),AND(AS$4:AS46)),IF(AT47&gt;$J47,MAX(EXP((AT47-$J47)*$G47),1),MIN(EXP((AT47-$J47)*$G47),1)),"")</f>
        <v/>
      </c>
      <c r="AW47" s="72" t="b">
        <f>IF(AND(NOT(AS47),AND(AS$4:AS46)),TRUE,AS47)</f>
        <v>0</v>
      </c>
      <c r="AX47" s="34" t="e">
        <f>IF(AND(NOT(ISBLANK(Jumpoverwrite10)),AND(NOT(AW47),AND(AW$4:AW46))),($J47*$G47-LN(1+Jumpoverwrite10*AY$2))/$G47,_xll.qlInterpolationInterpolate(AW$3,$F47,TRUE))</f>
        <v>#NUM!</v>
      </c>
      <c r="AY47" s="34" t="str">
        <f>IF(AND(NOT(AW47),AND(AW$4:AW46)),IF(AX47&gt;$J47,MAX(EXP((AX47-$J47)*$G47),1),MIN(EXP((AX47-$J47)*$G47),1)),"")</f>
        <v/>
      </c>
      <c r="BA47" s="72" t="b">
        <f>IF(AND(NOT(AW47),AND(AW$4:AW46)),TRUE,AW47)</f>
        <v>0</v>
      </c>
      <c r="BB47" s="34" t="e">
        <f>IF(AND(NOT(ISBLANK(Jumpoverwrite11)),AND(NOT(BA47),AND(BA$4:BA46))),($J47*$G47-LN(1+Jumpoverwrite11*BC$2))/$G47,_xll.qlInterpolationInterpolate(BA$3,$F47,TRUE))</f>
        <v>#NUM!</v>
      </c>
      <c r="BC47" s="34" t="str">
        <f>IF(AND(NOT(BA47),AND(BA$4:BA46)),IF(BB47&gt;$J47,MAX(EXP((BB47-$J47)*$G47),1),MIN(EXP((BB47-$J47)*$G47),1)),"")</f>
        <v/>
      </c>
      <c r="BE47" s="72" t="b">
        <f>IF(AND(NOT(BA47),AND(BA$4:BA46)),TRUE,BA47)</f>
        <v>0</v>
      </c>
      <c r="BF47" s="34" t="e">
        <f>IF(AND(NOT(ISBLANK(Jumpoverwrite12)),AND(NOT(BE47),AND(BE$4:BE46))),($J47*$G47-LN(1+Jumpoverwrite12*BG$2))/$G47,_xll.qlInterpolationInterpolate(BE$3,$F47,TRUE))</f>
        <v>#NUM!</v>
      </c>
      <c r="BG47" s="34" t="str">
        <f>IF(AND(NOT(BE47),AND(BE$4:BE46)),IF(BF47&gt;$J47,MAX(EXP((BF47-$J47)*$G47),1),MIN(EXP((BF47-$J47)*$G47),1)),"")</f>
        <v/>
      </c>
      <c r="BI47" s="72" t="b">
        <f t="shared" si="5"/>
        <v>0</v>
      </c>
      <c r="BJ47" s="34" t="e">
        <f>IF(AND(NOT(ISBLANK(jumpoverwrite13)),AND(NOT(BI47),AND(BI$4:BI46))),($J47*$G47-LN(1+jumpoverwrite13*BK$2))/$G47,_xll.qlInterpolationInterpolate(BI$3,$F47,TRUE))</f>
        <v>#NUM!</v>
      </c>
      <c r="BK47" s="34" t="str">
        <f>IF(AND(NOT(BI47),AND(BI$4:BI46)),IF(BJ47&gt;$J47,MAX(EXP((BJ47-$J47)*$G47),1),MIN(EXP((BJ47-$J47)*$G47),1)),"")</f>
        <v/>
      </c>
      <c r="BM47" s="72" t="b">
        <f>IF(AND(NOT(BI47),AND(BI$4:BI46)),TRUE,BI47)</f>
        <v>0</v>
      </c>
      <c r="BN47" s="175" t="e">
        <f>IF(AND(NOT(ISBLANK(Jumpoverwrite14)),AND(NOT(BM47),AND(BM$4:BM46))),($J47*$G47-LN(1+Jumpoverwrite14*BO$2))/$G47,_xll.qlInterpolationInterpolate(BM$3,$F47,TRUE))</f>
        <v>#NUM!</v>
      </c>
      <c r="BO47" s="34" t="str">
        <f>IF(AND(NOT(BM47),AND(BM$4:BM46)),IF(BM47&gt;$J47,MAX(EXP((BM47-$J47)*$G47),1),MIN(EXP((BM47-$J47)*$G47),1)),"")</f>
        <v/>
      </c>
    </row>
    <row r="48" spans="1:67" x14ac:dyDescent="0.2">
      <c r="A48" s="33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84" t="e">
        <f t="shared" si="4"/>
        <v>#N/A</v>
      </c>
      <c r="G48" s="85" t="e">
        <f>_xll.qlDayCounterYearFraction(DayCounter,D47,D48)</f>
        <v>#NUM!</v>
      </c>
      <c r="I48" s="93" t="b">
        <f t="shared" si="2"/>
        <v>0</v>
      </c>
      <c r="J48" s="37" t="e">
        <v>#N/A</v>
      </c>
      <c r="K48" s="94" t="e">
        <f t="shared" si="3"/>
        <v>#VALUE!</v>
      </c>
      <c r="L48" s="106"/>
      <c r="M48" s="72" t="b">
        <f>IF(AND(NOT(I48),AND(I$4:I47)),TRUE,I48)</f>
        <v>0</v>
      </c>
      <c r="N48" s="34" t="e">
        <f>IF(AND(NOT(ISBLANK(Jumpoverwrite1)),AND(NOT(M48),AND(M$4:M47))),($J48*$G48-LN(1+Jumpoverwrite1*O$2))/$G48,_xll.qlInterpolationInterpolate(M$3,$F48,TRUE))</f>
        <v>#NUM!</v>
      </c>
      <c r="O48" s="34" t="str">
        <f>IF(AND(NOT(M48),AND(M$4:M47)),IF(N48&gt;$J48,MAX(EXP((N48-$J48)*$G48),1),MIN(EXP((N48-$J48)*$G48),1)),"")</f>
        <v/>
      </c>
      <c r="P48" s="108"/>
      <c r="Q48" s="72" t="b">
        <f>IF(AND(NOT(M48),AND(M$4:M47)),TRUE,M48)</f>
        <v>0</v>
      </c>
      <c r="R48" s="34" t="e">
        <f>IF(AND(NOT(ISBLANK(Jumpoverwrite2)),AND(NOT(Q48),AND(Q$4:Q47))),($J48*$G48-LN(1+Jumpoverwrite2*S$2))/$G48,_xll.qlInterpolationInterpolate(Q$3,$F48,TRUE))</f>
        <v>#NUM!</v>
      </c>
      <c r="S48" s="34" t="str">
        <f>IF(AND(NOT(Q48),AND(Q$4:Q47)),IF(R48&gt;$J48,MAX(EXP((R48-$J48)*$G48),1),MIN(EXP((R48-$J48)*$G48),1)),"")</f>
        <v/>
      </c>
      <c r="T48" s="108"/>
      <c r="U48" s="72" t="b">
        <f>IF(AND(NOT(Q48),AND(Q$4:Q47)),TRUE,Q48)</f>
        <v>0</v>
      </c>
      <c r="V48" s="34" t="e">
        <f>IF(AND(NOT(ISBLANK(Jumpoverwrite3)),AND(NOT(U48),AND(U$4:U47))),($J48*$G48-LN(1+Jumpoverwrite3*W$2))/$G48,_xll.qlInterpolationInterpolate(U$3,$F48,TRUE))</f>
        <v>#NUM!</v>
      </c>
      <c r="W48" s="34" t="str">
        <f>IF(AND(NOT(U48),AND(U$4:U47)),IF(V48&gt;$J48,MAX(EXP((V48-$J48)*$G48),1),MIN(EXP((V48-$J48)*$G48),1)),"")</f>
        <v/>
      </c>
      <c r="X48" s="108"/>
      <c r="Y48" s="72" t="b">
        <f>IF(AND(NOT(U48),AND(U$4:U47)),TRUE,U48)</f>
        <v>0</v>
      </c>
      <c r="Z48" s="34" t="e">
        <f>IF(AND(NOT(ISBLANK(Jumpoverwrite4)),AND(NOT(Y48),AND(Y$4:Y47))),($J48*$G48-LN(1+Jumpoverwrite4*AA$2))/$G48,_xll.qlInterpolationInterpolate(Y$3,$F48,TRUE))</f>
        <v>#NUM!</v>
      </c>
      <c r="AA48" s="34" t="str">
        <f>IF(AND(NOT(Y48),AND(Y$4:Y47)),IF(Z48&gt;$J48,MAX(EXP((Z48-$J48)*$G48),1),MIN(EXP((Z48-$J48)*$G48),1)),"")</f>
        <v/>
      </c>
      <c r="AB48" s="108"/>
      <c r="AC48" s="72" t="b">
        <f>IF(AND(NOT(Y48),AND(Y$4:Y47)),TRUE,Y48)</f>
        <v>0</v>
      </c>
      <c r="AD48" s="34" t="e">
        <f>IF(AND(NOT(ISBLANK(Jumpoverwrite5)),AND(NOT(AC48),AND(AC$4:AC47))),($J48*$G48-LN(1+Jumpoverwrite5*AE$2))/$G48,_xll.qlInterpolationInterpolate(AC$3,$F48,TRUE))</f>
        <v>#NUM!</v>
      </c>
      <c r="AE48" s="34" t="str">
        <f>IF(AND(NOT(AC48),AND(AC$4:AC47)),IF(AD48&gt;$J48,MAX(EXP((AD48-$J48)*$G48),1),MIN(EXP((AD48-$J48)*$G48),1)),"")</f>
        <v/>
      </c>
      <c r="AF48" s="108"/>
      <c r="AG48" s="72" t="b">
        <f>IF(AND(NOT(AC48),AND(AC$4:AC47)),TRUE,AC48)</f>
        <v>0</v>
      </c>
      <c r="AH48" s="34" t="e">
        <f>IF(AND(NOT(ISBLANK(Jumpoverwrite6)),AND(NOT(AG48),AND(AG$4:AG47))),($J48*$G48-LN(1+Jumpoverwrite6*AI$2))/$G48,_xll.qlInterpolationInterpolate(AG$3,$F48,TRUE))</f>
        <v>#NUM!</v>
      </c>
      <c r="AI48" s="34" t="str">
        <f>IF(AND(NOT(AG48),AND(AG$4:AG47)),IF(AH48&gt;$J48,MAX(EXP((AH48-$J48)*$G48),1),MIN(EXP((AH48-$J48)*$G48),1)),"")</f>
        <v/>
      </c>
      <c r="AJ48" s="108"/>
      <c r="AK48" s="72" t="b">
        <f>IF(AND(NOT(AG48),AND(AG$4:AG47)),TRUE,AG48)</f>
        <v>0</v>
      </c>
      <c r="AL48" s="34" t="e">
        <f>IF(AND(NOT(ISBLANK(Jumpoverwrite7)),AND(NOT(AK48),AND(AK$4:AK47))),($J48*$G48-LN(1+Jumpoverwrite7*AM$2))/$G48,_xll.qlInterpolationInterpolate(AK$3,$F48,TRUE))</f>
        <v>#NUM!</v>
      </c>
      <c r="AM48" s="34" t="str">
        <f>IF(AND(NOT(AK48),AND(AK$4:AK47)),IF(AL48&gt;$J48,MAX(EXP((AL48-$J48)*$G48),1),MIN(EXP((AL48-$J48)*$G48),1)),"")</f>
        <v/>
      </c>
      <c r="AO48" s="72" t="b">
        <f>IF(AND(NOT(AK48),AND(AK$4:AK47)),TRUE,AK48)</f>
        <v>0</v>
      </c>
      <c r="AP48" s="34" t="e">
        <f>IF(AND(NOT(ISBLANK(Jumpoverwrite8)),AND(NOT(AO48),AND(AO$4:AO47))),($J48*$G48-LN(1+Jumpoverwrite8*AQ$2))/$G48,_xll.qlInterpolationInterpolate(AO$3,$F48,TRUE))</f>
        <v>#NUM!</v>
      </c>
      <c r="AQ48" s="34" t="str">
        <f>IF(AND(NOT(AO48),AND(AO$4:AO47)),IF(AP48&gt;$J48,MAX(EXP((AP48-$J48)*$G48),1),MIN(EXP((AP48-$J48)*$G48),1)),"")</f>
        <v/>
      </c>
      <c r="AS48" s="72" t="b">
        <f>IF(AND(NOT(AO48),AND(AO$4:AO47)),TRUE,AO48)</f>
        <v>0</v>
      </c>
      <c r="AT48" s="34" t="e">
        <f>IF(AND(NOT(ISBLANK(Jumpoverwrite9)),AND(NOT(AS48),AND(AS$4:AS47))),($J48*$G48-LN(1+Jumpoverwrite9*AU$2))/$G48,_xll.qlInterpolationInterpolate(AS$3,$F48,TRUE))</f>
        <v>#NUM!</v>
      </c>
      <c r="AU48" s="34" t="str">
        <f>IF(AND(NOT(AS48),AND(AS$4:AS47)),IF(AT48&gt;$J48,MAX(EXP((AT48-$J48)*$G48),1),MIN(EXP((AT48-$J48)*$G48),1)),"")</f>
        <v/>
      </c>
      <c r="AW48" s="72" t="b">
        <f>IF(AND(NOT(AS48),AND(AS$4:AS47)),TRUE,AS48)</f>
        <v>0</v>
      </c>
      <c r="AX48" s="34" t="e">
        <f>IF(AND(NOT(ISBLANK(Jumpoverwrite10)),AND(NOT(AW48),AND(AW$4:AW47))),($J48*$G48-LN(1+Jumpoverwrite10*AY$2))/$G48,_xll.qlInterpolationInterpolate(AW$3,$F48,TRUE))</f>
        <v>#NUM!</v>
      </c>
      <c r="AY48" s="34" t="str">
        <f>IF(AND(NOT(AW48),AND(AW$4:AW47)),IF(AX48&gt;$J48,MAX(EXP((AX48-$J48)*$G48),1),MIN(EXP((AX48-$J48)*$G48),1)),"")</f>
        <v/>
      </c>
      <c r="BA48" s="72" t="b">
        <f>IF(AND(NOT(AW48),AND(AW$4:AW47)),TRUE,AW48)</f>
        <v>0</v>
      </c>
      <c r="BB48" s="34" t="e">
        <f>IF(AND(NOT(ISBLANK(Jumpoverwrite11)),AND(NOT(BA48),AND(BA$4:BA47))),($J48*$G48-LN(1+Jumpoverwrite11*BC$2))/$G48,_xll.qlInterpolationInterpolate(BA$3,$F48,TRUE))</f>
        <v>#NUM!</v>
      </c>
      <c r="BC48" s="34" t="str">
        <f>IF(AND(NOT(BA48),AND(BA$4:BA47)),IF(BB48&gt;$J48,MAX(EXP((BB48-$J48)*$G48),1),MIN(EXP((BB48-$J48)*$G48),1)),"")</f>
        <v/>
      </c>
      <c r="BE48" s="72" t="b">
        <f>IF(AND(NOT(BA48),AND(BA$4:BA47)),TRUE,BA48)</f>
        <v>0</v>
      </c>
      <c r="BF48" s="34" t="e">
        <f>IF(AND(NOT(ISBLANK(Jumpoverwrite12)),AND(NOT(BE48),AND(BE$4:BE47))),($J48*$G48-LN(1+Jumpoverwrite12*BG$2))/$G48,_xll.qlInterpolationInterpolate(BE$3,$F48,TRUE))</f>
        <v>#NUM!</v>
      </c>
      <c r="BG48" s="34" t="str">
        <f>IF(AND(NOT(BE48),AND(BE$4:BE47)),IF(BF48&gt;$J48,MAX(EXP((BF48-$J48)*$G48),1),MIN(EXP((BF48-$J48)*$G48),1)),"")</f>
        <v/>
      </c>
      <c r="BI48" s="72" t="b">
        <f t="shared" si="5"/>
        <v>0</v>
      </c>
      <c r="BJ48" s="34" t="e">
        <f>IF(AND(NOT(ISBLANK(jumpoverwrite13)),AND(NOT(BI48),AND(BI$4:BI47))),($J48*$G48-LN(1+jumpoverwrite13*BK$2))/$G48,_xll.qlInterpolationInterpolate(BI$3,$F48,TRUE))</f>
        <v>#NUM!</v>
      </c>
      <c r="BK48" s="34" t="str">
        <f>IF(AND(NOT(BI48),AND(BI$4:BI47)),IF(BJ48&gt;$J48,MAX(EXP((BJ48-$J48)*$G48),1),MIN(EXP((BJ48-$J48)*$G48),1)),"")</f>
        <v/>
      </c>
      <c r="BM48" s="72" t="b">
        <f>IF(AND(NOT(BI48),AND(BI$4:BI47)),TRUE,BI48)</f>
        <v>0</v>
      </c>
      <c r="BN48" s="175" t="e">
        <f>IF(AND(NOT(ISBLANK(Jumpoverwrite14)),AND(NOT(BM48),AND(BM$4:BM47))),($J48*$G48-LN(1+Jumpoverwrite14*BO$2))/$G48,_xll.qlInterpolationInterpolate(BM$3,$F48,TRUE))</f>
        <v>#NUM!</v>
      </c>
      <c r="BO48" s="34" t="str">
        <f>IF(AND(NOT(BM48),AND(BM$4:BM47)),IF(BM48&gt;$J48,MAX(EXP((BM48-$J48)*$G48),1),MIN(EXP((BM48-$J48)*$G48),1)),"")</f>
        <v/>
      </c>
    </row>
    <row r="49" spans="1:67" x14ac:dyDescent="0.2">
      <c r="A49" s="33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84" t="e">
        <f t="shared" si="4"/>
        <v>#N/A</v>
      </c>
      <c r="G49" s="85" t="e">
        <f>_xll.qlDayCounterYearFraction(DayCounter,D48,D49)</f>
        <v>#NUM!</v>
      </c>
      <c r="I49" s="93" t="b">
        <f t="shared" si="2"/>
        <v>0</v>
      </c>
      <c r="J49" s="37" t="e">
        <v>#N/A</v>
      </c>
      <c r="K49" s="94" t="e">
        <f t="shared" si="3"/>
        <v>#VALUE!</v>
      </c>
      <c r="L49" s="106"/>
      <c r="M49" s="72" t="b">
        <f>IF(AND(NOT(I49),AND(I$4:I48)),TRUE,I49)</f>
        <v>0</v>
      </c>
      <c r="N49" s="34" t="e">
        <f>IF(AND(NOT(ISBLANK(Jumpoverwrite1)),AND(NOT(M49),AND(M$4:M48))),($J49*$G49-LN(1+Jumpoverwrite1*O$2))/$G49,_xll.qlInterpolationInterpolate(M$3,$F49,TRUE))</f>
        <v>#NUM!</v>
      </c>
      <c r="O49" s="34" t="str">
        <f>IF(AND(NOT(M49),AND(M$4:M48)),IF(N49&gt;$J49,MAX(EXP((N49-$J49)*$G49),1),MIN(EXP((N49-$J49)*$G49),1)),"")</f>
        <v/>
      </c>
      <c r="P49" s="108"/>
      <c r="Q49" s="72" t="b">
        <f>IF(AND(NOT(M49),AND(M$4:M48)),TRUE,M49)</f>
        <v>0</v>
      </c>
      <c r="R49" s="34" t="e">
        <f>IF(AND(NOT(ISBLANK(Jumpoverwrite2)),AND(NOT(Q49),AND(Q$4:Q48))),($J49*$G49-LN(1+Jumpoverwrite2*S$2))/$G49,_xll.qlInterpolationInterpolate(Q$3,$F49,TRUE))</f>
        <v>#NUM!</v>
      </c>
      <c r="S49" s="34" t="str">
        <f>IF(AND(NOT(Q49),AND(Q$4:Q48)),IF(R49&gt;$J49,MAX(EXP((R49-$J49)*$G49),1),MIN(EXP((R49-$J49)*$G49),1)),"")</f>
        <v/>
      </c>
      <c r="T49" s="108"/>
      <c r="U49" s="72" t="b">
        <f>IF(AND(NOT(Q49),AND(Q$4:Q48)),TRUE,Q49)</f>
        <v>0</v>
      </c>
      <c r="V49" s="34" t="e">
        <f>IF(AND(NOT(ISBLANK(Jumpoverwrite3)),AND(NOT(U49),AND(U$4:U48))),($J49*$G49-LN(1+Jumpoverwrite3*W$2))/$G49,_xll.qlInterpolationInterpolate(U$3,$F49,TRUE))</f>
        <v>#NUM!</v>
      </c>
      <c r="W49" s="34" t="str">
        <f>IF(AND(NOT(U49),AND(U$4:U48)),IF(V49&gt;$J49,MAX(EXP((V49-$J49)*$G49),1),MIN(EXP((V49-$J49)*$G49),1)),"")</f>
        <v/>
      </c>
      <c r="X49" s="108"/>
      <c r="Y49" s="72" t="b">
        <f>IF(AND(NOT(U49),AND(U$4:U48)),TRUE,U49)</f>
        <v>0</v>
      </c>
      <c r="Z49" s="34" t="e">
        <f>IF(AND(NOT(ISBLANK(Jumpoverwrite4)),AND(NOT(Y49),AND(Y$4:Y48))),($J49*$G49-LN(1+Jumpoverwrite4*AA$2))/$G49,_xll.qlInterpolationInterpolate(Y$3,$F49,TRUE))</f>
        <v>#NUM!</v>
      </c>
      <c r="AA49" s="34" t="str">
        <f>IF(AND(NOT(Y49),AND(Y$4:Y48)),IF(Z49&gt;$J49,MAX(EXP((Z49-$J49)*$G49),1),MIN(EXP((Z49-$J49)*$G49),1)),"")</f>
        <v/>
      </c>
      <c r="AB49" s="108"/>
      <c r="AC49" s="72" t="b">
        <f>IF(AND(NOT(Y49),AND(Y$4:Y48)),TRUE,Y49)</f>
        <v>0</v>
      </c>
      <c r="AD49" s="34" t="e">
        <f>IF(AND(NOT(ISBLANK(Jumpoverwrite5)),AND(NOT(AC49),AND(AC$4:AC48))),($J49*$G49-LN(1+Jumpoverwrite5*AE$2))/$G49,_xll.qlInterpolationInterpolate(AC$3,$F49,TRUE))</f>
        <v>#NUM!</v>
      </c>
      <c r="AE49" s="34" t="str">
        <f>IF(AND(NOT(AC49),AND(AC$4:AC48)),IF(AD49&gt;$J49,MAX(EXP((AD49-$J49)*$G49),1),MIN(EXP((AD49-$J49)*$G49),1)),"")</f>
        <v/>
      </c>
      <c r="AF49" s="108"/>
      <c r="AG49" s="72" t="b">
        <f>IF(AND(NOT(AC49),AND(AC$4:AC48)),TRUE,AC49)</f>
        <v>0</v>
      </c>
      <c r="AH49" s="34" t="e">
        <f>IF(AND(NOT(ISBLANK(Jumpoverwrite6)),AND(NOT(AG49),AND(AG$4:AG48))),($J49*$G49-LN(1+Jumpoverwrite6*AI$2))/$G49,_xll.qlInterpolationInterpolate(AG$3,$F49,TRUE))</f>
        <v>#NUM!</v>
      </c>
      <c r="AI49" s="34" t="str">
        <f>IF(AND(NOT(AG49),AND(AG$4:AG48)),IF(AH49&gt;$J49,MAX(EXP((AH49-$J49)*$G49),1),MIN(EXP((AH49-$J49)*$G49),1)),"")</f>
        <v/>
      </c>
      <c r="AJ49" s="108"/>
      <c r="AK49" s="72" t="b">
        <f>IF(AND(NOT(AG49),AND(AG$4:AG48)),TRUE,AG49)</f>
        <v>0</v>
      </c>
      <c r="AL49" s="34" t="e">
        <f>IF(AND(NOT(ISBLANK(Jumpoverwrite7)),AND(NOT(AK49),AND(AK$4:AK48))),($J49*$G49-LN(1+Jumpoverwrite7*AM$2))/$G49,_xll.qlInterpolationInterpolate(AK$3,$F49,TRUE))</f>
        <v>#NUM!</v>
      </c>
      <c r="AM49" s="34" t="str">
        <f>IF(AND(NOT(AK49),AND(AK$4:AK48)),IF(AL49&gt;$J49,MAX(EXP((AL49-$J49)*$G49),1),MIN(EXP((AL49-$J49)*$G49),1)),"")</f>
        <v/>
      </c>
      <c r="AO49" s="72" t="b">
        <f>IF(AND(NOT(AK49),AND(AK$4:AK48)),TRUE,AK49)</f>
        <v>0</v>
      </c>
      <c r="AP49" s="34" t="e">
        <f>IF(AND(NOT(ISBLANK(Jumpoverwrite8)),AND(NOT(AO49),AND(AO$4:AO48))),($J49*$G49-LN(1+Jumpoverwrite8*AQ$2))/$G49,_xll.qlInterpolationInterpolate(AO$3,$F49,TRUE))</f>
        <v>#NUM!</v>
      </c>
      <c r="AQ49" s="34" t="str">
        <f>IF(AND(NOT(AO49),AND(AO$4:AO48)),IF(AP49&gt;$J49,MAX(EXP((AP49-$J49)*$G49),1),MIN(EXP((AP49-$J49)*$G49),1)),"")</f>
        <v/>
      </c>
      <c r="AS49" s="72" t="b">
        <f>IF(AND(NOT(AO49),AND(AO$4:AO48)),TRUE,AO49)</f>
        <v>0</v>
      </c>
      <c r="AT49" s="34" t="e">
        <f>IF(AND(NOT(ISBLANK(Jumpoverwrite9)),AND(NOT(AS49),AND(AS$4:AS48))),($J49*$G49-LN(1+Jumpoverwrite9*AU$2))/$G49,_xll.qlInterpolationInterpolate(AS$3,$F49,TRUE))</f>
        <v>#NUM!</v>
      </c>
      <c r="AU49" s="34" t="str">
        <f>IF(AND(NOT(AS49),AND(AS$4:AS48)),IF(AT49&gt;$J49,MAX(EXP((AT49-$J49)*$G49),1),MIN(EXP((AT49-$J49)*$G49),1)),"")</f>
        <v/>
      </c>
      <c r="AW49" s="72" t="b">
        <f>IF(AND(NOT(AS49),AND(AS$4:AS48)),TRUE,AS49)</f>
        <v>0</v>
      </c>
      <c r="AX49" s="34" t="e">
        <f>IF(AND(NOT(ISBLANK(Jumpoverwrite10)),AND(NOT(AW49),AND(AW$4:AW48))),($J49*$G49-LN(1+Jumpoverwrite10*AY$2))/$G49,_xll.qlInterpolationInterpolate(AW$3,$F49,TRUE))</f>
        <v>#NUM!</v>
      </c>
      <c r="AY49" s="34" t="str">
        <f>IF(AND(NOT(AW49),AND(AW$4:AW48)),IF(AX49&gt;$J49,MAX(EXP((AX49-$J49)*$G49),1),MIN(EXP((AX49-$J49)*$G49),1)),"")</f>
        <v/>
      </c>
      <c r="BA49" s="72" t="b">
        <f>IF(AND(NOT(AW49),AND(AW$4:AW48)),TRUE,AW49)</f>
        <v>0</v>
      </c>
      <c r="BB49" s="34" t="e">
        <f>IF(AND(NOT(ISBLANK(Jumpoverwrite11)),AND(NOT(BA49),AND(BA$4:BA48))),($J49*$G49-LN(1+Jumpoverwrite11*BC$2))/$G49,_xll.qlInterpolationInterpolate(BA$3,$F49,TRUE))</f>
        <v>#NUM!</v>
      </c>
      <c r="BC49" s="34" t="str">
        <f>IF(AND(NOT(BA49),AND(BA$4:BA48)),IF(BB49&gt;$J49,MAX(EXP((BB49-$J49)*$G49),1),MIN(EXP((BB49-$J49)*$G49),1)),"")</f>
        <v/>
      </c>
      <c r="BE49" s="72" t="b">
        <f>IF(AND(NOT(BA49),AND(BA$4:BA48)),TRUE,BA49)</f>
        <v>0</v>
      </c>
      <c r="BF49" s="34" t="e">
        <f>IF(AND(NOT(ISBLANK(Jumpoverwrite12)),AND(NOT(BE49),AND(BE$4:BE48))),($J49*$G49-LN(1+Jumpoverwrite12*BG$2))/$G49,_xll.qlInterpolationInterpolate(BE$3,$F49,TRUE))</f>
        <v>#NUM!</v>
      </c>
      <c r="BG49" s="34" t="str">
        <f>IF(AND(NOT(BE49),AND(BE$4:BE48)),IF(BF49&gt;$J49,MAX(EXP((BF49-$J49)*$G49),1),MIN(EXP((BF49-$J49)*$G49),1)),"")</f>
        <v/>
      </c>
      <c r="BI49" s="72" t="b">
        <f t="shared" si="5"/>
        <v>0</v>
      </c>
      <c r="BJ49" s="34" t="e">
        <f>IF(AND(NOT(ISBLANK(jumpoverwrite13)),AND(NOT(BI49),AND(BI$4:BI48))),($J49*$G49-LN(1+jumpoverwrite13*BK$2))/$G49,_xll.qlInterpolationInterpolate(BI$3,$F49,TRUE))</f>
        <v>#NUM!</v>
      </c>
      <c r="BK49" s="34" t="str">
        <f>IF(AND(NOT(BI49),AND(BI$4:BI48)),IF(BJ49&gt;$J49,MAX(EXP((BJ49-$J49)*$G49),1),MIN(EXP((BJ49-$J49)*$G49),1)),"")</f>
        <v/>
      </c>
      <c r="BM49" s="72" t="b">
        <f>IF(AND(NOT(BI49),AND(BI$4:BI48)),TRUE,BI49)</f>
        <v>0</v>
      </c>
      <c r="BN49" s="175" t="e">
        <f>IF(AND(NOT(ISBLANK(Jumpoverwrite14)),AND(NOT(BM49),AND(BM$4:BM48))),($J49*$G49-LN(1+Jumpoverwrite14*BO$2))/$G49,_xll.qlInterpolationInterpolate(BM$3,$F49,TRUE))</f>
        <v>#NUM!</v>
      </c>
      <c r="BO49" s="34" t="str">
        <f>IF(AND(NOT(BM49),AND(BM$4:BM48)),IF(BM49&gt;$J49,MAX(EXP((BM49-$J49)*$G49),1),MIN(EXP((BM49-$J49)*$G49),1)),"")</f>
        <v/>
      </c>
    </row>
    <row r="50" spans="1:67" x14ac:dyDescent="0.2">
      <c r="A50" s="33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84" t="e">
        <f t="shared" si="4"/>
        <v>#N/A</v>
      </c>
      <c r="G50" s="85" t="e">
        <f>_xll.qlDayCounterYearFraction(DayCounter,D49,D50)</f>
        <v>#NUM!</v>
      </c>
      <c r="I50" s="93" t="b">
        <f t="shared" si="2"/>
        <v>0</v>
      </c>
      <c r="J50" s="37" t="e">
        <v>#N/A</v>
      </c>
      <c r="K50" s="94" t="e">
        <f t="shared" si="3"/>
        <v>#VALUE!</v>
      </c>
      <c r="L50" s="106"/>
      <c r="M50" s="72" t="b">
        <f>IF(AND(NOT(I50),AND(I$4:I49)),TRUE,I50)</f>
        <v>0</v>
      </c>
      <c r="N50" s="34" t="e">
        <f>IF(AND(NOT(ISBLANK(Jumpoverwrite1)),AND(NOT(M50),AND(M$4:M49))),($J50*$G50-LN(1+Jumpoverwrite1*O$2))/$G50,_xll.qlInterpolationInterpolate(M$3,$F50,TRUE))</f>
        <v>#NUM!</v>
      </c>
      <c r="O50" s="34" t="str">
        <f>IF(AND(NOT(M50),AND(M$4:M49)),IF(N50&gt;$J50,MAX(EXP((N50-$J50)*$G50),1),MIN(EXP((N50-$J50)*$G50),1)),"")</f>
        <v/>
      </c>
      <c r="P50" s="108"/>
      <c r="Q50" s="72" t="b">
        <f>IF(AND(NOT(M50),AND(M$4:M49)),TRUE,M50)</f>
        <v>0</v>
      </c>
      <c r="R50" s="34" t="e">
        <f>IF(AND(NOT(ISBLANK(Jumpoverwrite2)),AND(NOT(Q50),AND(Q$4:Q49))),($J50*$G50-LN(1+Jumpoverwrite2*S$2))/$G50,_xll.qlInterpolationInterpolate(Q$3,$F50,TRUE))</f>
        <v>#NUM!</v>
      </c>
      <c r="S50" s="34" t="str">
        <f>IF(AND(NOT(Q50),AND(Q$4:Q49)),IF(R50&gt;$J50,MAX(EXP((R50-$J50)*$G50),1),MIN(EXP((R50-$J50)*$G50),1)),"")</f>
        <v/>
      </c>
      <c r="T50" s="108"/>
      <c r="U50" s="72" t="b">
        <f>IF(AND(NOT(Q50),AND(Q$4:Q49)),TRUE,Q50)</f>
        <v>0</v>
      </c>
      <c r="V50" s="34" t="e">
        <f>IF(AND(NOT(ISBLANK(Jumpoverwrite3)),AND(NOT(U50),AND(U$4:U49))),($J50*$G50-LN(1+Jumpoverwrite3*W$2))/$G50,_xll.qlInterpolationInterpolate(U$3,$F50,TRUE))</f>
        <v>#NUM!</v>
      </c>
      <c r="W50" s="34" t="str">
        <f>IF(AND(NOT(U50),AND(U$4:U49)),IF(V50&gt;$J50,MAX(EXP((V50-$J50)*$G50),1),MIN(EXP((V50-$J50)*$G50),1)),"")</f>
        <v/>
      </c>
      <c r="X50" s="108"/>
      <c r="Y50" s="72" t="b">
        <f>IF(AND(NOT(U50),AND(U$4:U49)),TRUE,U50)</f>
        <v>0</v>
      </c>
      <c r="Z50" s="34" t="e">
        <f>IF(AND(NOT(ISBLANK(Jumpoverwrite4)),AND(NOT(Y50),AND(Y$4:Y49))),($J50*$G50-LN(1+Jumpoverwrite4*AA$2))/$G50,_xll.qlInterpolationInterpolate(Y$3,$F50,TRUE))</f>
        <v>#NUM!</v>
      </c>
      <c r="AA50" s="34" t="str">
        <f>IF(AND(NOT(Y50),AND(Y$4:Y49)),IF(Z50&gt;$J50,MAX(EXP((Z50-$J50)*$G50),1),MIN(EXP((Z50-$J50)*$G50),1)),"")</f>
        <v/>
      </c>
      <c r="AB50" s="108"/>
      <c r="AC50" s="72" t="b">
        <f>IF(AND(NOT(Y50),AND(Y$4:Y49)),TRUE,Y50)</f>
        <v>0</v>
      </c>
      <c r="AD50" s="34" t="e">
        <f>IF(AND(NOT(ISBLANK(Jumpoverwrite5)),AND(NOT(AC50),AND(AC$4:AC49))),($J50*$G50-LN(1+Jumpoverwrite5*AE$2))/$G50,_xll.qlInterpolationInterpolate(AC$3,$F50,TRUE))</f>
        <v>#NUM!</v>
      </c>
      <c r="AE50" s="34" t="str">
        <f>IF(AND(NOT(AC50),AND(AC$4:AC49)),IF(AD50&gt;$J50,MAX(EXP((AD50-$J50)*$G50),1),MIN(EXP((AD50-$J50)*$G50),1)),"")</f>
        <v/>
      </c>
      <c r="AF50" s="108"/>
      <c r="AG50" s="72" t="b">
        <f>IF(AND(NOT(AC50),AND(AC$4:AC49)),TRUE,AC50)</f>
        <v>0</v>
      </c>
      <c r="AH50" s="34" t="e">
        <f>IF(AND(NOT(ISBLANK(Jumpoverwrite6)),AND(NOT(AG50),AND(AG$4:AG49))),($J50*$G50-LN(1+Jumpoverwrite6*AI$2))/$G50,_xll.qlInterpolationInterpolate(AG$3,$F50,TRUE))</f>
        <v>#NUM!</v>
      </c>
      <c r="AI50" s="34" t="str">
        <f>IF(AND(NOT(AG50),AND(AG$4:AG49)),IF(AH50&gt;$J50,MAX(EXP((AH50-$J50)*$G50),1),MIN(EXP((AH50-$J50)*$G50),1)),"")</f>
        <v/>
      </c>
      <c r="AJ50" s="108"/>
      <c r="AK50" s="72" t="b">
        <f>IF(AND(NOT(AG50),AND(AG$4:AG49)),TRUE,AG50)</f>
        <v>0</v>
      </c>
      <c r="AL50" s="34" t="e">
        <f>IF(AND(NOT(ISBLANK(Jumpoverwrite7)),AND(NOT(AK50),AND(AK$4:AK49))),($J50*$G50-LN(1+Jumpoverwrite7*AM$2))/$G50,_xll.qlInterpolationInterpolate(AK$3,$F50,TRUE))</f>
        <v>#NUM!</v>
      </c>
      <c r="AM50" s="34" t="str">
        <f>IF(AND(NOT(AK50),AND(AK$4:AK49)),IF(AL50&gt;$J50,MAX(EXP((AL50-$J50)*$G50),1),MIN(EXP((AL50-$J50)*$G50),1)),"")</f>
        <v/>
      </c>
      <c r="AO50" s="72" t="b">
        <f>IF(AND(NOT(AK50),AND(AK$4:AK49)),TRUE,AK50)</f>
        <v>0</v>
      </c>
      <c r="AP50" s="34" t="e">
        <f>IF(AND(NOT(ISBLANK(Jumpoverwrite8)),AND(NOT(AO50),AND(AO$4:AO49))),($J50*$G50-LN(1+Jumpoverwrite8*AQ$2))/$G50,_xll.qlInterpolationInterpolate(AO$3,$F50,TRUE))</f>
        <v>#NUM!</v>
      </c>
      <c r="AQ50" s="34" t="str">
        <f>IF(AND(NOT(AO50),AND(AO$4:AO49)),IF(AP50&gt;$J50,MAX(EXP((AP50-$J50)*$G50),1),MIN(EXP((AP50-$J50)*$G50),1)),"")</f>
        <v/>
      </c>
      <c r="AS50" s="72" t="b">
        <f>IF(AND(NOT(AO50),AND(AO$4:AO49)),TRUE,AO50)</f>
        <v>0</v>
      </c>
      <c r="AT50" s="34" t="e">
        <f>IF(AND(NOT(ISBLANK(Jumpoverwrite9)),AND(NOT(AS50),AND(AS$4:AS49))),($J50*$G50-LN(1+Jumpoverwrite9*AU$2))/$G50,_xll.qlInterpolationInterpolate(AS$3,$F50,TRUE))</f>
        <v>#NUM!</v>
      </c>
      <c r="AU50" s="34" t="str">
        <f>IF(AND(NOT(AS50),AND(AS$4:AS49)),IF(AT50&gt;$J50,MAX(EXP((AT50-$J50)*$G50),1),MIN(EXP((AT50-$J50)*$G50),1)),"")</f>
        <v/>
      </c>
      <c r="AW50" s="72" t="b">
        <f>IF(AND(NOT(AS50),AND(AS$4:AS49)),TRUE,AS50)</f>
        <v>0</v>
      </c>
      <c r="AX50" s="34" t="e">
        <f>IF(AND(NOT(ISBLANK(Jumpoverwrite10)),AND(NOT(AW50),AND(AW$4:AW49))),($J50*$G50-LN(1+Jumpoverwrite10*AY$2))/$G50,_xll.qlInterpolationInterpolate(AW$3,$F50,TRUE))</f>
        <v>#NUM!</v>
      </c>
      <c r="AY50" s="34" t="str">
        <f>IF(AND(NOT(AW50),AND(AW$4:AW49)),IF(AX50&gt;$J50,MAX(EXP((AX50-$J50)*$G50),1),MIN(EXP((AX50-$J50)*$G50),1)),"")</f>
        <v/>
      </c>
      <c r="BA50" s="72" t="b">
        <f>IF(AND(NOT(AW50),AND(AW$4:AW49)),TRUE,AW50)</f>
        <v>0</v>
      </c>
      <c r="BB50" s="34" t="e">
        <f>IF(AND(NOT(ISBLANK(Jumpoverwrite11)),AND(NOT(BA50),AND(BA$4:BA49))),($J50*$G50-LN(1+Jumpoverwrite11*BC$2))/$G50,_xll.qlInterpolationInterpolate(BA$3,$F50,TRUE))</f>
        <v>#NUM!</v>
      </c>
      <c r="BC50" s="34" t="str">
        <f>IF(AND(NOT(BA50),AND(BA$4:BA49)),IF(BB50&gt;$J50,MAX(EXP((BB50-$J50)*$G50),1),MIN(EXP((BB50-$J50)*$G50),1)),"")</f>
        <v/>
      </c>
      <c r="BE50" s="72" t="b">
        <f>IF(AND(NOT(BA50),AND(BA$4:BA49)),TRUE,BA50)</f>
        <v>0</v>
      </c>
      <c r="BF50" s="34" t="e">
        <f>IF(AND(NOT(ISBLANK(Jumpoverwrite12)),AND(NOT(BE50),AND(BE$4:BE49))),($J50*$G50-LN(1+Jumpoverwrite12*BG$2))/$G50,_xll.qlInterpolationInterpolate(BE$3,$F50,TRUE))</f>
        <v>#NUM!</v>
      </c>
      <c r="BG50" s="34" t="str">
        <f>IF(AND(NOT(BE50),AND(BE$4:BE49)),IF(BF50&gt;$J50,MAX(EXP((BF50-$J50)*$G50),1),MIN(EXP((BF50-$J50)*$G50),1)),"")</f>
        <v/>
      </c>
      <c r="BI50" s="72" t="b">
        <f t="shared" si="5"/>
        <v>0</v>
      </c>
      <c r="BJ50" s="34" t="e">
        <f>IF(AND(NOT(ISBLANK(jumpoverwrite13)),AND(NOT(BI50),AND(BI$4:BI49))),($J50*$G50-LN(1+jumpoverwrite13*BK$2))/$G50,_xll.qlInterpolationInterpolate(BI$3,$F50,TRUE))</f>
        <v>#NUM!</v>
      </c>
      <c r="BK50" s="34" t="str">
        <f>IF(AND(NOT(BI50),AND(BI$4:BI49)),IF(BJ50&gt;$J50,MAX(EXP((BJ50-$J50)*$G50),1),MIN(EXP((BJ50-$J50)*$G50),1)),"")</f>
        <v/>
      </c>
      <c r="BM50" s="72" t="b">
        <f>IF(AND(NOT(BI50),AND(BI$4:BI49)),TRUE,BI50)</f>
        <v>0</v>
      </c>
      <c r="BN50" s="175" t="e">
        <f>IF(AND(NOT(ISBLANK(Jumpoverwrite14)),AND(NOT(BM50),AND(BM$4:BM49))),($J50*$G50-LN(1+Jumpoverwrite14*BO$2))/$G50,_xll.qlInterpolationInterpolate(BM$3,$F50,TRUE))</f>
        <v>#NUM!</v>
      </c>
      <c r="BO50" s="34" t="str">
        <f>IF(AND(NOT(BM50),AND(BM$4:BM49)),IF(BM50&gt;$J50,MAX(EXP((BM50-$J50)*$G50),1),MIN(EXP((BM50-$J50)*$G50),1)),"")</f>
        <v/>
      </c>
    </row>
    <row r="51" spans="1:67" x14ac:dyDescent="0.2">
      <c r="A51" s="33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84" t="e">
        <f t="shared" si="4"/>
        <v>#N/A</v>
      </c>
      <c r="G51" s="85" t="e">
        <f>_xll.qlDayCounterYearFraction(DayCounter,D50,D51)</f>
        <v>#NUM!</v>
      </c>
      <c r="I51" s="93" t="b">
        <f t="shared" si="2"/>
        <v>0</v>
      </c>
      <c r="J51" s="37" t="e">
        <v>#N/A</v>
      </c>
      <c r="K51" s="94" t="e">
        <f t="shared" si="3"/>
        <v>#VALUE!</v>
      </c>
      <c r="L51" s="106"/>
      <c r="M51" s="72" t="b">
        <f>IF(AND(NOT(I51),AND(I$4:I50)),TRUE,I51)</f>
        <v>0</v>
      </c>
      <c r="N51" s="34" t="e">
        <f>IF(AND(NOT(ISBLANK(Jumpoverwrite1)),AND(NOT(M51),AND(M$4:M50))),($J51*$G51-LN(1+Jumpoverwrite1*O$2))/$G51,_xll.qlInterpolationInterpolate(M$3,$F51,TRUE))</f>
        <v>#NUM!</v>
      </c>
      <c r="O51" s="34" t="str">
        <f>IF(AND(NOT(M51),AND(M$4:M50)),IF(N51&gt;$J51,MAX(EXP((N51-$J51)*$G51),1),MIN(EXP((N51-$J51)*$G51),1)),"")</f>
        <v/>
      </c>
      <c r="P51" s="108"/>
      <c r="Q51" s="72" t="b">
        <f>IF(AND(NOT(M51),AND(M$4:M50)),TRUE,M51)</f>
        <v>0</v>
      </c>
      <c r="R51" s="34" t="e">
        <f>IF(AND(NOT(ISBLANK(Jumpoverwrite2)),AND(NOT(Q51),AND(Q$4:Q50))),($J51*$G51-LN(1+Jumpoverwrite2*S$2))/$G51,_xll.qlInterpolationInterpolate(Q$3,$F51,TRUE))</f>
        <v>#NUM!</v>
      </c>
      <c r="S51" s="34" t="str">
        <f>IF(AND(NOT(Q51),AND(Q$4:Q50)),IF(R51&gt;$J51,MAX(EXP((R51-$J51)*$G51),1),MIN(EXP((R51-$J51)*$G51),1)),"")</f>
        <v/>
      </c>
      <c r="T51" s="108"/>
      <c r="U51" s="72" t="b">
        <f>IF(AND(NOT(Q51),AND(Q$4:Q50)),TRUE,Q51)</f>
        <v>0</v>
      </c>
      <c r="V51" s="34" t="e">
        <f>IF(AND(NOT(ISBLANK(Jumpoverwrite3)),AND(NOT(U51),AND(U$4:U50))),($J51*$G51-LN(1+Jumpoverwrite3*W$2))/$G51,_xll.qlInterpolationInterpolate(U$3,$F51,TRUE))</f>
        <v>#NUM!</v>
      </c>
      <c r="W51" s="34" t="str">
        <f>IF(AND(NOT(U51),AND(U$4:U50)),IF(V51&gt;$J51,MAX(EXP((V51-$J51)*$G51),1),MIN(EXP((V51-$J51)*$G51),1)),"")</f>
        <v/>
      </c>
      <c r="X51" s="108"/>
      <c r="Y51" s="72" t="b">
        <f>IF(AND(NOT(U51),AND(U$4:U50)),TRUE,U51)</f>
        <v>0</v>
      </c>
      <c r="Z51" s="34" t="e">
        <f>IF(AND(NOT(ISBLANK(Jumpoverwrite4)),AND(NOT(Y51),AND(Y$4:Y50))),($J51*$G51-LN(1+Jumpoverwrite4*AA$2))/$G51,_xll.qlInterpolationInterpolate(Y$3,$F51,TRUE))</f>
        <v>#NUM!</v>
      </c>
      <c r="AA51" s="34" t="str">
        <f>IF(AND(NOT(Y51),AND(Y$4:Y50)),IF(Z51&gt;$J51,MAX(EXP((Z51-$J51)*$G51),1),MIN(EXP((Z51-$J51)*$G51),1)),"")</f>
        <v/>
      </c>
      <c r="AB51" s="108"/>
      <c r="AC51" s="72" t="b">
        <f>IF(AND(NOT(Y51),AND(Y$4:Y50)),TRUE,Y51)</f>
        <v>0</v>
      </c>
      <c r="AD51" s="34" t="e">
        <f>IF(AND(NOT(ISBLANK(Jumpoverwrite5)),AND(NOT(AC51),AND(AC$4:AC50))),($J51*$G51-LN(1+Jumpoverwrite5*AE$2))/$G51,_xll.qlInterpolationInterpolate(AC$3,$F51,TRUE))</f>
        <v>#NUM!</v>
      </c>
      <c r="AE51" s="34" t="str">
        <f>IF(AND(NOT(AC51),AND(AC$4:AC50)),IF(AD51&gt;$J51,MAX(EXP((AD51-$J51)*$G51),1),MIN(EXP((AD51-$J51)*$G51),1)),"")</f>
        <v/>
      </c>
      <c r="AF51" s="108"/>
      <c r="AG51" s="72" t="b">
        <f>IF(AND(NOT(AC51),AND(AC$4:AC50)),TRUE,AC51)</f>
        <v>0</v>
      </c>
      <c r="AH51" s="34" t="e">
        <f>IF(AND(NOT(ISBLANK(Jumpoverwrite6)),AND(NOT(AG51),AND(AG$4:AG50))),($J51*$G51-LN(1+Jumpoverwrite6*AI$2))/$G51,_xll.qlInterpolationInterpolate(AG$3,$F51,TRUE))</f>
        <v>#NUM!</v>
      </c>
      <c r="AI51" s="34" t="str">
        <f>IF(AND(NOT(AG51),AND(AG$4:AG50)),IF(AH51&gt;$J51,MAX(EXP((AH51-$J51)*$G51),1),MIN(EXP((AH51-$J51)*$G51),1)),"")</f>
        <v/>
      </c>
      <c r="AJ51" s="108"/>
      <c r="AK51" s="72" t="b">
        <f>IF(AND(NOT(AG51),AND(AG$4:AG50)),TRUE,AG51)</f>
        <v>0</v>
      </c>
      <c r="AL51" s="34" t="e">
        <f>IF(AND(NOT(ISBLANK(Jumpoverwrite7)),AND(NOT(AK51),AND(AK$4:AK50))),($J51*$G51-LN(1+Jumpoverwrite7*AM$2))/$G51,_xll.qlInterpolationInterpolate(AK$3,$F51,TRUE))</f>
        <v>#NUM!</v>
      </c>
      <c r="AM51" s="34" t="str">
        <f>IF(AND(NOT(AK51),AND(AK$4:AK50)),IF(AL51&gt;$J51,MAX(EXP((AL51-$J51)*$G51),1),MIN(EXP((AL51-$J51)*$G51),1)),"")</f>
        <v/>
      </c>
      <c r="AO51" s="72" t="b">
        <f>IF(AND(NOT(AK51),AND(AK$4:AK50)),TRUE,AK51)</f>
        <v>0</v>
      </c>
      <c r="AP51" s="34" t="e">
        <f>IF(AND(NOT(ISBLANK(Jumpoverwrite8)),AND(NOT(AO51),AND(AO$4:AO50))),($J51*$G51-LN(1+Jumpoverwrite8*AQ$2))/$G51,_xll.qlInterpolationInterpolate(AO$3,$F51,TRUE))</f>
        <v>#NUM!</v>
      </c>
      <c r="AQ51" s="34" t="str">
        <f>IF(AND(NOT(AO51),AND(AO$4:AO50)),IF(AP51&gt;$J51,MAX(EXP((AP51-$J51)*$G51),1),MIN(EXP((AP51-$J51)*$G51),1)),"")</f>
        <v/>
      </c>
      <c r="AS51" s="72" t="b">
        <f>IF(AND(NOT(AO51),AND(AO$4:AO50)),TRUE,AO51)</f>
        <v>0</v>
      </c>
      <c r="AT51" s="34" t="e">
        <f>IF(AND(NOT(ISBLANK(Jumpoverwrite9)),AND(NOT(AS51),AND(AS$4:AS50))),($J51*$G51-LN(1+Jumpoverwrite9*AU$2))/$G51,_xll.qlInterpolationInterpolate(AS$3,$F51,TRUE))</f>
        <v>#NUM!</v>
      </c>
      <c r="AU51" s="34" t="str">
        <f>IF(AND(NOT(AS51),AND(AS$4:AS50)),IF(AT51&gt;$J51,MAX(EXP((AT51-$J51)*$G51),1),MIN(EXP((AT51-$J51)*$G51),1)),"")</f>
        <v/>
      </c>
      <c r="AW51" s="72" t="b">
        <f>IF(AND(NOT(AS51),AND(AS$4:AS50)),TRUE,AS51)</f>
        <v>0</v>
      </c>
      <c r="AX51" s="34" t="e">
        <f>IF(AND(NOT(ISBLANK(Jumpoverwrite10)),AND(NOT(AW51),AND(AW$4:AW50))),($J51*$G51-LN(1+Jumpoverwrite10*AY$2))/$G51,_xll.qlInterpolationInterpolate(AW$3,$F51,TRUE))</f>
        <v>#NUM!</v>
      </c>
      <c r="AY51" s="34" t="str">
        <f>IF(AND(NOT(AW51),AND(AW$4:AW50)),IF(AX51&gt;$J51,MAX(EXP((AX51-$J51)*$G51),1),MIN(EXP((AX51-$J51)*$G51),1)),"")</f>
        <v/>
      </c>
      <c r="BA51" s="72" t="b">
        <f>IF(AND(NOT(AW51),AND(AW$4:AW50)),TRUE,AW51)</f>
        <v>0</v>
      </c>
      <c r="BB51" s="34" t="e">
        <f>IF(AND(NOT(ISBLANK(Jumpoverwrite11)),AND(NOT(BA51),AND(BA$4:BA50))),($J51*$G51-LN(1+Jumpoverwrite11*BC$2))/$G51,_xll.qlInterpolationInterpolate(BA$3,$F51,TRUE))</f>
        <v>#NUM!</v>
      </c>
      <c r="BC51" s="34" t="str">
        <f>IF(AND(NOT(BA51),AND(BA$4:BA50)),IF(BB51&gt;$J51,MAX(EXP((BB51-$J51)*$G51),1),MIN(EXP((BB51-$J51)*$G51),1)),"")</f>
        <v/>
      </c>
      <c r="BE51" s="72" t="b">
        <f>IF(AND(NOT(BA51),AND(BA$4:BA50)),TRUE,BA51)</f>
        <v>0</v>
      </c>
      <c r="BF51" s="34" t="e">
        <f>IF(AND(NOT(ISBLANK(Jumpoverwrite12)),AND(NOT(BE51),AND(BE$4:BE50))),($J51*$G51-LN(1+Jumpoverwrite12*BG$2))/$G51,_xll.qlInterpolationInterpolate(BE$3,$F51,TRUE))</f>
        <v>#NUM!</v>
      </c>
      <c r="BG51" s="34" t="str">
        <f>IF(AND(NOT(BE51),AND(BE$4:BE50)),IF(BF51&gt;$J51,MAX(EXP((BF51-$J51)*$G51),1),MIN(EXP((BF51-$J51)*$G51),1)),"")</f>
        <v/>
      </c>
      <c r="BI51" s="72" t="b">
        <f t="shared" si="5"/>
        <v>0</v>
      </c>
      <c r="BJ51" s="34" t="e">
        <f>IF(AND(NOT(ISBLANK(jumpoverwrite13)),AND(NOT(BI51),AND(BI$4:BI50))),($J51*$G51-LN(1+jumpoverwrite13*BK$2))/$G51,_xll.qlInterpolationInterpolate(BI$3,$F51,TRUE))</f>
        <v>#NUM!</v>
      </c>
      <c r="BK51" s="34" t="str">
        <f>IF(AND(NOT(BI51),AND(BI$4:BI50)),IF(BJ51&gt;$J51,MAX(EXP((BJ51-$J51)*$G51),1),MIN(EXP((BJ51-$J51)*$G51),1)),"")</f>
        <v/>
      </c>
      <c r="BM51" s="72" t="b">
        <f>IF(AND(NOT(BI51),AND(BI$4:BI50)),TRUE,BI51)</f>
        <v>0</v>
      </c>
      <c r="BN51" s="175" t="e">
        <f>IF(AND(NOT(ISBLANK(Jumpoverwrite14)),AND(NOT(BM51),AND(BM$4:BM50))),($J51*$G51-LN(1+Jumpoverwrite14*BO$2))/$G51,_xll.qlInterpolationInterpolate(BM$3,$F51,TRUE))</f>
        <v>#NUM!</v>
      </c>
      <c r="BO51" s="34" t="str">
        <f>IF(AND(NOT(BM51),AND(BM$4:BM50)),IF(BM51&gt;$J51,MAX(EXP((BM51-$J51)*$G51),1),MIN(EXP((BM51-$J51)*$G51),1)),"")</f>
        <v/>
      </c>
    </row>
    <row r="52" spans="1:67" x14ac:dyDescent="0.2">
      <c r="A52" s="33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84" t="e">
        <f t="shared" si="4"/>
        <v>#N/A</v>
      </c>
      <c r="G52" s="85" t="e">
        <f>_xll.qlDayCounterYearFraction(DayCounter,D51,D52)</f>
        <v>#NUM!</v>
      </c>
      <c r="I52" s="93" t="b">
        <f t="shared" si="2"/>
        <v>0</v>
      </c>
      <c r="J52" s="37" t="e">
        <v>#N/A</v>
      </c>
      <c r="K52" s="94" t="e">
        <f t="shared" si="3"/>
        <v>#VALUE!</v>
      </c>
      <c r="L52" s="106"/>
      <c r="M52" s="72" t="b">
        <f>IF(AND(NOT(I52),AND(I$4:I51)),TRUE,I52)</f>
        <v>0</v>
      </c>
      <c r="N52" s="34" t="e">
        <f>IF(AND(NOT(ISBLANK(Jumpoverwrite1)),AND(NOT(M52),AND(M$4:M51))),($J52*$G52-LN(1+Jumpoverwrite1*O$2))/$G52,_xll.qlInterpolationInterpolate(M$3,$F52,TRUE))</f>
        <v>#NUM!</v>
      </c>
      <c r="O52" s="34" t="str">
        <f>IF(AND(NOT(M52),AND(M$4:M51)),IF(N52&gt;$J52,MAX(EXP((N52-$J52)*$G52),1),MIN(EXP((N52-$J52)*$G52),1)),"")</f>
        <v/>
      </c>
      <c r="P52" s="108"/>
      <c r="Q52" s="72" t="b">
        <f>IF(AND(NOT(M52),AND(M$4:M51)),TRUE,M52)</f>
        <v>0</v>
      </c>
      <c r="R52" s="34" t="e">
        <f>IF(AND(NOT(ISBLANK(Jumpoverwrite2)),AND(NOT(Q52),AND(Q$4:Q51))),($J52*$G52-LN(1+Jumpoverwrite2*S$2))/$G52,_xll.qlInterpolationInterpolate(Q$3,$F52,TRUE))</f>
        <v>#NUM!</v>
      </c>
      <c r="S52" s="34" t="str">
        <f>IF(AND(NOT(Q52),AND(Q$4:Q51)),IF(R52&gt;$J52,MAX(EXP((R52-$J52)*$G52),1),MIN(EXP((R52-$J52)*$G52),1)),"")</f>
        <v/>
      </c>
      <c r="T52" s="108"/>
      <c r="U52" s="72" t="b">
        <f>IF(AND(NOT(Q52),AND(Q$4:Q51)),TRUE,Q52)</f>
        <v>0</v>
      </c>
      <c r="V52" s="34" t="e">
        <f>IF(AND(NOT(ISBLANK(Jumpoverwrite3)),AND(NOT(U52),AND(U$4:U51))),($J52*$G52-LN(1+Jumpoverwrite3*W$2))/$G52,_xll.qlInterpolationInterpolate(U$3,$F52,TRUE))</f>
        <v>#NUM!</v>
      </c>
      <c r="W52" s="34" t="str">
        <f>IF(AND(NOT(U52),AND(U$4:U51)),IF(V52&gt;$J52,MAX(EXP((V52-$J52)*$G52),1),MIN(EXP((V52-$J52)*$G52),1)),"")</f>
        <v/>
      </c>
      <c r="X52" s="108"/>
      <c r="Y52" s="72" t="b">
        <f>IF(AND(NOT(U52),AND(U$4:U51)),TRUE,U52)</f>
        <v>0</v>
      </c>
      <c r="Z52" s="34" t="e">
        <f>IF(AND(NOT(ISBLANK(Jumpoverwrite4)),AND(NOT(Y52),AND(Y$4:Y51))),($J52*$G52-LN(1+Jumpoverwrite4*AA$2))/$G52,_xll.qlInterpolationInterpolate(Y$3,$F52,TRUE))</f>
        <v>#NUM!</v>
      </c>
      <c r="AA52" s="34" t="str">
        <f>IF(AND(NOT(Y52),AND(Y$4:Y51)),IF(Z52&gt;$J52,MAX(EXP((Z52-$J52)*$G52),1),MIN(EXP((Z52-$J52)*$G52),1)),"")</f>
        <v/>
      </c>
      <c r="AB52" s="108"/>
      <c r="AC52" s="72" t="b">
        <f>IF(AND(NOT(Y52),AND(Y$4:Y51)),TRUE,Y52)</f>
        <v>0</v>
      </c>
      <c r="AD52" s="34" t="e">
        <f>IF(AND(NOT(ISBLANK(Jumpoverwrite5)),AND(NOT(AC52),AND(AC$4:AC51))),($J52*$G52-LN(1+Jumpoverwrite5*AE$2))/$G52,_xll.qlInterpolationInterpolate(AC$3,$F52,TRUE))</f>
        <v>#NUM!</v>
      </c>
      <c r="AE52" s="34" t="str">
        <f>IF(AND(NOT(AC52),AND(AC$4:AC51)),IF(AD52&gt;$J52,MAX(EXP((AD52-$J52)*$G52),1),MIN(EXP((AD52-$J52)*$G52),1)),"")</f>
        <v/>
      </c>
      <c r="AF52" s="108"/>
      <c r="AG52" s="72" t="b">
        <f>IF(AND(NOT(AC52),AND(AC$4:AC51)),TRUE,AC52)</f>
        <v>0</v>
      </c>
      <c r="AH52" s="34" t="e">
        <f>IF(AND(NOT(ISBLANK(Jumpoverwrite6)),AND(NOT(AG52),AND(AG$4:AG51))),($J52*$G52-LN(1+Jumpoverwrite6*AI$2))/$G52,_xll.qlInterpolationInterpolate(AG$3,$F52,TRUE))</f>
        <v>#NUM!</v>
      </c>
      <c r="AI52" s="34" t="str">
        <f>IF(AND(NOT(AG52),AND(AG$4:AG51)),IF(AH52&gt;$J52,MAX(EXP((AH52-$J52)*$G52),1),MIN(EXP((AH52-$J52)*$G52),1)),"")</f>
        <v/>
      </c>
      <c r="AJ52" s="108"/>
      <c r="AK52" s="72" t="b">
        <f>IF(AND(NOT(AG52),AND(AG$4:AG51)),TRUE,AG52)</f>
        <v>0</v>
      </c>
      <c r="AL52" s="34" t="e">
        <f>IF(AND(NOT(ISBLANK(Jumpoverwrite7)),AND(NOT(AK52),AND(AK$4:AK51))),($J52*$G52-LN(1+Jumpoverwrite7*AM$2))/$G52,_xll.qlInterpolationInterpolate(AK$3,$F52,TRUE))</f>
        <v>#NUM!</v>
      </c>
      <c r="AM52" s="34" t="str">
        <f>IF(AND(NOT(AK52),AND(AK$4:AK51)),IF(AL52&gt;$J52,MAX(EXP((AL52-$J52)*$G52),1),MIN(EXP((AL52-$J52)*$G52),1)),"")</f>
        <v/>
      </c>
      <c r="AO52" s="72" t="b">
        <f>IF(AND(NOT(AK52),AND(AK$4:AK51)),TRUE,AK52)</f>
        <v>0</v>
      </c>
      <c r="AP52" s="34" t="e">
        <f>IF(AND(NOT(ISBLANK(Jumpoverwrite8)),AND(NOT(AO52),AND(AO$4:AO51))),($J52*$G52-LN(1+Jumpoverwrite8*AQ$2))/$G52,_xll.qlInterpolationInterpolate(AO$3,$F52,TRUE))</f>
        <v>#NUM!</v>
      </c>
      <c r="AQ52" s="34" t="str">
        <f>IF(AND(NOT(AO52),AND(AO$4:AO51)),IF(AP52&gt;$J52,MAX(EXP((AP52-$J52)*$G52),1),MIN(EXP((AP52-$J52)*$G52),1)),"")</f>
        <v/>
      </c>
      <c r="AS52" s="72" t="b">
        <f>IF(AND(NOT(AO52),AND(AO$4:AO51)),TRUE,AO52)</f>
        <v>0</v>
      </c>
      <c r="AT52" s="34" t="e">
        <f>IF(AND(NOT(ISBLANK(Jumpoverwrite9)),AND(NOT(AS52),AND(AS$4:AS51))),($J52*$G52-LN(1+Jumpoverwrite9*AU$2))/$G52,_xll.qlInterpolationInterpolate(AS$3,$F52,TRUE))</f>
        <v>#NUM!</v>
      </c>
      <c r="AU52" s="34" t="str">
        <f>IF(AND(NOT(AS52),AND(AS$4:AS51)),IF(AT52&gt;$J52,MAX(EXP((AT52-$J52)*$G52),1),MIN(EXP((AT52-$J52)*$G52),1)),"")</f>
        <v/>
      </c>
      <c r="AW52" s="72" t="b">
        <f>IF(AND(NOT(AS52),AND(AS$4:AS51)),TRUE,AS52)</f>
        <v>0</v>
      </c>
      <c r="AX52" s="34" t="e">
        <f>IF(AND(NOT(ISBLANK(Jumpoverwrite10)),AND(NOT(AW52),AND(AW$4:AW51))),($J52*$G52-LN(1+Jumpoverwrite10*AY$2))/$G52,_xll.qlInterpolationInterpolate(AW$3,$F52,TRUE))</f>
        <v>#NUM!</v>
      </c>
      <c r="AY52" s="34" t="str">
        <f>IF(AND(NOT(AW52),AND(AW$4:AW51)),IF(AX52&gt;$J52,MAX(EXP((AX52-$J52)*$G52),1),MIN(EXP((AX52-$J52)*$G52),1)),"")</f>
        <v/>
      </c>
      <c r="BA52" s="72" t="b">
        <f>IF(AND(NOT(AW52),AND(AW$4:AW51)),TRUE,AW52)</f>
        <v>0</v>
      </c>
      <c r="BB52" s="34" t="e">
        <f>IF(AND(NOT(ISBLANK(Jumpoverwrite11)),AND(NOT(BA52),AND(BA$4:BA51))),($J52*$G52-LN(1+Jumpoverwrite11*BC$2))/$G52,_xll.qlInterpolationInterpolate(BA$3,$F52,TRUE))</f>
        <v>#NUM!</v>
      </c>
      <c r="BC52" s="34" t="str">
        <f>IF(AND(NOT(BA52),AND(BA$4:BA51)),IF(BB52&gt;$J52,MAX(EXP((BB52-$J52)*$G52),1),MIN(EXP((BB52-$J52)*$G52),1)),"")</f>
        <v/>
      </c>
      <c r="BE52" s="72" t="b">
        <f>IF(AND(NOT(BA52),AND(BA$4:BA51)),TRUE,BA52)</f>
        <v>0</v>
      </c>
      <c r="BF52" s="34" t="e">
        <f>IF(AND(NOT(ISBLANK(Jumpoverwrite12)),AND(NOT(BE52),AND(BE$4:BE51))),($J52*$G52-LN(1+Jumpoverwrite12*BG$2))/$G52,_xll.qlInterpolationInterpolate(BE$3,$F52,TRUE))</f>
        <v>#NUM!</v>
      </c>
      <c r="BG52" s="34" t="str">
        <f>IF(AND(NOT(BE52),AND(BE$4:BE51)),IF(BF52&gt;$J52,MAX(EXP((BF52-$J52)*$G52),1),MIN(EXP((BF52-$J52)*$G52),1)),"")</f>
        <v/>
      </c>
      <c r="BI52" s="72" t="b">
        <f t="shared" si="5"/>
        <v>0</v>
      </c>
      <c r="BJ52" s="34" t="e">
        <f>IF(AND(NOT(ISBLANK(jumpoverwrite13)),AND(NOT(BI52),AND(BI$4:BI51))),($J52*$G52-LN(1+jumpoverwrite13*BK$2))/$G52,_xll.qlInterpolationInterpolate(BI$3,$F52,TRUE))</f>
        <v>#NUM!</v>
      </c>
      <c r="BK52" s="34" t="str">
        <f>IF(AND(NOT(BI52),AND(BI$4:BI51)),IF(BJ52&gt;$J52,MAX(EXP((BJ52-$J52)*$G52),1),MIN(EXP((BJ52-$J52)*$G52),1)),"")</f>
        <v/>
      </c>
      <c r="BM52" s="72" t="b">
        <f>IF(AND(NOT(BI52),AND(BI$4:BI51)),TRUE,BI52)</f>
        <v>0</v>
      </c>
      <c r="BN52" s="175" t="e">
        <f>IF(AND(NOT(ISBLANK(Jumpoverwrite14)),AND(NOT(BM52),AND(BM$4:BM51))),($J52*$G52-LN(1+Jumpoverwrite14*BO$2))/$G52,_xll.qlInterpolationInterpolate(BM$3,$F52,TRUE))</f>
        <v>#NUM!</v>
      </c>
      <c r="BO52" s="34" t="str">
        <f>IF(AND(NOT(BM52),AND(BM$4:BM51)),IF(BM52&gt;$J52,MAX(EXP((BM52-$J52)*$G52),1),MIN(EXP((BM52-$J52)*$G52),1)),"")</f>
        <v/>
      </c>
    </row>
    <row r="53" spans="1:67" x14ac:dyDescent="0.2">
      <c r="A53" s="33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84" t="e">
        <f t="shared" si="4"/>
        <v>#N/A</v>
      </c>
      <c r="G53" s="85" t="e">
        <f>_xll.qlDayCounterYearFraction(DayCounter,D52,D53)</f>
        <v>#NUM!</v>
      </c>
      <c r="I53" s="93" t="b">
        <f t="shared" si="2"/>
        <v>0</v>
      </c>
      <c r="J53" s="37" t="e">
        <v>#N/A</v>
      </c>
      <c r="K53" s="94" t="e">
        <f t="shared" si="3"/>
        <v>#VALUE!</v>
      </c>
      <c r="L53" s="106"/>
      <c r="M53" s="72" t="b">
        <f>IF(AND(NOT(I53),AND(I$4:I52)),TRUE,I53)</f>
        <v>0</v>
      </c>
      <c r="N53" s="34" t="e">
        <f>IF(AND(NOT(ISBLANK(Jumpoverwrite1)),AND(NOT(M53),AND(M$4:M52))),($J53*$G53-LN(1+Jumpoverwrite1*O$2))/$G53,_xll.qlInterpolationInterpolate(M$3,$F53,TRUE))</f>
        <v>#NUM!</v>
      </c>
      <c r="O53" s="34" t="str">
        <f>IF(AND(NOT(M53),AND(M$4:M52)),IF(N53&gt;$J53,MAX(EXP((N53-$J53)*$G53),1),MIN(EXP((N53-$J53)*$G53),1)),"")</f>
        <v/>
      </c>
      <c r="P53" s="108"/>
      <c r="Q53" s="72" t="b">
        <f>IF(AND(NOT(M53),AND(M$4:M52)),TRUE,M53)</f>
        <v>0</v>
      </c>
      <c r="R53" s="34" t="e">
        <f>IF(AND(NOT(ISBLANK(Jumpoverwrite2)),AND(NOT(Q53),AND(Q$4:Q52))),($J53*$G53-LN(1+Jumpoverwrite2*S$2))/$G53,_xll.qlInterpolationInterpolate(Q$3,$F53,TRUE))</f>
        <v>#NUM!</v>
      </c>
      <c r="S53" s="34" t="str">
        <f>IF(AND(NOT(Q53),AND(Q$4:Q52)),IF(R53&gt;$J53,MAX(EXP((R53-$J53)*$G53),1),MIN(EXP((R53-$J53)*$G53),1)),"")</f>
        <v/>
      </c>
      <c r="T53" s="108"/>
      <c r="U53" s="72" t="b">
        <f>IF(AND(NOT(Q53),AND(Q$4:Q52)),TRUE,Q53)</f>
        <v>0</v>
      </c>
      <c r="V53" s="34" t="e">
        <f>IF(AND(NOT(ISBLANK(Jumpoverwrite3)),AND(NOT(U53),AND(U$4:U52))),($J53*$G53-LN(1+Jumpoverwrite3*W$2))/$G53,_xll.qlInterpolationInterpolate(U$3,$F53,TRUE))</f>
        <v>#NUM!</v>
      </c>
      <c r="W53" s="34" t="str">
        <f>IF(AND(NOT(U53),AND(U$4:U52)),IF(V53&gt;$J53,MAX(EXP((V53-$J53)*$G53),1),MIN(EXP((V53-$J53)*$G53),1)),"")</f>
        <v/>
      </c>
      <c r="X53" s="108"/>
      <c r="Y53" s="72" t="b">
        <f>IF(AND(NOT(U53),AND(U$4:U52)),TRUE,U53)</f>
        <v>0</v>
      </c>
      <c r="Z53" s="34" t="e">
        <f>IF(AND(NOT(ISBLANK(Jumpoverwrite4)),AND(NOT(Y53),AND(Y$4:Y52))),($J53*$G53-LN(1+Jumpoverwrite4*AA$2))/$G53,_xll.qlInterpolationInterpolate(Y$3,$F53,TRUE))</f>
        <v>#NUM!</v>
      </c>
      <c r="AA53" s="34" t="str">
        <f>IF(AND(NOT(Y53),AND(Y$4:Y52)),IF(Z53&gt;$J53,MAX(EXP((Z53-$J53)*$G53),1),MIN(EXP((Z53-$J53)*$G53),1)),"")</f>
        <v/>
      </c>
      <c r="AB53" s="108"/>
      <c r="AC53" s="72" t="b">
        <f>IF(AND(NOT(Y53),AND(Y$4:Y52)),TRUE,Y53)</f>
        <v>0</v>
      </c>
      <c r="AD53" s="34" t="e">
        <f>IF(AND(NOT(ISBLANK(Jumpoverwrite5)),AND(NOT(AC53),AND(AC$4:AC52))),($J53*$G53-LN(1+Jumpoverwrite5*AE$2))/$G53,_xll.qlInterpolationInterpolate(AC$3,$F53,TRUE))</f>
        <v>#NUM!</v>
      </c>
      <c r="AE53" s="34" t="str">
        <f>IF(AND(NOT(AC53),AND(AC$4:AC52)),IF(AD53&gt;$J53,MAX(EXP((AD53-$J53)*$G53),1),MIN(EXP((AD53-$J53)*$G53),1)),"")</f>
        <v/>
      </c>
      <c r="AF53" s="108"/>
      <c r="AG53" s="72" t="b">
        <f>IF(AND(NOT(AC53),AND(AC$4:AC52)),TRUE,AC53)</f>
        <v>0</v>
      </c>
      <c r="AH53" s="34" t="e">
        <f>IF(AND(NOT(ISBLANK(Jumpoverwrite6)),AND(NOT(AG53),AND(AG$4:AG52))),($J53*$G53-LN(1+Jumpoverwrite6*AI$2))/$G53,_xll.qlInterpolationInterpolate(AG$3,$F53,TRUE))</f>
        <v>#NUM!</v>
      </c>
      <c r="AI53" s="34" t="str">
        <f>IF(AND(NOT(AG53),AND(AG$4:AG52)),IF(AH53&gt;$J53,MAX(EXP((AH53-$J53)*$G53),1),MIN(EXP((AH53-$J53)*$G53),1)),"")</f>
        <v/>
      </c>
      <c r="AJ53" s="108"/>
      <c r="AK53" s="72" t="b">
        <f>IF(AND(NOT(AG53),AND(AG$4:AG52)),TRUE,AG53)</f>
        <v>0</v>
      </c>
      <c r="AL53" s="34" t="e">
        <f>IF(AND(NOT(ISBLANK(Jumpoverwrite7)),AND(NOT(AK53),AND(AK$4:AK52))),($J53*$G53-LN(1+Jumpoverwrite7*AM$2))/$G53,_xll.qlInterpolationInterpolate(AK$3,$F53,TRUE))</f>
        <v>#NUM!</v>
      </c>
      <c r="AM53" s="34" t="str">
        <f>IF(AND(NOT(AK53),AND(AK$4:AK52)),IF(AL53&gt;$J53,MAX(EXP((AL53-$J53)*$G53),1),MIN(EXP((AL53-$J53)*$G53),1)),"")</f>
        <v/>
      </c>
      <c r="AO53" s="72" t="b">
        <f>IF(AND(NOT(AK53),AND(AK$4:AK52)),TRUE,AK53)</f>
        <v>0</v>
      </c>
      <c r="AP53" s="34" t="e">
        <f>IF(AND(NOT(ISBLANK(Jumpoverwrite8)),AND(NOT(AO53),AND(AO$4:AO52))),($J53*$G53-LN(1+Jumpoverwrite8*AQ$2))/$G53,_xll.qlInterpolationInterpolate(AO$3,$F53,TRUE))</f>
        <v>#NUM!</v>
      </c>
      <c r="AQ53" s="34" t="str">
        <f>IF(AND(NOT(AO53),AND(AO$4:AO52)),IF(AP53&gt;$J53,MAX(EXP((AP53-$J53)*$G53),1),MIN(EXP((AP53-$J53)*$G53),1)),"")</f>
        <v/>
      </c>
      <c r="AS53" s="72" t="b">
        <f>IF(AND(NOT(AO53),AND(AO$4:AO52)),TRUE,AO53)</f>
        <v>0</v>
      </c>
      <c r="AT53" s="34" t="e">
        <f>IF(AND(NOT(ISBLANK(Jumpoverwrite9)),AND(NOT(AS53),AND(AS$4:AS52))),($J53*$G53-LN(1+Jumpoverwrite9*AU$2))/$G53,_xll.qlInterpolationInterpolate(AS$3,$F53,TRUE))</f>
        <v>#NUM!</v>
      </c>
      <c r="AU53" s="34" t="str">
        <f>IF(AND(NOT(AS53),AND(AS$4:AS52)),IF(AT53&gt;$J53,MAX(EXP((AT53-$J53)*$G53),1),MIN(EXP((AT53-$J53)*$G53),1)),"")</f>
        <v/>
      </c>
      <c r="AW53" s="72" t="b">
        <f>IF(AND(NOT(AS53),AND(AS$4:AS52)),TRUE,AS53)</f>
        <v>0</v>
      </c>
      <c r="AX53" s="34" t="e">
        <f>IF(AND(NOT(ISBLANK(Jumpoverwrite10)),AND(NOT(AW53),AND(AW$4:AW52))),($J53*$G53-LN(1+Jumpoverwrite10*AY$2))/$G53,_xll.qlInterpolationInterpolate(AW$3,$F53,TRUE))</f>
        <v>#NUM!</v>
      </c>
      <c r="AY53" s="34" t="str">
        <f>IF(AND(NOT(AW53),AND(AW$4:AW52)),IF(AX53&gt;$J53,MAX(EXP((AX53-$J53)*$G53),1),MIN(EXP((AX53-$J53)*$G53),1)),"")</f>
        <v/>
      </c>
      <c r="BA53" s="72" t="b">
        <f>IF(AND(NOT(AW53),AND(AW$4:AW52)),TRUE,AW53)</f>
        <v>0</v>
      </c>
      <c r="BB53" s="34" t="e">
        <f>IF(AND(NOT(ISBLANK(Jumpoverwrite11)),AND(NOT(BA53),AND(BA$4:BA52))),($J53*$G53-LN(1+Jumpoverwrite11*BC$2))/$G53,_xll.qlInterpolationInterpolate(BA$3,$F53,TRUE))</f>
        <v>#NUM!</v>
      </c>
      <c r="BC53" s="34" t="str">
        <f>IF(AND(NOT(BA53),AND(BA$4:BA52)),IF(BB53&gt;$J53,MAX(EXP((BB53-$J53)*$G53),1),MIN(EXP((BB53-$J53)*$G53),1)),"")</f>
        <v/>
      </c>
      <c r="BE53" s="72" t="b">
        <f>IF(AND(NOT(BA53),AND(BA$4:BA52)),TRUE,BA53)</f>
        <v>0</v>
      </c>
      <c r="BF53" s="34" t="e">
        <f>IF(AND(NOT(ISBLANK(Jumpoverwrite12)),AND(NOT(BE53),AND(BE$4:BE52))),($J53*$G53-LN(1+Jumpoverwrite12*BG$2))/$G53,_xll.qlInterpolationInterpolate(BE$3,$F53,TRUE))</f>
        <v>#NUM!</v>
      </c>
      <c r="BG53" s="34" t="str">
        <f>IF(AND(NOT(BE53),AND(BE$4:BE52)),IF(BF53&gt;$J53,MAX(EXP((BF53-$J53)*$G53),1),MIN(EXP((BF53-$J53)*$G53),1)),"")</f>
        <v/>
      </c>
      <c r="BI53" s="72" t="b">
        <f t="shared" si="5"/>
        <v>0</v>
      </c>
      <c r="BJ53" s="34" t="e">
        <f>IF(AND(NOT(ISBLANK(jumpoverwrite13)),AND(NOT(BI53),AND(BI$4:BI52))),($J53*$G53-LN(1+jumpoverwrite13*BK$2))/$G53,_xll.qlInterpolationInterpolate(BI$3,$F53,TRUE))</f>
        <v>#NUM!</v>
      </c>
      <c r="BK53" s="34" t="str">
        <f>IF(AND(NOT(BI53),AND(BI$4:BI52)),IF(BJ53&gt;$J53,MAX(EXP((BJ53-$J53)*$G53),1),MIN(EXP((BJ53-$J53)*$G53),1)),"")</f>
        <v/>
      </c>
      <c r="BM53" s="72" t="b">
        <f>IF(AND(NOT(BI53),AND(BI$4:BI52)),TRUE,BI53)</f>
        <v>0</v>
      </c>
      <c r="BN53" s="175" t="e">
        <f>IF(AND(NOT(ISBLANK(Jumpoverwrite14)),AND(NOT(BM53),AND(BM$4:BM52))),($J53*$G53-LN(1+Jumpoverwrite14*BO$2))/$G53,_xll.qlInterpolationInterpolate(BM$3,$F53,TRUE))</f>
        <v>#NUM!</v>
      </c>
      <c r="BO53" s="34" t="str">
        <f>IF(AND(NOT(BM53),AND(BM$4:BM52)),IF(BM53&gt;$J53,MAX(EXP((BM53-$J53)*$G53),1),MIN(EXP((BM53-$J53)*$G53),1)),"")</f>
        <v/>
      </c>
    </row>
    <row r="54" spans="1:67" x14ac:dyDescent="0.2">
      <c r="A54" s="33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84" t="e">
        <f t="shared" si="4"/>
        <v>#N/A</v>
      </c>
      <c r="G54" s="85" t="e">
        <f>_xll.qlDayCounterYearFraction(DayCounter,D53,D54)</f>
        <v>#NUM!</v>
      </c>
      <c r="I54" s="93" t="b">
        <f t="shared" si="2"/>
        <v>0</v>
      </c>
      <c r="J54" s="37" t="e">
        <v>#N/A</v>
      </c>
      <c r="K54" s="94" t="e">
        <f t="shared" si="3"/>
        <v>#VALUE!</v>
      </c>
      <c r="L54" s="106"/>
      <c r="M54" s="72" t="b">
        <f>IF(AND(NOT(I54),AND(I$4:I53)),TRUE,I54)</f>
        <v>0</v>
      </c>
      <c r="N54" s="34" t="e">
        <f>IF(AND(NOT(ISBLANK(Jumpoverwrite1)),AND(NOT(M54),AND(M$4:M53))),($J54*$G54-LN(1+Jumpoverwrite1*O$2))/$G54,_xll.qlInterpolationInterpolate(M$3,$F54,TRUE))</f>
        <v>#NUM!</v>
      </c>
      <c r="O54" s="34" t="str">
        <f>IF(AND(NOT(M54),AND(M$4:M53)),IF(N54&gt;$J54,MAX(EXP((N54-$J54)*$G54),1),MIN(EXP((N54-$J54)*$G54),1)),"")</f>
        <v/>
      </c>
      <c r="P54" s="108"/>
      <c r="Q54" s="72" t="b">
        <f>IF(AND(NOT(M54),AND(M$4:M53)),TRUE,M54)</f>
        <v>0</v>
      </c>
      <c r="R54" s="34" t="e">
        <f>IF(AND(NOT(ISBLANK(Jumpoverwrite2)),AND(NOT(Q54),AND(Q$4:Q53))),($J54*$G54-LN(1+Jumpoverwrite2*S$2))/$G54,_xll.qlInterpolationInterpolate(Q$3,$F54,TRUE))</f>
        <v>#NUM!</v>
      </c>
      <c r="S54" s="34" t="str">
        <f>IF(AND(NOT(Q54),AND(Q$4:Q53)),IF(R54&gt;$J54,MAX(EXP((R54-$J54)*$G54),1),MIN(EXP((R54-$J54)*$G54),1)),"")</f>
        <v/>
      </c>
      <c r="T54" s="108"/>
      <c r="U54" s="72" t="b">
        <f>IF(AND(NOT(Q54),AND(Q$4:Q53)),TRUE,Q54)</f>
        <v>0</v>
      </c>
      <c r="V54" s="34" t="e">
        <f>IF(AND(NOT(ISBLANK(Jumpoverwrite3)),AND(NOT(U54),AND(U$4:U53))),($J54*$G54-LN(1+Jumpoverwrite3*W$2))/$G54,_xll.qlInterpolationInterpolate(U$3,$F54,TRUE))</f>
        <v>#NUM!</v>
      </c>
      <c r="W54" s="34" t="str">
        <f>IF(AND(NOT(U54),AND(U$4:U53)),IF(V54&gt;$J54,MAX(EXP((V54-$J54)*$G54),1),MIN(EXP((V54-$J54)*$G54),1)),"")</f>
        <v/>
      </c>
      <c r="X54" s="108"/>
      <c r="Y54" s="72" t="b">
        <f>IF(AND(NOT(U54),AND(U$4:U53)),TRUE,U54)</f>
        <v>0</v>
      </c>
      <c r="Z54" s="34" t="e">
        <f>IF(AND(NOT(ISBLANK(Jumpoverwrite4)),AND(NOT(Y54),AND(Y$4:Y53))),($J54*$G54-LN(1+Jumpoverwrite4*AA$2))/$G54,_xll.qlInterpolationInterpolate(Y$3,$F54,TRUE))</f>
        <v>#NUM!</v>
      </c>
      <c r="AA54" s="34" t="str">
        <f>IF(AND(NOT(Y54),AND(Y$4:Y53)),IF(Z54&gt;$J54,MAX(EXP((Z54-$J54)*$G54),1),MIN(EXP((Z54-$J54)*$G54),1)),"")</f>
        <v/>
      </c>
      <c r="AB54" s="108"/>
      <c r="AC54" s="72" t="b">
        <f>IF(AND(NOT(Y54),AND(Y$4:Y53)),TRUE,Y54)</f>
        <v>0</v>
      </c>
      <c r="AD54" s="34" t="e">
        <f>IF(AND(NOT(ISBLANK(Jumpoverwrite5)),AND(NOT(AC54),AND(AC$4:AC53))),($J54*$G54-LN(1+Jumpoverwrite5*AE$2))/$G54,_xll.qlInterpolationInterpolate(AC$3,$F54,TRUE))</f>
        <v>#NUM!</v>
      </c>
      <c r="AE54" s="34" t="str">
        <f>IF(AND(NOT(AC54),AND(AC$4:AC53)),IF(AD54&gt;$J54,MAX(EXP((AD54-$J54)*$G54),1),MIN(EXP((AD54-$J54)*$G54),1)),"")</f>
        <v/>
      </c>
      <c r="AF54" s="108"/>
      <c r="AG54" s="72" t="b">
        <f>IF(AND(NOT(AC54),AND(AC$4:AC53)),TRUE,AC54)</f>
        <v>0</v>
      </c>
      <c r="AH54" s="34" t="e">
        <f>IF(AND(NOT(ISBLANK(Jumpoverwrite6)),AND(NOT(AG54),AND(AG$4:AG53))),($J54*$G54-LN(1+Jumpoverwrite6*AI$2))/$G54,_xll.qlInterpolationInterpolate(AG$3,$F54,TRUE))</f>
        <v>#NUM!</v>
      </c>
      <c r="AI54" s="34" t="str">
        <f>IF(AND(NOT(AG54),AND(AG$4:AG53)),IF(AH54&gt;$J54,MAX(EXP((AH54-$J54)*$G54),1),MIN(EXP((AH54-$J54)*$G54),1)),"")</f>
        <v/>
      </c>
      <c r="AJ54" s="108"/>
      <c r="AK54" s="72" t="b">
        <f>IF(AND(NOT(AG54),AND(AG$4:AG53)),TRUE,AG54)</f>
        <v>0</v>
      </c>
      <c r="AL54" s="34" t="e">
        <f>IF(AND(NOT(ISBLANK(Jumpoverwrite7)),AND(NOT(AK54),AND(AK$4:AK53))),($J54*$G54-LN(1+Jumpoverwrite7*AM$2))/$G54,_xll.qlInterpolationInterpolate(AK$3,$F54,TRUE))</f>
        <v>#NUM!</v>
      </c>
      <c r="AM54" s="34" t="str">
        <f>IF(AND(NOT(AK54),AND(AK$4:AK53)),IF(AL54&gt;$J54,MAX(EXP((AL54-$J54)*$G54),1),MIN(EXP((AL54-$J54)*$G54),1)),"")</f>
        <v/>
      </c>
      <c r="AO54" s="72" t="b">
        <f>IF(AND(NOT(AK54),AND(AK$4:AK53)),TRUE,AK54)</f>
        <v>0</v>
      </c>
      <c r="AP54" s="34" t="e">
        <f>IF(AND(NOT(ISBLANK(Jumpoverwrite8)),AND(NOT(AO54),AND(AO$4:AO53))),($J54*$G54-LN(1+Jumpoverwrite8*AQ$2))/$G54,_xll.qlInterpolationInterpolate(AO$3,$F54,TRUE))</f>
        <v>#NUM!</v>
      </c>
      <c r="AQ54" s="34" t="str">
        <f>IF(AND(NOT(AO54),AND(AO$4:AO53)),IF(AP54&gt;$J54,MAX(EXP((AP54-$J54)*$G54),1),MIN(EXP((AP54-$J54)*$G54),1)),"")</f>
        <v/>
      </c>
      <c r="AS54" s="72" t="b">
        <f>IF(AND(NOT(AO54),AND(AO$4:AO53)),TRUE,AO54)</f>
        <v>0</v>
      </c>
      <c r="AT54" s="34" t="e">
        <f>IF(AND(NOT(ISBLANK(Jumpoverwrite9)),AND(NOT(AS54),AND(AS$4:AS53))),($J54*$G54-LN(1+Jumpoverwrite9*AU$2))/$G54,_xll.qlInterpolationInterpolate(AS$3,$F54,TRUE))</f>
        <v>#NUM!</v>
      </c>
      <c r="AU54" s="34" t="str">
        <f>IF(AND(NOT(AS54),AND(AS$4:AS53)),IF(AT54&gt;$J54,MAX(EXP((AT54-$J54)*$G54),1),MIN(EXP((AT54-$J54)*$G54),1)),"")</f>
        <v/>
      </c>
      <c r="AW54" s="72" t="b">
        <f>IF(AND(NOT(AS54),AND(AS$4:AS53)),TRUE,AS54)</f>
        <v>0</v>
      </c>
      <c r="AX54" s="34" t="e">
        <f>IF(AND(NOT(ISBLANK(Jumpoverwrite10)),AND(NOT(AW54),AND(AW$4:AW53))),($J54*$G54-LN(1+Jumpoverwrite10*AY$2))/$G54,_xll.qlInterpolationInterpolate(AW$3,$F54,TRUE))</f>
        <v>#NUM!</v>
      </c>
      <c r="AY54" s="34" t="str">
        <f>IF(AND(NOT(AW54),AND(AW$4:AW53)),IF(AX54&gt;$J54,MAX(EXP((AX54-$J54)*$G54),1),MIN(EXP((AX54-$J54)*$G54),1)),"")</f>
        <v/>
      </c>
      <c r="BA54" s="72" t="b">
        <f>IF(AND(NOT(AW54),AND(AW$4:AW53)),TRUE,AW54)</f>
        <v>0</v>
      </c>
      <c r="BB54" s="34" t="e">
        <f>IF(AND(NOT(ISBLANK(Jumpoverwrite11)),AND(NOT(BA54),AND(BA$4:BA53))),($J54*$G54-LN(1+Jumpoverwrite11*BC$2))/$G54,_xll.qlInterpolationInterpolate(BA$3,$F54,TRUE))</f>
        <v>#NUM!</v>
      </c>
      <c r="BC54" s="34" t="str">
        <f>IF(AND(NOT(BA54),AND(BA$4:BA53)),IF(BB54&gt;$J54,MAX(EXP((BB54-$J54)*$G54),1),MIN(EXP((BB54-$J54)*$G54),1)),"")</f>
        <v/>
      </c>
      <c r="BE54" s="72" t="b">
        <f>IF(AND(NOT(BA54),AND(BA$4:BA53)),TRUE,BA54)</f>
        <v>0</v>
      </c>
      <c r="BF54" s="34" t="e">
        <f>IF(AND(NOT(ISBLANK(Jumpoverwrite12)),AND(NOT(BE54),AND(BE$4:BE53))),($J54*$G54-LN(1+Jumpoverwrite12*BG$2))/$G54,_xll.qlInterpolationInterpolate(BE$3,$F54,TRUE))</f>
        <v>#NUM!</v>
      </c>
      <c r="BG54" s="34" t="str">
        <f>IF(AND(NOT(BE54),AND(BE$4:BE53)),IF(BF54&gt;$J54,MAX(EXP((BF54-$J54)*$G54),1),MIN(EXP((BF54-$J54)*$G54),1)),"")</f>
        <v/>
      </c>
      <c r="BI54" s="72" t="b">
        <f t="shared" si="5"/>
        <v>0</v>
      </c>
      <c r="BJ54" s="34" t="e">
        <f>IF(AND(NOT(ISBLANK(jumpoverwrite13)),AND(NOT(BI54),AND(BI$4:BI53))),($J54*$G54-LN(1+jumpoverwrite13*BK$2))/$G54,_xll.qlInterpolationInterpolate(BI$3,$F54,TRUE))</f>
        <v>#NUM!</v>
      </c>
      <c r="BK54" s="34" t="str">
        <f>IF(AND(NOT(BI54),AND(BI$4:BI53)),IF(BJ54&gt;$J54,MAX(EXP((BJ54-$J54)*$G54),1),MIN(EXP((BJ54-$J54)*$G54),1)),"")</f>
        <v/>
      </c>
      <c r="BM54" s="72" t="b">
        <f>IF(AND(NOT(BI54),AND(BI$4:BI53)),TRUE,BI54)</f>
        <v>0</v>
      </c>
      <c r="BN54" s="175" t="e">
        <f>IF(AND(NOT(ISBLANK(Jumpoverwrite14)),AND(NOT(BM54),AND(BM$4:BM53))),($J54*$G54-LN(1+Jumpoverwrite14*BO$2))/$G54,_xll.qlInterpolationInterpolate(BM$3,$F54,TRUE))</f>
        <v>#NUM!</v>
      </c>
      <c r="BO54" s="34" t="str">
        <f>IF(AND(NOT(BM54),AND(BM$4:BM53)),IF(BM54&gt;$J54,MAX(EXP((BM54-$J54)*$G54),1),MIN(EXP((BM54-$J54)*$G54),1)),"")</f>
        <v/>
      </c>
    </row>
    <row r="55" spans="1:67" x14ac:dyDescent="0.2">
      <c r="A55" s="33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84" t="e">
        <f t="shared" si="4"/>
        <v>#N/A</v>
      </c>
      <c r="G55" s="85" t="e">
        <f>_xll.qlDayCounterYearFraction(DayCounter,D54,D55)</f>
        <v>#NUM!</v>
      </c>
      <c r="I55" s="93" t="b">
        <f t="shared" si="2"/>
        <v>0</v>
      </c>
      <c r="J55" s="37" t="e">
        <v>#N/A</v>
      </c>
      <c r="K55" s="94" t="e">
        <f t="shared" si="3"/>
        <v>#VALUE!</v>
      </c>
      <c r="L55" s="106"/>
      <c r="M55" s="72" t="b">
        <f>IF(AND(NOT(I55),AND(I$4:I54)),TRUE,I55)</f>
        <v>0</v>
      </c>
      <c r="N55" s="34" t="e">
        <f>IF(AND(NOT(ISBLANK(Jumpoverwrite1)),AND(NOT(M55),AND(M$4:M54))),($J55*$G55-LN(1+Jumpoverwrite1*O$2))/$G55,_xll.qlInterpolationInterpolate(M$3,$F55,TRUE))</f>
        <v>#NUM!</v>
      </c>
      <c r="O55" s="34" t="str">
        <f>IF(AND(NOT(M55),AND(M$4:M54)),IF(N55&gt;$J55,MAX(EXP((N55-$J55)*$G55),1),MIN(EXP((N55-$J55)*$G55),1)),"")</f>
        <v/>
      </c>
      <c r="P55" s="108"/>
      <c r="Q55" s="72" t="b">
        <f>IF(AND(NOT(M55),AND(M$4:M54)),TRUE,M55)</f>
        <v>0</v>
      </c>
      <c r="R55" s="34" t="e">
        <f>IF(AND(NOT(ISBLANK(Jumpoverwrite2)),AND(NOT(Q55),AND(Q$4:Q54))),($J55*$G55-LN(1+Jumpoverwrite2*S$2))/$G55,_xll.qlInterpolationInterpolate(Q$3,$F55,TRUE))</f>
        <v>#NUM!</v>
      </c>
      <c r="S55" s="34" t="str">
        <f>IF(AND(NOT(Q55),AND(Q$4:Q54)),IF(R55&gt;$J55,MAX(EXP((R55-$J55)*$G55),1),MIN(EXP((R55-$J55)*$G55),1)),"")</f>
        <v/>
      </c>
      <c r="T55" s="108"/>
      <c r="U55" s="72" t="b">
        <f>IF(AND(NOT(Q55),AND(Q$4:Q54)),TRUE,Q55)</f>
        <v>0</v>
      </c>
      <c r="V55" s="34" t="e">
        <f>IF(AND(NOT(ISBLANK(Jumpoverwrite3)),AND(NOT(U55),AND(U$4:U54))),($J55*$G55-LN(1+Jumpoverwrite3*W$2))/$G55,_xll.qlInterpolationInterpolate(U$3,$F55,TRUE))</f>
        <v>#NUM!</v>
      </c>
      <c r="W55" s="34" t="str">
        <f>IF(AND(NOT(U55),AND(U$4:U54)),IF(V55&gt;$J55,MAX(EXP((V55-$J55)*$G55),1),MIN(EXP((V55-$J55)*$G55),1)),"")</f>
        <v/>
      </c>
      <c r="X55" s="108"/>
      <c r="Y55" s="72" t="b">
        <f>IF(AND(NOT(U55),AND(U$4:U54)),TRUE,U55)</f>
        <v>0</v>
      </c>
      <c r="Z55" s="34" t="e">
        <f>IF(AND(NOT(ISBLANK(Jumpoverwrite4)),AND(NOT(Y55),AND(Y$4:Y54))),($J55*$G55-LN(1+Jumpoverwrite4*AA$2))/$G55,_xll.qlInterpolationInterpolate(Y$3,$F55,TRUE))</f>
        <v>#NUM!</v>
      </c>
      <c r="AA55" s="34" t="str">
        <f>IF(AND(NOT(Y55),AND(Y$4:Y54)),IF(Z55&gt;$J55,MAX(EXP((Z55-$J55)*$G55),1),MIN(EXP((Z55-$J55)*$G55),1)),"")</f>
        <v/>
      </c>
      <c r="AB55" s="108"/>
      <c r="AC55" s="72" t="b">
        <f>IF(AND(NOT(Y55),AND(Y$4:Y54)),TRUE,Y55)</f>
        <v>0</v>
      </c>
      <c r="AD55" s="34" t="e">
        <f>IF(AND(NOT(ISBLANK(Jumpoverwrite5)),AND(NOT(AC55),AND(AC$4:AC54))),($J55*$G55-LN(1+Jumpoverwrite5*AE$2))/$G55,_xll.qlInterpolationInterpolate(AC$3,$F55,TRUE))</f>
        <v>#NUM!</v>
      </c>
      <c r="AE55" s="34" t="str">
        <f>IF(AND(NOT(AC55),AND(AC$4:AC54)),IF(AD55&gt;$J55,MAX(EXP((AD55-$J55)*$G55),1),MIN(EXP((AD55-$J55)*$G55),1)),"")</f>
        <v/>
      </c>
      <c r="AF55" s="108"/>
      <c r="AG55" s="72" t="b">
        <f>IF(AND(NOT(AC55),AND(AC$4:AC54)),TRUE,AC55)</f>
        <v>0</v>
      </c>
      <c r="AH55" s="34" t="e">
        <f>IF(AND(NOT(ISBLANK(Jumpoverwrite6)),AND(NOT(AG55),AND(AG$4:AG54))),($J55*$G55-LN(1+Jumpoverwrite6*AI$2))/$G55,_xll.qlInterpolationInterpolate(AG$3,$F55,TRUE))</f>
        <v>#NUM!</v>
      </c>
      <c r="AI55" s="34" t="str">
        <f>IF(AND(NOT(AG55),AND(AG$4:AG54)),IF(AH55&gt;$J55,MAX(EXP((AH55-$J55)*$G55),1),MIN(EXP((AH55-$J55)*$G55),1)),"")</f>
        <v/>
      </c>
      <c r="AJ55" s="108"/>
      <c r="AK55" s="72" t="b">
        <f>IF(AND(NOT(AG55),AND(AG$4:AG54)),TRUE,AG55)</f>
        <v>0</v>
      </c>
      <c r="AL55" s="34" t="e">
        <f>IF(AND(NOT(ISBLANK(Jumpoverwrite7)),AND(NOT(AK55),AND(AK$4:AK54))),($J55*$G55-LN(1+Jumpoverwrite7*AM$2))/$G55,_xll.qlInterpolationInterpolate(AK$3,$F55,TRUE))</f>
        <v>#NUM!</v>
      </c>
      <c r="AM55" s="34" t="str">
        <f>IF(AND(NOT(AK55),AND(AK$4:AK54)),IF(AL55&gt;$J55,MAX(EXP((AL55-$J55)*$G55),1),MIN(EXP((AL55-$J55)*$G55),1)),"")</f>
        <v/>
      </c>
      <c r="AO55" s="72" t="b">
        <f>IF(AND(NOT(AK55),AND(AK$4:AK54)),TRUE,AK55)</f>
        <v>0</v>
      </c>
      <c r="AP55" s="34" t="e">
        <f>IF(AND(NOT(ISBLANK(Jumpoverwrite8)),AND(NOT(AO55),AND(AO$4:AO54))),($J55*$G55-LN(1+Jumpoverwrite8*AQ$2))/$G55,_xll.qlInterpolationInterpolate(AO$3,$F55,TRUE))</f>
        <v>#NUM!</v>
      </c>
      <c r="AQ55" s="34" t="str">
        <f>IF(AND(NOT(AO55),AND(AO$4:AO54)),IF(AP55&gt;$J55,MAX(EXP((AP55-$J55)*$G55),1),MIN(EXP((AP55-$J55)*$G55),1)),"")</f>
        <v/>
      </c>
      <c r="AS55" s="72" t="b">
        <f>IF(AND(NOT(AO55),AND(AO$4:AO54)),TRUE,AO55)</f>
        <v>0</v>
      </c>
      <c r="AT55" s="34" t="e">
        <f>IF(AND(NOT(ISBLANK(Jumpoverwrite9)),AND(NOT(AS55),AND(AS$4:AS54))),($J55*$G55-LN(1+Jumpoverwrite9*AU$2))/$G55,_xll.qlInterpolationInterpolate(AS$3,$F55,TRUE))</f>
        <v>#NUM!</v>
      </c>
      <c r="AU55" s="34" t="str">
        <f>IF(AND(NOT(AS55),AND(AS$4:AS54)),IF(AT55&gt;$J55,MAX(EXP((AT55-$J55)*$G55),1),MIN(EXP((AT55-$J55)*$G55),1)),"")</f>
        <v/>
      </c>
      <c r="AW55" s="72" t="b">
        <f>IF(AND(NOT(AS55),AND(AS$4:AS54)),TRUE,AS55)</f>
        <v>0</v>
      </c>
      <c r="AX55" s="34" t="e">
        <f>IF(AND(NOT(ISBLANK(Jumpoverwrite10)),AND(NOT(AW55),AND(AW$4:AW54))),($J55*$G55-LN(1+Jumpoverwrite10*AY$2))/$G55,_xll.qlInterpolationInterpolate(AW$3,$F55,TRUE))</f>
        <v>#NUM!</v>
      </c>
      <c r="AY55" s="34" t="str">
        <f>IF(AND(NOT(AW55),AND(AW$4:AW54)),IF(AX55&gt;$J55,MAX(EXP((AX55-$J55)*$G55),1),MIN(EXP((AX55-$J55)*$G55),1)),"")</f>
        <v/>
      </c>
      <c r="BA55" s="72" t="b">
        <f>IF(AND(NOT(AW55),AND(AW$4:AW54)),TRUE,AW55)</f>
        <v>0</v>
      </c>
      <c r="BB55" s="34" t="e">
        <f>IF(AND(NOT(ISBLANK(Jumpoverwrite11)),AND(NOT(BA55),AND(BA$4:BA54))),($J55*$G55-LN(1+Jumpoverwrite11*BC$2))/$G55,_xll.qlInterpolationInterpolate(BA$3,$F55,TRUE))</f>
        <v>#NUM!</v>
      </c>
      <c r="BC55" s="34" t="str">
        <f>IF(AND(NOT(BA55),AND(BA$4:BA54)),IF(BB55&gt;$J55,MAX(EXP((BB55-$J55)*$G55),1),MIN(EXP((BB55-$J55)*$G55),1)),"")</f>
        <v/>
      </c>
      <c r="BE55" s="72" t="b">
        <f>IF(AND(NOT(BA55),AND(BA$4:BA54)),TRUE,BA55)</f>
        <v>0</v>
      </c>
      <c r="BF55" s="34" t="e">
        <f>IF(AND(NOT(ISBLANK(Jumpoverwrite12)),AND(NOT(BE55),AND(BE$4:BE54))),($J55*$G55-LN(1+Jumpoverwrite12*BG$2))/$G55,_xll.qlInterpolationInterpolate(BE$3,$F55,TRUE))</f>
        <v>#NUM!</v>
      </c>
      <c r="BG55" s="34" t="str">
        <f>IF(AND(NOT(BE55),AND(BE$4:BE54)),IF(BF55&gt;$J55,MAX(EXP((BF55-$J55)*$G55),1),MIN(EXP((BF55-$J55)*$G55),1)),"")</f>
        <v/>
      </c>
      <c r="BI55" s="72" t="b">
        <f t="shared" si="5"/>
        <v>0</v>
      </c>
      <c r="BJ55" s="34" t="e">
        <f>IF(AND(NOT(ISBLANK(jumpoverwrite13)),AND(NOT(BI55),AND(BI$4:BI54))),($J55*$G55-LN(1+jumpoverwrite13*BK$2))/$G55,_xll.qlInterpolationInterpolate(BI$3,$F55,TRUE))</f>
        <v>#NUM!</v>
      </c>
      <c r="BK55" s="34" t="str">
        <f>IF(AND(NOT(BI55),AND(BI$4:BI54)),IF(BJ55&gt;$J55,MAX(EXP((BJ55-$J55)*$G55),1),MIN(EXP((BJ55-$J55)*$G55),1)),"")</f>
        <v/>
      </c>
      <c r="BM55" s="72" t="b">
        <f>IF(AND(NOT(BI55),AND(BI$4:BI54)),TRUE,BI55)</f>
        <v>0</v>
      </c>
      <c r="BN55" s="175" t="e">
        <f>IF(AND(NOT(ISBLANK(Jumpoverwrite14)),AND(NOT(BM55),AND(BM$4:BM54))),($J55*$G55-LN(1+Jumpoverwrite14*BO$2))/$G55,_xll.qlInterpolationInterpolate(BM$3,$F55,TRUE))</f>
        <v>#NUM!</v>
      </c>
      <c r="BO55" s="34" t="str">
        <f>IF(AND(NOT(BM55),AND(BM$4:BM54)),IF(BM55&gt;$J55,MAX(EXP((BM55-$J55)*$G55),1),MIN(EXP((BM55-$J55)*$G55),1)),"")</f>
        <v/>
      </c>
    </row>
    <row r="56" spans="1:67" x14ac:dyDescent="0.2">
      <c r="A56" s="33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84" t="e">
        <f t="shared" si="4"/>
        <v>#N/A</v>
      </c>
      <c r="G56" s="85" t="e">
        <f>_xll.qlDayCounterYearFraction(DayCounter,D55,D56)</f>
        <v>#NUM!</v>
      </c>
      <c r="I56" s="93" t="b">
        <f t="shared" si="2"/>
        <v>0</v>
      </c>
      <c r="J56" s="37" t="e">
        <v>#N/A</v>
      </c>
      <c r="K56" s="94" t="e">
        <f t="shared" si="3"/>
        <v>#VALUE!</v>
      </c>
      <c r="L56" s="106"/>
      <c r="M56" s="72" t="b">
        <f>IF(AND(NOT(I56),AND(I$4:I55)),TRUE,I56)</f>
        <v>0</v>
      </c>
      <c r="N56" s="34" t="e">
        <f>IF(AND(NOT(ISBLANK(Jumpoverwrite1)),AND(NOT(M56),AND(M$4:M55))),($J56*$G56-LN(1+Jumpoverwrite1*O$2))/$G56,_xll.qlInterpolationInterpolate(M$3,$F56,TRUE))</f>
        <v>#NUM!</v>
      </c>
      <c r="O56" s="34" t="str">
        <f>IF(AND(NOT(M56),AND(M$4:M55)),IF(N56&gt;$J56,MAX(EXP((N56-$J56)*$G56),1),MIN(EXP((N56-$J56)*$G56),1)),"")</f>
        <v/>
      </c>
      <c r="P56" s="108"/>
      <c r="Q56" s="72" t="b">
        <f>IF(AND(NOT(M56),AND(M$4:M55)),TRUE,M56)</f>
        <v>0</v>
      </c>
      <c r="R56" s="34" t="e">
        <f>IF(AND(NOT(ISBLANK(Jumpoverwrite2)),AND(NOT(Q56),AND(Q$4:Q55))),($J56*$G56-LN(1+Jumpoverwrite2*S$2))/$G56,_xll.qlInterpolationInterpolate(Q$3,$F56,TRUE))</f>
        <v>#NUM!</v>
      </c>
      <c r="S56" s="34" t="str">
        <f>IF(AND(NOT(Q56),AND(Q$4:Q55)),IF(R56&gt;$J56,MAX(EXP((R56-$J56)*$G56),1),MIN(EXP((R56-$J56)*$G56),1)),"")</f>
        <v/>
      </c>
      <c r="T56" s="108"/>
      <c r="U56" s="72" t="b">
        <f>IF(AND(NOT(Q56),AND(Q$4:Q55)),TRUE,Q56)</f>
        <v>0</v>
      </c>
      <c r="V56" s="34" t="e">
        <f>IF(AND(NOT(ISBLANK(Jumpoverwrite3)),AND(NOT(U56),AND(U$4:U55))),($J56*$G56-LN(1+Jumpoverwrite3*W$2))/$G56,_xll.qlInterpolationInterpolate(U$3,$F56,TRUE))</f>
        <v>#NUM!</v>
      </c>
      <c r="W56" s="34" t="str">
        <f>IF(AND(NOT(U56),AND(U$4:U55)),IF(V56&gt;$J56,MAX(EXP((V56-$J56)*$G56),1),MIN(EXP((V56-$J56)*$G56),1)),"")</f>
        <v/>
      </c>
      <c r="X56" s="108"/>
      <c r="Y56" s="72" t="b">
        <f>IF(AND(NOT(U56),AND(U$4:U55)),TRUE,U56)</f>
        <v>0</v>
      </c>
      <c r="Z56" s="34" t="e">
        <f>IF(AND(NOT(ISBLANK(Jumpoverwrite4)),AND(NOT(Y56),AND(Y$4:Y55))),($J56*$G56-LN(1+Jumpoverwrite4*AA$2))/$G56,_xll.qlInterpolationInterpolate(Y$3,$F56,TRUE))</f>
        <v>#NUM!</v>
      </c>
      <c r="AA56" s="34" t="str">
        <f>IF(AND(NOT(Y56),AND(Y$4:Y55)),IF(Z56&gt;$J56,MAX(EXP((Z56-$J56)*$G56),1),MIN(EXP((Z56-$J56)*$G56),1)),"")</f>
        <v/>
      </c>
      <c r="AB56" s="108"/>
      <c r="AC56" s="72" t="b">
        <f>IF(AND(NOT(Y56),AND(Y$4:Y55)),TRUE,Y56)</f>
        <v>0</v>
      </c>
      <c r="AD56" s="34" t="e">
        <f>IF(AND(NOT(ISBLANK(Jumpoverwrite5)),AND(NOT(AC56),AND(AC$4:AC55))),($J56*$G56-LN(1+Jumpoverwrite5*AE$2))/$G56,_xll.qlInterpolationInterpolate(AC$3,$F56,TRUE))</f>
        <v>#NUM!</v>
      </c>
      <c r="AE56" s="34" t="str">
        <f>IF(AND(NOT(AC56),AND(AC$4:AC55)),IF(AD56&gt;$J56,MAX(EXP((AD56-$J56)*$G56),1),MIN(EXP((AD56-$J56)*$G56),1)),"")</f>
        <v/>
      </c>
      <c r="AF56" s="108"/>
      <c r="AG56" s="72" t="b">
        <f>IF(AND(NOT(AC56),AND(AC$4:AC55)),TRUE,AC56)</f>
        <v>0</v>
      </c>
      <c r="AH56" s="34" t="e">
        <f>IF(AND(NOT(ISBLANK(Jumpoverwrite6)),AND(NOT(AG56),AND(AG$4:AG55))),($J56*$G56-LN(1+Jumpoverwrite6*AI$2))/$G56,_xll.qlInterpolationInterpolate(AG$3,$F56,TRUE))</f>
        <v>#NUM!</v>
      </c>
      <c r="AI56" s="34" t="str">
        <f>IF(AND(NOT(AG56),AND(AG$4:AG55)),IF(AH56&gt;$J56,MAX(EXP((AH56-$J56)*$G56),1),MIN(EXP((AH56-$J56)*$G56),1)),"")</f>
        <v/>
      </c>
      <c r="AJ56" s="108"/>
      <c r="AK56" s="72" t="b">
        <f>IF(AND(NOT(AG56),AND(AG$4:AG55)),TRUE,AG56)</f>
        <v>0</v>
      </c>
      <c r="AL56" s="34" t="e">
        <f>IF(AND(NOT(ISBLANK(Jumpoverwrite7)),AND(NOT(AK56),AND(AK$4:AK55))),($J56*$G56-LN(1+Jumpoverwrite7*AM$2))/$G56,_xll.qlInterpolationInterpolate(AK$3,$F56,TRUE))</f>
        <v>#NUM!</v>
      </c>
      <c r="AM56" s="34" t="str">
        <f>IF(AND(NOT(AK56),AND(AK$4:AK55)),IF(AL56&gt;$J56,MAX(EXP((AL56-$J56)*$G56),1),MIN(EXP((AL56-$J56)*$G56),1)),"")</f>
        <v/>
      </c>
      <c r="AO56" s="72" t="b">
        <f>IF(AND(NOT(AK56),AND(AK$4:AK55)),TRUE,AK56)</f>
        <v>0</v>
      </c>
      <c r="AP56" s="34" t="e">
        <f>IF(AND(NOT(ISBLANK(Jumpoverwrite8)),AND(NOT(AO56),AND(AO$4:AO55))),($J56*$G56-LN(1+Jumpoverwrite8*AQ$2))/$G56,_xll.qlInterpolationInterpolate(AO$3,$F56,TRUE))</f>
        <v>#NUM!</v>
      </c>
      <c r="AQ56" s="34" t="str">
        <f>IF(AND(NOT(AO56),AND(AO$4:AO55)),IF(AP56&gt;$J56,MAX(EXP((AP56-$J56)*$G56),1),MIN(EXP((AP56-$J56)*$G56),1)),"")</f>
        <v/>
      </c>
      <c r="AS56" s="72" t="b">
        <f>IF(AND(NOT(AO56),AND(AO$4:AO55)),TRUE,AO56)</f>
        <v>0</v>
      </c>
      <c r="AT56" s="34" t="e">
        <f>IF(AND(NOT(ISBLANK(Jumpoverwrite9)),AND(NOT(AS56),AND(AS$4:AS55))),($J56*$G56-LN(1+Jumpoverwrite9*AU$2))/$G56,_xll.qlInterpolationInterpolate(AS$3,$F56,TRUE))</f>
        <v>#NUM!</v>
      </c>
      <c r="AU56" s="34" t="str">
        <f>IF(AND(NOT(AS56),AND(AS$4:AS55)),IF(AT56&gt;$J56,MAX(EXP((AT56-$J56)*$G56),1),MIN(EXP((AT56-$J56)*$G56),1)),"")</f>
        <v/>
      </c>
      <c r="AW56" s="72" t="b">
        <f>IF(AND(NOT(AS56),AND(AS$4:AS55)),TRUE,AS56)</f>
        <v>0</v>
      </c>
      <c r="AX56" s="34" t="e">
        <f>IF(AND(NOT(ISBLANK(Jumpoverwrite10)),AND(NOT(AW56),AND(AW$4:AW55))),($J56*$G56-LN(1+Jumpoverwrite10*AY$2))/$G56,_xll.qlInterpolationInterpolate(AW$3,$F56,TRUE))</f>
        <v>#NUM!</v>
      </c>
      <c r="AY56" s="34" t="str">
        <f>IF(AND(NOT(AW56),AND(AW$4:AW55)),IF(AX56&gt;$J56,MAX(EXP((AX56-$J56)*$G56),1),MIN(EXP((AX56-$J56)*$G56),1)),"")</f>
        <v/>
      </c>
      <c r="BA56" s="72" t="b">
        <f>IF(AND(NOT(AW56),AND(AW$4:AW55)),TRUE,AW56)</f>
        <v>0</v>
      </c>
      <c r="BB56" s="34" t="e">
        <f>IF(AND(NOT(ISBLANK(Jumpoverwrite11)),AND(NOT(BA56),AND(BA$4:BA55))),($J56*$G56-LN(1+Jumpoverwrite11*BC$2))/$G56,_xll.qlInterpolationInterpolate(BA$3,$F56,TRUE))</f>
        <v>#NUM!</v>
      </c>
      <c r="BC56" s="34" t="str">
        <f>IF(AND(NOT(BA56),AND(BA$4:BA55)),IF(BB56&gt;$J56,MAX(EXP((BB56-$J56)*$G56),1),MIN(EXP((BB56-$J56)*$G56),1)),"")</f>
        <v/>
      </c>
      <c r="BE56" s="72" t="b">
        <f>IF(AND(NOT(BA56),AND(BA$4:BA55)),TRUE,BA56)</f>
        <v>0</v>
      </c>
      <c r="BF56" s="34" t="e">
        <f>IF(AND(NOT(ISBLANK(Jumpoverwrite12)),AND(NOT(BE56),AND(BE$4:BE55))),($J56*$G56-LN(1+Jumpoverwrite12*BG$2))/$G56,_xll.qlInterpolationInterpolate(BE$3,$F56,TRUE))</f>
        <v>#NUM!</v>
      </c>
      <c r="BG56" s="34" t="str">
        <f>IF(AND(NOT(BE56),AND(BE$4:BE55)),IF(BF56&gt;$J56,MAX(EXP((BF56-$J56)*$G56),1),MIN(EXP((BF56-$J56)*$G56),1)),"")</f>
        <v/>
      </c>
      <c r="BI56" s="72" t="b">
        <f t="shared" si="5"/>
        <v>0</v>
      </c>
      <c r="BJ56" s="34" t="e">
        <f>IF(AND(NOT(ISBLANK(jumpoverwrite13)),AND(NOT(BI56),AND(BI$4:BI55))),($J56*$G56-LN(1+jumpoverwrite13*BK$2))/$G56,_xll.qlInterpolationInterpolate(BI$3,$F56,TRUE))</f>
        <v>#NUM!</v>
      </c>
      <c r="BK56" s="34" t="str">
        <f>IF(AND(NOT(BI56),AND(BI$4:BI55)),IF(BJ56&gt;$J56,MAX(EXP((BJ56-$J56)*$G56),1),MIN(EXP((BJ56-$J56)*$G56),1)),"")</f>
        <v/>
      </c>
      <c r="BM56" s="72" t="b">
        <f>IF(AND(NOT(BI56),AND(BI$4:BI55)),TRUE,BI56)</f>
        <v>0</v>
      </c>
      <c r="BN56" s="175" t="e">
        <f>IF(AND(NOT(ISBLANK(Jumpoverwrite14)),AND(NOT(BM56),AND(BM$4:BM55))),($J56*$G56-LN(1+Jumpoverwrite14*BO$2))/$G56,_xll.qlInterpolationInterpolate(BM$3,$F56,TRUE))</f>
        <v>#NUM!</v>
      </c>
      <c r="BO56" s="34" t="str">
        <f>IF(AND(NOT(BM56),AND(BM$4:BM55)),IF(BM56&gt;$J56,MAX(EXP((BM56-$J56)*$G56),1),MIN(EXP((BM56-$J56)*$G56),1)),"")</f>
        <v/>
      </c>
    </row>
    <row r="57" spans="1:67" x14ac:dyDescent="0.2">
      <c r="A57" s="33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84" t="e">
        <f t="shared" si="4"/>
        <v>#N/A</v>
      </c>
      <c r="G57" s="85" t="e">
        <f>_xll.qlDayCounterYearFraction(DayCounter,D56,D57)</f>
        <v>#NUM!</v>
      </c>
      <c r="I57" s="93" t="b">
        <f t="shared" si="2"/>
        <v>0</v>
      </c>
      <c r="J57" s="37" t="e">
        <v>#N/A</v>
      </c>
      <c r="K57" s="94" t="e">
        <f t="shared" si="3"/>
        <v>#VALUE!</v>
      </c>
      <c r="L57" s="106"/>
      <c r="M57" s="72" t="b">
        <f>IF(AND(NOT(I57),AND(I$4:I56)),TRUE,I57)</f>
        <v>0</v>
      </c>
      <c r="N57" s="34" t="e">
        <f>IF(AND(NOT(ISBLANK(Jumpoverwrite1)),AND(NOT(M57),AND(M$4:M56))),($J57*$G57-LN(1+Jumpoverwrite1*O$2))/$G57,_xll.qlInterpolationInterpolate(M$3,$F57,TRUE))</f>
        <v>#NUM!</v>
      </c>
      <c r="O57" s="34" t="str">
        <f>IF(AND(NOT(M57),AND(M$4:M56)),IF(N57&gt;$J57,MAX(EXP((N57-$J57)*$G57),1),MIN(EXP((N57-$J57)*$G57),1)),"")</f>
        <v/>
      </c>
      <c r="P57" s="108"/>
      <c r="Q57" s="72" t="b">
        <f>IF(AND(NOT(M57),AND(M$4:M56)),TRUE,M57)</f>
        <v>0</v>
      </c>
      <c r="R57" s="34" t="e">
        <f>IF(AND(NOT(ISBLANK(Jumpoverwrite2)),AND(NOT(Q57),AND(Q$4:Q56))),($J57*$G57-LN(1+Jumpoverwrite2*S$2))/$G57,_xll.qlInterpolationInterpolate(Q$3,$F57,TRUE))</f>
        <v>#NUM!</v>
      </c>
      <c r="S57" s="34" t="str">
        <f>IF(AND(NOT(Q57),AND(Q$4:Q56)),IF(R57&gt;$J57,MAX(EXP((R57-$J57)*$G57),1),MIN(EXP((R57-$J57)*$G57),1)),"")</f>
        <v/>
      </c>
      <c r="T57" s="108"/>
      <c r="U57" s="72" t="b">
        <f>IF(AND(NOT(Q57),AND(Q$4:Q56)),TRUE,Q57)</f>
        <v>0</v>
      </c>
      <c r="V57" s="34" t="e">
        <f>IF(AND(NOT(ISBLANK(Jumpoverwrite3)),AND(NOT(U57),AND(U$4:U56))),($J57*$G57-LN(1+Jumpoverwrite3*W$2))/$G57,_xll.qlInterpolationInterpolate(U$3,$F57,TRUE))</f>
        <v>#NUM!</v>
      </c>
      <c r="W57" s="34" t="str">
        <f>IF(AND(NOT(U57),AND(U$4:U56)),IF(V57&gt;$J57,MAX(EXP((V57-$J57)*$G57),1),MIN(EXP((V57-$J57)*$G57),1)),"")</f>
        <v/>
      </c>
      <c r="X57" s="108"/>
      <c r="Y57" s="72" t="b">
        <f>IF(AND(NOT(U57),AND(U$4:U56)),TRUE,U57)</f>
        <v>0</v>
      </c>
      <c r="Z57" s="34" t="e">
        <f>IF(AND(NOT(ISBLANK(Jumpoverwrite4)),AND(NOT(Y57),AND(Y$4:Y56))),($J57*$G57-LN(1+Jumpoverwrite4*AA$2))/$G57,_xll.qlInterpolationInterpolate(Y$3,$F57,TRUE))</f>
        <v>#NUM!</v>
      </c>
      <c r="AA57" s="34" t="str">
        <f>IF(AND(NOT(Y57),AND(Y$4:Y56)),IF(Z57&gt;$J57,MAX(EXP((Z57-$J57)*$G57),1),MIN(EXP((Z57-$J57)*$G57),1)),"")</f>
        <v/>
      </c>
      <c r="AB57" s="108"/>
      <c r="AC57" s="72" t="b">
        <f>IF(AND(NOT(Y57),AND(Y$4:Y56)),TRUE,Y57)</f>
        <v>0</v>
      </c>
      <c r="AD57" s="34" t="e">
        <f>IF(AND(NOT(ISBLANK(Jumpoverwrite5)),AND(NOT(AC57),AND(AC$4:AC56))),($J57*$G57-LN(1+Jumpoverwrite5*AE$2))/$G57,_xll.qlInterpolationInterpolate(AC$3,$F57,TRUE))</f>
        <v>#NUM!</v>
      </c>
      <c r="AE57" s="34" t="str">
        <f>IF(AND(NOT(AC57),AND(AC$4:AC56)),IF(AD57&gt;$J57,MAX(EXP((AD57-$J57)*$G57),1),MIN(EXP((AD57-$J57)*$G57),1)),"")</f>
        <v/>
      </c>
      <c r="AF57" s="108"/>
      <c r="AG57" s="72" t="b">
        <f>IF(AND(NOT(AC57),AND(AC$4:AC56)),TRUE,AC57)</f>
        <v>0</v>
      </c>
      <c r="AH57" s="34" t="e">
        <f>IF(AND(NOT(ISBLANK(Jumpoverwrite6)),AND(NOT(AG57),AND(AG$4:AG56))),($J57*$G57-LN(1+Jumpoverwrite6*AI$2))/$G57,_xll.qlInterpolationInterpolate(AG$3,$F57,TRUE))</f>
        <v>#NUM!</v>
      </c>
      <c r="AI57" s="34" t="str">
        <f>IF(AND(NOT(AG57),AND(AG$4:AG56)),IF(AH57&gt;$J57,MAX(EXP((AH57-$J57)*$G57),1),MIN(EXP((AH57-$J57)*$G57),1)),"")</f>
        <v/>
      </c>
      <c r="AJ57" s="108"/>
      <c r="AK57" s="72" t="b">
        <f>IF(AND(NOT(AG57),AND(AG$4:AG56)),TRUE,AG57)</f>
        <v>0</v>
      </c>
      <c r="AL57" s="34" t="e">
        <f>IF(AND(NOT(ISBLANK(Jumpoverwrite7)),AND(NOT(AK57),AND(AK$4:AK56))),($J57*$G57-LN(1+Jumpoverwrite7*AM$2))/$G57,_xll.qlInterpolationInterpolate(AK$3,$F57,TRUE))</f>
        <v>#NUM!</v>
      </c>
      <c r="AM57" s="34" t="str">
        <f>IF(AND(NOT(AK57),AND(AK$4:AK56)),IF(AL57&gt;$J57,MAX(EXP((AL57-$J57)*$G57),1),MIN(EXP((AL57-$J57)*$G57),1)),"")</f>
        <v/>
      </c>
      <c r="AO57" s="72" t="b">
        <f>IF(AND(NOT(AK57),AND(AK$4:AK56)),TRUE,AK57)</f>
        <v>0</v>
      </c>
      <c r="AP57" s="34" t="e">
        <f>IF(AND(NOT(ISBLANK(Jumpoverwrite8)),AND(NOT(AO57),AND(AO$4:AO56))),($J57*$G57-LN(1+Jumpoverwrite8*AQ$2))/$G57,_xll.qlInterpolationInterpolate(AO$3,$F57,TRUE))</f>
        <v>#NUM!</v>
      </c>
      <c r="AQ57" s="34" t="str">
        <f>IF(AND(NOT(AO57),AND(AO$4:AO56)),IF(AP57&gt;$J57,MAX(EXP((AP57-$J57)*$G57),1),MIN(EXP((AP57-$J57)*$G57),1)),"")</f>
        <v/>
      </c>
      <c r="AS57" s="72" t="b">
        <f>IF(AND(NOT(AO57),AND(AO$4:AO56)),TRUE,AO57)</f>
        <v>0</v>
      </c>
      <c r="AT57" s="34" t="e">
        <f>IF(AND(NOT(ISBLANK(Jumpoverwrite9)),AND(NOT(AS57),AND(AS$4:AS56))),($J57*$G57-LN(1+Jumpoverwrite9*AU$2))/$G57,_xll.qlInterpolationInterpolate(AS$3,$F57,TRUE))</f>
        <v>#NUM!</v>
      </c>
      <c r="AU57" s="34" t="str">
        <f>IF(AND(NOT(AS57),AND(AS$4:AS56)),IF(AT57&gt;$J57,MAX(EXP((AT57-$J57)*$G57),1),MIN(EXP((AT57-$J57)*$G57),1)),"")</f>
        <v/>
      </c>
      <c r="AW57" s="72" t="b">
        <f>IF(AND(NOT(AS57),AND(AS$4:AS56)),TRUE,AS57)</f>
        <v>0</v>
      </c>
      <c r="AX57" s="34" t="e">
        <f>IF(AND(NOT(ISBLANK(Jumpoverwrite10)),AND(NOT(AW57),AND(AW$4:AW56))),($J57*$G57-LN(1+Jumpoverwrite10*AY$2))/$G57,_xll.qlInterpolationInterpolate(AW$3,$F57,TRUE))</f>
        <v>#NUM!</v>
      </c>
      <c r="AY57" s="34" t="str">
        <f>IF(AND(NOT(AW57),AND(AW$4:AW56)),IF(AX57&gt;$J57,MAX(EXP((AX57-$J57)*$G57),1),MIN(EXP((AX57-$J57)*$G57),1)),"")</f>
        <v/>
      </c>
      <c r="BA57" s="72" t="b">
        <f>IF(AND(NOT(AW57),AND(AW$4:AW56)),TRUE,AW57)</f>
        <v>0</v>
      </c>
      <c r="BB57" s="34" t="e">
        <f>IF(AND(NOT(ISBLANK(Jumpoverwrite11)),AND(NOT(BA57),AND(BA$4:BA56))),($J57*$G57-LN(1+Jumpoverwrite11*BC$2))/$G57,_xll.qlInterpolationInterpolate(BA$3,$F57,TRUE))</f>
        <v>#NUM!</v>
      </c>
      <c r="BC57" s="34" t="str">
        <f>IF(AND(NOT(BA57),AND(BA$4:BA56)),IF(BB57&gt;$J57,MAX(EXP((BB57-$J57)*$G57),1),MIN(EXP((BB57-$J57)*$G57),1)),"")</f>
        <v/>
      </c>
      <c r="BE57" s="72" t="b">
        <f>IF(AND(NOT(BA57),AND(BA$4:BA56)),TRUE,BA57)</f>
        <v>0</v>
      </c>
      <c r="BF57" s="34" t="e">
        <f>IF(AND(NOT(ISBLANK(Jumpoverwrite12)),AND(NOT(BE57),AND(BE$4:BE56))),($J57*$G57-LN(1+Jumpoverwrite12*BG$2))/$G57,_xll.qlInterpolationInterpolate(BE$3,$F57,TRUE))</f>
        <v>#NUM!</v>
      </c>
      <c r="BG57" s="34" t="str">
        <f>IF(AND(NOT(BE57),AND(BE$4:BE56)),IF(BF57&gt;$J57,MAX(EXP((BF57-$J57)*$G57),1),MIN(EXP((BF57-$J57)*$G57),1)),"")</f>
        <v/>
      </c>
      <c r="BI57" s="72" t="b">
        <f t="shared" si="5"/>
        <v>0</v>
      </c>
      <c r="BJ57" s="34" t="e">
        <f>IF(AND(NOT(ISBLANK(jumpoverwrite13)),AND(NOT(BI57),AND(BI$4:BI56))),($J57*$G57-LN(1+jumpoverwrite13*BK$2))/$G57,_xll.qlInterpolationInterpolate(BI$3,$F57,TRUE))</f>
        <v>#NUM!</v>
      </c>
      <c r="BK57" s="34" t="str">
        <f>IF(AND(NOT(BI57),AND(BI$4:BI56)),IF(BJ57&gt;$J57,MAX(EXP((BJ57-$J57)*$G57),1),MIN(EXP((BJ57-$J57)*$G57),1)),"")</f>
        <v/>
      </c>
      <c r="BM57" s="72" t="b">
        <f>IF(AND(NOT(BI57),AND(BI$4:BI56)),TRUE,BI57)</f>
        <v>0</v>
      </c>
      <c r="BN57" s="175" t="e">
        <f>IF(AND(NOT(ISBLANK(Jumpoverwrite14)),AND(NOT(BM57),AND(BM$4:BM56))),($J57*$G57-LN(1+Jumpoverwrite14*BO$2))/$G57,_xll.qlInterpolationInterpolate(BM$3,$F57,TRUE))</f>
        <v>#NUM!</v>
      </c>
      <c r="BO57" s="34" t="str">
        <f>IF(AND(NOT(BM57),AND(BM$4:BM56)),IF(BM57&gt;$J57,MAX(EXP((BM57-$J57)*$G57),1),MIN(EXP((BM57-$J57)*$G57),1)),"")</f>
        <v/>
      </c>
    </row>
    <row r="58" spans="1:67" x14ac:dyDescent="0.2">
      <c r="A58" s="33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84" t="e">
        <f t="shared" si="4"/>
        <v>#N/A</v>
      </c>
      <c r="G58" s="85" t="e">
        <f>_xll.qlDayCounterYearFraction(DayCounter,D57,D58)</f>
        <v>#NUM!</v>
      </c>
      <c r="I58" s="93" t="b">
        <f t="shared" si="2"/>
        <v>0</v>
      </c>
      <c r="J58" s="37" t="e">
        <v>#N/A</v>
      </c>
      <c r="K58" s="94" t="e">
        <f t="shared" si="3"/>
        <v>#VALUE!</v>
      </c>
      <c r="L58" s="106"/>
      <c r="M58" s="72" t="b">
        <f>IF(AND(NOT(I58),AND(I$4:I57)),TRUE,I58)</f>
        <v>0</v>
      </c>
      <c r="N58" s="34" t="e">
        <f>IF(AND(NOT(ISBLANK(Jumpoverwrite1)),AND(NOT(M58),AND(M$4:M57))),($J58*$G58-LN(1+Jumpoverwrite1*O$2))/$G58,_xll.qlInterpolationInterpolate(M$3,$F58,TRUE))</f>
        <v>#NUM!</v>
      </c>
      <c r="O58" s="34" t="str">
        <f>IF(AND(NOT(M58),AND(M$4:M57)),IF(N58&gt;$J58,MAX(EXP((N58-$J58)*$G58),1),MIN(EXP((N58-$J58)*$G58),1)),"")</f>
        <v/>
      </c>
      <c r="P58" s="108"/>
      <c r="Q58" s="72" t="b">
        <f>IF(AND(NOT(M58),AND(M$4:M57)),TRUE,M58)</f>
        <v>0</v>
      </c>
      <c r="R58" s="34" t="e">
        <f>IF(AND(NOT(ISBLANK(Jumpoverwrite2)),AND(NOT(Q58),AND(Q$4:Q57))),($J58*$G58-LN(1+Jumpoverwrite2*S$2))/$G58,_xll.qlInterpolationInterpolate(Q$3,$F58,TRUE))</f>
        <v>#NUM!</v>
      </c>
      <c r="S58" s="34" t="str">
        <f>IF(AND(NOT(Q58),AND(Q$4:Q57)),IF(R58&gt;$J58,MAX(EXP((R58-$J58)*$G58),1),MIN(EXP((R58-$J58)*$G58),1)),"")</f>
        <v/>
      </c>
      <c r="T58" s="108"/>
      <c r="U58" s="72" t="b">
        <f>IF(AND(NOT(Q58),AND(Q$4:Q57)),TRUE,Q58)</f>
        <v>0</v>
      </c>
      <c r="V58" s="34" t="e">
        <f>IF(AND(NOT(ISBLANK(Jumpoverwrite3)),AND(NOT(U58),AND(U$4:U57))),($J58*$G58-LN(1+Jumpoverwrite3*W$2))/$G58,_xll.qlInterpolationInterpolate(U$3,$F58,TRUE))</f>
        <v>#NUM!</v>
      </c>
      <c r="W58" s="34" t="str">
        <f>IF(AND(NOT(U58),AND(U$4:U57)),IF(V58&gt;$J58,MAX(EXP((V58-$J58)*$G58),1),MIN(EXP((V58-$J58)*$G58),1)),"")</f>
        <v/>
      </c>
      <c r="X58" s="108"/>
      <c r="Y58" s="72" t="b">
        <f>IF(AND(NOT(U58),AND(U$4:U57)),TRUE,U58)</f>
        <v>0</v>
      </c>
      <c r="Z58" s="34" t="e">
        <f>IF(AND(NOT(ISBLANK(Jumpoverwrite4)),AND(NOT(Y58),AND(Y$4:Y57))),($J58*$G58-LN(1+Jumpoverwrite4*AA$2))/$G58,_xll.qlInterpolationInterpolate(Y$3,$F58,TRUE))</f>
        <v>#NUM!</v>
      </c>
      <c r="AA58" s="34" t="str">
        <f>IF(AND(NOT(Y58),AND(Y$4:Y57)),IF(Z58&gt;$J58,MAX(EXP((Z58-$J58)*$G58),1),MIN(EXP((Z58-$J58)*$G58),1)),"")</f>
        <v/>
      </c>
      <c r="AB58" s="108"/>
      <c r="AC58" s="72" t="b">
        <f>IF(AND(NOT(Y58),AND(Y$4:Y57)),TRUE,Y58)</f>
        <v>0</v>
      </c>
      <c r="AD58" s="34" t="e">
        <f>IF(AND(NOT(ISBLANK(Jumpoverwrite5)),AND(NOT(AC58),AND(AC$4:AC57))),($J58*$G58-LN(1+Jumpoverwrite5*AE$2))/$G58,_xll.qlInterpolationInterpolate(AC$3,$F58,TRUE))</f>
        <v>#NUM!</v>
      </c>
      <c r="AE58" s="34" t="str">
        <f>IF(AND(NOT(AC58),AND(AC$4:AC57)),IF(AD58&gt;$J58,MAX(EXP((AD58-$J58)*$G58),1),MIN(EXP((AD58-$J58)*$G58),1)),"")</f>
        <v/>
      </c>
      <c r="AF58" s="108"/>
      <c r="AG58" s="72" t="b">
        <f>IF(AND(NOT(AC58),AND(AC$4:AC57)),TRUE,AC58)</f>
        <v>0</v>
      </c>
      <c r="AH58" s="34" t="e">
        <f>IF(AND(NOT(ISBLANK(Jumpoverwrite6)),AND(NOT(AG58),AND(AG$4:AG57))),($J58*$G58-LN(1+Jumpoverwrite6*AI$2))/$G58,_xll.qlInterpolationInterpolate(AG$3,$F58,TRUE))</f>
        <v>#NUM!</v>
      </c>
      <c r="AI58" s="34" t="str">
        <f>IF(AND(NOT(AG58),AND(AG$4:AG57)),IF(AH58&gt;$J58,MAX(EXP((AH58-$J58)*$G58),1),MIN(EXP((AH58-$J58)*$G58),1)),"")</f>
        <v/>
      </c>
      <c r="AJ58" s="108"/>
      <c r="AK58" s="72" t="b">
        <f>IF(AND(NOT(AG58),AND(AG$4:AG57)),TRUE,AG58)</f>
        <v>0</v>
      </c>
      <c r="AL58" s="34" t="e">
        <f>IF(AND(NOT(ISBLANK(Jumpoverwrite7)),AND(NOT(AK58),AND(AK$4:AK57))),($J58*$G58-LN(1+Jumpoverwrite7*AM$2))/$G58,_xll.qlInterpolationInterpolate(AK$3,$F58,TRUE))</f>
        <v>#NUM!</v>
      </c>
      <c r="AM58" s="34" t="str">
        <f>IF(AND(NOT(AK58),AND(AK$4:AK57)),IF(AL58&gt;$J58,MAX(EXP((AL58-$J58)*$G58),1),MIN(EXP((AL58-$J58)*$G58),1)),"")</f>
        <v/>
      </c>
      <c r="AO58" s="72" t="b">
        <f>IF(AND(NOT(AK58),AND(AK$4:AK57)),TRUE,AK58)</f>
        <v>0</v>
      </c>
      <c r="AP58" s="34" t="e">
        <f>IF(AND(NOT(ISBLANK(Jumpoverwrite8)),AND(NOT(AO58),AND(AO$4:AO57))),($J58*$G58-LN(1+Jumpoverwrite8*AQ$2))/$G58,_xll.qlInterpolationInterpolate(AO$3,$F58,TRUE))</f>
        <v>#NUM!</v>
      </c>
      <c r="AQ58" s="34" t="str">
        <f>IF(AND(NOT(AO58),AND(AO$4:AO57)),IF(AP58&gt;$J58,MAX(EXP((AP58-$J58)*$G58),1),MIN(EXP((AP58-$J58)*$G58),1)),"")</f>
        <v/>
      </c>
      <c r="AS58" s="72" t="b">
        <f>IF(AND(NOT(AO58),AND(AO$4:AO57)),TRUE,AO58)</f>
        <v>0</v>
      </c>
      <c r="AT58" s="34" t="e">
        <f>IF(AND(NOT(ISBLANK(Jumpoverwrite9)),AND(NOT(AS58),AND(AS$4:AS57))),($J58*$G58-LN(1+Jumpoverwrite9*AU$2))/$G58,_xll.qlInterpolationInterpolate(AS$3,$F58,TRUE))</f>
        <v>#NUM!</v>
      </c>
      <c r="AU58" s="34" t="str">
        <f>IF(AND(NOT(AS58),AND(AS$4:AS57)),IF(AT58&gt;$J58,MAX(EXP((AT58-$J58)*$G58),1),MIN(EXP((AT58-$J58)*$G58),1)),"")</f>
        <v/>
      </c>
      <c r="AW58" s="72" t="b">
        <f>IF(AND(NOT(AS58),AND(AS$4:AS57)),TRUE,AS58)</f>
        <v>0</v>
      </c>
      <c r="AX58" s="34" t="e">
        <f>IF(AND(NOT(ISBLANK(Jumpoverwrite10)),AND(NOT(AW58),AND(AW$4:AW57))),($J58*$G58-LN(1+Jumpoverwrite10*AY$2))/$G58,_xll.qlInterpolationInterpolate(AW$3,$F58,TRUE))</f>
        <v>#NUM!</v>
      </c>
      <c r="AY58" s="34" t="str">
        <f>IF(AND(NOT(AW58),AND(AW$4:AW57)),IF(AX58&gt;$J58,MAX(EXP((AX58-$J58)*$G58),1),MIN(EXP((AX58-$J58)*$G58),1)),"")</f>
        <v/>
      </c>
      <c r="BA58" s="72" t="b">
        <f>IF(AND(NOT(AW58),AND(AW$4:AW57)),TRUE,AW58)</f>
        <v>0</v>
      </c>
      <c r="BB58" s="34" t="e">
        <f>IF(AND(NOT(ISBLANK(Jumpoverwrite11)),AND(NOT(BA58),AND(BA$4:BA57))),($J58*$G58-LN(1+Jumpoverwrite11*BC$2))/$G58,_xll.qlInterpolationInterpolate(BA$3,$F58,TRUE))</f>
        <v>#NUM!</v>
      </c>
      <c r="BC58" s="34" t="str">
        <f>IF(AND(NOT(BA58),AND(BA$4:BA57)),IF(BB58&gt;$J58,MAX(EXP((BB58-$J58)*$G58),1),MIN(EXP((BB58-$J58)*$G58),1)),"")</f>
        <v/>
      </c>
      <c r="BE58" s="72" t="b">
        <f>IF(AND(NOT(BA58),AND(BA$4:BA57)),TRUE,BA58)</f>
        <v>0</v>
      </c>
      <c r="BF58" s="34" t="e">
        <f>IF(AND(NOT(ISBLANK(Jumpoverwrite12)),AND(NOT(BE58),AND(BE$4:BE57))),($J58*$G58-LN(1+Jumpoverwrite12*BG$2))/$G58,_xll.qlInterpolationInterpolate(BE$3,$F58,TRUE))</f>
        <v>#NUM!</v>
      </c>
      <c r="BG58" s="34" t="str">
        <f>IF(AND(NOT(BE58),AND(BE$4:BE57)),IF(BF58&gt;$J58,MAX(EXP((BF58-$J58)*$G58),1),MIN(EXP((BF58-$J58)*$G58),1)),"")</f>
        <v/>
      </c>
      <c r="BI58" s="72" t="b">
        <f t="shared" si="5"/>
        <v>0</v>
      </c>
      <c r="BJ58" s="34" t="e">
        <f>IF(AND(NOT(ISBLANK(jumpoverwrite13)),AND(NOT(BI58),AND(BI$4:BI57))),($J58*$G58-LN(1+jumpoverwrite13*BK$2))/$G58,_xll.qlInterpolationInterpolate(BI$3,$F58,TRUE))</f>
        <v>#NUM!</v>
      </c>
      <c r="BK58" s="34" t="str">
        <f>IF(AND(NOT(BI58),AND(BI$4:BI57)),IF(BJ58&gt;$J58,MAX(EXP((BJ58-$J58)*$G58),1),MIN(EXP((BJ58-$J58)*$G58),1)),"")</f>
        <v/>
      </c>
      <c r="BM58" s="72" t="b">
        <f>IF(AND(NOT(BI58),AND(BI$4:BI57)),TRUE,BI58)</f>
        <v>0</v>
      </c>
      <c r="BN58" s="175" t="e">
        <f>IF(AND(NOT(ISBLANK(Jumpoverwrite14)),AND(NOT(BM58),AND(BM$4:BM57))),($J58*$G58-LN(1+Jumpoverwrite14*BO$2))/$G58,_xll.qlInterpolationInterpolate(BM$3,$F58,TRUE))</f>
        <v>#NUM!</v>
      </c>
      <c r="BO58" s="34" t="str">
        <f>IF(AND(NOT(BM58),AND(BM$4:BM57)),IF(BM58&gt;$J58,MAX(EXP((BM58-$J58)*$G58),1),MIN(EXP((BM58-$J58)*$G58),1)),"")</f>
        <v/>
      </c>
    </row>
    <row r="59" spans="1:67" x14ac:dyDescent="0.2">
      <c r="A59" s="33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84" t="e">
        <f t="shared" si="4"/>
        <v>#N/A</v>
      </c>
      <c r="G59" s="85" t="e">
        <f>_xll.qlDayCounterYearFraction(DayCounter,D58,D59)</f>
        <v>#NUM!</v>
      </c>
      <c r="I59" s="93" t="b">
        <f t="shared" si="2"/>
        <v>0</v>
      </c>
      <c r="J59" s="37" t="e">
        <v>#N/A</v>
      </c>
      <c r="K59" s="94" t="e">
        <f t="shared" si="3"/>
        <v>#VALUE!</v>
      </c>
      <c r="L59" s="106"/>
      <c r="M59" s="72" t="b">
        <f>IF(AND(NOT(I59),AND(I$4:I58)),TRUE,I59)</f>
        <v>0</v>
      </c>
      <c r="N59" s="34" t="e">
        <f>IF(AND(NOT(ISBLANK(Jumpoverwrite1)),AND(NOT(M59),AND(M$4:M58))),($J59*$G59-LN(1+Jumpoverwrite1*O$2))/$G59,_xll.qlInterpolationInterpolate(M$3,$F59,TRUE))</f>
        <v>#NUM!</v>
      </c>
      <c r="O59" s="34" t="str">
        <f>IF(AND(NOT(M59),AND(M$4:M58)),IF(N59&gt;$J59,MAX(EXP((N59-$J59)*$G59),1),MIN(EXP((N59-$J59)*$G59),1)),"")</f>
        <v/>
      </c>
      <c r="P59" s="108"/>
      <c r="Q59" s="72" t="b">
        <f>IF(AND(NOT(M59),AND(M$4:M58)),TRUE,M59)</f>
        <v>0</v>
      </c>
      <c r="R59" s="34" t="e">
        <f>IF(AND(NOT(ISBLANK(Jumpoverwrite2)),AND(NOT(Q59),AND(Q$4:Q58))),($J59*$G59-LN(1+Jumpoverwrite2*S$2))/$G59,_xll.qlInterpolationInterpolate(Q$3,$F59,TRUE))</f>
        <v>#NUM!</v>
      </c>
      <c r="S59" s="34" t="str">
        <f>IF(AND(NOT(Q59),AND(Q$4:Q58)),IF(R59&gt;$J59,MAX(EXP((R59-$J59)*$G59),1),MIN(EXP((R59-$J59)*$G59),1)),"")</f>
        <v/>
      </c>
      <c r="T59" s="108"/>
      <c r="U59" s="72" t="b">
        <f>IF(AND(NOT(Q59),AND(Q$4:Q58)),TRUE,Q59)</f>
        <v>0</v>
      </c>
      <c r="V59" s="34" t="e">
        <f>IF(AND(NOT(ISBLANK(Jumpoverwrite3)),AND(NOT(U59),AND(U$4:U58))),($J59*$G59-LN(1+Jumpoverwrite3*W$2))/$G59,_xll.qlInterpolationInterpolate(U$3,$F59,TRUE))</f>
        <v>#NUM!</v>
      </c>
      <c r="W59" s="34" t="str">
        <f>IF(AND(NOT(U59),AND(U$4:U58)),IF(V59&gt;$J59,MAX(EXP((V59-$J59)*$G59),1),MIN(EXP((V59-$J59)*$G59),1)),"")</f>
        <v/>
      </c>
      <c r="X59" s="108"/>
      <c r="Y59" s="72" t="b">
        <f>IF(AND(NOT(U59),AND(U$4:U58)),TRUE,U59)</f>
        <v>0</v>
      </c>
      <c r="Z59" s="34" t="e">
        <f>IF(AND(NOT(ISBLANK(Jumpoverwrite4)),AND(NOT(Y59),AND(Y$4:Y58))),($J59*$G59-LN(1+Jumpoverwrite4*AA$2))/$G59,_xll.qlInterpolationInterpolate(Y$3,$F59,TRUE))</f>
        <v>#NUM!</v>
      </c>
      <c r="AA59" s="34" t="str">
        <f>IF(AND(NOT(Y59),AND(Y$4:Y58)),IF(Z59&gt;$J59,MAX(EXP((Z59-$J59)*$G59),1),MIN(EXP((Z59-$J59)*$G59),1)),"")</f>
        <v/>
      </c>
      <c r="AB59" s="108"/>
      <c r="AC59" s="72" t="b">
        <f>IF(AND(NOT(Y59),AND(Y$4:Y58)),TRUE,Y59)</f>
        <v>0</v>
      </c>
      <c r="AD59" s="34" t="e">
        <f>IF(AND(NOT(ISBLANK(Jumpoverwrite5)),AND(NOT(AC59),AND(AC$4:AC58))),($J59*$G59-LN(1+Jumpoverwrite5*AE$2))/$G59,_xll.qlInterpolationInterpolate(AC$3,$F59,TRUE))</f>
        <v>#NUM!</v>
      </c>
      <c r="AE59" s="34" t="str">
        <f>IF(AND(NOT(AC59),AND(AC$4:AC58)),IF(AD59&gt;$J59,MAX(EXP((AD59-$J59)*$G59),1),MIN(EXP((AD59-$J59)*$G59),1)),"")</f>
        <v/>
      </c>
      <c r="AF59" s="108"/>
      <c r="AG59" s="72" t="b">
        <f>IF(AND(NOT(AC59),AND(AC$4:AC58)),TRUE,AC59)</f>
        <v>0</v>
      </c>
      <c r="AH59" s="34" t="e">
        <f>IF(AND(NOT(ISBLANK(Jumpoverwrite6)),AND(NOT(AG59),AND(AG$4:AG58))),($J59*$G59-LN(1+Jumpoverwrite6*AI$2))/$G59,_xll.qlInterpolationInterpolate(AG$3,$F59,TRUE))</f>
        <v>#NUM!</v>
      </c>
      <c r="AI59" s="34" t="str">
        <f>IF(AND(NOT(AG59),AND(AG$4:AG58)),IF(AH59&gt;$J59,MAX(EXP((AH59-$J59)*$G59),1),MIN(EXP((AH59-$J59)*$G59),1)),"")</f>
        <v/>
      </c>
      <c r="AJ59" s="108"/>
      <c r="AK59" s="72" t="b">
        <f>IF(AND(NOT(AG59),AND(AG$4:AG58)),TRUE,AG59)</f>
        <v>0</v>
      </c>
      <c r="AL59" s="34" t="e">
        <f>IF(AND(NOT(ISBLANK(Jumpoverwrite7)),AND(NOT(AK59),AND(AK$4:AK58))),($J59*$G59-LN(1+Jumpoverwrite7*AM$2))/$G59,_xll.qlInterpolationInterpolate(AK$3,$F59,TRUE))</f>
        <v>#NUM!</v>
      </c>
      <c r="AM59" s="34" t="str">
        <f>IF(AND(NOT(AK59),AND(AK$4:AK58)),IF(AL59&gt;$J59,MAX(EXP((AL59-$J59)*$G59),1),MIN(EXP((AL59-$J59)*$G59),1)),"")</f>
        <v/>
      </c>
      <c r="AO59" s="72" t="b">
        <f>IF(AND(NOT(AK59),AND(AK$4:AK58)),TRUE,AK59)</f>
        <v>0</v>
      </c>
      <c r="AP59" s="34" t="e">
        <f>IF(AND(NOT(ISBLANK(Jumpoverwrite8)),AND(NOT(AO59),AND(AO$4:AO58))),($J59*$G59-LN(1+Jumpoverwrite8*AQ$2))/$G59,_xll.qlInterpolationInterpolate(AO$3,$F59,TRUE))</f>
        <v>#NUM!</v>
      </c>
      <c r="AQ59" s="34" t="str">
        <f>IF(AND(NOT(AO59),AND(AO$4:AO58)),IF(AP59&gt;$J59,MAX(EXP((AP59-$J59)*$G59),1),MIN(EXP((AP59-$J59)*$G59),1)),"")</f>
        <v/>
      </c>
      <c r="AS59" s="72" t="b">
        <f>IF(AND(NOT(AO59),AND(AO$4:AO58)),TRUE,AO59)</f>
        <v>0</v>
      </c>
      <c r="AT59" s="34" t="e">
        <f>IF(AND(NOT(ISBLANK(Jumpoverwrite9)),AND(NOT(AS59),AND(AS$4:AS58))),($J59*$G59-LN(1+Jumpoverwrite9*AU$2))/$G59,_xll.qlInterpolationInterpolate(AS$3,$F59,TRUE))</f>
        <v>#NUM!</v>
      </c>
      <c r="AU59" s="34" t="str">
        <f>IF(AND(NOT(AS59),AND(AS$4:AS58)),IF(AT59&gt;$J59,MAX(EXP((AT59-$J59)*$G59),1),MIN(EXP((AT59-$J59)*$G59),1)),"")</f>
        <v/>
      </c>
      <c r="AW59" s="72" t="b">
        <f>IF(AND(NOT(AS59),AND(AS$4:AS58)),TRUE,AS59)</f>
        <v>0</v>
      </c>
      <c r="AX59" s="34" t="e">
        <f>IF(AND(NOT(ISBLANK(Jumpoverwrite10)),AND(NOT(AW59),AND(AW$4:AW58))),($J59*$G59-LN(1+Jumpoverwrite10*AY$2))/$G59,_xll.qlInterpolationInterpolate(AW$3,$F59,TRUE))</f>
        <v>#NUM!</v>
      </c>
      <c r="AY59" s="34" t="str">
        <f>IF(AND(NOT(AW59),AND(AW$4:AW58)),IF(AX59&gt;$J59,MAX(EXP((AX59-$J59)*$G59),1),MIN(EXP((AX59-$J59)*$G59),1)),"")</f>
        <v/>
      </c>
      <c r="BA59" s="72" t="b">
        <f>IF(AND(NOT(AW59),AND(AW$4:AW58)),TRUE,AW59)</f>
        <v>0</v>
      </c>
      <c r="BB59" s="34" t="e">
        <f>IF(AND(NOT(ISBLANK(Jumpoverwrite11)),AND(NOT(BA59),AND(BA$4:BA58))),($J59*$G59-LN(1+Jumpoverwrite11*BC$2))/$G59,_xll.qlInterpolationInterpolate(BA$3,$F59,TRUE))</f>
        <v>#NUM!</v>
      </c>
      <c r="BC59" s="34" t="str">
        <f>IF(AND(NOT(BA59),AND(BA$4:BA58)),IF(BB59&gt;$J59,MAX(EXP((BB59-$J59)*$G59),1),MIN(EXP((BB59-$J59)*$G59),1)),"")</f>
        <v/>
      </c>
      <c r="BE59" s="72" t="b">
        <f>IF(AND(NOT(BA59),AND(BA$4:BA58)),TRUE,BA59)</f>
        <v>0</v>
      </c>
      <c r="BF59" s="34" t="e">
        <f>IF(AND(NOT(ISBLANK(Jumpoverwrite12)),AND(NOT(BE59),AND(BE$4:BE58))),($J59*$G59-LN(1+Jumpoverwrite12*BG$2))/$G59,_xll.qlInterpolationInterpolate(BE$3,$F59,TRUE))</f>
        <v>#NUM!</v>
      </c>
      <c r="BG59" s="34" t="str">
        <f>IF(AND(NOT(BE59),AND(BE$4:BE58)),IF(BF59&gt;$J59,MAX(EXP((BF59-$J59)*$G59),1),MIN(EXP((BF59-$J59)*$G59),1)),"")</f>
        <v/>
      </c>
      <c r="BI59" s="72" t="b">
        <f t="shared" si="5"/>
        <v>0</v>
      </c>
      <c r="BJ59" s="34" t="e">
        <f>IF(AND(NOT(ISBLANK(jumpoverwrite13)),AND(NOT(BI59),AND(BI$4:BI58))),($J59*$G59-LN(1+jumpoverwrite13*BK$2))/$G59,_xll.qlInterpolationInterpolate(BI$3,$F59,TRUE))</f>
        <v>#NUM!</v>
      </c>
      <c r="BK59" s="34" t="str">
        <f>IF(AND(NOT(BI59),AND(BI$4:BI58)),IF(BJ59&gt;$J59,MAX(EXP((BJ59-$J59)*$G59),1),MIN(EXP((BJ59-$J59)*$G59),1)),"")</f>
        <v/>
      </c>
      <c r="BM59" s="72" t="b">
        <f>IF(AND(NOT(BI59),AND(BI$4:BI58)),TRUE,BI59)</f>
        <v>0</v>
      </c>
      <c r="BN59" s="175" t="e">
        <f>IF(AND(NOT(ISBLANK(Jumpoverwrite14)),AND(NOT(BM59),AND(BM$4:BM58))),($J59*$G59-LN(1+Jumpoverwrite14*BO$2))/$G59,_xll.qlInterpolationInterpolate(BM$3,$F59,TRUE))</f>
        <v>#NUM!</v>
      </c>
      <c r="BO59" s="34" t="str">
        <f>IF(AND(NOT(BM59),AND(BM$4:BM58)),IF(BM59&gt;$J59,MAX(EXP((BM59-$J59)*$G59),1),MIN(EXP((BM59-$J59)*$G59),1)),"")</f>
        <v/>
      </c>
    </row>
    <row r="60" spans="1:67" x14ac:dyDescent="0.2">
      <c r="A60" s="33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84" t="e">
        <f t="shared" si="4"/>
        <v>#N/A</v>
      </c>
      <c r="G60" s="85" t="e">
        <f>_xll.qlDayCounterYearFraction(DayCounter,D59,D60)</f>
        <v>#NUM!</v>
      </c>
      <c r="I60" s="93" t="b">
        <f t="shared" si="2"/>
        <v>0</v>
      </c>
      <c r="J60" s="37" t="e">
        <v>#N/A</v>
      </c>
      <c r="K60" s="94" t="e">
        <f t="shared" si="3"/>
        <v>#VALUE!</v>
      </c>
      <c r="L60" s="106"/>
      <c r="M60" s="72" t="b">
        <f>IF(AND(NOT(I60),AND(I$4:I59)),TRUE,I60)</f>
        <v>0</v>
      </c>
      <c r="N60" s="34" t="e">
        <f>IF(AND(NOT(ISBLANK(Jumpoverwrite1)),AND(NOT(M60),AND(M$4:M59))),($J60*$G60-LN(1+Jumpoverwrite1*O$2))/$G60,_xll.qlInterpolationInterpolate(M$3,$F60,TRUE))</f>
        <v>#NUM!</v>
      </c>
      <c r="O60" s="34" t="str">
        <f>IF(AND(NOT(M60),AND(M$4:M59)),IF(N60&gt;$J60,MAX(EXP((N60-$J60)*$G60),1),MIN(EXP((N60-$J60)*$G60),1)),"")</f>
        <v/>
      </c>
      <c r="P60" s="108"/>
      <c r="Q60" s="72" t="b">
        <f>IF(AND(NOT(M60),AND(M$4:M59)),TRUE,M60)</f>
        <v>0</v>
      </c>
      <c r="R60" s="34" t="e">
        <f>IF(AND(NOT(ISBLANK(Jumpoverwrite2)),AND(NOT(Q60),AND(Q$4:Q59))),($J60*$G60-LN(1+Jumpoverwrite2*S$2))/$G60,_xll.qlInterpolationInterpolate(Q$3,$F60,TRUE))</f>
        <v>#NUM!</v>
      </c>
      <c r="S60" s="34" t="str">
        <f>IF(AND(NOT(Q60),AND(Q$4:Q59)),IF(R60&gt;$J60,MAX(EXP((R60-$J60)*$G60),1),MIN(EXP((R60-$J60)*$G60),1)),"")</f>
        <v/>
      </c>
      <c r="T60" s="108"/>
      <c r="U60" s="72" t="b">
        <f>IF(AND(NOT(Q60),AND(Q$4:Q59)),TRUE,Q60)</f>
        <v>0</v>
      </c>
      <c r="V60" s="34" t="e">
        <f>IF(AND(NOT(ISBLANK(Jumpoverwrite3)),AND(NOT(U60),AND(U$4:U59))),($J60*$G60-LN(1+Jumpoverwrite3*W$2))/$G60,_xll.qlInterpolationInterpolate(U$3,$F60,TRUE))</f>
        <v>#NUM!</v>
      </c>
      <c r="W60" s="34" t="str">
        <f>IF(AND(NOT(U60),AND(U$4:U59)),IF(V60&gt;$J60,MAX(EXP((V60-$J60)*$G60),1),MIN(EXP((V60-$J60)*$G60),1)),"")</f>
        <v/>
      </c>
      <c r="X60" s="108"/>
      <c r="Y60" s="72" t="b">
        <f>IF(AND(NOT(U60),AND(U$4:U59)),TRUE,U60)</f>
        <v>0</v>
      </c>
      <c r="Z60" s="34" t="e">
        <f>IF(AND(NOT(ISBLANK(Jumpoverwrite4)),AND(NOT(Y60),AND(Y$4:Y59))),($J60*$G60-LN(1+Jumpoverwrite4*AA$2))/$G60,_xll.qlInterpolationInterpolate(Y$3,$F60,TRUE))</f>
        <v>#NUM!</v>
      </c>
      <c r="AA60" s="34" t="str">
        <f>IF(AND(NOT(Y60),AND(Y$4:Y59)),IF(Z60&gt;$J60,MAX(EXP((Z60-$J60)*$G60),1),MIN(EXP((Z60-$J60)*$G60),1)),"")</f>
        <v/>
      </c>
      <c r="AB60" s="108"/>
      <c r="AC60" s="72" t="b">
        <f>IF(AND(NOT(Y60),AND(Y$4:Y59)),TRUE,Y60)</f>
        <v>0</v>
      </c>
      <c r="AD60" s="34" t="e">
        <f>IF(AND(NOT(ISBLANK(Jumpoverwrite5)),AND(NOT(AC60),AND(AC$4:AC59))),($J60*$G60-LN(1+Jumpoverwrite5*AE$2))/$G60,_xll.qlInterpolationInterpolate(AC$3,$F60,TRUE))</f>
        <v>#NUM!</v>
      </c>
      <c r="AE60" s="34" t="str">
        <f>IF(AND(NOT(AC60),AND(AC$4:AC59)),IF(AD60&gt;$J60,MAX(EXP((AD60-$J60)*$G60),1),MIN(EXP((AD60-$J60)*$G60),1)),"")</f>
        <v/>
      </c>
      <c r="AF60" s="108"/>
      <c r="AG60" s="72" t="b">
        <f>IF(AND(NOT(AC60),AND(AC$4:AC59)),TRUE,AC60)</f>
        <v>0</v>
      </c>
      <c r="AH60" s="34" t="e">
        <f>IF(AND(NOT(ISBLANK(Jumpoverwrite6)),AND(NOT(AG60),AND(AG$4:AG59))),($J60*$G60-LN(1+Jumpoverwrite6*AI$2))/$G60,_xll.qlInterpolationInterpolate(AG$3,$F60,TRUE))</f>
        <v>#NUM!</v>
      </c>
      <c r="AI60" s="34" t="str">
        <f>IF(AND(NOT(AG60),AND(AG$4:AG59)),IF(AH60&gt;$J60,MAX(EXP((AH60-$J60)*$G60),1),MIN(EXP((AH60-$J60)*$G60),1)),"")</f>
        <v/>
      </c>
      <c r="AJ60" s="108"/>
      <c r="AK60" s="72" t="b">
        <f>IF(AND(NOT(AG60),AND(AG$4:AG59)),TRUE,AG60)</f>
        <v>0</v>
      </c>
      <c r="AL60" s="34" t="e">
        <f>IF(AND(NOT(ISBLANK(Jumpoverwrite7)),AND(NOT(AK60),AND(AK$4:AK59))),($J60*$G60-LN(1+Jumpoverwrite7*AM$2))/$G60,_xll.qlInterpolationInterpolate(AK$3,$F60,TRUE))</f>
        <v>#NUM!</v>
      </c>
      <c r="AM60" s="34" t="str">
        <f>IF(AND(NOT(AK60),AND(AK$4:AK59)),IF(AL60&gt;$J60,MAX(EXP((AL60-$J60)*$G60),1),MIN(EXP((AL60-$J60)*$G60),1)),"")</f>
        <v/>
      </c>
      <c r="AO60" s="72" t="b">
        <f>IF(AND(NOT(AK60),AND(AK$4:AK59)),TRUE,AK60)</f>
        <v>0</v>
      </c>
      <c r="AP60" s="34" t="e">
        <f>IF(AND(NOT(ISBLANK(Jumpoverwrite8)),AND(NOT(AO60),AND(AO$4:AO59))),($J60*$G60-LN(1+Jumpoverwrite8*AQ$2))/$G60,_xll.qlInterpolationInterpolate(AO$3,$F60,TRUE))</f>
        <v>#NUM!</v>
      </c>
      <c r="AQ60" s="34" t="str">
        <f>IF(AND(NOT(AO60),AND(AO$4:AO59)),IF(AP60&gt;$J60,MAX(EXP((AP60-$J60)*$G60),1),MIN(EXP((AP60-$J60)*$G60),1)),"")</f>
        <v/>
      </c>
      <c r="AS60" s="72" t="b">
        <f>IF(AND(NOT(AO60),AND(AO$4:AO59)),TRUE,AO60)</f>
        <v>0</v>
      </c>
      <c r="AT60" s="34" t="e">
        <f>IF(AND(NOT(ISBLANK(Jumpoverwrite9)),AND(NOT(AS60),AND(AS$4:AS59))),($J60*$G60-LN(1+Jumpoverwrite9*AU$2))/$G60,_xll.qlInterpolationInterpolate(AS$3,$F60,TRUE))</f>
        <v>#NUM!</v>
      </c>
      <c r="AU60" s="34" t="str">
        <f>IF(AND(NOT(AS60),AND(AS$4:AS59)),IF(AT60&gt;$J60,MAX(EXP((AT60-$J60)*$G60),1),MIN(EXP((AT60-$J60)*$G60),1)),"")</f>
        <v/>
      </c>
      <c r="AW60" s="72" t="b">
        <f>IF(AND(NOT(AS60),AND(AS$4:AS59)),TRUE,AS60)</f>
        <v>0</v>
      </c>
      <c r="AX60" s="34" t="e">
        <f>IF(AND(NOT(ISBLANK(Jumpoverwrite10)),AND(NOT(AW60),AND(AW$4:AW59))),($J60*$G60-LN(1+Jumpoverwrite10*AY$2))/$G60,_xll.qlInterpolationInterpolate(AW$3,$F60,TRUE))</f>
        <v>#NUM!</v>
      </c>
      <c r="AY60" s="34" t="str">
        <f>IF(AND(NOT(AW60),AND(AW$4:AW59)),IF(AX60&gt;$J60,MAX(EXP((AX60-$J60)*$G60),1),MIN(EXP((AX60-$J60)*$G60),1)),"")</f>
        <v/>
      </c>
      <c r="BA60" s="72" t="b">
        <f>IF(AND(NOT(AW60),AND(AW$4:AW59)),TRUE,AW60)</f>
        <v>0</v>
      </c>
      <c r="BB60" s="34" t="e">
        <f>IF(AND(NOT(ISBLANK(Jumpoverwrite11)),AND(NOT(BA60),AND(BA$4:BA59))),($J60*$G60-LN(1+Jumpoverwrite11*BC$2))/$G60,_xll.qlInterpolationInterpolate(BA$3,$F60,TRUE))</f>
        <v>#NUM!</v>
      </c>
      <c r="BC60" s="34" t="str">
        <f>IF(AND(NOT(BA60),AND(BA$4:BA59)),IF(BB60&gt;$J60,MAX(EXP((BB60-$J60)*$G60),1),MIN(EXP((BB60-$J60)*$G60),1)),"")</f>
        <v/>
      </c>
      <c r="BE60" s="72" t="b">
        <f>IF(AND(NOT(BA60),AND(BA$4:BA59)),TRUE,BA60)</f>
        <v>0</v>
      </c>
      <c r="BF60" s="34" t="e">
        <f>IF(AND(NOT(ISBLANK(Jumpoverwrite12)),AND(NOT(BE60),AND(BE$4:BE59))),($J60*$G60-LN(1+Jumpoverwrite12*BG$2))/$G60,_xll.qlInterpolationInterpolate(BE$3,$F60,TRUE))</f>
        <v>#NUM!</v>
      </c>
      <c r="BG60" s="34" t="str">
        <f>IF(AND(NOT(BE60),AND(BE$4:BE59)),IF(BF60&gt;$J60,MAX(EXP((BF60-$J60)*$G60),1),MIN(EXP((BF60-$J60)*$G60),1)),"")</f>
        <v/>
      </c>
      <c r="BI60" s="72" t="b">
        <f t="shared" si="5"/>
        <v>0</v>
      </c>
      <c r="BJ60" s="34" t="e">
        <f>IF(AND(NOT(ISBLANK(jumpoverwrite13)),AND(NOT(BI60),AND(BI$4:BI59))),($J60*$G60-LN(1+jumpoverwrite13*BK$2))/$G60,_xll.qlInterpolationInterpolate(BI$3,$F60,TRUE))</f>
        <v>#NUM!</v>
      </c>
      <c r="BK60" s="34" t="str">
        <f>IF(AND(NOT(BI60),AND(BI$4:BI59)),IF(BJ60&gt;$J60,MAX(EXP((BJ60-$J60)*$G60),1),MIN(EXP((BJ60-$J60)*$G60),1)),"")</f>
        <v/>
      </c>
      <c r="BM60" s="72" t="b">
        <f>IF(AND(NOT(BI60),AND(BI$4:BI59)),TRUE,BI60)</f>
        <v>0</v>
      </c>
      <c r="BN60" s="175" t="e">
        <f>IF(AND(NOT(ISBLANK(Jumpoverwrite14)),AND(NOT(BM60),AND(BM$4:BM59))),($J60*$G60-LN(1+Jumpoverwrite14*BO$2))/$G60,_xll.qlInterpolationInterpolate(BM$3,$F60,TRUE))</f>
        <v>#NUM!</v>
      </c>
      <c r="BO60" s="34" t="str">
        <f>IF(AND(NOT(BM60),AND(BM$4:BM59)),IF(BM60&gt;$J60,MAX(EXP((BM60-$J60)*$G60),1),MIN(EXP((BM60-$J60)*$G60),1)),"")</f>
        <v/>
      </c>
    </row>
    <row r="61" spans="1:67" x14ac:dyDescent="0.2">
      <c r="A61" s="33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84" t="e">
        <f t="shared" si="4"/>
        <v>#N/A</v>
      </c>
      <c r="G61" s="85" t="e">
        <f>_xll.qlDayCounterYearFraction(DayCounter,D60,D61)</f>
        <v>#NUM!</v>
      </c>
      <c r="I61" s="93" t="b">
        <f t="shared" si="2"/>
        <v>0</v>
      </c>
      <c r="J61" s="37" t="e">
        <v>#N/A</v>
      </c>
      <c r="K61" s="94" t="e">
        <f t="shared" si="3"/>
        <v>#VALUE!</v>
      </c>
      <c r="L61" s="106"/>
      <c r="M61" s="72" t="b">
        <f>IF(AND(NOT(I61),AND(I$4:I60)),TRUE,I61)</f>
        <v>0</v>
      </c>
      <c r="N61" s="34" t="e">
        <f>IF(AND(NOT(ISBLANK(Jumpoverwrite1)),AND(NOT(M61),AND(M$4:M60))),($J61*$G61-LN(1+Jumpoverwrite1*O$2))/$G61,_xll.qlInterpolationInterpolate(M$3,$F61,TRUE))</f>
        <v>#NUM!</v>
      </c>
      <c r="O61" s="34" t="str">
        <f>IF(AND(NOT(M61),AND(M$4:M60)),IF(N61&gt;$J61,MAX(EXP((N61-$J61)*$G61),1),MIN(EXP((N61-$J61)*$G61),1)),"")</f>
        <v/>
      </c>
      <c r="P61" s="108"/>
      <c r="Q61" s="72" t="b">
        <f>IF(AND(NOT(M61),AND(M$4:M60)),TRUE,M61)</f>
        <v>0</v>
      </c>
      <c r="R61" s="34" t="e">
        <f>IF(AND(NOT(ISBLANK(Jumpoverwrite2)),AND(NOT(Q61),AND(Q$4:Q60))),($J61*$G61-LN(1+Jumpoverwrite2*S$2))/$G61,_xll.qlInterpolationInterpolate(Q$3,$F61,TRUE))</f>
        <v>#NUM!</v>
      </c>
      <c r="S61" s="34" t="str">
        <f>IF(AND(NOT(Q61),AND(Q$4:Q60)),IF(R61&gt;$J61,MAX(EXP((R61-$J61)*$G61),1),MIN(EXP((R61-$J61)*$G61),1)),"")</f>
        <v/>
      </c>
      <c r="T61" s="108"/>
      <c r="U61" s="72" t="b">
        <f>IF(AND(NOT(Q61),AND(Q$4:Q60)),TRUE,Q61)</f>
        <v>0</v>
      </c>
      <c r="V61" s="34" t="e">
        <f>IF(AND(NOT(ISBLANK(Jumpoverwrite3)),AND(NOT(U61),AND(U$4:U60))),($J61*$G61-LN(1+Jumpoverwrite3*W$2))/$G61,_xll.qlInterpolationInterpolate(U$3,$F61,TRUE))</f>
        <v>#NUM!</v>
      </c>
      <c r="W61" s="34" t="str">
        <f>IF(AND(NOT(U61),AND(U$4:U60)),IF(V61&gt;$J61,MAX(EXP((V61-$J61)*$G61),1),MIN(EXP((V61-$J61)*$G61),1)),"")</f>
        <v/>
      </c>
      <c r="X61" s="108"/>
      <c r="Y61" s="72" t="b">
        <f>IF(AND(NOT(U61),AND(U$4:U60)),TRUE,U61)</f>
        <v>0</v>
      </c>
      <c r="Z61" s="34" t="e">
        <f>IF(AND(NOT(ISBLANK(Jumpoverwrite4)),AND(NOT(Y61),AND(Y$4:Y60))),($J61*$G61-LN(1+Jumpoverwrite4*AA$2))/$G61,_xll.qlInterpolationInterpolate(Y$3,$F61,TRUE))</f>
        <v>#NUM!</v>
      </c>
      <c r="AA61" s="34" t="str">
        <f>IF(AND(NOT(Y61),AND(Y$4:Y60)),IF(Z61&gt;$J61,MAX(EXP((Z61-$J61)*$G61),1),MIN(EXP((Z61-$J61)*$G61),1)),"")</f>
        <v/>
      </c>
      <c r="AB61" s="108"/>
      <c r="AC61" s="72" t="b">
        <f>IF(AND(NOT(Y61),AND(Y$4:Y60)),TRUE,Y61)</f>
        <v>0</v>
      </c>
      <c r="AD61" s="34" t="e">
        <f>IF(AND(NOT(ISBLANK(Jumpoverwrite5)),AND(NOT(AC61),AND(AC$4:AC60))),($J61*$G61-LN(1+Jumpoverwrite5*AE$2))/$G61,_xll.qlInterpolationInterpolate(AC$3,$F61,TRUE))</f>
        <v>#NUM!</v>
      </c>
      <c r="AE61" s="34" t="str">
        <f>IF(AND(NOT(AC61),AND(AC$4:AC60)),IF(AD61&gt;$J61,MAX(EXP((AD61-$J61)*$G61),1),MIN(EXP((AD61-$J61)*$G61),1)),"")</f>
        <v/>
      </c>
      <c r="AF61" s="108"/>
      <c r="AG61" s="72" t="b">
        <f>IF(AND(NOT(AC61),AND(AC$4:AC60)),TRUE,AC61)</f>
        <v>0</v>
      </c>
      <c r="AH61" s="34" t="e">
        <f>IF(AND(NOT(ISBLANK(Jumpoverwrite6)),AND(NOT(AG61),AND(AG$4:AG60))),($J61*$G61-LN(1+Jumpoverwrite6*AI$2))/$G61,_xll.qlInterpolationInterpolate(AG$3,$F61,TRUE))</f>
        <v>#NUM!</v>
      </c>
      <c r="AI61" s="34" t="str">
        <f>IF(AND(NOT(AG61),AND(AG$4:AG60)),IF(AH61&gt;$J61,MAX(EXP((AH61-$J61)*$G61),1),MIN(EXP((AH61-$J61)*$G61),1)),"")</f>
        <v/>
      </c>
      <c r="AJ61" s="108"/>
      <c r="AK61" s="72" t="b">
        <f>IF(AND(NOT(AG61),AND(AG$4:AG60)),TRUE,AG61)</f>
        <v>0</v>
      </c>
      <c r="AL61" s="34" t="e">
        <f>IF(AND(NOT(ISBLANK(Jumpoverwrite7)),AND(NOT(AK61),AND(AK$4:AK60))),($J61*$G61-LN(1+Jumpoverwrite7*AM$2))/$G61,_xll.qlInterpolationInterpolate(AK$3,$F61,TRUE))</f>
        <v>#NUM!</v>
      </c>
      <c r="AM61" s="34" t="str">
        <f>IF(AND(NOT(AK61),AND(AK$4:AK60)),IF(AL61&gt;$J61,MAX(EXP((AL61-$J61)*$G61),1),MIN(EXP((AL61-$J61)*$G61),1)),"")</f>
        <v/>
      </c>
      <c r="AO61" s="72" t="b">
        <f>IF(AND(NOT(AK61),AND(AK$4:AK60)),TRUE,AK61)</f>
        <v>0</v>
      </c>
      <c r="AP61" s="34" t="e">
        <f>IF(AND(NOT(ISBLANK(Jumpoverwrite8)),AND(NOT(AO61),AND(AO$4:AO60))),($J61*$G61-LN(1+Jumpoverwrite8*AQ$2))/$G61,_xll.qlInterpolationInterpolate(AO$3,$F61,TRUE))</f>
        <v>#NUM!</v>
      </c>
      <c r="AQ61" s="34" t="str">
        <f>IF(AND(NOT(AO61),AND(AO$4:AO60)),IF(AP61&gt;$J61,MAX(EXP((AP61-$J61)*$G61),1),MIN(EXP((AP61-$J61)*$G61),1)),"")</f>
        <v/>
      </c>
      <c r="AS61" s="72" t="b">
        <f>IF(AND(NOT(AO61),AND(AO$4:AO60)),TRUE,AO61)</f>
        <v>0</v>
      </c>
      <c r="AT61" s="34" t="e">
        <f>IF(AND(NOT(ISBLANK(Jumpoverwrite9)),AND(NOT(AS61),AND(AS$4:AS60))),($J61*$G61-LN(1+Jumpoverwrite9*AU$2))/$G61,_xll.qlInterpolationInterpolate(AS$3,$F61,TRUE))</f>
        <v>#NUM!</v>
      </c>
      <c r="AU61" s="34" t="str">
        <f>IF(AND(NOT(AS61),AND(AS$4:AS60)),IF(AT61&gt;$J61,MAX(EXP((AT61-$J61)*$G61),1),MIN(EXP((AT61-$J61)*$G61),1)),"")</f>
        <v/>
      </c>
      <c r="AW61" s="72" t="b">
        <f>IF(AND(NOT(AS61),AND(AS$4:AS60)),TRUE,AS61)</f>
        <v>0</v>
      </c>
      <c r="AX61" s="34" t="e">
        <f>IF(AND(NOT(ISBLANK(Jumpoverwrite10)),AND(NOT(AW61),AND(AW$4:AW60))),($J61*$G61-LN(1+Jumpoverwrite10*AY$2))/$G61,_xll.qlInterpolationInterpolate(AW$3,$F61,TRUE))</f>
        <v>#NUM!</v>
      </c>
      <c r="AY61" s="34" t="str">
        <f>IF(AND(NOT(AW61),AND(AW$4:AW60)),IF(AX61&gt;$J61,MAX(EXP((AX61-$J61)*$G61),1),MIN(EXP((AX61-$J61)*$G61),1)),"")</f>
        <v/>
      </c>
      <c r="BA61" s="72" t="b">
        <f>IF(AND(NOT(AW61),AND(AW$4:AW60)),TRUE,AW61)</f>
        <v>0</v>
      </c>
      <c r="BB61" s="34" t="e">
        <f>IF(AND(NOT(ISBLANK(Jumpoverwrite11)),AND(NOT(BA61),AND(BA$4:BA60))),($J61*$G61-LN(1+Jumpoverwrite11*BC$2))/$G61,_xll.qlInterpolationInterpolate(BA$3,$F61,TRUE))</f>
        <v>#NUM!</v>
      </c>
      <c r="BC61" s="34" t="str">
        <f>IF(AND(NOT(BA61),AND(BA$4:BA60)),IF(BB61&gt;$J61,MAX(EXP((BB61-$J61)*$G61),1),MIN(EXP((BB61-$J61)*$G61),1)),"")</f>
        <v/>
      </c>
      <c r="BE61" s="72" t="b">
        <f>IF(AND(NOT(BA61),AND(BA$4:BA60)),TRUE,BA61)</f>
        <v>0</v>
      </c>
      <c r="BF61" s="34" t="e">
        <f>IF(AND(NOT(ISBLANK(Jumpoverwrite12)),AND(NOT(BE61),AND(BE$4:BE60))),($J61*$G61-LN(1+Jumpoverwrite12*BG$2))/$G61,_xll.qlInterpolationInterpolate(BE$3,$F61,TRUE))</f>
        <v>#NUM!</v>
      </c>
      <c r="BG61" s="34" t="str">
        <f>IF(AND(NOT(BE61),AND(BE$4:BE60)),IF(BF61&gt;$J61,MAX(EXP((BF61-$J61)*$G61),1),MIN(EXP((BF61-$J61)*$G61),1)),"")</f>
        <v/>
      </c>
      <c r="BI61" s="72" t="b">
        <f t="shared" si="5"/>
        <v>0</v>
      </c>
      <c r="BJ61" s="34" t="e">
        <f>IF(AND(NOT(ISBLANK(jumpoverwrite13)),AND(NOT(BI61),AND(BI$4:BI60))),($J61*$G61-LN(1+jumpoverwrite13*BK$2))/$G61,_xll.qlInterpolationInterpolate(BI$3,$F61,TRUE))</f>
        <v>#NUM!</v>
      </c>
      <c r="BK61" s="34" t="str">
        <f>IF(AND(NOT(BI61),AND(BI$4:BI60)),IF(BJ61&gt;$J61,MAX(EXP((BJ61-$J61)*$G61),1),MIN(EXP((BJ61-$J61)*$G61),1)),"")</f>
        <v/>
      </c>
      <c r="BM61" s="72" t="b">
        <f>IF(AND(NOT(BI61),AND(BI$4:BI60)),TRUE,BI61)</f>
        <v>0</v>
      </c>
      <c r="BN61" s="175" t="e">
        <f>IF(AND(NOT(ISBLANK(Jumpoverwrite14)),AND(NOT(BM61),AND(BM$4:BM60))),($J61*$G61-LN(1+Jumpoverwrite14*BO$2))/$G61,_xll.qlInterpolationInterpolate(BM$3,$F61,TRUE))</f>
        <v>#NUM!</v>
      </c>
      <c r="BO61" s="34" t="str">
        <f>IF(AND(NOT(BM61),AND(BM$4:BM60)),IF(BM61&gt;$J61,MAX(EXP((BM61-$J61)*$G61),1),MIN(EXP((BM61-$J61)*$G61),1)),"")</f>
        <v/>
      </c>
    </row>
    <row r="62" spans="1:67" x14ac:dyDescent="0.2">
      <c r="A62" s="33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84" t="e">
        <f t="shared" si="4"/>
        <v>#N/A</v>
      </c>
      <c r="G62" s="85" t="e">
        <f>_xll.qlDayCounterYearFraction(DayCounter,D61,D62)</f>
        <v>#NUM!</v>
      </c>
      <c r="I62" s="93" t="b">
        <f t="shared" si="2"/>
        <v>0</v>
      </c>
      <c r="J62" s="37" t="e">
        <v>#N/A</v>
      </c>
      <c r="K62" s="94" t="e">
        <f t="shared" si="3"/>
        <v>#VALUE!</v>
      </c>
      <c r="L62" s="106"/>
      <c r="M62" s="72" t="b">
        <f>IF(AND(NOT(I62),AND(I$4:I61)),TRUE,I62)</f>
        <v>0</v>
      </c>
      <c r="N62" s="34" t="e">
        <f>IF(AND(NOT(ISBLANK(Jumpoverwrite1)),AND(NOT(M62),AND(M$4:M61))),($J62*$G62-LN(1+Jumpoverwrite1*O$2))/$G62,_xll.qlInterpolationInterpolate(M$3,$F62,TRUE))</f>
        <v>#NUM!</v>
      </c>
      <c r="O62" s="34" t="str">
        <f>IF(AND(NOT(M62),AND(M$4:M61)),IF(N62&gt;$J62,MAX(EXP((N62-$J62)*$G62),1),MIN(EXP((N62-$J62)*$G62),1)),"")</f>
        <v/>
      </c>
      <c r="P62" s="108"/>
      <c r="Q62" s="72" t="b">
        <f>IF(AND(NOT(M62),AND(M$4:M61)),TRUE,M62)</f>
        <v>0</v>
      </c>
      <c r="R62" s="34" t="e">
        <f>IF(AND(NOT(ISBLANK(Jumpoverwrite2)),AND(NOT(Q62),AND(Q$4:Q61))),($J62*$G62-LN(1+Jumpoverwrite2*S$2))/$G62,_xll.qlInterpolationInterpolate(Q$3,$F62,TRUE))</f>
        <v>#NUM!</v>
      </c>
      <c r="S62" s="34" t="str">
        <f>IF(AND(NOT(Q62),AND(Q$4:Q61)),IF(R62&gt;$J62,MAX(EXP((R62-$J62)*$G62),1),MIN(EXP((R62-$J62)*$G62),1)),"")</f>
        <v/>
      </c>
      <c r="T62" s="108"/>
      <c r="U62" s="72" t="b">
        <f>IF(AND(NOT(Q62),AND(Q$4:Q61)),TRUE,Q62)</f>
        <v>0</v>
      </c>
      <c r="V62" s="34" t="e">
        <f>IF(AND(NOT(ISBLANK(Jumpoverwrite3)),AND(NOT(U62),AND(U$4:U61))),($J62*$G62-LN(1+Jumpoverwrite3*W$2))/$G62,_xll.qlInterpolationInterpolate(U$3,$F62,TRUE))</f>
        <v>#NUM!</v>
      </c>
      <c r="W62" s="34" t="str">
        <f>IF(AND(NOT(U62),AND(U$4:U61)),IF(V62&gt;$J62,MAX(EXP((V62-$J62)*$G62),1),MIN(EXP((V62-$J62)*$G62),1)),"")</f>
        <v/>
      </c>
      <c r="X62" s="108"/>
      <c r="Y62" s="72" t="b">
        <f>IF(AND(NOT(U62),AND(U$4:U61)),TRUE,U62)</f>
        <v>0</v>
      </c>
      <c r="Z62" s="34" t="e">
        <f>IF(AND(NOT(ISBLANK(Jumpoverwrite4)),AND(NOT(Y62),AND(Y$4:Y61))),($J62*$G62-LN(1+Jumpoverwrite4*AA$2))/$G62,_xll.qlInterpolationInterpolate(Y$3,$F62,TRUE))</f>
        <v>#NUM!</v>
      </c>
      <c r="AA62" s="34" t="str">
        <f>IF(AND(NOT(Y62),AND(Y$4:Y61)),IF(Z62&gt;$J62,MAX(EXP((Z62-$J62)*$G62),1),MIN(EXP((Z62-$J62)*$G62),1)),"")</f>
        <v/>
      </c>
      <c r="AB62" s="108"/>
      <c r="AC62" s="72" t="b">
        <f>IF(AND(NOT(Y62),AND(Y$4:Y61)),TRUE,Y62)</f>
        <v>0</v>
      </c>
      <c r="AD62" s="34" t="e">
        <f>IF(AND(NOT(ISBLANK(Jumpoverwrite5)),AND(NOT(AC62),AND(AC$4:AC61))),($J62*$G62-LN(1+Jumpoverwrite5*AE$2))/$G62,_xll.qlInterpolationInterpolate(AC$3,$F62,TRUE))</f>
        <v>#NUM!</v>
      </c>
      <c r="AE62" s="34" t="str">
        <f>IF(AND(NOT(AC62),AND(AC$4:AC61)),IF(AD62&gt;$J62,MAX(EXP((AD62-$J62)*$G62),1),MIN(EXP((AD62-$J62)*$G62),1)),"")</f>
        <v/>
      </c>
      <c r="AF62" s="108"/>
      <c r="AG62" s="72" t="b">
        <f>IF(AND(NOT(AC62),AND(AC$4:AC61)),TRUE,AC62)</f>
        <v>0</v>
      </c>
      <c r="AH62" s="34" t="e">
        <f>IF(AND(NOT(ISBLANK(Jumpoverwrite6)),AND(NOT(AG62),AND(AG$4:AG61))),($J62*$G62-LN(1+Jumpoverwrite6*AI$2))/$G62,_xll.qlInterpolationInterpolate(AG$3,$F62,TRUE))</f>
        <v>#NUM!</v>
      </c>
      <c r="AI62" s="34" t="str">
        <f>IF(AND(NOT(AG62),AND(AG$4:AG61)),IF(AH62&gt;$J62,MAX(EXP((AH62-$J62)*$G62),1),MIN(EXP((AH62-$J62)*$G62),1)),"")</f>
        <v/>
      </c>
      <c r="AJ62" s="108"/>
      <c r="AK62" s="72" t="b">
        <f>IF(AND(NOT(AG62),AND(AG$4:AG61)),TRUE,AG62)</f>
        <v>0</v>
      </c>
      <c r="AL62" s="34" t="e">
        <f>IF(AND(NOT(ISBLANK(Jumpoverwrite7)),AND(NOT(AK62),AND(AK$4:AK61))),($J62*$G62-LN(1+Jumpoverwrite7*AM$2))/$G62,_xll.qlInterpolationInterpolate(AK$3,$F62,TRUE))</f>
        <v>#NUM!</v>
      </c>
      <c r="AM62" s="34" t="str">
        <f>IF(AND(NOT(AK62),AND(AK$4:AK61)),IF(AL62&gt;$J62,MAX(EXP((AL62-$J62)*$G62),1),MIN(EXP((AL62-$J62)*$G62),1)),"")</f>
        <v/>
      </c>
      <c r="AO62" s="72" t="b">
        <f>IF(AND(NOT(AK62),AND(AK$4:AK61)),TRUE,AK62)</f>
        <v>0</v>
      </c>
      <c r="AP62" s="34" t="e">
        <f>IF(AND(NOT(ISBLANK(Jumpoverwrite8)),AND(NOT(AO62),AND(AO$4:AO61))),($J62*$G62-LN(1+Jumpoverwrite8*AQ$2))/$G62,_xll.qlInterpolationInterpolate(AO$3,$F62,TRUE))</f>
        <v>#NUM!</v>
      </c>
      <c r="AQ62" s="34" t="str">
        <f>IF(AND(NOT(AO62),AND(AO$4:AO61)),IF(AP62&gt;$J62,MAX(EXP((AP62-$J62)*$G62),1),MIN(EXP((AP62-$J62)*$G62),1)),"")</f>
        <v/>
      </c>
      <c r="AS62" s="72" t="b">
        <f>IF(AND(NOT(AO62),AND(AO$4:AO61)),TRUE,AO62)</f>
        <v>0</v>
      </c>
      <c r="AT62" s="34" t="e">
        <f>IF(AND(NOT(ISBLANK(Jumpoverwrite9)),AND(NOT(AS62),AND(AS$4:AS61))),($J62*$G62-LN(1+Jumpoverwrite9*AU$2))/$G62,_xll.qlInterpolationInterpolate(AS$3,$F62,TRUE))</f>
        <v>#NUM!</v>
      </c>
      <c r="AU62" s="34" t="str">
        <f>IF(AND(NOT(AS62),AND(AS$4:AS61)),IF(AT62&gt;$J62,MAX(EXP((AT62-$J62)*$G62),1),MIN(EXP((AT62-$J62)*$G62),1)),"")</f>
        <v/>
      </c>
      <c r="AW62" s="72" t="b">
        <f>IF(AND(NOT(AS62),AND(AS$4:AS61)),TRUE,AS62)</f>
        <v>0</v>
      </c>
      <c r="AX62" s="34" t="e">
        <f>IF(AND(NOT(ISBLANK(Jumpoverwrite10)),AND(NOT(AW62),AND(AW$4:AW61))),($J62*$G62-LN(1+Jumpoverwrite10*AY$2))/$G62,_xll.qlInterpolationInterpolate(AW$3,$F62,TRUE))</f>
        <v>#NUM!</v>
      </c>
      <c r="AY62" s="34" t="str">
        <f>IF(AND(NOT(AW62),AND(AW$4:AW61)),IF(AX62&gt;$J62,MAX(EXP((AX62-$J62)*$G62),1),MIN(EXP((AX62-$J62)*$G62),1)),"")</f>
        <v/>
      </c>
      <c r="BA62" s="72" t="b">
        <f>IF(AND(NOT(AW62),AND(AW$4:AW61)),TRUE,AW62)</f>
        <v>0</v>
      </c>
      <c r="BB62" s="34" t="e">
        <f>IF(AND(NOT(ISBLANK(Jumpoverwrite11)),AND(NOT(BA62),AND(BA$4:BA61))),($J62*$G62-LN(1+Jumpoverwrite11*BC$2))/$G62,_xll.qlInterpolationInterpolate(BA$3,$F62,TRUE))</f>
        <v>#NUM!</v>
      </c>
      <c r="BC62" s="34" t="str">
        <f>IF(AND(NOT(BA62),AND(BA$4:BA61)),IF(BB62&gt;$J62,MAX(EXP((BB62-$J62)*$G62),1),MIN(EXP((BB62-$J62)*$G62),1)),"")</f>
        <v/>
      </c>
      <c r="BE62" s="72" t="b">
        <f>IF(AND(NOT(BA62),AND(BA$4:BA61)),TRUE,BA62)</f>
        <v>0</v>
      </c>
      <c r="BF62" s="34" t="e">
        <f>IF(AND(NOT(ISBLANK(Jumpoverwrite12)),AND(NOT(BE62),AND(BE$4:BE61))),($J62*$G62-LN(1+Jumpoverwrite12*BG$2))/$G62,_xll.qlInterpolationInterpolate(BE$3,$F62,TRUE))</f>
        <v>#NUM!</v>
      </c>
      <c r="BG62" s="34" t="str">
        <f>IF(AND(NOT(BE62),AND(BE$4:BE61)),IF(BF62&gt;$J62,MAX(EXP((BF62-$J62)*$G62),1),MIN(EXP((BF62-$J62)*$G62),1)),"")</f>
        <v/>
      </c>
      <c r="BI62" s="72" t="b">
        <f t="shared" si="5"/>
        <v>0</v>
      </c>
      <c r="BJ62" s="34" t="e">
        <f>IF(AND(NOT(ISBLANK(jumpoverwrite13)),AND(NOT(BI62),AND(BI$4:BI61))),($J62*$G62-LN(1+jumpoverwrite13*BK$2))/$G62,_xll.qlInterpolationInterpolate(BI$3,$F62,TRUE))</f>
        <v>#NUM!</v>
      </c>
      <c r="BK62" s="34" t="str">
        <f>IF(AND(NOT(BI62),AND(BI$4:BI61)),IF(BJ62&gt;$J62,MAX(EXP((BJ62-$J62)*$G62),1),MIN(EXP((BJ62-$J62)*$G62),1)),"")</f>
        <v/>
      </c>
      <c r="BM62" s="72" t="b">
        <f>IF(AND(NOT(BI62),AND(BI$4:BI61)),TRUE,BI62)</f>
        <v>0</v>
      </c>
      <c r="BN62" s="175" t="e">
        <f>IF(AND(NOT(ISBLANK(Jumpoverwrite14)),AND(NOT(BM62),AND(BM$4:BM61))),($J62*$G62-LN(1+Jumpoverwrite14*BO$2))/$G62,_xll.qlInterpolationInterpolate(BM$3,$F62,TRUE))</f>
        <v>#NUM!</v>
      </c>
      <c r="BO62" s="34" t="str">
        <f>IF(AND(NOT(BM62),AND(BM$4:BM61)),IF(BM62&gt;$J62,MAX(EXP((BM62-$J62)*$G62),1),MIN(EXP((BM62-$J62)*$G62),1)),"")</f>
        <v/>
      </c>
    </row>
    <row r="63" spans="1:67" x14ac:dyDescent="0.2">
      <c r="A63" s="33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84" t="e">
        <f t="shared" si="4"/>
        <v>#N/A</v>
      </c>
      <c r="G63" s="85" t="e">
        <f>_xll.qlDayCounterYearFraction(DayCounter,D62,D63)</f>
        <v>#NUM!</v>
      </c>
      <c r="I63" s="93" t="b">
        <f t="shared" si="2"/>
        <v>0</v>
      </c>
      <c r="J63" s="37" t="e">
        <v>#N/A</v>
      </c>
      <c r="K63" s="94" t="e">
        <f t="shared" si="3"/>
        <v>#VALUE!</v>
      </c>
      <c r="L63" s="106"/>
      <c r="M63" s="72" t="b">
        <f>IF(AND(NOT(I63),AND(I$4:I62)),TRUE,I63)</f>
        <v>0</v>
      </c>
      <c r="N63" s="34" t="e">
        <f>IF(AND(NOT(ISBLANK(Jumpoverwrite1)),AND(NOT(M63),AND(M$4:M62))),($J63*$G63-LN(1+Jumpoverwrite1*O$2))/$G63,_xll.qlInterpolationInterpolate(M$3,$F63,TRUE))</f>
        <v>#NUM!</v>
      </c>
      <c r="O63" s="34" t="str">
        <f>IF(AND(NOT(M63),AND(M$4:M62)),IF(N63&gt;$J63,MAX(EXP((N63-$J63)*$G63),1),MIN(EXP((N63-$J63)*$G63),1)),"")</f>
        <v/>
      </c>
      <c r="P63" s="108"/>
      <c r="Q63" s="72" t="b">
        <f>IF(AND(NOT(M63),AND(M$4:M62)),TRUE,M63)</f>
        <v>0</v>
      </c>
      <c r="R63" s="34" t="e">
        <f>IF(AND(NOT(ISBLANK(Jumpoverwrite2)),AND(NOT(Q63),AND(Q$4:Q62))),($J63*$G63-LN(1+Jumpoverwrite2*S$2))/$G63,_xll.qlInterpolationInterpolate(Q$3,$F63,TRUE))</f>
        <v>#NUM!</v>
      </c>
      <c r="S63" s="34" t="str">
        <f>IF(AND(NOT(Q63),AND(Q$4:Q62)),IF(R63&gt;$J63,MAX(EXP((R63-$J63)*$G63),1),MIN(EXP((R63-$J63)*$G63),1)),"")</f>
        <v/>
      </c>
      <c r="T63" s="108"/>
      <c r="U63" s="72" t="b">
        <f>IF(AND(NOT(Q63),AND(Q$4:Q62)),TRUE,Q63)</f>
        <v>0</v>
      </c>
      <c r="V63" s="34" t="e">
        <f>IF(AND(NOT(ISBLANK(Jumpoverwrite3)),AND(NOT(U63),AND(U$4:U62))),($J63*$G63-LN(1+Jumpoverwrite3*W$2))/$G63,_xll.qlInterpolationInterpolate(U$3,$F63,TRUE))</f>
        <v>#NUM!</v>
      </c>
      <c r="W63" s="34" t="str">
        <f>IF(AND(NOT(U63),AND(U$4:U62)),IF(V63&gt;$J63,MAX(EXP((V63-$J63)*$G63),1),MIN(EXP((V63-$J63)*$G63),1)),"")</f>
        <v/>
      </c>
      <c r="X63" s="108"/>
      <c r="Y63" s="72" t="b">
        <f>IF(AND(NOT(U63),AND(U$4:U62)),TRUE,U63)</f>
        <v>0</v>
      </c>
      <c r="Z63" s="34" t="e">
        <f>IF(AND(NOT(ISBLANK(Jumpoverwrite4)),AND(NOT(Y63),AND(Y$4:Y62))),($J63*$G63-LN(1+Jumpoverwrite4*AA$2))/$G63,_xll.qlInterpolationInterpolate(Y$3,$F63,TRUE))</f>
        <v>#NUM!</v>
      </c>
      <c r="AA63" s="34" t="str">
        <f>IF(AND(NOT(Y63),AND(Y$4:Y62)),IF(Z63&gt;$J63,MAX(EXP((Z63-$J63)*$G63),1),MIN(EXP((Z63-$J63)*$G63),1)),"")</f>
        <v/>
      </c>
      <c r="AB63" s="108"/>
      <c r="AC63" s="72" t="b">
        <f>IF(AND(NOT(Y63),AND(Y$4:Y62)),TRUE,Y63)</f>
        <v>0</v>
      </c>
      <c r="AD63" s="34" t="e">
        <f>IF(AND(NOT(ISBLANK(Jumpoverwrite5)),AND(NOT(AC63),AND(AC$4:AC62))),($J63*$G63-LN(1+Jumpoverwrite5*AE$2))/$G63,_xll.qlInterpolationInterpolate(AC$3,$F63,TRUE))</f>
        <v>#NUM!</v>
      </c>
      <c r="AE63" s="34" t="str">
        <f>IF(AND(NOT(AC63),AND(AC$4:AC62)),IF(AD63&gt;$J63,MAX(EXP((AD63-$J63)*$G63),1),MIN(EXP((AD63-$J63)*$G63),1)),"")</f>
        <v/>
      </c>
      <c r="AF63" s="108"/>
      <c r="AG63" s="72" t="b">
        <f>IF(AND(NOT(AC63),AND(AC$4:AC62)),TRUE,AC63)</f>
        <v>0</v>
      </c>
      <c r="AH63" s="34" t="e">
        <f>IF(AND(NOT(ISBLANK(Jumpoverwrite6)),AND(NOT(AG63),AND(AG$4:AG62))),($J63*$G63-LN(1+Jumpoverwrite6*AI$2))/$G63,_xll.qlInterpolationInterpolate(AG$3,$F63,TRUE))</f>
        <v>#NUM!</v>
      </c>
      <c r="AI63" s="34" t="str">
        <f>IF(AND(NOT(AG63),AND(AG$4:AG62)),IF(AH63&gt;$J63,MAX(EXP((AH63-$J63)*$G63),1),MIN(EXP((AH63-$J63)*$G63),1)),"")</f>
        <v/>
      </c>
      <c r="AJ63" s="108"/>
      <c r="AK63" s="72" t="b">
        <f>IF(AND(NOT(AG63),AND(AG$4:AG62)),TRUE,AG63)</f>
        <v>0</v>
      </c>
      <c r="AL63" s="34" t="e">
        <f>IF(AND(NOT(ISBLANK(Jumpoverwrite7)),AND(NOT(AK63),AND(AK$4:AK62))),($J63*$G63-LN(1+Jumpoverwrite7*AM$2))/$G63,_xll.qlInterpolationInterpolate(AK$3,$F63,TRUE))</f>
        <v>#NUM!</v>
      </c>
      <c r="AM63" s="34" t="str">
        <f>IF(AND(NOT(AK63),AND(AK$4:AK62)),IF(AL63&gt;$J63,MAX(EXP((AL63-$J63)*$G63),1),MIN(EXP((AL63-$J63)*$G63),1)),"")</f>
        <v/>
      </c>
      <c r="AO63" s="72" t="b">
        <f>IF(AND(NOT(AK63),AND(AK$4:AK62)),TRUE,AK63)</f>
        <v>0</v>
      </c>
      <c r="AP63" s="34" t="e">
        <f>IF(AND(NOT(ISBLANK(Jumpoverwrite8)),AND(NOT(AO63),AND(AO$4:AO62))),($J63*$G63-LN(1+Jumpoverwrite8*AQ$2))/$G63,_xll.qlInterpolationInterpolate(AO$3,$F63,TRUE))</f>
        <v>#NUM!</v>
      </c>
      <c r="AQ63" s="34" t="str">
        <f>IF(AND(NOT(AO63),AND(AO$4:AO62)),IF(AP63&gt;$J63,MAX(EXP((AP63-$J63)*$G63),1),MIN(EXP((AP63-$J63)*$G63),1)),"")</f>
        <v/>
      </c>
      <c r="AS63" s="72" t="b">
        <f>IF(AND(NOT(AO63),AND(AO$4:AO62)),TRUE,AO63)</f>
        <v>0</v>
      </c>
      <c r="AT63" s="34" t="e">
        <f>IF(AND(NOT(ISBLANK(Jumpoverwrite9)),AND(NOT(AS63),AND(AS$4:AS62))),($J63*$G63-LN(1+Jumpoverwrite9*AU$2))/$G63,_xll.qlInterpolationInterpolate(AS$3,$F63,TRUE))</f>
        <v>#NUM!</v>
      </c>
      <c r="AU63" s="34" t="str">
        <f>IF(AND(NOT(AS63),AND(AS$4:AS62)),IF(AT63&gt;$J63,MAX(EXP((AT63-$J63)*$G63),1),MIN(EXP((AT63-$J63)*$G63),1)),"")</f>
        <v/>
      </c>
      <c r="AW63" s="72" t="b">
        <f>IF(AND(NOT(AS63),AND(AS$4:AS62)),TRUE,AS63)</f>
        <v>0</v>
      </c>
      <c r="AX63" s="34" t="e">
        <f>IF(AND(NOT(ISBLANK(Jumpoverwrite10)),AND(NOT(AW63),AND(AW$4:AW62))),($J63*$G63-LN(1+Jumpoverwrite10*AY$2))/$G63,_xll.qlInterpolationInterpolate(AW$3,$F63,TRUE))</f>
        <v>#NUM!</v>
      </c>
      <c r="AY63" s="34" t="str">
        <f>IF(AND(NOT(AW63),AND(AW$4:AW62)),IF(AX63&gt;$J63,MAX(EXP((AX63-$J63)*$G63),1),MIN(EXP((AX63-$J63)*$G63),1)),"")</f>
        <v/>
      </c>
      <c r="BA63" s="72" t="b">
        <f>IF(AND(NOT(AW63),AND(AW$4:AW62)),TRUE,AW63)</f>
        <v>0</v>
      </c>
      <c r="BB63" s="34" t="e">
        <f>IF(AND(NOT(ISBLANK(Jumpoverwrite11)),AND(NOT(BA63),AND(BA$4:BA62))),($J63*$G63-LN(1+Jumpoverwrite11*BC$2))/$G63,_xll.qlInterpolationInterpolate(BA$3,$F63,TRUE))</f>
        <v>#NUM!</v>
      </c>
      <c r="BC63" s="34" t="str">
        <f>IF(AND(NOT(BA63),AND(BA$4:BA62)),IF(BB63&gt;$J63,MAX(EXP((BB63-$J63)*$G63),1),MIN(EXP((BB63-$J63)*$G63),1)),"")</f>
        <v/>
      </c>
      <c r="BE63" s="72" t="b">
        <f>IF(AND(NOT(BA63),AND(BA$4:BA62)),TRUE,BA63)</f>
        <v>0</v>
      </c>
      <c r="BF63" s="34" t="e">
        <f>IF(AND(NOT(ISBLANK(Jumpoverwrite12)),AND(NOT(BE63),AND(BE$4:BE62))),($J63*$G63-LN(1+Jumpoverwrite12*BG$2))/$G63,_xll.qlInterpolationInterpolate(BE$3,$F63,TRUE))</f>
        <v>#NUM!</v>
      </c>
      <c r="BG63" s="34" t="str">
        <f>IF(AND(NOT(BE63),AND(BE$4:BE62)),IF(BF63&gt;$J63,MAX(EXP((BF63-$J63)*$G63),1),MIN(EXP((BF63-$J63)*$G63),1)),"")</f>
        <v/>
      </c>
      <c r="BI63" s="72" t="b">
        <f t="shared" si="5"/>
        <v>0</v>
      </c>
      <c r="BJ63" s="34" t="e">
        <f>IF(AND(NOT(ISBLANK(jumpoverwrite13)),AND(NOT(BI63),AND(BI$4:BI62))),($J63*$G63-LN(1+jumpoverwrite13*BK$2))/$G63,_xll.qlInterpolationInterpolate(BI$3,$F63,TRUE))</f>
        <v>#NUM!</v>
      </c>
      <c r="BK63" s="34" t="str">
        <f>IF(AND(NOT(BI63),AND(BI$4:BI62)),IF(BJ63&gt;$J63,MAX(EXP((BJ63-$J63)*$G63),1),MIN(EXP((BJ63-$J63)*$G63),1)),"")</f>
        <v/>
      </c>
      <c r="BM63" s="72" t="b">
        <f>IF(AND(NOT(BI63),AND(BI$4:BI62)),TRUE,BI63)</f>
        <v>0</v>
      </c>
      <c r="BN63" s="175" t="e">
        <f>IF(AND(NOT(ISBLANK(Jumpoverwrite14)),AND(NOT(BM63),AND(BM$4:BM62))),($J63*$G63-LN(1+Jumpoverwrite14*BO$2))/$G63,_xll.qlInterpolationInterpolate(BM$3,$F63,TRUE))</f>
        <v>#NUM!</v>
      </c>
      <c r="BO63" s="34" t="str">
        <f>IF(AND(NOT(BM63),AND(BM$4:BM62)),IF(BM63&gt;$J63,MAX(EXP((BM63-$J63)*$G63),1),MIN(EXP((BM63-$J63)*$G63),1)),"")</f>
        <v/>
      </c>
    </row>
    <row r="64" spans="1:67" x14ac:dyDescent="0.2">
      <c r="A64" s="33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84" t="e">
        <f t="shared" si="4"/>
        <v>#N/A</v>
      </c>
      <c r="G64" s="85" t="e">
        <f>_xll.qlDayCounterYearFraction(DayCounter,D63,D64)</f>
        <v>#NUM!</v>
      </c>
      <c r="I64" s="93" t="b">
        <f t="shared" si="2"/>
        <v>0</v>
      </c>
      <c r="J64" s="37" t="e">
        <v>#N/A</v>
      </c>
      <c r="K64" s="94" t="e">
        <f t="shared" si="3"/>
        <v>#VALUE!</v>
      </c>
      <c r="L64" s="106"/>
      <c r="M64" s="72" t="b">
        <f>IF(AND(NOT(I64),AND(I$4:I63)),TRUE,I64)</f>
        <v>0</v>
      </c>
      <c r="N64" s="34" t="e">
        <f>IF(AND(NOT(ISBLANK(Jumpoverwrite1)),AND(NOT(M64),AND(M$4:M63))),($J64*$G64-LN(1+Jumpoverwrite1*O$2))/$G64,_xll.qlInterpolationInterpolate(M$3,$F64,TRUE))</f>
        <v>#NUM!</v>
      </c>
      <c r="O64" s="34" t="str">
        <f>IF(AND(NOT(M64),AND(M$4:M63)),IF(N64&gt;$J64,MAX(EXP((N64-$J64)*$G64),1),MIN(EXP((N64-$J64)*$G64),1)),"")</f>
        <v/>
      </c>
      <c r="P64" s="108"/>
      <c r="Q64" s="72" t="b">
        <f>IF(AND(NOT(M64),AND(M$4:M63)),TRUE,M64)</f>
        <v>0</v>
      </c>
      <c r="R64" s="34" t="e">
        <f>IF(AND(NOT(ISBLANK(Jumpoverwrite2)),AND(NOT(Q64),AND(Q$4:Q63))),($J64*$G64-LN(1+Jumpoverwrite2*S$2))/$G64,_xll.qlInterpolationInterpolate(Q$3,$F64,TRUE))</f>
        <v>#NUM!</v>
      </c>
      <c r="S64" s="34" t="str">
        <f>IF(AND(NOT(Q64),AND(Q$4:Q63)),IF(R64&gt;$J64,MAX(EXP((R64-$J64)*$G64),1),MIN(EXP((R64-$J64)*$G64),1)),"")</f>
        <v/>
      </c>
      <c r="T64" s="108"/>
      <c r="U64" s="72" t="b">
        <f>IF(AND(NOT(Q64),AND(Q$4:Q63)),TRUE,Q64)</f>
        <v>0</v>
      </c>
      <c r="V64" s="34" t="e">
        <f>IF(AND(NOT(ISBLANK(Jumpoverwrite3)),AND(NOT(U64),AND(U$4:U63))),($J64*$G64-LN(1+Jumpoverwrite3*W$2))/$G64,_xll.qlInterpolationInterpolate(U$3,$F64,TRUE))</f>
        <v>#NUM!</v>
      </c>
      <c r="W64" s="34" t="str">
        <f>IF(AND(NOT(U64),AND(U$4:U63)),IF(V64&gt;$J64,MAX(EXP((V64-$J64)*$G64),1),MIN(EXP((V64-$J64)*$G64),1)),"")</f>
        <v/>
      </c>
      <c r="X64" s="108"/>
      <c r="Y64" s="72" t="b">
        <f>IF(AND(NOT(U64),AND(U$4:U63)),TRUE,U64)</f>
        <v>0</v>
      </c>
      <c r="Z64" s="34" t="e">
        <f>IF(AND(NOT(ISBLANK(Jumpoverwrite4)),AND(NOT(Y64),AND(Y$4:Y63))),($J64*$G64-LN(1+Jumpoverwrite4*AA$2))/$G64,_xll.qlInterpolationInterpolate(Y$3,$F64,TRUE))</f>
        <v>#NUM!</v>
      </c>
      <c r="AA64" s="34" t="str">
        <f>IF(AND(NOT(Y64),AND(Y$4:Y63)),IF(Z64&gt;$J64,MAX(EXP((Z64-$J64)*$G64),1),MIN(EXP((Z64-$J64)*$G64),1)),"")</f>
        <v/>
      </c>
      <c r="AB64" s="108"/>
      <c r="AC64" s="72" t="b">
        <f>IF(AND(NOT(Y64),AND(Y$4:Y63)),TRUE,Y64)</f>
        <v>0</v>
      </c>
      <c r="AD64" s="34" t="e">
        <f>IF(AND(NOT(ISBLANK(Jumpoverwrite5)),AND(NOT(AC64),AND(AC$4:AC63))),($J64*$G64-LN(1+Jumpoverwrite5*AE$2))/$G64,_xll.qlInterpolationInterpolate(AC$3,$F64,TRUE))</f>
        <v>#NUM!</v>
      </c>
      <c r="AE64" s="34" t="str">
        <f>IF(AND(NOT(AC64),AND(AC$4:AC63)),IF(AD64&gt;$J64,MAX(EXP((AD64-$J64)*$G64),1),MIN(EXP((AD64-$J64)*$G64),1)),"")</f>
        <v/>
      </c>
      <c r="AF64" s="108"/>
      <c r="AG64" s="72" t="b">
        <f>IF(AND(NOT(AC64),AND(AC$4:AC63)),TRUE,AC64)</f>
        <v>0</v>
      </c>
      <c r="AH64" s="34" t="e">
        <f>IF(AND(NOT(ISBLANK(Jumpoverwrite6)),AND(NOT(AG64),AND(AG$4:AG63))),($J64*$G64-LN(1+Jumpoverwrite6*AI$2))/$G64,_xll.qlInterpolationInterpolate(AG$3,$F64,TRUE))</f>
        <v>#NUM!</v>
      </c>
      <c r="AI64" s="34" t="str">
        <f>IF(AND(NOT(AG64),AND(AG$4:AG63)),IF(AH64&gt;$J64,MAX(EXP((AH64-$J64)*$G64),1),MIN(EXP((AH64-$J64)*$G64),1)),"")</f>
        <v/>
      </c>
      <c r="AJ64" s="108"/>
      <c r="AK64" s="72" t="b">
        <f>IF(AND(NOT(AG64),AND(AG$4:AG63)),TRUE,AG64)</f>
        <v>0</v>
      </c>
      <c r="AL64" s="34" t="e">
        <f>IF(AND(NOT(ISBLANK(Jumpoverwrite7)),AND(NOT(AK64),AND(AK$4:AK63))),($J64*$G64-LN(1+Jumpoverwrite7*AM$2))/$G64,_xll.qlInterpolationInterpolate(AK$3,$F64,TRUE))</f>
        <v>#NUM!</v>
      </c>
      <c r="AM64" s="34" t="str">
        <f>IF(AND(NOT(AK64),AND(AK$4:AK63)),IF(AL64&gt;$J64,MAX(EXP((AL64-$J64)*$G64),1),MIN(EXP((AL64-$J64)*$G64),1)),"")</f>
        <v/>
      </c>
      <c r="AO64" s="72" t="b">
        <f>IF(AND(NOT(AK64),AND(AK$4:AK63)),TRUE,AK64)</f>
        <v>0</v>
      </c>
      <c r="AP64" s="34" t="e">
        <f>IF(AND(NOT(ISBLANK(Jumpoverwrite8)),AND(NOT(AO64),AND(AO$4:AO63))),($J64*$G64-LN(1+Jumpoverwrite8*AQ$2))/$G64,_xll.qlInterpolationInterpolate(AO$3,$F64,TRUE))</f>
        <v>#NUM!</v>
      </c>
      <c r="AQ64" s="34" t="str">
        <f>IF(AND(NOT(AO64),AND(AO$4:AO63)),IF(AP64&gt;$J64,MAX(EXP((AP64-$J64)*$G64),1),MIN(EXP((AP64-$J64)*$G64),1)),"")</f>
        <v/>
      </c>
      <c r="AS64" s="72" t="b">
        <f>IF(AND(NOT(AO64),AND(AO$4:AO63)),TRUE,AO64)</f>
        <v>0</v>
      </c>
      <c r="AT64" s="34" t="e">
        <f>IF(AND(NOT(ISBLANK(Jumpoverwrite9)),AND(NOT(AS64),AND(AS$4:AS63))),($J64*$G64-LN(1+Jumpoverwrite9*AU$2))/$G64,_xll.qlInterpolationInterpolate(AS$3,$F64,TRUE))</f>
        <v>#NUM!</v>
      </c>
      <c r="AU64" s="34" t="str">
        <f>IF(AND(NOT(AS64),AND(AS$4:AS63)),IF(AT64&gt;$J64,MAX(EXP((AT64-$J64)*$G64),1),MIN(EXP((AT64-$J64)*$G64),1)),"")</f>
        <v/>
      </c>
      <c r="AW64" s="72" t="b">
        <f>IF(AND(NOT(AS64),AND(AS$4:AS63)),TRUE,AS64)</f>
        <v>0</v>
      </c>
      <c r="AX64" s="34" t="e">
        <f>IF(AND(NOT(ISBLANK(Jumpoverwrite10)),AND(NOT(AW64),AND(AW$4:AW63))),($J64*$G64-LN(1+Jumpoverwrite10*AY$2))/$G64,_xll.qlInterpolationInterpolate(AW$3,$F64,TRUE))</f>
        <v>#NUM!</v>
      </c>
      <c r="AY64" s="34" t="str">
        <f>IF(AND(NOT(AW64),AND(AW$4:AW63)),IF(AX64&gt;$J64,MAX(EXP((AX64-$J64)*$G64),1),MIN(EXP((AX64-$J64)*$G64),1)),"")</f>
        <v/>
      </c>
      <c r="BA64" s="72" t="b">
        <f>IF(AND(NOT(AW64),AND(AW$4:AW63)),TRUE,AW64)</f>
        <v>0</v>
      </c>
      <c r="BB64" s="34" t="e">
        <f>IF(AND(NOT(ISBLANK(Jumpoverwrite11)),AND(NOT(BA64),AND(BA$4:BA63))),($J64*$G64-LN(1+Jumpoverwrite11*BC$2))/$G64,_xll.qlInterpolationInterpolate(BA$3,$F64,TRUE))</f>
        <v>#NUM!</v>
      </c>
      <c r="BC64" s="34" t="str">
        <f>IF(AND(NOT(BA64),AND(BA$4:BA63)),IF(BB64&gt;$J64,MAX(EXP((BB64-$J64)*$G64),1),MIN(EXP((BB64-$J64)*$G64),1)),"")</f>
        <v/>
      </c>
      <c r="BE64" s="72" t="b">
        <f>IF(AND(NOT(BA64),AND(BA$4:BA63)),TRUE,BA64)</f>
        <v>0</v>
      </c>
      <c r="BF64" s="34" t="e">
        <f>IF(AND(NOT(ISBLANK(Jumpoverwrite12)),AND(NOT(BE64),AND(BE$4:BE63))),($J64*$G64-LN(1+Jumpoverwrite12*BG$2))/$G64,_xll.qlInterpolationInterpolate(BE$3,$F64,TRUE))</f>
        <v>#NUM!</v>
      </c>
      <c r="BG64" s="34" t="str">
        <f>IF(AND(NOT(BE64),AND(BE$4:BE63)),IF(BF64&gt;$J64,MAX(EXP((BF64-$J64)*$G64),1),MIN(EXP((BF64-$J64)*$G64),1)),"")</f>
        <v/>
      </c>
      <c r="BI64" s="72" t="b">
        <f t="shared" si="5"/>
        <v>0</v>
      </c>
      <c r="BJ64" s="34" t="e">
        <f>IF(AND(NOT(ISBLANK(jumpoverwrite13)),AND(NOT(BI64),AND(BI$4:BI63))),($J64*$G64-LN(1+jumpoverwrite13*BK$2))/$G64,_xll.qlInterpolationInterpolate(BI$3,$F64,TRUE))</f>
        <v>#NUM!</v>
      </c>
      <c r="BK64" s="34" t="str">
        <f>IF(AND(NOT(BI64),AND(BI$4:BI63)),IF(BJ64&gt;$J64,MAX(EXP((BJ64-$J64)*$G64),1),MIN(EXP((BJ64-$J64)*$G64),1)),"")</f>
        <v/>
      </c>
      <c r="BM64" s="72" t="b">
        <f>IF(AND(NOT(BI64),AND(BI$4:BI63)),TRUE,BI64)</f>
        <v>0</v>
      </c>
      <c r="BN64" s="175" t="e">
        <f>IF(AND(NOT(ISBLANK(Jumpoverwrite14)),AND(NOT(BM64),AND(BM$4:BM63))),($J64*$G64-LN(1+Jumpoverwrite14*BO$2))/$G64,_xll.qlInterpolationInterpolate(BM$3,$F64,TRUE))</f>
        <v>#NUM!</v>
      </c>
      <c r="BO64" s="34" t="str">
        <f>IF(AND(NOT(BM64),AND(BM$4:BM63)),IF(BM64&gt;$J64,MAX(EXP((BM64-$J64)*$G64),1),MIN(EXP((BM64-$J64)*$G64),1)),"")</f>
        <v/>
      </c>
    </row>
    <row r="65" spans="1:67" x14ac:dyDescent="0.2">
      <c r="A65" s="33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84" t="e">
        <f t="shared" si="4"/>
        <v>#N/A</v>
      </c>
      <c r="G65" s="85" t="e">
        <f>_xll.qlDayCounterYearFraction(DayCounter,D64,D65)</f>
        <v>#NUM!</v>
      </c>
      <c r="I65" s="93" t="b">
        <f t="shared" si="2"/>
        <v>0</v>
      </c>
      <c r="J65" s="37" t="e">
        <v>#N/A</v>
      </c>
      <c r="K65" s="94" t="e">
        <f t="shared" si="3"/>
        <v>#VALUE!</v>
      </c>
      <c r="L65" s="106"/>
      <c r="M65" s="72" t="b">
        <f>IF(AND(NOT(I65),AND(I$4:I64)),TRUE,I65)</f>
        <v>0</v>
      </c>
      <c r="N65" s="34" t="e">
        <f>IF(AND(NOT(ISBLANK(Jumpoverwrite1)),AND(NOT(M65),AND(M$4:M64))),($J65*$G65-LN(1+Jumpoverwrite1*O$2))/$G65,_xll.qlInterpolationInterpolate(M$3,$F65,TRUE))</f>
        <v>#NUM!</v>
      </c>
      <c r="O65" s="34" t="str">
        <f>IF(AND(NOT(M65),AND(M$4:M64)),IF(N65&gt;$J65,MAX(EXP((N65-$J65)*$G65),1),MIN(EXP((N65-$J65)*$G65),1)),"")</f>
        <v/>
      </c>
      <c r="P65" s="108"/>
      <c r="Q65" s="72" t="b">
        <f>IF(AND(NOT(M65),AND(M$4:M64)),TRUE,M65)</f>
        <v>0</v>
      </c>
      <c r="R65" s="34" t="e">
        <f>IF(AND(NOT(ISBLANK(Jumpoverwrite2)),AND(NOT(Q65),AND(Q$4:Q64))),($J65*$G65-LN(1+Jumpoverwrite2*S$2))/$G65,_xll.qlInterpolationInterpolate(Q$3,$F65,TRUE))</f>
        <v>#NUM!</v>
      </c>
      <c r="S65" s="34" t="str">
        <f>IF(AND(NOT(Q65),AND(Q$4:Q64)),IF(R65&gt;$J65,MAX(EXP((R65-$J65)*$G65),1),MIN(EXP((R65-$J65)*$G65),1)),"")</f>
        <v/>
      </c>
      <c r="T65" s="108"/>
      <c r="U65" s="72" t="b">
        <f>IF(AND(NOT(Q65),AND(Q$4:Q64)),TRUE,Q65)</f>
        <v>0</v>
      </c>
      <c r="V65" s="34" t="e">
        <f>IF(AND(NOT(ISBLANK(Jumpoverwrite3)),AND(NOT(U65),AND(U$4:U64))),($J65*$G65-LN(1+Jumpoverwrite3*W$2))/$G65,_xll.qlInterpolationInterpolate(U$3,$F65,TRUE))</f>
        <v>#NUM!</v>
      </c>
      <c r="W65" s="34" t="str">
        <f>IF(AND(NOT(U65),AND(U$4:U64)),IF(V65&gt;$J65,MAX(EXP((V65-$J65)*$G65),1),MIN(EXP((V65-$J65)*$G65),1)),"")</f>
        <v/>
      </c>
      <c r="X65" s="108"/>
      <c r="Y65" s="72" t="b">
        <f>IF(AND(NOT(U65),AND(U$4:U64)),TRUE,U65)</f>
        <v>0</v>
      </c>
      <c r="Z65" s="34" t="e">
        <f>IF(AND(NOT(ISBLANK(Jumpoverwrite4)),AND(NOT(Y65),AND(Y$4:Y64))),($J65*$G65-LN(1+Jumpoverwrite4*AA$2))/$G65,_xll.qlInterpolationInterpolate(Y$3,$F65,TRUE))</f>
        <v>#NUM!</v>
      </c>
      <c r="AA65" s="34" t="str">
        <f>IF(AND(NOT(Y65),AND(Y$4:Y64)),IF(Z65&gt;$J65,MAX(EXP((Z65-$J65)*$G65),1),MIN(EXP((Z65-$J65)*$G65),1)),"")</f>
        <v/>
      </c>
      <c r="AB65" s="108"/>
      <c r="AC65" s="72" t="b">
        <f>IF(AND(NOT(Y65),AND(Y$4:Y64)),TRUE,Y65)</f>
        <v>0</v>
      </c>
      <c r="AD65" s="34" t="e">
        <f>IF(AND(NOT(ISBLANK(Jumpoverwrite5)),AND(NOT(AC65),AND(AC$4:AC64))),($J65*$G65-LN(1+Jumpoverwrite5*AE$2))/$G65,_xll.qlInterpolationInterpolate(AC$3,$F65,TRUE))</f>
        <v>#NUM!</v>
      </c>
      <c r="AE65" s="34" t="str">
        <f>IF(AND(NOT(AC65),AND(AC$4:AC64)),IF(AD65&gt;$J65,MAX(EXP((AD65-$J65)*$G65),1),MIN(EXP((AD65-$J65)*$G65),1)),"")</f>
        <v/>
      </c>
      <c r="AF65" s="108"/>
      <c r="AG65" s="72" t="b">
        <f>IF(AND(NOT(AC65),AND(AC$4:AC64)),TRUE,AC65)</f>
        <v>0</v>
      </c>
      <c r="AH65" s="34" t="e">
        <f>IF(AND(NOT(ISBLANK(Jumpoverwrite6)),AND(NOT(AG65),AND(AG$4:AG64))),($J65*$G65-LN(1+Jumpoverwrite6*AI$2))/$G65,_xll.qlInterpolationInterpolate(AG$3,$F65,TRUE))</f>
        <v>#NUM!</v>
      </c>
      <c r="AI65" s="34" t="str">
        <f>IF(AND(NOT(AG65),AND(AG$4:AG64)),IF(AH65&gt;$J65,MAX(EXP((AH65-$J65)*$G65),1),MIN(EXP((AH65-$J65)*$G65),1)),"")</f>
        <v/>
      </c>
      <c r="AJ65" s="108"/>
      <c r="AK65" s="72" t="b">
        <f>IF(AND(NOT(AG65),AND(AG$4:AG64)),TRUE,AG65)</f>
        <v>0</v>
      </c>
      <c r="AL65" s="34" t="e">
        <f>IF(AND(NOT(ISBLANK(Jumpoverwrite7)),AND(NOT(AK65),AND(AK$4:AK64))),($J65*$G65-LN(1+Jumpoverwrite7*AM$2))/$G65,_xll.qlInterpolationInterpolate(AK$3,$F65,TRUE))</f>
        <v>#NUM!</v>
      </c>
      <c r="AM65" s="34" t="str">
        <f>IF(AND(NOT(AK65),AND(AK$4:AK64)),IF(AL65&gt;$J65,MAX(EXP((AL65-$J65)*$G65),1),MIN(EXP((AL65-$J65)*$G65),1)),"")</f>
        <v/>
      </c>
      <c r="AO65" s="72" t="b">
        <f>IF(AND(NOT(AK65),AND(AK$4:AK64)),TRUE,AK65)</f>
        <v>0</v>
      </c>
      <c r="AP65" s="34" t="e">
        <f>IF(AND(NOT(ISBLANK(Jumpoverwrite8)),AND(NOT(AO65),AND(AO$4:AO64))),($J65*$G65-LN(1+Jumpoverwrite8*AQ$2))/$G65,_xll.qlInterpolationInterpolate(AO$3,$F65,TRUE))</f>
        <v>#NUM!</v>
      </c>
      <c r="AQ65" s="34" t="str">
        <f>IF(AND(NOT(AO65),AND(AO$4:AO64)),IF(AP65&gt;$J65,MAX(EXP((AP65-$J65)*$G65),1),MIN(EXP((AP65-$J65)*$G65),1)),"")</f>
        <v/>
      </c>
      <c r="AS65" s="72" t="b">
        <f>IF(AND(NOT(AO65),AND(AO$4:AO64)),TRUE,AO65)</f>
        <v>0</v>
      </c>
      <c r="AT65" s="34" t="e">
        <f>IF(AND(NOT(ISBLANK(Jumpoverwrite9)),AND(NOT(AS65),AND(AS$4:AS64))),($J65*$G65-LN(1+Jumpoverwrite9*AU$2))/$G65,_xll.qlInterpolationInterpolate(AS$3,$F65,TRUE))</f>
        <v>#NUM!</v>
      </c>
      <c r="AU65" s="34" t="str">
        <f>IF(AND(NOT(AS65),AND(AS$4:AS64)),IF(AT65&gt;$J65,MAX(EXP((AT65-$J65)*$G65),1),MIN(EXP((AT65-$J65)*$G65),1)),"")</f>
        <v/>
      </c>
      <c r="AW65" s="72" t="b">
        <f>IF(AND(NOT(AS65),AND(AS$4:AS64)),TRUE,AS65)</f>
        <v>0</v>
      </c>
      <c r="AX65" s="34" t="e">
        <f>IF(AND(NOT(ISBLANK(Jumpoverwrite10)),AND(NOT(AW65),AND(AW$4:AW64))),($J65*$G65-LN(1+Jumpoverwrite10*AY$2))/$G65,_xll.qlInterpolationInterpolate(AW$3,$F65,TRUE))</f>
        <v>#NUM!</v>
      </c>
      <c r="AY65" s="34" t="str">
        <f>IF(AND(NOT(AW65),AND(AW$4:AW64)),IF(AX65&gt;$J65,MAX(EXP((AX65-$J65)*$G65),1),MIN(EXP((AX65-$J65)*$G65),1)),"")</f>
        <v/>
      </c>
      <c r="BA65" s="72" t="b">
        <f>IF(AND(NOT(AW65),AND(AW$4:AW64)),TRUE,AW65)</f>
        <v>0</v>
      </c>
      <c r="BB65" s="34" t="e">
        <f>IF(AND(NOT(ISBLANK(Jumpoverwrite11)),AND(NOT(BA65),AND(BA$4:BA64))),($J65*$G65-LN(1+Jumpoverwrite11*BC$2))/$G65,_xll.qlInterpolationInterpolate(BA$3,$F65,TRUE))</f>
        <v>#NUM!</v>
      </c>
      <c r="BC65" s="34" t="str">
        <f>IF(AND(NOT(BA65),AND(BA$4:BA64)),IF(BB65&gt;$J65,MAX(EXP((BB65-$J65)*$G65),1),MIN(EXP((BB65-$J65)*$G65),1)),"")</f>
        <v/>
      </c>
      <c r="BE65" s="72" t="b">
        <f>IF(AND(NOT(BA65),AND(BA$4:BA64)),TRUE,BA65)</f>
        <v>0</v>
      </c>
      <c r="BF65" s="34" t="e">
        <f>IF(AND(NOT(ISBLANK(Jumpoverwrite12)),AND(NOT(BE65),AND(BE$4:BE64))),($J65*$G65-LN(1+Jumpoverwrite12*BG$2))/$G65,_xll.qlInterpolationInterpolate(BE$3,$F65,TRUE))</f>
        <v>#NUM!</v>
      </c>
      <c r="BG65" s="34" t="str">
        <f>IF(AND(NOT(BE65),AND(BE$4:BE64)),IF(BF65&gt;$J65,MAX(EXP((BF65-$J65)*$G65),1),MIN(EXP((BF65-$J65)*$G65),1)),"")</f>
        <v/>
      </c>
      <c r="BI65" s="72" t="b">
        <f t="shared" si="5"/>
        <v>0</v>
      </c>
      <c r="BJ65" s="34" t="e">
        <f>IF(AND(NOT(ISBLANK(jumpoverwrite13)),AND(NOT(BI65),AND(BI$4:BI64))),($J65*$G65-LN(1+jumpoverwrite13*BK$2))/$G65,_xll.qlInterpolationInterpolate(BI$3,$F65,TRUE))</f>
        <v>#NUM!</v>
      </c>
      <c r="BK65" s="34" t="str">
        <f>IF(AND(NOT(BI65),AND(BI$4:BI64)),IF(BJ65&gt;$J65,MAX(EXP((BJ65-$J65)*$G65),1),MIN(EXP((BJ65-$J65)*$G65),1)),"")</f>
        <v/>
      </c>
      <c r="BM65" s="72" t="b">
        <f>IF(AND(NOT(BI65),AND(BI$4:BI64)),TRUE,BI65)</f>
        <v>0</v>
      </c>
      <c r="BN65" s="175" t="e">
        <f>IF(AND(NOT(ISBLANK(Jumpoverwrite14)),AND(NOT(BM65),AND(BM$4:BM64))),($J65*$G65-LN(1+Jumpoverwrite14*BO$2))/$G65,_xll.qlInterpolationInterpolate(BM$3,$F65,TRUE))</f>
        <v>#NUM!</v>
      </c>
      <c r="BO65" s="34" t="str">
        <f>IF(AND(NOT(BM65),AND(BM$4:BM64)),IF(BM65&gt;$J65,MAX(EXP((BM65-$J65)*$G65),1),MIN(EXP((BM65-$J65)*$G65),1)),"")</f>
        <v/>
      </c>
    </row>
    <row r="66" spans="1:67" x14ac:dyDescent="0.2">
      <c r="A66" s="33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84" t="e">
        <f t="shared" si="4"/>
        <v>#N/A</v>
      </c>
      <c r="G66" s="85" t="e">
        <f>_xll.qlDayCounterYearFraction(DayCounter,D65,D66)</f>
        <v>#NUM!</v>
      </c>
      <c r="I66" s="93" t="b">
        <f t="shared" si="2"/>
        <v>0</v>
      </c>
      <c r="J66" s="37" t="e">
        <v>#N/A</v>
      </c>
      <c r="K66" s="94" t="e">
        <f t="shared" si="3"/>
        <v>#VALUE!</v>
      </c>
      <c r="L66" s="106"/>
      <c r="M66" s="72" t="b">
        <f>IF(AND(NOT(I66),AND(I$4:I65)),TRUE,I66)</f>
        <v>0</v>
      </c>
      <c r="N66" s="34" t="e">
        <f>IF(AND(NOT(ISBLANK(Jumpoverwrite1)),AND(NOT(M66),AND(M$4:M65))),($J66*$G66-LN(1+Jumpoverwrite1*O$2))/$G66,_xll.qlInterpolationInterpolate(M$3,$F66,TRUE))</f>
        <v>#NUM!</v>
      </c>
      <c r="O66" s="34" t="str">
        <f>IF(AND(NOT(M66),AND(M$4:M65)),IF(N66&gt;$J66,MAX(EXP((N66-$J66)*$G66),1),MIN(EXP((N66-$J66)*$G66),1)),"")</f>
        <v/>
      </c>
      <c r="P66" s="108"/>
      <c r="Q66" s="72" t="b">
        <f>IF(AND(NOT(M66),AND(M$4:M65)),TRUE,M66)</f>
        <v>0</v>
      </c>
      <c r="R66" s="34" t="e">
        <f>IF(AND(NOT(ISBLANK(Jumpoverwrite2)),AND(NOT(Q66),AND(Q$4:Q65))),($J66*$G66-LN(1+Jumpoverwrite2*S$2))/$G66,_xll.qlInterpolationInterpolate(Q$3,$F66,TRUE))</f>
        <v>#NUM!</v>
      </c>
      <c r="S66" s="34" t="str">
        <f>IF(AND(NOT(Q66),AND(Q$4:Q65)),IF(R66&gt;$J66,MAX(EXP((R66-$J66)*$G66),1),MIN(EXP((R66-$J66)*$G66),1)),"")</f>
        <v/>
      </c>
      <c r="T66" s="108"/>
      <c r="U66" s="72" t="b">
        <f>IF(AND(NOT(Q66),AND(Q$4:Q65)),TRUE,Q66)</f>
        <v>0</v>
      </c>
      <c r="V66" s="34" t="e">
        <f>IF(AND(NOT(ISBLANK(Jumpoverwrite3)),AND(NOT(U66),AND(U$4:U65))),($J66*$G66-LN(1+Jumpoverwrite3*W$2))/$G66,_xll.qlInterpolationInterpolate(U$3,$F66,TRUE))</f>
        <v>#NUM!</v>
      </c>
      <c r="W66" s="34" t="str">
        <f>IF(AND(NOT(U66),AND(U$4:U65)),IF(V66&gt;$J66,MAX(EXP((V66-$J66)*$G66),1),MIN(EXP((V66-$J66)*$G66),1)),"")</f>
        <v/>
      </c>
      <c r="X66" s="108"/>
      <c r="Y66" s="72" t="b">
        <f>IF(AND(NOT(U66),AND(U$4:U65)),TRUE,U66)</f>
        <v>0</v>
      </c>
      <c r="Z66" s="34" t="e">
        <f>IF(AND(NOT(ISBLANK(Jumpoverwrite4)),AND(NOT(Y66),AND(Y$4:Y65))),($J66*$G66-LN(1+Jumpoverwrite4*AA$2))/$G66,_xll.qlInterpolationInterpolate(Y$3,$F66,TRUE))</f>
        <v>#NUM!</v>
      </c>
      <c r="AA66" s="34" t="str">
        <f>IF(AND(NOT(Y66),AND(Y$4:Y65)),IF(Z66&gt;$J66,MAX(EXP((Z66-$J66)*$G66),1),MIN(EXP((Z66-$J66)*$G66),1)),"")</f>
        <v/>
      </c>
      <c r="AB66" s="108"/>
      <c r="AC66" s="72" t="b">
        <f>IF(AND(NOT(Y66),AND(Y$4:Y65)),TRUE,Y66)</f>
        <v>0</v>
      </c>
      <c r="AD66" s="34" t="e">
        <f>IF(AND(NOT(ISBLANK(Jumpoverwrite5)),AND(NOT(AC66),AND(AC$4:AC65))),($J66*$G66-LN(1+Jumpoverwrite5*AE$2))/$G66,_xll.qlInterpolationInterpolate(AC$3,$F66,TRUE))</f>
        <v>#NUM!</v>
      </c>
      <c r="AE66" s="34" t="str">
        <f>IF(AND(NOT(AC66),AND(AC$4:AC65)),IF(AD66&gt;$J66,MAX(EXP((AD66-$J66)*$G66),1),MIN(EXP((AD66-$J66)*$G66),1)),"")</f>
        <v/>
      </c>
      <c r="AF66" s="108"/>
      <c r="AG66" s="72" t="b">
        <f>IF(AND(NOT(AC66),AND(AC$4:AC65)),TRUE,AC66)</f>
        <v>0</v>
      </c>
      <c r="AH66" s="34" t="e">
        <f>IF(AND(NOT(ISBLANK(Jumpoverwrite6)),AND(NOT(AG66),AND(AG$4:AG65))),($J66*$G66-LN(1+Jumpoverwrite6*AI$2))/$G66,_xll.qlInterpolationInterpolate(AG$3,$F66,TRUE))</f>
        <v>#NUM!</v>
      </c>
      <c r="AI66" s="34" t="str">
        <f>IF(AND(NOT(AG66),AND(AG$4:AG65)),IF(AH66&gt;$J66,MAX(EXP((AH66-$J66)*$G66),1),MIN(EXP((AH66-$J66)*$G66),1)),"")</f>
        <v/>
      </c>
      <c r="AJ66" s="108"/>
      <c r="AK66" s="72" t="b">
        <f>IF(AND(NOT(AG66),AND(AG$4:AG65)),TRUE,AG66)</f>
        <v>0</v>
      </c>
      <c r="AL66" s="34" t="e">
        <f>IF(AND(NOT(ISBLANK(Jumpoverwrite7)),AND(NOT(AK66),AND(AK$4:AK65))),($J66*$G66-LN(1+Jumpoverwrite7*AM$2))/$G66,_xll.qlInterpolationInterpolate(AK$3,$F66,TRUE))</f>
        <v>#NUM!</v>
      </c>
      <c r="AM66" s="34" t="str">
        <f>IF(AND(NOT(AK66),AND(AK$4:AK65)),IF(AL66&gt;$J66,MAX(EXP((AL66-$J66)*$G66),1),MIN(EXP((AL66-$J66)*$G66),1)),"")</f>
        <v/>
      </c>
      <c r="AO66" s="72" t="b">
        <f>IF(AND(NOT(AK66),AND(AK$4:AK65)),TRUE,AK66)</f>
        <v>0</v>
      </c>
      <c r="AP66" s="34" t="e">
        <f>IF(AND(NOT(ISBLANK(Jumpoverwrite8)),AND(NOT(AO66),AND(AO$4:AO65))),($J66*$G66-LN(1+Jumpoverwrite8*AQ$2))/$G66,_xll.qlInterpolationInterpolate(AO$3,$F66,TRUE))</f>
        <v>#NUM!</v>
      </c>
      <c r="AQ66" s="34" t="str">
        <f>IF(AND(NOT(AO66),AND(AO$4:AO65)),IF(AP66&gt;$J66,MAX(EXP((AP66-$J66)*$G66),1),MIN(EXP((AP66-$J66)*$G66),1)),"")</f>
        <v/>
      </c>
      <c r="AS66" s="72" t="b">
        <f>IF(AND(NOT(AO66),AND(AO$4:AO65)),TRUE,AO66)</f>
        <v>0</v>
      </c>
      <c r="AT66" s="34" t="e">
        <f>IF(AND(NOT(ISBLANK(Jumpoverwrite9)),AND(NOT(AS66),AND(AS$4:AS65))),($J66*$G66-LN(1+Jumpoverwrite9*AU$2))/$G66,_xll.qlInterpolationInterpolate(AS$3,$F66,TRUE))</f>
        <v>#NUM!</v>
      </c>
      <c r="AU66" s="34" t="str">
        <f>IF(AND(NOT(AS66),AND(AS$4:AS65)),IF(AT66&gt;$J66,MAX(EXP((AT66-$J66)*$G66),1),MIN(EXP((AT66-$J66)*$G66),1)),"")</f>
        <v/>
      </c>
      <c r="AW66" s="72" t="b">
        <f>IF(AND(NOT(AS66),AND(AS$4:AS65)),TRUE,AS66)</f>
        <v>0</v>
      </c>
      <c r="AX66" s="34" t="e">
        <f>IF(AND(NOT(ISBLANK(Jumpoverwrite10)),AND(NOT(AW66),AND(AW$4:AW65))),($J66*$G66-LN(1+Jumpoverwrite10*AY$2))/$G66,_xll.qlInterpolationInterpolate(AW$3,$F66,TRUE))</f>
        <v>#NUM!</v>
      </c>
      <c r="AY66" s="34" t="str">
        <f>IF(AND(NOT(AW66),AND(AW$4:AW65)),IF(AX66&gt;$J66,MAX(EXP((AX66-$J66)*$G66),1),MIN(EXP((AX66-$J66)*$G66),1)),"")</f>
        <v/>
      </c>
      <c r="BA66" s="72" t="b">
        <f>IF(AND(NOT(AW66),AND(AW$4:AW65)),TRUE,AW66)</f>
        <v>0</v>
      </c>
      <c r="BB66" s="34" t="e">
        <f>IF(AND(NOT(ISBLANK(Jumpoverwrite11)),AND(NOT(BA66),AND(BA$4:BA65))),($J66*$G66-LN(1+Jumpoverwrite11*BC$2))/$G66,_xll.qlInterpolationInterpolate(BA$3,$F66,TRUE))</f>
        <v>#NUM!</v>
      </c>
      <c r="BC66" s="34" t="str">
        <f>IF(AND(NOT(BA66),AND(BA$4:BA65)),IF(BB66&gt;$J66,MAX(EXP((BB66-$J66)*$G66),1),MIN(EXP((BB66-$J66)*$G66),1)),"")</f>
        <v/>
      </c>
      <c r="BE66" s="72" t="b">
        <f>IF(AND(NOT(BA66),AND(BA$4:BA65)),TRUE,BA66)</f>
        <v>0</v>
      </c>
      <c r="BF66" s="34" t="e">
        <f>IF(AND(NOT(ISBLANK(Jumpoverwrite12)),AND(NOT(BE66),AND(BE$4:BE65))),($J66*$G66-LN(1+Jumpoverwrite12*BG$2))/$G66,_xll.qlInterpolationInterpolate(BE$3,$F66,TRUE))</f>
        <v>#NUM!</v>
      </c>
      <c r="BG66" s="34" t="str">
        <f>IF(AND(NOT(BE66),AND(BE$4:BE65)),IF(BF66&gt;$J66,MAX(EXP((BF66-$J66)*$G66),1),MIN(EXP((BF66-$J66)*$G66),1)),"")</f>
        <v/>
      </c>
      <c r="BI66" s="72" t="b">
        <f t="shared" si="5"/>
        <v>0</v>
      </c>
      <c r="BJ66" s="34" t="e">
        <f>IF(AND(NOT(ISBLANK(jumpoverwrite13)),AND(NOT(BI66),AND(BI$4:BI65))),($J66*$G66-LN(1+jumpoverwrite13*BK$2))/$G66,_xll.qlInterpolationInterpolate(BI$3,$F66,TRUE))</f>
        <v>#NUM!</v>
      </c>
      <c r="BK66" s="34" t="str">
        <f>IF(AND(NOT(BI66),AND(BI$4:BI65)),IF(BJ66&gt;$J66,MAX(EXP((BJ66-$J66)*$G66),1),MIN(EXP((BJ66-$J66)*$G66),1)),"")</f>
        <v/>
      </c>
      <c r="BM66" s="72" t="b">
        <f>IF(AND(NOT(BI66),AND(BI$4:BI65)),TRUE,BI66)</f>
        <v>0</v>
      </c>
      <c r="BN66" s="175" t="e">
        <f>IF(AND(NOT(ISBLANK(Jumpoverwrite14)),AND(NOT(BM66),AND(BM$4:BM65))),($J66*$G66-LN(1+Jumpoverwrite14*BO$2))/$G66,_xll.qlInterpolationInterpolate(BM$3,$F66,TRUE))</f>
        <v>#NUM!</v>
      </c>
      <c r="BO66" s="34" t="str">
        <f>IF(AND(NOT(BM66),AND(BM$4:BM65)),IF(BM66&gt;$J66,MAX(EXP((BM66-$J66)*$G66),1),MIN(EXP((BM66-$J66)*$G66),1)),"")</f>
        <v/>
      </c>
    </row>
    <row r="67" spans="1:67" x14ac:dyDescent="0.2">
      <c r="A67" s="33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84" t="e">
        <f t="shared" si="4"/>
        <v>#N/A</v>
      </c>
      <c r="G67" s="85" t="e">
        <f>_xll.qlDayCounterYearFraction(DayCounter,D66,D67)</f>
        <v>#NUM!</v>
      </c>
      <c r="I67" s="93" t="b">
        <f t="shared" si="2"/>
        <v>0</v>
      </c>
      <c r="J67" s="37" t="e">
        <v>#N/A</v>
      </c>
      <c r="K67" s="94" t="e">
        <f t="shared" si="3"/>
        <v>#VALUE!</v>
      </c>
      <c r="L67" s="106"/>
      <c r="M67" s="72" t="b">
        <f>IF(AND(NOT(I67),AND(I$4:I66)),TRUE,I67)</f>
        <v>0</v>
      </c>
      <c r="N67" s="34" t="e">
        <f>IF(AND(NOT(ISBLANK(Jumpoverwrite1)),AND(NOT(M67),AND(M$4:M66))),($J67*$G67-LN(1+Jumpoverwrite1*O$2))/$G67,_xll.qlInterpolationInterpolate(M$3,$F67,TRUE))</f>
        <v>#NUM!</v>
      </c>
      <c r="O67" s="34" t="str">
        <f>IF(AND(NOT(M67),AND(M$4:M66)),IF(N67&gt;$J67,MAX(EXP((N67-$J67)*$G67),1),MIN(EXP((N67-$J67)*$G67),1)),"")</f>
        <v/>
      </c>
      <c r="P67" s="108"/>
      <c r="Q67" s="72" t="b">
        <f>IF(AND(NOT(M67),AND(M$4:M66)),TRUE,M67)</f>
        <v>0</v>
      </c>
      <c r="R67" s="34" t="e">
        <f>IF(AND(NOT(ISBLANK(Jumpoverwrite2)),AND(NOT(Q67),AND(Q$4:Q66))),($J67*$G67-LN(1+Jumpoverwrite2*S$2))/$G67,_xll.qlInterpolationInterpolate(Q$3,$F67,TRUE))</f>
        <v>#NUM!</v>
      </c>
      <c r="S67" s="34" t="str">
        <f>IF(AND(NOT(Q67),AND(Q$4:Q66)),IF(R67&gt;$J67,MAX(EXP((R67-$J67)*$G67),1),MIN(EXP((R67-$J67)*$G67),1)),"")</f>
        <v/>
      </c>
      <c r="T67" s="108"/>
      <c r="U67" s="72" t="b">
        <f>IF(AND(NOT(Q67),AND(Q$4:Q66)),TRUE,Q67)</f>
        <v>0</v>
      </c>
      <c r="V67" s="34" t="e">
        <f>IF(AND(NOT(ISBLANK(Jumpoverwrite3)),AND(NOT(U67),AND(U$4:U66))),($J67*$G67-LN(1+Jumpoverwrite3*W$2))/$G67,_xll.qlInterpolationInterpolate(U$3,$F67,TRUE))</f>
        <v>#NUM!</v>
      </c>
      <c r="W67" s="34" t="str">
        <f>IF(AND(NOT(U67),AND(U$4:U66)),IF(V67&gt;$J67,MAX(EXP((V67-$J67)*$G67),1),MIN(EXP((V67-$J67)*$G67),1)),"")</f>
        <v/>
      </c>
      <c r="X67" s="108"/>
      <c r="Y67" s="72" t="b">
        <f>IF(AND(NOT(U67),AND(U$4:U66)),TRUE,U67)</f>
        <v>0</v>
      </c>
      <c r="Z67" s="34" t="e">
        <f>IF(AND(NOT(ISBLANK(Jumpoverwrite4)),AND(NOT(Y67),AND(Y$4:Y66))),($J67*$G67-LN(1+Jumpoverwrite4*AA$2))/$G67,_xll.qlInterpolationInterpolate(Y$3,$F67,TRUE))</f>
        <v>#NUM!</v>
      </c>
      <c r="AA67" s="34" t="str">
        <f>IF(AND(NOT(Y67),AND(Y$4:Y66)),IF(Z67&gt;$J67,MAX(EXP((Z67-$J67)*$G67),1),MIN(EXP((Z67-$J67)*$G67),1)),"")</f>
        <v/>
      </c>
      <c r="AB67" s="108"/>
      <c r="AC67" s="72" t="b">
        <f>IF(AND(NOT(Y67),AND(Y$4:Y66)),TRUE,Y67)</f>
        <v>0</v>
      </c>
      <c r="AD67" s="34" t="e">
        <f>IF(AND(NOT(ISBLANK(Jumpoverwrite5)),AND(NOT(AC67),AND(AC$4:AC66))),($J67*$G67-LN(1+Jumpoverwrite5*AE$2))/$G67,_xll.qlInterpolationInterpolate(AC$3,$F67,TRUE))</f>
        <v>#NUM!</v>
      </c>
      <c r="AE67" s="34" t="str">
        <f>IF(AND(NOT(AC67),AND(AC$4:AC66)),IF(AD67&gt;$J67,MAX(EXP((AD67-$J67)*$G67),1),MIN(EXP((AD67-$J67)*$G67),1)),"")</f>
        <v/>
      </c>
      <c r="AF67" s="108"/>
      <c r="AG67" s="72" t="b">
        <f>IF(AND(NOT(AC67),AND(AC$4:AC66)),TRUE,AC67)</f>
        <v>0</v>
      </c>
      <c r="AH67" s="34" t="e">
        <f>IF(AND(NOT(ISBLANK(Jumpoverwrite6)),AND(NOT(AG67),AND(AG$4:AG66))),($J67*$G67-LN(1+Jumpoverwrite6*AI$2))/$G67,_xll.qlInterpolationInterpolate(AG$3,$F67,TRUE))</f>
        <v>#NUM!</v>
      </c>
      <c r="AI67" s="34" t="str">
        <f>IF(AND(NOT(AG67),AND(AG$4:AG66)),IF(AH67&gt;$J67,MAX(EXP((AH67-$J67)*$G67),1),MIN(EXP((AH67-$J67)*$G67),1)),"")</f>
        <v/>
      </c>
      <c r="AJ67" s="108"/>
      <c r="AK67" s="72" t="b">
        <f>IF(AND(NOT(AG67),AND(AG$4:AG66)),TRUE,AG67)</f>
        <v>0</v>
      </c>
      <c r="AL67" s="34" t="e">
        <f>IF(AND(NOT(ISBLANK(Jumpoverwrite7)),AND(NOT(AK67),AND(AK$4:AK66))),($J67*$G67-LN(1+Jumpoverwrite7*AM$2))/$G67,_xll.qlInterpolationInterpolate(AK$3,$F67,TRUE))</f>
        <v>#NUM!</v>
      </c>
      <c r="AM67" s="34" t="str">
        <f>IF(AND(NOT(AK67),AND(AK$4:AK66)),IF(AL67&gt;$J67,MAX(EXP((AL67-$J67)*$G67),1),MIN(EXP((AL67-$J67)*$G67),1)),"")</f>
        <v/>
      </c>
      <c r="AO67" s="72" t="b">
        <f>IF(AND(NOT(AK67),AND(AK$4:AK66)),TRUE,AK67)</f>
        <v>0</v>
      </c>
      <c r="AP67" s="34" t="e">
        <f>IF(AND(NOT(ISBLANK(Jumpoverwrite8)),AND(NOT(AO67),AND(AO$4:AO66))),($J67*$G67-LN(1+Jumpoverwrite8*AQ$2))/$G67,_xll.qlInterpolationInterpolate(AO$3,$F67,TRUE))</f>
        <v>#NUM!</v>
      </c>
      <c r="AQ67" s="34" t="str">
        <f>IF(AND(NOT(AO67),AND(AO$4:AO66)),IF(AP67&gt;$J67,MAX(EXP((AP67-$J67)*$G67),1),MIN(EXP((AP67-$J67)*$G67),1)),"")</f>
        <v/>
      </c>
      <c r="AS67" s="72" t="b">
        <f>IF(AND(NOT(AO67),AND(AO$4:AO66)),TRUE,AO67)</f>
        <v>0</v>
      </c>
      <c r="AT67" s="34" t="e">
        <f>IF(AND(NOT(ISBLANK(Jumpoverwrite9)),AND(NOT(AS67),AND(AS$4:AS66))),($J67*$G67-LN(1+Jumpoverwrite9*AU$2))/$G67,_xll.qlInterpolationInterpolate(AS$3,$F67,TRUE))</f>
        <v>#NUM!</v>
      </c>
      <c r="AU67" s="34" t="str">
        <f>IF(AND(NOT(AS67),AND(AS$4:AS66)),IF(AT67&gt;$J67,MAX(EXP((AT67-$J67)*$G67),1),MIN(EXP((AT67-$J67)*$G67),1)),"")</f>
        <v/>
      </c>
      <c r="AW67" s="72" t="b">
        <f>IF(AND(NOT(AS67),AND(AS$4:AS66)),TRUE,AS67)</f>
        <v>0</v>
      </c>
      <c r="AX67" s="34" t="e">
        <f>IF(AND(NOT(ISBLANK(Jumpoverwrite10)),AND(NOT(AW67),AND(AW$4:AW66))),($J67*$G67-LN(1+Jumpoverwrite10*AY$2))/$G67,_xll.qlInterpolationInterpolate(AW$3,$F67,TRUE))</f>
        <v>#NUM!</v>
      </c>
      <c r="AY67" s="34" t="str">
        <f>IF(AND(NOT(AW67),AND(AW$4:AW66)),IF(AX67&gt;$J67,MAX(EXP((AX67-$J67)*$G67),1),MIN(EXP((AX67-$J67)*$G67),1)),"")</f>
        <v/>
      </c>
      <c r="BA67" s="72" t="b">
        <f>IF(AND(NOT(AW67),AND(AW$4:AW66)),TRUE,AW67)</f>
        <v>0</v>
      </c>
      <c r="BB67" s="34" t="e">
        <f>IF(AND(NOT(ISBLANK(Jumpoverwrite11)),AND(NOT(BA67),AND(BA$4:BA66))),($J67*$G67-LN(1+Jumpoverwrite11*BC$2))/$G67,_xll.qlInterpolationInterpolate(BA$3,$F67,TRUE))</f>
        <v>#NUM!</v>
      </c>
      <c r="BC67" s="34" t="str">
        <f>IF(AND(NOT(BA67),AND(BA$4:BA66)),IF(BB67&gt;$J67,MAX(EXP((BB67-$J67)*$G67),1),MIN(EXP((BB67-$J67)*$G67),1)),"")</f>
        <v/>
      </c>
      <c r="BE67" s="72" t="b">
        <f>IF(AND(NOT(BA67),AND(BA$4:BA66)),TRUE,BA67)</f>
        <v>0</v>
      </c>
      <c r="BF67" s="34" t="e">
        <f>IF(AND(NOT(ISBLANK(Jumpoverwrite12)),AND(NOT(BE67),AND(BE$4:BE66))),($J67*$G67-LN(1+Jumpoverwrite12*BG$2))/$G67,_xll.qlInterpolationInterpolate(BE$3,$F67,TRUE))</f>
        <v>#NUM!</v>
      </c>
      <c r="BG67" s="34" t="str">
        <f>IF(AND(NOT(BE67),AND(BE$4:BE66)),IF(BF67&gt;$J67,MAX(EXP((BF67-$J67)*$G67),1),MIN(EXP((BF67-$J67)*$G67),1)),"")</f>
        <v/>
      </c>
      <c r="BI67" s="72" t="b">
        <f t="shared" si="5"/>
        <v>0</v>
      </c>
      <c r="BJ67" s="34" t="e">
        <f>IF(AND(NOT(ISBLANK(jumpoverwrite13)),AND(NOT(BI67),AND(BI$4:BI66))),($J67*$G67-LN(1+jumpoverwrite13*BK$2))/$G67,_xll.qlInterpolationInterpolate(BI$3,$F67,TRUE))</f>
        <v>#NUM!</v>
      </c>
      <c r="BK67" s="34" t="str">
        <f>IF(AND(NOT(BI67),AND(BI$4:BI66)),IF(BJ67&gt;$J67,MAX(EXP((BJ67-$J67)*$G67),1),MIN(EXP((BJ67-$J67)*$G67),1)),"")</f>
        <v/>
      </c>
      <c r="BM67" s="72" t="b">
        <f>IF(AND(NOT(BI67),AND(BI$4:BI66)),TRUE,BI67)</f>
        <v>0</v>
      </c>
      <c r="BN67" s="175" t="e">
        <f>IF(AND(NOT(ISBLANK(Jumpoverwrite14)),AND(NOT(BM67),AND(BM$4:BM66))),($J67*$G67-LN(1+Jumpoverwrite14*BO$2))/$G67,_xll.qlInterpolationInterpolate(BM$3,$F67,TRUE))</f>
        <v>#NUM!</v>
      </c>
      <c r="BO67" s="34" t="str">
        <f>IF(AND(NOT(BM67),AND(BM$4:BM66)),IF(BM67&gt;$J67,MAX(EXP((BM67-$J67)*$G67),1),MIN(EXP((BM67-$J67)*$G67),1)),"")</f>
        <v/>
      </c>
    </row>
    <row r="68" spans="1:67" x14ac:dyDescent="0.2">
      <c r="A68" s="33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84" t="e">
        <f t="shared" si="4"/>
        <v>#N/A</v>
      </c>
      <c r="G68" s="85" t="e">
        <f>_xll.qlDayCounterYearFraction(DayCounter,D67,D68)</f>
        <v>#NUM!</v>
      </c>
      <c r="I68" s="93" t="b">
        <f t="shared" si="2"/>
        <v>0</v>
      </c>
      <c r="J68" s="37" t="e">
        <v>#N/A</v>
      </c>
      <c r="K68" s="94" t="e">
        <f t="shared" si="3"/>
        <v>#VALUE!</v>
      </c>
      <c r="L68" s="106"/>
      <c r="M68" s="72" t="b">
        <f>IF(AND(NOT(I68),AND(I$4:I67)),TRUE,I68)</f>
        <v>0</v>
      </c>
      <c r="N68" s="34" t="e">
        <f>IF(AND(NOT(ISBLANK(Jumpoverwrite1)),AND(NOT(M68),AND(M$4:M67))),($J68*$G68-LN(1+Jumpoverwrite1*O$2))/$G68,_xll.qlInterpolationInterpolate(M$3,$F68,TRUE))</f>
        <v>#NUM!</v>
      </c>
      <c r="O68" s="34" t="str">
        <f>IF(AND(NOT(M68),AND(M$4:M67)),IF(N68&gt;$J68,MAX(EXP((N68-$J68)*$G68),1),MIN(EXP((N68-$J68)*$G68),1)),"")</f>
        <v/>
      </c>
      <c r="P68" s="108"/>
      <c r="Q68" s="72" t="b">
        <f>IF(AND(NOT(M68),AND(M$4:M67)),TRUE,M68)</f>
        <v>0</v>
      </c>
      <c r="R68" s="34" t="e">
        <f>IF(AND(NOT(ISBLANK(Jumpoverwrite2)),AND(NOT(Q68),AND(Q$4:Q67))),($J68*$G68-LN(1+Jumpoverwrite2*S$2))/$G68,_xll.qlInterpolationInterpolate(Q$3,$F68,TRUE))</f>
        <v>#NUM!</v>
      </c>
      <c r="S68" s="34" t="str">
        <f>IF(AND(NOT(Q68),AND(Q$4:Q67)),IF(R68&gt;$J68,MAX(EXP((R68-$J68)*$G68),1),MIN(EXP((R68-$J68)*$G68),1)),"")</f>
        <v/>
      </c>
      <c r="T68" s="108"/>
      <c r="U68" s="72" t="b">
        <f>IF(AND(NOT(Q68),AND(Q$4:Q67)),TRUE,Q68)</f>
        <v>0</v>
      </c>
      <c r="V68" s="34" t="e">
        <f>IF(AND(NOT(ISBLANK(Jumpoverwrite3)),AND(NOT(U68),AND(U$4:U67))),($J68*$G68-LN(1+Jumpoverwrite3*W$2))/$G68,_xll.qlInterpolationInterpolate(U$3,$F68,TRUE))</f>
        <v>#NUM!</v>
      </c>
      <c r="W68" s="34" t="str">
        <f>IF(AND(NOT(U68),AND(U$4:U67)),IF(V68&gt;$J68,MAX(EXP((V68-$J68)*$G68),1),MIN(EXP((V68-$J68)*$G68),1)),"")</f>
        <v/>
      </c>
      <c r="X68" s="108"/>
      <c r="Y68" s="72" t="b">
        <f>IF(AND(NOT(U68),AND(U$4:U67)),TRUE,U68)</f>
        <v>0</v>
      </c>
      <c r="Z68" s="34" t="e">
        <f>IF(AND(NOT(ISBLANK(Jumpoverwrite4)),AND(NOT(Y68),AND(Y$4:Y67))),($J68*$G68-LN(1+Jumpoverwrite4*AA$2))/$G68,_xll.qlInterpolationInterpolate(Y$3,$F68,TRUE))</f>
        <v>#NUM!</v>
      </c>
      <c r="AA68" s="34" t="str">
        <f>IF(AND(NOT(Y68),AND(Y$4:Y67)),IF(Z68&gt;$J68,MAX(EXP((Z68-$J68)*$G68),1),MIN(EXP((Z68-$J68)*$G68),1)),"")</f>
        <v/>
      </c>
      <c r="AB68" s="108"/>
      <c r="AC68" s="72" t="b">
        <f>IF(AND(NOT(Y68),AND(Y$4:Y67)),TRUE,Y68)</f>
        <v>0</v>
      </c>
      <c r="AD68" s="34" t="e">
        <f>IF(AND(NOT(ISBLANK(Jumpoverwrite5)),AND(NOT(AC68),AND(AC$4:AC67))),($J68*$G68-LN(1+Jumpoverwrite5*AE$2))/$G68,_xll.qlInterpolationInterpolate(AC$3,$F68,TRUE))</f>
        <v>#NUM!</v>
      </c>
      <c r="AE68" s="34" t="str">
        <f>IF(AND(NOT(AC68),AND(AC$4:AC67)),IF(AD68&gt;$J68,MAX(EXP((AD68-$J68)*$G68),1),MIN(EXP((AD68-$J68)*$G68),1)),"")</f>
        <v/>
      </c>
      <c r="AF68" s="108"/>
      <c r="AG68" s="72" t="b">
        <f>IF(AND(NOT(AC68),AND(AC$4:AC67)),TRUE,AC68)</f>
        <v>0</v>
      </c>
      <c r="AH68" s="34" t="e">
        <f>IF(AND(NOT(ISBLANK(Jumpoverwrite6)),AND(NOT(AG68),AND(AG$4:AG67))),($J68*$G68-LN(1+Jumpoverwrite6*AI$2))/$G68,_xll.qlInterpolationInterpolate(AG$3,$F68,TRUE))</f>
        <v>#NUM!</v>
      </c>
      <c r="AI68" s="34" t="str">
        <f>IF(AND(NOT(AG68),AND(AG$4:AG67)),IF(AH68&gt;$J68,MAX(EXP((AH68-$J68)*$G68),1),MIN(EXP((AH68-$J68)*$G68),1)),"")</f>
        <v/>
      </c>
      <c r="AJ68" s="108"/>
      <c r="AK68" s="72" t="b">
        <f>IF(AND(NOT(AG68),AND(AG$4:AG67)),TRUE,AG68)</f>
        <v>0</v>
      </c>
      <c r="AL68" s="34" t="e">
        <f>IF(AND(NOT(ISBLANK(Jumpoverwrite7)),AND(NOT(AK68),AND(AK$4:AK67))),($J68*$G68-LN(1+Jumpoverwrite7*AM$2))/$G68,_xll.qlInterpolationInterpolate(AK$3,$F68,TRUE))</f>
        <v>#NUM!</v>
      </c>
      <c r="AM68" s="34" t="str">
        <f>IF(AND(NOT(AK68),AND(AK$4:AK67)),IF(AL68&gt;$J68,MAX(EXP((AL68-$J68)*$G68),1),MIN(EXP((AL68-$J68)*$G68),1)),"")</f>
        <v/>
      </c>
      <c r="AO68" s="72" t="b">
        <f>IF(AND(NOT(AK68),AND(AK$4:AK67)),TRUE,AK68)</f>
        <v>0</v>
      </c>
      <c r="AP68" s="34" t="e">
        <f>IF(AND(NOT(ISBLANK(Jumpoverwrite8)),AND(NOT(AO68),AND(AO$4:AO67))),($J68*$G68-LN(1+Jumpoverwrite8*AQ$2))/$G68,_xll.qlInterpolationInterpolate(AO$3,$F68,TRUE))</f>
        <v>#NUM!</v>
      </c>
      <c r="AQ68" s="34" t="str">
        <f>IF(AND(NOT(AO68),AND(AO$4:AO67)),IF(AP68&gt;$J68,MAX(EXP((AP68-$J68)*$G68),1),MIN(EXP((AP68-$J68)*$G68),1)),"")</f>
        <v/>
      </c>
      <c r="AS68" s="72" t="b">
        <f>IF(AND(NOT(AO68),AND(AO$4:AO67)),TRUE,AO68)</f>
        <v>0</v>
      </c>
      <c r="AT68" s="34" t="e">
        <f>IF(AND(NOT(ISBLANK(Jumpoverwrite9)),AND(NOT(AS68),AND(AS$4:AS67))),($J68*$G68-LN(1+Jumpoverwrite9*AU$2))/$G68,_xll.qlInterpolationInterpolate(AS$3,$F68,TRUE))</f>
        <v>#NUM!</v>
      </c>
      <c r="AU68" s="34" t="str">
        <f>IF(AND(NOT(AS68),AND(AS$4:AS67)),IF(AT68&gt;$J68,MAX(EXP((AT68-$J68)*$G68),1),MIN(EXP((AT68-$J68)*$G68),1)),"")</f>
        <v/>
      </c>
      <c r="AW68" s="72" t="b">
        <f>IF(AND(NOT(AS68),AND(AS$4:AS67)),TRUE,AS68)</f>
        <v>0</v>
      </c>
      <c r="AX68" s="34" t="e">
        <f>IF(AND(NOT(ISBLANK(Jumpoverwrite10)),AND(NOT(AW68),AND(AW$4:AW67))),($J68*$G68-LN(1+Jumpoverwrite10*AY$2))/$G68,_xll.qlInterpolationInterpolate(AW$3,$F68,TRUE))</f>
        <v>#NUM!</v>
      </c>
      <c r="AY68" s="34" t="str">
        <f>IF(AND(NOT(AW68),AND(AW$4:AW67)),IF(AX68&gt;$J68,MAX(EXP((AX68-$J68)*$G68),1),MIN(EXP((AX68-$J68)*$G68),1)),"")</f>
        <v/>
      </c>
      <c r="BA68" s="72" t="b">
        <f>IF(AND(NOT(AW68),AND(AW$4:AW67)),TRUE,AW68)</f>
        <v>0</v>
      </c>
      <c r="BB68" s="34" t="e">
        <f>IF(AND(NOT(ISBLANK(Jumpoverwrite11)),AND(NOT(BA68),AND(BA$4:BA67))),($J68*$G68-LN(1+Jumpoverwrite11*BC$2))/$G68,_xll.qlInterpolationInterpolate(BA$3,$F68,TRUE))</f>
        <v>#NUM!</v>
      </c>
      <c r="BC68" s="34" t="str">
        <f>IF(AND(NOT(BA68),AND(BA$4:BA67)),IF(BB68&gt;$J68,MAX(EXP((BB68-$J68)*$G68),1),MIN(EXP((BB68-$J68)*$G68),1)),"")</f>
        <v/>
      </c>
      <c r="BE68" s="72" t="b">
        <f>IF(AND(NOT(BA68),AND(BA$4:BA67)),TRUE,BA68)</f>
        <v>0</v>
      </c>
      <c r="BF68" s="34" t="e">
        <f>IF(AND(NOT(ISBLANK(Jumpoverwrite12)),AND(NOT(BE68),AND(BE$4:BE67))),($J68*$G68-LN(1+Jumpoverwrite12*BG$2))/$G68,_xll.qlInterpolationInterpolate(BE$3,$F68,TRUE))</f>
        <v>#NUM!</v>
      </c>
      <c r="BG68" s="34" t="str">
        <f>IF(AND(NOT(BE68),AND(BE$4:BE67)),IF(BF68&gt;$J68,MAX(EXP((BF68-$J68)*$G68),1),MIN(EXP((BF68-$J68)*$G68),1)),"")</f>
        <v/>
      </c>
      <c r="BI68" s="72" t="b">
        <f t="shared" si="5"/>
        <v>0</v>
      </c>
      <c r="BJ68" s="34" t="e">
        <f>IF(AND(NOT(ISBLANK(jumpoverwrite13)),AND(NOT(BI68),AND(BI$4:BI67))),($J68*$G68-LN(1+jumpoverwrite13*BK$2))/$G68,_xll.qlInterpolationInterpolate(BI$3,$F68,TRUE))</f>
        <v>#NUM!</v>
      </c>
      <c r="BK68" s="34" t="str">
        <f>IF(AND(NOT(BI68),AND(BI$4:BI67)),IF(BJ68&gt;$J68,MAX(EXP((BJ68-$J68)*$G68),1),MIN(EXP((BJ68-$J68)*$G68),1)),"")</f>
        <v/>
      </c>
      <c r="BM68" s="72" t="b">
        <f>IF(AND(NOT(BI68),AND(BI$4:BI67)),TRUE,BI68)</f>
        <v>0</v>
      </c>
      <c r="BN68" s="175" t="e">
        <f>IF(AND(NOT(ISBLANK(Jumpoverwrite14)),AND(NOT(BM68),AND(BM$4:BM67))),($J68*$G68-LN(1+Jumpoverwrite14*BO$2))/$G68,_xll.qlInterpolationInterpolate(BM$3,$F68,TRUE))</f>
        <v>#NUM!</v>
      </c>
      <c r="BO68" s="34" t="str">
        <f>IF(AND(NOT(BM68),AND(BM$4:BM67)),IF(BM68&gt;$J68,MAX(EXP((BM68-$J68)*$G68),1),MIN(EXP((BM68-$J68)*$G68),1)),"")</f>
        <v/>
      </c>
    </row>
    <row r="69" spans="1:67" x14ac:dyDescent="0.2">
      <c r="A69" s="33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84" t="e">
        <f t="shared" si="4"/>
        <v>#N/A</v>
      </c>
      <c r="G69" s="85" t="e">
        <f>_xll.qlDayCounterYearFraction(DayCounter,D68,D69)</f>
        <v>#NUM!</v>
      </c>
      <c r="I69" s="93" t="b">
        <f t="shared" si="2"/>
        <v>0</v>
      </c>
      <c r="J69" s="37" t="e">
        <v>#N/A</v>
      </c>
      <c r="K69" s="94" t="e">
        <f t="shared" si="3"/>
        <v>#VALUE!</v>
      </c>
      <c r="L69" s="106"/>
      <c r="M69" s="72" t="b">
        <f>IF(AND(NOT(I69),AND(I$4:I68)),TRUE,I69)</f>
        <v>0</v>
      </c>
      <c r="N69" s="34" t="e">
        <f>IF(AND(NOT(ISBLANK(Jumpoverwrite1)),AND(NOT(M69),AND(M$4:M68))),($J69*$G69-LN(1+Jumpoverwrite1*O$2))/$G69,_xll.qlInterpolationInterpolate(M$3,$F69,TRUE))</f>
        <v>#NUM!</v>
      </c>
      <c r="O69" s="34" t="str">
        <f>IF(AND(NOT(M69),AND(M$4:M68)),IF(N69&gt;$J69,MAX(EXP((N69-$J69)*$G69),1),MIN(EXP((N69-$J69)*$G69),1)),"")</f>
        <v/>
      </c>
      <c r="P69" s="108"/>
      <c r="Q69" s="72" t="b">
        <f>IF(AND(NOT(M69),AND(M$4:M68)),TRUE,M69)</f>
        <v>0</v>
      </c>
      <c r="R69" s="34" t="e">
        <f>IF(AND(NOT(ISBLANK(Jumpoverwrite2)),AND(NOT(Q69),AND(Q$4:Q68))),($J69*$G69-LN(1+Jumpoverwrite2*S$2))/$G69,_xll.qlInterpolationInterpolate(Q$3,$F69,TRUE))</f>
        <v>#NUM!</v>
      </c>
      <c r="S69" s="34" t="str">
        <f>IF(AND(NOT(Q69),AND(Q$4:Q68)),IF(R69&gt;$J69,MAX(EXP((R69-$J69)*$G69),1),MIN(EXP((R69-$J69)*$G69),1)),"")</f>
        <v/>
      </c>
      <c r="T69" s="108"/>
      <c r="U69" s="72" t="b">
        <f>IF(AND(NOT(Q69),AND(Q$4:Q68)),TRUE,Q69)</f>
        <v>0</v>
      </c>
      <c r="V69" s="34" t="e">
        <f>IF(AND(NOT(ISBLANK(Jumpoverwrite3)),AND(NOT(U69),AND(U$4:U68))),($J69*$G69-LN(1+Jumpoverwrite3*W$2))/$G69,_xll.qlInterpolationInterpolate(U$3,$F69,TRUE))</f>
        <v>#NUM!</v>
      </c>
      <c r="W69" s="34" t="str">
        <f>IF(AND(NOT(U69),AND(U$4:U68)),IF(V69&gt;$J69,MAX(EXP((V69-$J69)*$G69),1),MIN(EXP((V69-$J69)*$G69),1)),"")</f>
        <v/>
      </c>
      <c r="X69" s="108"/>
      <c r="Y69" s="72" t="b">
        <f>IF(AND(NOT(U69),AND(U$4:U68)),TRUE,U69)</f>
        <v>0</v>
      </c>
      <c r="Z69" s="34" t="e">
        <f>IF(AND(NOT(ISBLANK(Jumpoverwrite4)),AND(NOT(Y69),AND(Y$4:Y68))),($J69*$G69-LN(1+Jumpoverwrite4*AA$2))/$G69,_xll.qlInterpolationInterpolate(Y$3,$F69,TRUE))</f>
        <v>#NUM!</v>
      </c>
      <c r="AA69" s="34" t="str">
        <f>IF(AND(NOT(Y69),AND(Y$4:Y68)),IF(Z69&gt;$J69,MAX(EXP((Z69-$J69)*$G69),1),MIN(EXP((Z69-$J69)*$G69),1)),"")</f>
        <v/>
      </c>
      <c r="AB69" s="108"/>
      <c r="AC69" s="72" t="b">
        <f>IF(AND(NOT(Y69),AND(Y$4:Y68)),TRUE,Y69)</f>
        <v>0</v>
      </c>
      <c r="AD69" s="34" t="e">
        <f>IF(AND(NOT(ISBLANK(Jumpoverwrite5)),AND(NOT(AC69),AND(AC$4:AC68))),($J69*$G69-LN(1+Jumpoverwrite5*AE$2))/$G69,_xll.qlInterpolationInterpolate(AC$3,$F69,TRUE))</f>
        <v>#NUM!</v>
      </c>
      <c r="AE69" s="34" t="str">
        <f>IF(AND(NOT(AC69),AND(AC$4:AC68)),IF(AD69&gt;$J69,MAX(EXP((AD69-$J69)*$G69),1),MIN(EXP((AD69-$J69)*$G69),1)),"")</f>
        <v/>
      </c>
      <c r="AF69" s="108"/>
      <c r="AG69" s="72" t="b">
        <f>IF(AND(NOT(AC69),AND(AC$4:AC68)),TRUE,AC69)</f>
        <v>0</v>
      </c>
      <c r="AH69" s="34" t="e">
        <f>IF(AND(NOT(ISBLANK(Jumpoverwrite6)),AND(NOT(AG69),AND(AG$4:AG68))),($J69*$G69-LN(1+Jumpoverwrite6*AI$2))/$G69,_xll.qlInterpolationInterpolate(AG$3,$F69,TRUE))</f>
        <v>#NUM!</v>
      </c>
      <c r="AI69" s="34" t="str">
        <f>IF(AND(NOT(AG69),AND(AG$4:AG68)),IF(AH69&gt;$J69,MAX(EXP((AH69-$J69)*$G69),1),MIN(EXP((AH69-$J69)*$G69),1)),"")</f>
        <v/>
      </c>
      <c r="AJ69" s="108"/>
      <c r="AK69" s="72" t="b">
        <f>IF(AND(NOT(AG69),AND(AG$4:AG68)),TRUE,AG69)</f>
        <v>0</v>
      </c>
      <c r="AL69" s="34" t="e">
        <f>IF(AND(NOT(ISBLANK(Jumpoverwrite7)),AND(NOT(AK69),AND(AK$4:AK68))),($J69*$G69-LN(1+Jumpoverwrite7*AM$2))/$G69,_xll.qlInterpolationInterpolate(AK$3,$F69,TRUE))</f>
        <v>#NUM!</v>
      </c>
      <c r="AM69" s="34" t="str">
        <f>IF(AND(NOT(AK69),AND(AK$4:AK68)),IF(AL69&gt;$J69,MAX(EXP((AL69-$J69)*$G69),1),MIN(EXP((AL69-$J69)*$G69),1)),"")</f>
        <v/>
      </c>
      <c r="AO69" s="72" t="b">
        <f>IF(AND(NOT(AK69),AND(AK$4:AK68)),TRUE,AK69)</f>
        <v>0</v>
      </c>
      <c r="AP69" s="34" t="e">
        <f>IF(AND(NOT(ISBLANK(Jumpoverwrite8)),AND(NOT(AO69),AND(AO$4:AO68))),($J69*$G69-LN(1+Jumpoverwrite8*AQ$2))/$G69,_xll.qlInterpolationInterpolate(AO$3,$F69,TRUE))</f>
        <v>#NUM!</v>
      </c>
      <c r="AQ69" s="34" t="str">
        <f>IF(AND(NOT(AO69),AND(AO$4:AO68)),IF(AP69&gt;$J69,MAX(EXP((AP69-$J69)*$G69),1),MIN(EXP((AP69-$J69)*$G69),1)),"")</f>
        <v/>
      </c>
      <c r="AS69" s="72" t="b">
        <f>IF(AND(NOT(AO69),AND(AO$4:AO68)),TRUE,AO69)</f>
        <v>0</v>
      </c>
      <c r="AT69" s="34" t="e">
        <f>IF(AND(NOT(ISBLANK(Jumpoverwrite9)),AND(NOT(AS69),AND(AS$4:AS68))),($J69*$G69-LN(1+Jumpoverwrite9*AU$2))/$G69,_xll.qlInterpolationInterpolate(AS$3,$F69,TRUE))</f>
        <v>#NUM!</v>
      </c>
      <c r="AU69" s="34" t="str">
        <f>IF(AND(NOT(AS69),AND(AS$4:AS68)),IF(AT69&gt;$J69,MAX(EXP((AT69-$J69)*$G69),1),MIN(EXP((AT69-$J69)*$G69),1)),"")</f>
        <v/>
      </c>
      <c r="AW69" s="72" t="b">
        <f>IF(AND(NOT(AS69),AND(AS$4:AS68)),TRUE,AS69)</f>
        <v>0</v>
      </c>
      <c r="AX69" s="34" t="e">
        <f>IF(AND(NOT(ISBLANK(Jumpoverwrite10)),AND(NOT(AW69),AND(AW$4:AW68))),($J69*$G69-LN(1+Jumpoverwrite10*AY$2))/$G69,_xll.qlInterpolationInterpolate(AW$3,$F69,TRUE))</f>
        <v>#NUM!</v>
      </c>
      <c r="AY69" s="34" t="str">
        <f>IF(AND(NOT(AW69),AND(AW$4:AW68)),IF(AX69&gt;$J69,MAX(EXP((AX69-$J69)*$G69),1),MIN(EXP((AX69-$J69)*$G69),1)),"")</f>
        <v/>
      </c>
      <c r="BA69" s="72" t="b">
        <f>IF(AND(NOT(AW69),AND(AW$4:AW68)),TRUE,AW69)</f>
        <v>0</v>
      </c>
      <c r="BB69" s="34" t="e">
        <f>IF(AND(NOT(ISBLANK(Jumpoverwrite11)),AND(NOT(BA69),AND(BA$4:BA68))),($J69*$G69-LN(1+Jumpoverwrite11*BC$2))/$G69,_xll.qlInterpolationInterpolate(BA$3,$F69,TRUE))</f>
        <v>#NUM!</v>
      </c>
      <c r="BC69" s="34" t="str">
        <f>IF(AND(NOT(BA69),AND(BA$4:BA68)),IF(BB69&gt;$J69,MAX(EXP((BB69-$J69)*$G69),1),MIN(EXP((BB69-$J69)*$G69),1)),"")</f>
        <v/>
      </c>
      <c r="BE69" s="72" t="b">
        <f>IF(AND(NOT(BA69),AND(BA$4:BA68)),TRUE,BA69)</f>
        <v>0</v>
      </c>
      <c r="BF69" s="34" t="e">
        <f>IF(AND(NOT(ISBLANK(Jumpoverwrite12)),AND(NOT(BE69),AND(BE$4:BE68))),($J69*$G69-LN(1+Jumpoverwrite12*BG$2))/$G69,_xll.qlInterpolationInterpolate(BE$3,$F69,TRUE))</f>
        <v>#NUM!</v>
      </c>
      <c r="BG69" s="34" t="str">
        <f>IF(AND(NOT(BE69),AND(BE$4:BE68)),IF(BF69&gt;$J69,MAX(EXP((BF69-$J69)*$G69),1),MIN(EXP((BF69-$J69)*$G69),1)),"")</f>
        <v/>
      </c>
      <c r="BI69" s="72" t="b">
        <f t="shared" ref="BI69:BI100" si="6">IF(ISERROR(K69),FALSE,IF(YEAR(K69)-YEAR(SettlementDate)=2,FALSE,TRUE))</f>
        <v>0</v>
      </c>
      <c r="BJ69" s="34" t="e">
        <f>IF(AND(NOT(ISBLANK(jumpoverwrite13)),AND(NOT(BI69),AND(BI$4:BI68))),($J69*$G69-LN(1+jumpoverwrite13*BK$2))/$G69,_xll.qlInterpolationInterpolate(BI$3,$F69,TRUE))</f>
        <v>#NUM!</v>
      </c>
      <c r="BK69" s="34" t="str">
        <f>IF(AND(NOT(BI69),AND(BI$4:BI68)),IF(BJ69&gt;$J69,MAX(EXP((BJ69-$J69)*$G69),1),MIN(EXP((BJ69-$J69)*$G69),1)),"")</f>
        <v/>
      </c>
      <c r="BM69" s="72" t="b">
        <f>IF(AND(NOT(BI69),AND(BI$4:BI68)),TRUE,BI69)</f>
        <v>0</v>
      </c>
      <c r="BN69" s="175" t="e">
        <f>IF(AND(NOT(ISBLANK(Jumpoverwrite14)),AND(NOT(BM69),AND(BM$4:BM68))),($J69*$G69-LN(1+Jumpoverwrite14*BO$2))/$G69,_xll.qlInterpolationInterpolate(BM$3,$F69,TRUE))</f>
        <v>#NUM!</v>
      </c>
      <c r="BO69" s="34" t="str">
        <f>IF(AND(NOT(BM69),AND(BM$4:BM68)),IF(BM69&gt;$J69,MAX(EXP((BM69-$J69)*$G69),1),MIN(EXP((BM69-$J69)*$G69),1)),"")</f>
        <v/>
      </c>
    </row>
    <row r="70" spans="1:67" x14ac:dyDescent="0.2">
      <c r="A70" s="33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84" t="e">
        <f t="shared" si="4"/>
        <v>#N/A</v>
      </c>
      <c r="G70" s="85" t="e">
        <f>_xll.qlDayCounterYearFraction(DayCounter,D69,D70)</f>
        <v>#NUM!</v>
      </c>
      <c r="I70" s="93" t="b">
        <f t="shared" ref="I70:I129" si="7">IF(ISERROR(K70),FALSE,IF(OR(MONTH(K70)-MONTH(K69)=1,YEAR(K70)-YEAR(K69)=1),FALSE,TRUE))</f>
        <v>0</v>
      </c>
      <c r="J70" s="37" t="e">
        <v>#N/A</v>
      </c>
      <c r="K70" s="94" t="e">
        <f t="shared" ref="K70:K129" si="8">D70</f>
        <v>#VALUE!</v>
      </c>
      <c r="L70" s="106"/>
      <c r="M70" s="72" t="b">
        <f>IF(AND(NOT(I70),AND(I$4:I69)),TRUE,I70)</f>
        <v>0</v>
      </c>
      <c r="N70" s="34" t="e">
        <f>IF(AND(NOT(ISBLANK(Jumpoverwrite1)),AND(NOT(M70),AND(M$4:M69))),($J70*$G70-LN(1+Jumpoverwrite1*O$2))/$G70,_xll.qlInterpolationInterpolate(M$3,$F70,TRUE))</f>
        <v>#NUM!</v>
      </c>
      <c r="O70" s="34" t="str">
        <f>IF(AND(NOT(M70),AND(M$4:M69)),IF(N70&gt;$J70,MAX(EXP((N70-$J70)*$G70),1),MIN(EXP((N70-$J70)*$G70),1)),"")</f>
        <v/>
      </c>
      <c r="P70" s="108"/>
      <c r="Q70" s="72" t="b">
        <f>IF(AND(NOT(M70),AND(M$4:M69)),TRUE,M70)</f>
        <v>0</v>
      </c>
      <c r="R70" s="34" t="e">
        <f>IF(AND(NOT(ISBLANK(Jumpoverwrite2)),AND(NOT(Q70),AND(Q$4:Q69))),($J70*$G70-LN(1+Jumpoverwrite2*S$2))/$G70,_xll.qlInterpolationInterpolate(Q$3,$F70,TRUE))</f>
        <v>#NUM!</v>
      </c>
      <c r="S70" s="34" t="str">
        <f>IF(AND(NOT(Q70),AND(Q$4:Q69)),IF(R70&gt;$J70,MAX(EXP((R70-$J70)*$G70),1),MIN(EXP((R70-$J70)*$G70),1)),"")</f>
        <v/>
      </c>
      <c r="T70" s="108"/>
      <c r="U70" s="72" t="b">
        <f>IF(AND(NOT(Q70),AND(Q$4:Q69)),TRUE,Q70)</f>
        <v>0</v>
      </c>
      <c r="V70" s="34" t="e">
        <f>IF(AND(NOT(ISBLANK(Jumpoverwrite3)),AND(NOT(U70),AND(U$4:U69))),($J70*$G70-LN(1+Jumpoverwrite3*W$2))/$G70,_xll.qlInterpolationInterpolate(U$3,$F70,TRUE))</f>
        <v>#NUM!</v>
      </c>
      <c r="W70" s="34" t="str">
        <f>IF(AND(NOT(U70),AND(U$4:U69)),IF(V70&gt;$J70,MAX(EXP((V70-$J70)*$G70),1),MIN(EXP((V70-$J70)*$G70),1)),"")</f>
        <v/>
      </c>
      <c r="X70" s="108"/>
      <c r="Y70" s="72" t="b">
        <f>IF(AND(NOT(U70),AND(U$4:U69)),TRUE,U70)</f>
        <v>0</v>
      </c>
      <c r="Z70" s="34" t="e">
        <f>IF(AND(NOT(ISBLANK(Jumpoverwrite4)),AND(NOT(Y70),AND(Y$4:Y69))),($J70*$G70-LN(1+Jumpoverwrite4*AA$2))/$G70,_xll.qlInterpolationInterpolate(Y$3,$F70,TRUE))</f>
        <v>#NUM!</v>
      </c>
      <c r="AA70" s="34" t="str">
        <f>IF(AND(NOT(Y70),AND(Y$4:Y69)),IF(Z70&gt;$J70,MAX(EXP((Z70-$J70)*$G70),1),MIN(EXP((Z70-$J70)*$G70),1)),"")</f>
        <v/>
      </c>
      <c r="AB70" s="108"/>
      <c r="AC70" s="72" t="b">
        <f>IF(AND(NOT(Y70),AND(Y$4:Y69)),TRUE,Y70)</f>
        <v>0</v>
      </c>
      <c r="AD70" s="34" t="e">
        <f>IF(AND(NOT(ISBLANK(Jumpoverwrite5)),AND(NOT(AC70),AND(AC$4:AC69))),($J70*$G70-LN(1+Jumpoverwrite5*AE$2))/$G70,_xll.qlInterpolationInterpolate(AC$3,$F70,TRUE))</f>
        <v>#NUM!</v>
      </c>
      <c r="AE70" s="34" t="str">
        <f>IF(AND(NOT(AC70),AND(AC$4:AC69)),IF(AD70&gt;$J70,MAX(EXP((AD70-$J70)*$G70),1),MIN(EXP((AD70-$J70)*$G70),1)),"")</f>
        <v/>
      </c>
      <c r="AF70" s="108"/>
      <c r="AG70" s="72" t="b">
        <f>IF(AND(NOT(AC70),AND(AC$4:AC69)),TRUE,AC70)</f>
        <v>0</v>
      </c>
      <c r="AH70" s="34" t="e">
        <f>IF(AND(NOT(ISBLANK(Jumpoverwrite6)),AND(NOT(AG70),AND(AG$4:AG69))),($J70*$G70-LN(1+Jumpoverwrite6*AI$2))/$G70,_xll.qlInterpolationInterpolate(AG$3,$F70,TRUE))</f>
        <v>#NUM!</v>
      </c>
      <c r="AI70" s="34" t="str">
        <f>IF(AND(NOT(AG70),AND(AG$4:AG69)),IF(AH70&gt;$J70,MAX(EXP((AH70-$J70)*$G70),1),MIN(EXP((AH70-$J70)*$G70),1)),"")</f>
        <v/>
      </c>
      <c r="AJ70" s="108"/>
      <c r="AK70" s="72" t="b">
        <f>IF(AND(NOT(AG70),AND(AG$4:AG69)),TRUE,AG70)</f>
        <v>0</v>
      </c>
      <c r="AL70" s="34" t="e">
        <f>IF(AND(NOT(ISBLANK(Jumpoverwrite7)),AND(NOT(AK70),AND(AK$4:AK69))),($J70*$G70-LN(1+Jumpoverwrite7*AM$2))/$G70,_xll.qlInterpolationInterpolate(AK$3,$F70,TRUE))</f>
        <v>#NUM!</v>
      </c>
      <c r="AM70" s="34" t="str">
        <f>IF(AND(NOT(AK70),AND(AK$4:AK69)),IF(AL70&gt;$J70,MAX(EXP((AL70-$J70)*$G70),1),MIN(EXP((AL70-$J70)*$G70),1)),"")</f>
        <v/>
      </c>
      <c r="AO70" s="72" t="b">
        <f>IF(AND(NOT(AK70),AND(AK$4:AK69)),TRUE,AK70)</f>
        <v>0</v>
      </c>
      <c r="AP70" s="34" t="e">
        <f>IF(AND(NOT(ISBLANK(Jumpoverwrite8)),AND(NOT(AO70),AND(AO$4:AO69))),($J70*$G70-LN(1+Jumpoverwrite8*AQ$2))/$G70,_xll.qlInterpolationInterpolate(AO$3,$F70,TRUE))</f>
        <v>#NUM!</v>
      </c>
      <c r="AQ70" s="34" t="str">
        <f>IF(AND(NOT(AO70),AND(AO$4:AO69)),IF(AP70&gt;$J70,MAX(EXP((AP70-$J70)*$G70),1),MIN(EXP((AP70-$J70)*$G70),1)),"")</f>
        <v/>
      </c>
      <c r="AS70" s="72" t="b">
        <f>IF(AND(NOT(AO70),AND(AO$4:AO69)),TRUE,AO70)</f>
        <v>0</v>
      </c>
      <c r="AT70" s="34" t="e">
        <f>IF(AND(NOT(ISBLANK(Jumpoverwrite9)),AND(NOT(AS70),AND(AS$4:AS69))),($J70*$G70-LN(1+Jumpoverwrite9*AU$2))/$G70,_xll.qlInterpolationInterpolate(AS$3,$F70,TRUE))</f>
        <v>#NUM!</v>
      </c>
      <c r="AU70" s="34" t="str">
        <f>IF(AND(NOT(AS70),AND(AS$4:AS69)),IF(AT70&gt;$J70,MAX(EXP((AT70-$J70)*$G70),1),MIN(EXP((AT70-$J70)*$G70),1)),"")</f>
        <v/>
      </c>
      <c r="AW70" s="72" t="b">
        <f>IF(AND(NOT(AS70),AND(AS$4:AS69)),TRUE,AS70)</f>
        <v>0</v>
      </c>
      <c r="AX70" s="34" t="e">
        <f>IF(AND(NOT(ISBLANK(Jumpoverwrite10)),AND(NOT(AW70),AND(AW$4:AW69))),($J70*$G70-LN(1+Jumpoverwrite10*AY$2))/$G70,_xll.qlInterpolationInterpolate(AW$3,$F70,TRUE))</f>
        <v>#NUM!</v>
      </c>
      <c r="AY70" s="34" t="str">
        <f>IF(AND(NOT(AW70),AND(AW$4:AW69)),IF(AX70&gt;$J70,MAX(EXP((AX70-$J70)*$G70),1),MIN(EXP((AX70-$J70)*$G70),1)),"")</f>
        <v/>
      </c>
      <c r="BA70" s="72" t="b">
        <f>IF(AND(NOT(AW70),AND(AW$4:AW69)),TRUE,AW70)</f>
        <v>0</v>
      </c>
      <c r="BB70" s="34" t="e">
        <f>IF(AND(NOT(ISBLANK(Jumpoverwrite11)),AND(NOT(BA70),AND(BA$4:BA69))),($J70*$G70-LN(1+Jumpoverwrite11*BC$2))/$G70,_xll.qlInterpolationInterpolate(BA$3,$F70,TRUE))</f>
        <v>#NUM!</v>
      </c>
      <c r="BC70" s="34" t="str">
        <f>IF(AND(NOT(BA70),AND(BA$4:BA69)),IF(BB70&gt;$J70,MAX(EXP((BB70-$J70)*$G70),1),MIN(EXP((BB70-$J70)*$G70),1)),"")</f>
        <v/>
      </c>
      <c r="BE70" s="72" t="b">
        <f>IF(AND(NOT(BA70),AND(BA$4:BA69)),TRUE,BA70)</f>
        <v>0</v>
      </c>
      <c r="BF70" s="34" t="e">
        <f>IF(AND(NOT(ISBLANK(Jumpoverwrite12)),AND(NOT(BE70),AND(BE$4:BE69))),($J70*$G70-LN(1+Jumpoverwrite12*BG$2))/$G70,_xll.qlInterpolationInterpolate(BE$3,$F70,TRUE))</f>
        <v>#NUM!</v>
      </c>
      <c r="BG70" s="34" t="str">
        <f>IF(AND(NOT(BE70),AND(BE$4:BE69)),IF(BF70&gt;$J70,MAX(EXP((BF70-$J70)*$G70),1),MIN(EXP((BF70-$J70)*$G70),1)),"")</f>
        <v/>
      </c>
      <c r="BI70" s="72" t="b">
        <f t="shared" si="6"/>
        <v>0</v>
      </c>
      <c r="BJ70" s="34" t="e">
        <f>IF(AND(NOT(ISBLANK(jumpoverwrite13)),AND(NOT(BI70),AND(BI$4:BI69))),($J70*$G70-LN(1+jumpoverwrite13*BK$2))/$G70,_xll.qlInterpolationInterpolate(BI$3,$F70,TRUE))</f>
        <v>#NUM!</v>
      </c>
      <c r="BK70" s="34" t="str">
        <f>IF(AND(NOT(BI70),AND(BI$4:BI69)),IF(BJ70&gt;$J70,MAX(EXP((BJ70-$J70)*$G70),1),MIN(EXP((BJ70-$J70)*$G70),1)),"")</f>
        <v/>
      </c>
      <c r="BM70" s="72" t="b">
        <f>IF(AND(NOT(BI70),AND(BI$4:BI69)),TRUE,BI70)</f>
        <v>0</v>
      </c>
      <c r="BN70" s="175" t="e">
        <f>IF(AND(NOT(ISBLANK(Jumpoverwrite14)),AND(NOT(BM70),AND(BM$4:BM69))),($J70*$G70-LN(1+Jumpoverwrite14*BO$2))/$G70,_xll.qlInterpolationInterpolate(BM$3,$F70,TRUE))</f>
        <v>#NUM!</v>
      </c>
      <c r="BO70" s="34" t="str">
        <f>IF(AND(NOT(BM70),AND(BM$4:BM69)),IF(BM70&gt;$J70,MAX(EXP((BM70-$J70)*$G70),1),MIN(EXP((BM70-$J70)*$G70),1)),"")</f>
        <v/>
      </c>
    </row>
    <row r="71" spans="1:67" x14ac:dyDescent="0.2">
      <c r="A71" s="33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84" t="e">
        <f t="shared" si="4"/>
        <v>#N/A</v>
      </c>
      <c r="G71" s="85" t="e">
        <f>_xll.qlDayCounterYearFraction(DayCounter,D70,D71)</f>
        <v>#NUM!</v>
      </c>
      <c r="I71" s="93" t="b">
        <f t="shared" si="7"/>
        <v>0</v>
      </c>
      <c r="J71" s="37" t="e">
        <v>#N/A</v>
      </c>
      <c r="K71" s="94" t="e">
        <f t="shared" si="8"/>
        <v>#VALUE!</v>
      </c>
      <c r="L71" s="106"/>
      <c r="M71" s="72" t="b">
        <f>IF(AND(NOT(I71),AND(I$4:I70)),TRUE,I71)</f>
        <v>0</v>
      </c>
      <c r="N71" s="34" t="e">
        <f>IF(AND(NOT(ISBLANK(Jumpoverwrite1)),AND(NOT(M71),AND(M$4:M70))),($J71*$G71-LN(1+Jumpoverwrite1*O$2))/$G71,_xll.qlInterpolationInterpolate(M$3,$F71,TRUE))</f>
        <v>#NUM!</v>
      </c>
      <c r="O71" s="34" t="str">
        <f>IF(AND(NOT(M71),AND(M$4:M70)),IF(N71&gt;$J71,MAX(EXP((N71-$J71)*$G71),1),MIN(EXP((N71-$J71)*$G71),1)),"")</f>
        <v/>
      </c>
      <c r="P71" s="108"/>
      <c r="Q71" s="72" t="b">
        <f>IF(AND(NOT(M71),AND(M$4:M70)),TRUE,M71)</f>
        <v>0</v>
      </c>
      <c r="R71" s="34" t="e">
        <f>IF(AND(NOT(ISBLANK(Jumpoverwrite2)),AND(NOT(Q71),AND(Q$4:Q70))),($J71*$G71-LN(1+Jumpoverwrite2*S$2))/$G71,_xll.qlInterpolationInterpolate(Q$3,$F71,TRUE))</f>
        <v>#NUM!</v>
      </c>
      <c r="S71" s="34" t="str">
        <f>IF(AND(NOT(Q71),AND(Q$4:Q70)),IF(R71&gt;$J71,MAX(EXP((R71-$J71)*$G71),1),MIN(EXP((R71-$J71)*$G71),1)),"")</f>
        <v/>
      </c>
      <c r="T71" s="108"/>
      <c r="U71" s="72" t="b">
        <f>IF(AND(NOT(Q71),AND(Q$4:Q70)),TRUE,Q71)</f>
        <v>0</v>
      </c>
      <c r="V71" s="34" t="e">
        <f>IF(AND(NOT(ISBLANK(Jumpoverwrite3)),AND(NOT(U71),AND(U$4:U70))),($J71*$G71-LN(1+Jumpoverwrite3*W$2))/$G71,_xll.qlInterpolationInterpolate(U$3,$F71,TRUE))</f>
        <v>#NUM!</v>
      </c>
      <c r="W71" s="34" t="str">
        <f>IF(AND(NOT(U71),AND(U$4:U70)),IF(V71&gt;$J71,MAX(EXP((V71-$J71)*$G71),1),MIN(EXP((V71-$J71)*$G71),1)),"")</f>
        <v/>
      </c>
      <c r="X71" s="108"/>
      <c r="Y71" s="72" t="b">
        <f>IF(AND(NOT(U71),AND(U$4:U70)),TRUE,U71)</f>
        <v>0</v>
      </c>
      <c r="Z71" s="34" t="e">
        <f>IF(AND(NOT(ISBLANK(Jumpoverwrite4)),AND(NOT(Y71),AND(Y$4:Y70))),($J71*$G71-LN(1+Jumpoverwrite4*AA$2))/$G71,_xll.qlInterpolationInterpolate(Y$3,$F71,TRUE))</f>
        <v>#NUM!</v>
      </c>
      <c r="AA71" s="34" t="str">
        <f>IF(AND(NOT(Y71),AND(Y$4:Y70)),IF(Z71&gt;$J71,MAX(EXP((Z71-$J71)*$G71),1),MIN(EXP((Z71-$J71)*$G71),1)),"")</f>
        <v/>
      </c>
      <c r="AB71" s="108"/>
      <c r="AC71" s="72" t="b">
        <f>IF(AND(NOT(Y71),AND(Y$4:Y70)),TRUE,Y71)</f>
        <v>0</v>
      </c>
      <c r="AD71" s="34" t="e">
        <f>IF(AND(NOT(ISBLANK(Jumpoverwrite5)),AND(NOT(AC71),AND(AC$4:AC70))),($J71*$G71-LN(1+Jumpoverwrite5*AE$2))/$G71,_xll.qlInterpolationInterpolate(AC$3,$F71,TRUE))</f>
        <v>#NUM!</v>
      </c>
      <c r="AE71" s="34" t="str">
        <f>IF(AND(NOT(AC71),AND(AC$4:AC70)),IF(AD71&gt;$J71,MAX(EXP((AD71-$J71)*$G71),1),MIN(EXP((AD71-$J71)*$G71),1)),"")</f>
        <v/>
      </c>
      <c r="AF71" s="108"/>
      <c r="AG71" s="72" t="b">
        <f>IF(AND(NOT(AC71),AND(AC$4:AC70)),TRUE,AC71)</f>
        <v>0</v>
      </c>
      <c r="AH71" s="34" t="e">
        <f>IF(AND(NOT(ISBLANK(Jumpoverwrite6)),AND(NOT(AG71),AND(AG$4:AG70))),($J71*$G71-LN(1+Jumpoverwrite6*AI$2))/$G71,_xll.qlInterpolationInterpolate(AG$3,$F71,TRUE))</f>
        <v>#NUM!</v>
      </c>
      <c r="AI71" s="34" t="str">
        <f>IF(AND(NOT(AG71),AND(AG$4:AG70)),IF(AH71&gt;$J71,MAX(EXP((AH71-$J71)*$G71),1),MIN(EXP((AH71-$J71)*$G71),1)),"")</f>
        <v/>
      </c>
      <c r="AJ71" s="108"/>
      <c r="AK71" s="72" t="b">
        <f>IF(AND(NOT(AG71),AND(AG$4:AG70)),TRUE,AG71)</f>
        <v>0</v>
      </c>
      <c r="AL71" s="34" t="e">
        <f>IF(AND(NOT(ISBLANK(Jumpoverwrite7)),AND(NOT(AK71),AND(AK$4:AK70))),($J71*$G71-LN(1+Jumpoverwrite7*AM$2))/$G71,_xll.qlInterpolationInterpolate(AK$3,$F71,TRUE))</f>
        <v>#NUM!</v>
      </c>
      <c r="AM71" s="34" t="str">
        <f>IF(AND(NOT(AK71),AND(AK$4:AK70)),IF(AL71&gt;$J71,MAX(EXP((AL71-$J71)*$G71),1),MIN(EXP((AL71-$J71)*$G71),1)),"")</f>
        <v/>
      </c>
      <c r="AO71" s="72" t="b">
        <f>IF(AND(NOT(AK71),AND(AK$4:AK70)),TRUE,AK71)</f>
        <v>0</v>
      </c>
      <c r="AP71" s="34" t="e">
        <f>IF(AND(NOT(ISBLANK(Jumpoverwrite8)),AND(NOT(AO71),AND(AO$4:AO70))),($J71*$G71-LN(1+Jumpoverwrite8*AQ$2))/$G71,_xll.qlInterpolationInterpolate(AO$3,$F71,TRUE))</f>
        <v>#NUM!</v>
      </c>
      <c r="AQ71" s="34" t="str">
        <f>IF(AND(NOT(AO71),AND(AO$4:AO70)),IF(AP71&gt;$J71,MAX(EXP((AP71-$J71)*$G71),1),MIN(EXP((AP71-$J71)*$G71),1)),"")</f>
        <v/>
      </c>
      <c r="AS71" s="72" t="b">
        <f>IF(AND(NOT(AO71),AND(AO$4:AO70)),TRUE,AO71)</f>
        <v>0</v>
      </c>
      <c r="AT71" s="34" t="e">
        <f>IF(AND(NOT(ISBLANK(Jumpoverwrite9)),AND(NOT(AS71),AND(AS$4:AS70))),($J71*$G71-LN(1+Jumpoverwrite9*AU$2))/$G71,_xll.qlInterpolationInterpolate(AS$3,$F71,TRUE))</f>
        <v>#NUM!</v>
      </c>
      <c r="AU71" s="34" t="str">
        <f>IF(AND(NOT(AS71),AND(AS$4:AS70)),IF(AT71&gt;$J71,MAX(EXP((AT71-$J71)*$G71),1),MIN(EXP((AT71-$J71)*$G71),1)),"")</f>
        <v/>
      </c>
      <c r="AW71" s="72" t="b">
        <f>IF(AND(NOT(AS71),AND(AS$4:AS70)),TRUE,AS71)</f>
        <v>0</v>
      </c>
      <c r="AX71" s="34" t="e">
        <f>IF(AND(NOT(ISBLANK(Jumpoverwrite10)),AND(NOT(AW71),AND(AW$4:AW70))),($J71*$G71-LN(1+Jumpoverwrite10*AY$2))/$G71,_xll.qlInterpolationInterpolate(AW$3,$F71,TRUE))</f>
        <v>#NUM!</v>
      </c>
      <c r="AY71" s="34" t="str">
        <f>IF(AND(NOT(AW71),AND(AW$4:AW70)),IF(AX71&gt;$J71,MAX(EXP((AX71-$J71)*$G71),1),MIN(EXP((AX71-$J71)*$G71),1)),"")</f>
        <v/>
      </c>
      <c r="BA71" s="72" t="b">
        <f>IF(AND(NOT(AW71),AND(AW$4:AW70)),TRUE,AW71)</f>
        <v>0</v>
      </c>
      <c r="BB71" s="34" t="e">
        <f>IF(AND(NOT(ISBLANK(Jumpoverwrite11)),AND(NOT(BA71),AND(BA$4:BA70))),($J71*$G71-LN(1+Jumpoverwrite11*BC$2))/$G71,_xll.qlInterpolationInterpolate(BA$3,$F71,TRUE))</f>
        <v>#NUM!</v>
      </c>
      <c r="BC71" s="34" t="str">
        <f>IF(AND(NOT(BA71),AND(BA$4:BA70)),IF(BB71&gt;$J71,MAX(EXP((BB71-$J71)*$G71),1),MIN(EXP((BB71-$J71)*$G71),1)),"")</f>
        <v/>
      </c>
      <c r="BE71" s="72" t="b">
        <f>IF(AND(NOT(BA71),AND(BA$4:BA70)),TRUE,BA71)</f>
        <v>0</v>
      </c>
      <c r="BF71" s="34" t="e">
        <f>IF(AND(NOT(ISBLANK(Jumpoverwrite12)),AND(NOT(BE71),AND(BE$4:BE70))),($J71*$G71-LN(1+Jumpoverwrite12*BG$2))/$G71,_xll.qlInterpolationInterpolate(BE$3,$F71,TRUE))</f>
        <v>#NUM!</v>
      </c>
      <c r="BG71" s="34" t="str">
        <f>IF(AND(NOT(BE71),AND(BE$4:BE70)),IF(BF71&gt;$J71,MAX(EXP((BF71-$J71)*$G71),1),MIN(EXP((BF71-$J71)*$G71),1)),"")</f>
        <v/>
      </c>
      <c r="BI71" s="72" t="b">
        <f t="shared" si="6"/>
        <v>0</v>
      </c>
      <c r="BJ71" s="34" t="e">
        <f>IF(AND(NOT(ISBLANK(jumpoverwrite13)),AND(NOT(BI71),AND(BI$4:BI70))),($J71*$G71-LN(1+jumpoverwrite13*BK$2))/$G71,_xll.qlInterpolationInterpolate(BI$3,$F71,TRUE))</f>
        <v>#NUM!</v>
      </c>
      <c r="BK71" s="34" t="str">
        <f>IF(AND(NOT(BI71),AND(BI$4:BI70)),IF(BJ71&gt;$J71,MAX(EXP((BJ71-$J71)*$G71),1),MIN(EXP((BJ71-$J71)*$G71),1)),"")</f>
        <v/>
      </c>
      <c r="BM71" s="72" t="b">
        <f>IF(AND(NOT(BI71),AND(BI$4:BI70)),TRUE,BI71)</f>
        <v>0</v>
      </c>
      <c r="BN71" s="175" t="e">
        <f>IF(AND(NOT(ISBLANK(Jumpoverwrite14)),AND(NOT(BM71),AND(BM$4:BM70))),($J71*$G71-LN(1+Jumpoverwrite14*BO$2))/$G71,_xll.qlInterpolationInterpolate(BM$3,$F71,TRUE))</f>
        <v>#NUM!</v>
      </c>
      <c r="BO71" s="34" t="str">
        <f>IF(AND(NOT(BM71),AND(BM$4:BM70)),IF(BM71&gt;$J71,MAX(EXP((BM71-$J71)*$G71),1),MIN(EXP((BM71-$J71)*$G71),1)),"")</f>
        <v/>
      </c>
    </row>
    <row r="72" spans="1:67" x14ac:dyDescent="0.2">
      <c r="A72" s="33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84" t="e">
        <f t="shared" si="4"/>
        <v>#N/A</v>
      </c>
      <c r="G72" s="85" t="e">
        <f>_xll.qlDayCounterYearFraction(DayCounter,D71,D72)</f>
        <v>#NUM!</v>
      </c>
      <c r="I72" s="93" t="b">
        <f t="shared" si="7"/>
        <v>0</v>
      </c>
      <c r="J72" s="37" t="e">
        <v>#N/A</v>
      </c>
      <c r="K72" s="94" t="e">
        <f t="shared" si="8"/>
        <v>#VALUE!</v>
      </c>
      <c r="L72" s="106"/>
      <c r="M72" s="72" t="b">
        <f>IF(AND(NOT(I72),AND(I$4:I71)),TRUE,I72)</f>
        <v>0</v>
      </c>
      <c r="N72" s="34" t="e">
        <f>IF(AND(NOT(ISBLANK(Jumpoverwrite1)),AND(NOT(M72),AND(M$4:M71))),($J72*$G72-LN(1+Jumpoverwrite1*O$2))/$G72,_xll.qlInterpolationInterpolate(M$3,$F72,TRUE))</f>
        <v>#NUM!</v>
      </c>
      <c r="O72" s="34" t="str">
        <f>IF(AND(NOT(M72),AND(M$4:M71)),IF(N72&gt;$J72,MAX(EXP((N72-$J72)*$G72),1),MIN(EXP((N72-$J72)*$G72),1)),"")</f>
        <v/>
      </c>
      <c r="P72" s="108"/>
      <c r="Q72" s="72" t="b">
        <f>IF(AND(NOT(M72),AND(M$4:M71)),TRUE,M72)</f>
        <v>0</v>
      </c>
      <c r="R72" s="34" t="e">
        <f>IF(AND(NOT(ISBLANK(Jumpoverwrite2)),AND(NOT(Q72),AND(Q$4:Q71))),($J72*$G72-LN(1+Jumpoverwrite2*S$2))/$G72,_xll.qlInterpolationInterpolate(Q$3,$F72,TRUE))</f>
        <v>#NUM!</v>
      </c>
      <c r="S72" s="34" t="str">
        <f>IF(AND(NOT(Q72),AND(Q$4:Q71)),IF(R72&gt;$J72,MAX(EXP((R72-$J72)*$G72),1),MIN(EXP((R72-$J72)*$G72),1)),"")</f>
        <v/>
      </c>
      <c r="T72" s="108"/>
      <c r="U72" s="72" t="b">
        <f>IF(AND(NOT(Q72),AND(Q$4:Q71)),TRUE,Q72)</f>
        <v>0</v>
      </c>
      <c r="V72" s="34" t="e">
        <f>IF(AND(NOT(ISBLANK(Jumpoverwrite3)),AND(NOT(U72),AND(U$4:U71))),($J72*$G72-LN(1+Jumpoverwrite3*W$2))/$G72,_xll.qlInterpolationInterpolate(U$3,$F72,TRUE))</f>
        <v>#NUM!</v>
      </c>
      <c r="W72" s="34" t="str">
        <f>IF(AND(NOT(U72),AND(U$4:U71)),IF(V72&gt;$J72,MAX(EXP((V72-$J72)*$G72),1),MIN(EXP((V72-$J72)*$G72),1)),"")</f>
        <v/>
      </c>
      <c r="X72" s="108"/>
      <c r="Y72" s="72" t="b">
        <f>IF(AND(NOT(U72),AND(U$4:U71)),TRUE,U72)</f>
        <v>0</v>
      </c>
      <c r="Z72" s="34" t="e">
        <f>IF(AND(NOT(ISBLANK(Jumpoverwrite4)),AND(NOT(Y72),AND(Y$4:Y71))),($J72*$G72-LN(1+Jumpoverwrite4*AA$2))/$G72,_xll.qlInterpolationInterpolate(Y$3,$F72,TRUE))</f>
        <v>#NUM!</v>
      </c>
      <c r="AA72" s="34" t="str">
        <f>IF(AND(NOT(Y72),AND(Y$4:Y71)),IF(Z72&gt;$J72,MAX(EXP((Z72-$J72)*$G72),1),MIN(EXP((Z72-$J72)*$G72),1)),"")</f>
        <v/>
      </c>
      <c r="AB72" s="108"/>
      <c r="AC72" s="72" t="b">
        <f>IF(AND(NOT(Y72),AND(Y$4:Y71)),TRUE,Y72)</f>
        <v>0</v>
      </c>
      <c r="AD72" s="34" t="e">
        <f>IF(AND(NOT(ISBLANK(Jumpoverwrite5)),AND(NOT(AC72),AND(AC$4:AC71))),($J72*$G72-LN(1+Jumpoverwrite5*AE$2))/$G72,_xll.qlInterpolationInterpolate(AC$3,$F72,TRUE))</f>
        <v>#NUM!</v>
      </c>
      <c r="AE72" s="34" t="str">
        <f>IF(AND(NOT(AC72),AND(AC$4:AC71)),IF(AD72&gt;$J72,MAX(EXP((AD72-$J72)*$G72),1),MIN(EXP((AD72-$J72)*$G72),1)),"")</f>
        <v/>
      </c>
      <c r="AF72" s="108"/>
      <c r="AG72" s="72" t="b">
        <f>IF(AND(NOT(AC72),AND(AC$4:AC71)),TRUE,AC72)</f>
        <v>0</v>
      </c>
      <c r="AH72" s="34" t="e">
        <f>IF(AND(NOT(ISBLANK(Jumpoverwrite6)),AND(NOT(AG72),AND(AG$4:AG71))),($J72*$G72-LN(1+Jumpoverwrite6*AI$2))/$G72,_xll.qlInterpolationInterpolate(AG$3,$F72,TRUE))</f>
        <v>#NUM!</v>
      </c>
      <c r="AI72" s="34" t="str">
        <f>IF(AND(NOT(AG72),AND(AG$4:AG71)),IF(AH72&gt;$J72,MAX(EXP((AH72-$J72)*$G72),1),MIN(EXP((AH72-$J72)*$G72),1)),"")</f>
        <v/>
      </c>
      <c r="AJ72" s="108"/>
      <c r="AK72" s="72" t="b">
        <f>IF(AND(NOT(AG72),AND(AG$4:AG71)),TRUE,AG72)</f>
        <v>0</v>
      </c>
      <c r="AL72" s="34" t="e">
        <f>IF(AND(NOT(ISBLANK(Jumpoverwrite7)),AND(NOT(AK72),AND(AK$4:AK71))),($J72*$G72-LN(1+Jumpoverwrite7*AM$2))/$G72,_xll.qlInterpolationInterpolate(AK$3,$F72,TRUE))</f>
        <v>#NUM!</v>
      </c>
      <c r="AM72" s="34" t="str">
        <f>IF(AND(NOT(AK72),AND(AK$4:AK71)),IF(AL72&gt;$J72,MAX(EXP((AL72-$J72)*$G72),1),MIN(EXP((AL72-$J72)*$G72),1)),"")</f>
        <v/>
      </c>
      <c r="AO72" s="72" t="b">
        <f>IF(AND(NOT(AK72),AND(AK$4:AK71)),TRUE,AK72)</f>
        <v>0</v>
      </c>
      <c r="AP72" s="34" t="e">
        <f>IF(AND(NOT(ISBLANK(Jumpoverwrite8)),AND(NOT(AO72),AND(AO$4:AO71))),($J72*$G72-LN(1+Jumpoverwrite8*AQ$2))/$G72,_xll.qlInterpolationInterpolate(AO$3,$F72,TRUE))</f>
        <v>#NUM!</v>
      </c>
      <c r="AQ72" s="34" t="str">
        <f>IF(AND(NOT(AO72),AND(AO$4:AO71)),IF(AP72&gt;$J72,MAX(EXP((AP72-$J72)*$G72),1),MIN(EXP((AP72-$J72)*$G72),1)),"")</f>
        <v/>
      </c>
      <c r="AS72" s="72" t="b">
        <f>IF(AND(NOT(AO72),AND(AO$4:AO71)),TRUE,AO72)</f>
        <v>0</v>
      </c>
      <c r="AT72" s="34" t="e">
        <f>IF(AND(NOT(ISBLANK(Jumpoverwrite9)),AND(NOT(AS72),AND(AS$4:AS71))),($J72*$G72-LN(1+Jumpoverwrite9*AU$2))/$G72,_xll.qlInterpolationInterpolate(AS$3,$F72,TRUE))</f>
        <v>#NUM!</v>
      </c>
      <c r="AU72" s="34" t="str">
        <f>IF(AND(NOT(AS72),AND(AS$4:AS71)),IF(AT72&gt;$J72,MAX(EXP((AT72-$J72)*$G72),1),MIN(EXP((AT72-$J72)*$G72),1)),"")</f>
        <v/>
      </c>
      <c r="AW72" s="72" t="b">
        <f>IF(AND(NOT(AS72),AND(AS$4:AS71)),TRUE,AS72)</f>
        <v>0</v>
      </c>
      <c r="AX72" s="34" t="e">
        <f>IF(AND(NOT(ISBLANK(Jumpoverwrite10)),AND(NOT(AW72),AND(AW$4:AW71))),($J72*$G72-LN(1+Jumpoverwrite10*AY$2))/$G72,_xll.qlInterpolationInterpolate(AW$3,$F72,TRUE))</f>
        <v>#NUM!</v>
      </c>
      <c r="AY72" s="34" t="str">
        <f>IF(AND(NOT(AW72),AND(AW$4:AW71)),IF(AX72&gt;$J72,MAX(EXP((AX72-$J72)*$G72),1),MIN(EXP((AX72-$J72)*$G72),1)),"")</f>
        <v/>
      </c>
      <c r="BA72" s="72" t="b">
        <f>IF(AND(NOT(AW72),AND(AW$4:AW71)),TRUE,AW72)</f>
        <v>0</v>
      </c>
      <c r="BB72" s="34" t="e">
        <f>IF(AND(NOT(ISBLANK(Jumpoverwrite11)),AND(NOT(BA72),AND(BA$4:BA71))),($J72*$G72-LN(1+Jumpoverwrite11*BC$2))/$G72,_xll.qlInterpolationInterpolate(BA$3,$F72,TRUE))</f>
        <v>#NUM!</v>
      </c>
      <c r="BC72" s="34" t="str">
        <f>IF(AND(NOT(BA72),AND(BA$4:BA71)),IF(BB72&gt;$J72,MAX(EXP((BB72-$J72)*$G72),1),MIN(EXP((BB72-$J72)*$G72),1)),"")</f>
        <v/>
      </c>
      <c r="BE72" s="72" t="b">
        <f>IF(AND(NOT(BA72),AND(BA$4:BA71)),TRUE,BA72)</f>
        <v>0</v>
      </c>
      <c r="BF72" s="34" t="e">
        <f>IF(AND(NOT(ISBLANK(Jumpoverwrite12)),AND(NOT(BE72),AND(BE$4:BE71))),($J72*$G72-LN(1+Jumpoverwrite12*BG$2))/$G72,_xll.qlInterpolationInterpolate(BE$3,$F72,TRUE))</f>
        <v>#NUM!</v>
      </c>
      <c r="BG72" s="34" t="str">
        <f>IF(AND(NOT(BE72),AND(BE$4:BE71)),IF(BF72&gt;$J72,MAX(EXP((BF72-$J72)*$G72),1),MIN(EXP((BF72-$J72)*$G72),1)),"")</f>
        <v/>
      </c>
      <c r="BI72" s="72" t="b">
        <f t="shared" si="6"/>
        <v>0</v>
      </c>
      <c r="BJ72" s="34" t="e">
        <f>IF(AND(NOT(ISBLANK(jumpoverwrite13)),AND(NOT(BI72),AND(BI$4:BI71))),($J72*$G72-LN(1+jumpoverwrite13*BK$2))/$G72,_xll.qlInterpolationInterpolate(BI$3,$F72,TRUE))</f>
        <v>#NUM!</v>
      </c>
      <c r="BK72" s="34" t="str">
        <f>IF(AND(NOT(BI72),AND(BI$4:BI71)),IF(BJ72&gt;$J72,MAX(EXP((BJ72-$J72)*$G72),1),MIN(EXP((BJ72-$J72)*$G72),1)),"")</f>
        <v/>
      </c>
      <c r="BM72" s="72" t="b">
        <f>IF(AND(NOT(BI72),AND(BI$4:BI71)),TRUE,BI72)</f>
        <v>0</v>
      </c>
      <c r="BN72" s="175" t="e">
        <f>IF(AND(NOT(ISBLANK(Jumpoverwrite14)),AND(NOT(BM72),AND(BM$4:BM71))),($J72*$G72-LN(1+Jumpoverwrite14*BO$2))/$G72,_xll.qlInterpolationInterpolate(BM$3,$F72,TRUE))</f>
        <v>#NUM!</v>
      </c>
      <c r="BO72" s="34" t="str">
        <f>IF(AND(NOT(BM72),AND(BM$4:BM71)),IF(BM72&gt;$J72,MAX(EXP((BM72-$J72)*$G72),1),MIN(EXP((BM72-$J72)*$G72),1)),"")</f>
        <v/>
      </c>
    </row>
    <row r="73" spans="1:67" x14ac:dyDescent="0.2">
      <c r="A73" s="33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84" t="e">
        <f t="shared" si="4"/>
        <v>#N/A</v>
      </c>
      <c r="G73" s="85" t="e">
        <f>_xll.qlDayCounterYearFraction(DayCounter,D72,D73)</f>
        <v>#NUM!</v>
      </c>
      <c r="I73" s="93" t="b">
        <f t="shared" si="7"/>
        <v>0</v>
      </c>
      <c r="J73" s="37" t="e">
        <v>#N/A</v>
      </c>
      <c r="K73" s="94" t="e">
        <f t="shared" si="8"/>
        <v>#VALUE!</v>
      </c>
      <c r="L73" s="106"/>
      <c r="M73" s="72" t="b">
        <f>IF(AND(NOT(I73),AND(I$4:I72)),TRUE,I73)</f>
        <v>0</v>
      </c>
      <c r="N73" s="34" t="e">
        <f>IF(AND(NOT(ISBLANK(Jumpoverwrite1)),AND(NOT(M73),AND(M$4:M72))),($J73*$G73-LN(1+Jumpoverwrite1*O$2))/$G73,_xll.qlInterpolationInterpolate(M$3,$F73,TRUE))</f>
        <v>#NUM!</v>
      </c>
      <c r="O73" s="34" t="str">
        <f>IF(AND(NOT(M73),AND(M$4:M72)),IF(N73&gt;$J73,MAX(EXP((N73-$J73)*$G73),1),MIN(EXP((N73-$J73)*$G73),1)),"")</f>
        <v/>
      </c>
      <c r="P73" s="108"/>
      <c r="Q73" s="72" t="b">
        <f>IF(AND(NOT(M73),AND(M$4:M72)),TRUE,M73)</f>
        <v>0</v>
      </c>
      <c r="R73" s="34" t="e">
        <f>IF(AND(NOT(ISBLANK(Jumpoverwrite2)),AND(NOT(Q73),AND(Q$4:Q72))),($J73*$G73-LN(1+Jumpoverwrite2*S$2))/$G73,_xll.qlInterpolationInterpolate(Q$3,$F73,TRUE))</f>
        <v>#NUM!</v>
      </c>
      <c r="S73" s="34" t="str">
        <f>IF(AND(NOT(Q73),AND(Q$4:Q72)),IF(R73&gt;$J73,MAX(EXP((R73-$J73)*$G73),1),MIN(EXP((R73-$J73)*$G73),1)),"")</f>
        <v/>
      </c>
      <c r="T73" s="108"/>
      <c r="U73" s="72" t="b">
        <f>IF(AND(NOT(Q73),AND(Q$4:Q72)),TRUE,Q73)</f>
        <v>0</v>
      </c>
      <c r="V73" s="34" t="e">
        <f>IF(AND(NOT(ISBLANK(Jumpoverwrite3)),AND(NOT(U73),AND(U$4:U72))),($J73*$G73-LN(1+Jumpoverwrite3*W$2))/$G73,_xll.qlInterpolationInterpolate(U$3,$F73,TRUE))</f>
        <v>#NUM!</v>
      </c>
      <c r="W73" s="34" t="str">
        <f>IF(AND(NOT(U73),AND(U$4:U72)),IF(V73&gt;$J73,MAX(EXP((V73-$J73)*$G73),1),MIN(EXP((V73-$J73)*$G73),1)),"")</f>
        <v/>
      </c>
      <c r="X73" s="108"/>
      <c r="Y73" s="72" t="b">
        <f>IF(AND(NOT(U73),AND(U$4:U72)),TRUE,U73)</f>
        <v>0</v>
      </c>
      <c r="Z73" s="34" t="e">
        <f>IF(AND(NOT(ISBLANK(Jumpoverwrite4)),AND(NOT(Y73),AND(Y$4:Y72))),($J73*$G73-LN(1+Jumpoverwrite4*AA$2))/$G73,_xll.qlInterpolationInterpolate(Y$3,$F73,TRUE))</f>
        <v>#NUM!</v>
      </c>
      <c r="AA73" s="34" t="str">
        <f>IF(AND(NOT(Y73),AND(Y$4:Y72)),IF(Z73&gt;$J73,MAX(EXP((Z73-$J73)*$G73),1),MIN(EXP((Z73-$J73)*$G73),1)),"")</f>
        <v/>
      </c>
      <c r="AB73" s="108"/>
      <c r="AC73" s="72" t="b">
        <f>IF(AND(NOT(Y73),AND(Y$4:Y72)),TRUE,Y73)</f>
        <v>0</v>
      </c>
      <c r="AD73" s="34" t="e">
        <f>IF(AND(NOT(ISBLANK(Jumpoverwrite5)),AND(NOT(AC73),AND(AC$4:AC72))),($J73*$G73-LN(1+Jumpoverwrite5*AE$2))/$G73,_xll.qlInterpolationInterpolate(AC$3,$F73,TRUE))</f>
        <v>#NUM!</v>
      </c>
      <c r="AE73" s="34" t="str">
        <f>IF(AND(NOT(AC73),AND(AC$4:AC72)),IF(AD73&gt;$J73,MAX(EXP((AD73-$J73)*$G73),1),MIN(EXP((AD73-$J73)*$G73),1)),"")</f>
        <v/>
      </c>
      <c r="AF73" s="108"/>
      <c r="AG73" s="72" t="b">
        <f>IF(AND(NOT(AC73),AND(AC$4:AC72)),TRUE,AC73)</f>
        <v>0</v>
      </c>
      <c r="AH73" s="34" t="e">
        <f>IF(AND(NOT(ISBLANK(Jumpoverwrite6)),AND(NOT(AG73),AND(AG$4:AG72))),($J73*$G73-LN(1+Jumpoverwrite6*AI$2))/$G73,_xll.qlInterpolationInterpolate(AG$3,$F73,TRUE))</f>
        <v>#NUM!</v>
      </c>
      <c r="AI73" s="34" t="str">
        <f>IF(AND(NOT(AG73),AND(AG$4:AG72)),IF(AH73&gt;$J73,MAX(EXP((AH73-$J73)*$G73),1),MIN(EXP((AH73-$J73)*$G73),1)),"")</f>
        <v/>
      </c>
      <c r="AJ73" s="108"/>
      <c r="AK73" s="72" t="b">
        <f>IF(AND(NOT(AG73),AND(AG$4:AG72)),TRUE,AG73)</f>
        <v>0</v>
      </c>
      <c r="AL73" s="34" t="e">
        <f>IF(AND(NOT(ISBLANK(Jumpoverwrite7)),AND(NOT(AK73),AND(AK$4:AK72))),($J73*$G73-LN(1+Jumpoverwrite7*AM$2))/$G73,_xll.qlInterpolationInterpolate(AK$3,$F73,TRUE))</f>
        <v>#NUM!</v>
      </c>
      <c r="AM73" s="34" t="str">
        <f>IF(AND(NOT(AK73),AND(AK$4:AK72)),IF(AL73&gt;$J73,MAX(EXP((AL73-$J73)*$G73),1),MIN(EXP((AL73-$J73)*$G73),1)),"")</f>
        <v/>
      </c>
      <c r="AO73" s="72" t="b">
        <f>IF(AND(NOT(AK73),AND(AK$4:AK72)),TRUE,AK73)</f>
        <v>0</v>
      </c>
      <c r="AP73" s="34" t="e">
        <f>IF(AND(NOT(ISBLANK(Jumpoverwrite8)),AND(NOT(AO73),AND(AO$4:AO72))),($J73*$G73-LN(1+Jumpoverwrite8*AQ$2))/$G73,_xll.qlInterpolationInterpolate(AO$3,$F73,TRUE))</f>
        <v>#NUM!</v>
      </c>
      <c r="AQ73" s="34" t="str">
        <f>IF(AND(NOT(AO73),AND(AO$4:AO72)),IF(AP73&gt;$J73,MAX(EXP((AP73-$J73)*$G73),1),MIN(EXP((AP73-$J73)*$G73),1)),"")</f>
        <v/>
      </c>
      <c r="AS73" s="72" t="b">
        <f>IF(AND(NOT(AO73),AND(AO$4:AO72)),TRUE,AO73)</f>
        <v>0</v>
      </c>
      <c r="AT73" s="34" t="e">
        <f>IF(AND(NOT(ISBLANK(Jumpoverwrite9)),AND(NOT(AS73),AND(AS$4:AS72))),($J73*$G73-LN(1+Jumpoverwrite9*AU$2))/$G73,_xll.qlInterpolationInterpolate(AS$3,$F73,TRUE))</f>
        <v>#NUM!</v>
      </c>
      <c r="AU73" s="34" t="str">
        <f>IF(AND(NOT(AS73),AND(AS$4:AS72)),IF(AT73&gt;$J73,MAX(EXP((AT73-$J73)*$G73),1),MIN(EXP((AT73-$J73)*$G73),1)),"")</f>
        <v/>
      </c>
      <c r="AW73" s="72" t="b">
        <f>IF(AND(NOT(AS73),AND(AS$4:AS72)),TRUE,AS73)</f>
        <v>0</v>
      </c>
      <c r="AX73" s="34" t="e">
        <f>IF(AND(NOT(ISBLANK(Jumpoverwrite10)),AND(NOT(AW73),AND(AW$4:AW72))),($J73*$G73-LN(1+Jumpoverwrite10*AY$2))/$G73,_xll.qlInterpolationInterpolate(AW$3,$F73,TRUE))</f>
        <v>#NUM!</v>
      </c>
      <c r="AY73" s="34" t="str">
        <f>IF(AND(NOT(AW73),AND(AW$4:AW72)),IF(AX73&gt;$J73,MAX(EXP((AX73-$J73)*$G73),1),MIN(EXP((AX73-$J73)*$G73),1)),"")</f>
        <v/>
      </c>
      <c r="BA73" s="72" t="b">
        <f>IF(AND(NOT(AW73),AND(AW$4:AW72)),TRUE,AW73)</f>
        <v>0</v>
      </c>
      <c r="BB73" s="34" t="e">
        <f>IF(AND(NOT(ISBLANK(Jumpoverwrite11)),AND(NOT(BA73),AND(BA$4:BA72))),($J73*$G73-LN(1+Jumpoverwrite11*BC$2))/$G73,_xll.qlInterpolationInterpolate(BA$3,$F73,TRUE))</f>
        <v>#NUM!</v>
      </c>
      <c r="BC73" s="34" t="str">
        <f>IF(AND(NOT(BA73),AND(BA$4:BA72)),IF(BB73&gt;$J73,MAX(EXP((BB73-$J73)*$G73),1),MIN(EXP((BB73-$J73)*$G73),1)),"")</f>
        <v/>
      </c>
      <c r="BE73" s="72" t="b">
        <f>IF(AND(NOT(BA73),AND(BA$4:BA72)),TRUE,BA73)</f>
        <v>0</v>
      </c>
      <c r="BF73" s="34" t="e">
        <f>IF(AND(NOT(ISBLANK(Jumpoverwrite12)),AND(NOT(BE73),AND(BE$4:BE72))),($J73*$G73-LN(1+Jumpoverwrite12*BG$2))/$G73,_xll.qlInterpolationInterpolate(BE$3,$F73,TRUE))</f>
        <v>#NUM!</v>
      </c>
      <c r="BG73" s="34" t="str">
        <f>IF(AND(NOT(BE73),AND(BE$4:BE72)),IF(BF73&gt;$J73,MAX(EXP((BF73-$J73)*$G73),1),MIN(EXP((BF73-$J73)*$G73),1)),"")</f>
        <v/>
      </c>
      <c r="BI73" s="72" t="b">
        <f t="shared" si="6"/>
        <v>0</v>
      </c>
      <c r="BJ73" s="34" t="e">
        <f>IF(AND(NOT(ISBLANK(jumpoverwrite13)),AND(NOT(BI73),AND(BI$4:BI72))),($J73*$G73-LN(1+jumpoverwrite13*BK$2))/$G73,_xll.qlInterpolationInterpolate(BI$3,$F73,TRUE))</f>
        <v>#NUM!</v>
      </c>
      <c r="BK73" s="34" t="str">
        <f>IF(AND(NOT(BI73),AND(BI$4:BI72)),IF(BJ73&gt;$J73,MAX(EXP((BJ73-$J73)*$G73),1),MIN(EXP((BJ73-$J73)*$G73),1)),"")</f>
        <v/>
      </c>
      <c r="BM73" s="72" t="b">
        <f>IF(AND(NOT(BI73),AND(BI$4:BI72)),TRUE,BI73)</f>
        <v>0</v>
      </c>
      <c r="BN73" s="175" t="e">
        <f>IF(AND(NOT(ISBLANK(Jumpoverwrite14)),AND(NOT(BM73),AND(BM$4:BM72))),($J73*$G73-LN(1+Jumpoverwrite14*BO$2))/$G73,_xll.qlInterpolationInterpolate(BM$3,$F73,TRUE))</f>
        <v>#NUM!</v>
      </c>
      <c r="BO73" s="34" t="str">
        <f>IF(AND(NOT(BM73),AND(BM$4:BM72)),IF(BM73&gt;$J73,MAX(EXP((BM73-$J73)*$G73),1),MIN(EXP((BM73-$J73)*$G73),1)),"")</f>
        <v/>
      </c>
    </row>
    <row r="74" spans="1:67" x14ac:dyDescent="0.2">
      <c r="A74" s="33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84" t="e">
        <f t="shared" si="4"/>
        <v>#N/A</v>
      </c>
      <c r="G74" s="85" t="e">
        <f>_xll.qlDayCounterYearFraction(DayCounter,D73,D74)</f>
        <v>#NUM!</v>
      </c>
      <c r="I74" s="93" t="b">
        <f t="shared" si="7"/>
        <v>0</v>
      </c>
      <c r="J74" s="37" t="e">
        <v>#N/A</v>
      </c>
      <c r="K74" s="94" t="e">
        <f t="shared" si="8"/>
        <v>#VALUE!</v>
      </c>
      <c r="L74" s="106"/>
      <c r="M74" s="72" t="b">
        <f>IF(AND(NOT(I74),AND(I$4:I73)),TRUE,I74)</f>
        <v>0</v>
      </c>
      <c r="N74" s="34" t="e">
        <f>IF(AND(NOT(ISBLANK(Jumpoverwrite1)),AND(NOT(M74),AND(M$4:M73))),($J74*$G74-LN(1+Jumpoverwrite1*O$2))/$G74,_xll.qlInterpolationInterpolate(M$3,$F74,TRUE))</f>
        <v>#NUM!</v>
      </c>
      <c r="O74" s="34" t="str">
        <f>IF(AND(NOT(M74),AND(M$4:M73)),IF(N74&gt;$J74,MAX(EXP((N74-$J74)*$G74),1),MIN(EXP((N74-$J74)*$G74),1)),"")</f>
        <v/>
      </c>
      <c r="P74" s="108"/>
      <c r="Q74" s="72" t="b">
        <f>IF(AND(NOT(M74),AND(M$4:M73)),TRUE,M74)</f>
        <v>0</v>
      </c>
      <c r="R74" s="34" t="e">
        <f>IF(AND(NOT(ISBLANK(Jumpoverwrite2)),AND(NOT(Q74),AND(Q$4:Q73))),($J74*$G74-LN(1+Jumpoverwrite2*S$2))/$G74,_xll.qlInterpolationInterpolate(Q$3,$F74,TRUE))</f>
        <v>#NUM!</v>
      </c>
      <c r="S74" s="34" t="str">
        <f>IF(AND(NOT(Q74),AND(Q$4:Q73)),IF(R74&gt;$J74,MAX(EXP((R74-$J74)*$G74),1),MIN(EXP((R74-$J74)*$G74),1)),"")</f>
        <v/>
      </c>
      <c r="T74" s="108"/>
      <c r="U74" s="72" t="b">
        <f>IF(AND(NOT(Q74),AND(Q$4:Q73)),TRUE,Q74)</f>
        <v>0</v>
      </c>
      <c r="V74" s="34" t="e">
        <f>IF(AND(NOT(ISBLANK(Jumpoverwrite3)),AND(NOT(U74),AND(U$4:U73))),($J74*$G74-LN(1+Jumpoverwrite3*W$2))/$G74,_xll.qlInterpolationInterpolate(U$3,$F74,TRUE))</f>
        <v>#NUM!</v>
      </c>
      <c r="W74" s="34" t="str">
        <f>IF(AND(NOT(U74),AND(U$4:U73)),IF(V74&gt;$J74,MAX(EXP((V74-$J74)*$G74),1),MIN(EXP((V74-$J74)*$G74),1)),"")</f>
        <v/>
      </c>
      <c r="X74" s="108"/>
      <c r="Y74" s="72" t="b">
        <f>IF(AND(NOT(U74),AND(U$4:U73)),TRUE,U74)</f>
        <v>0</v>
      </c>
      <c r="Z74" s="34" t="e">
        <f>IF(AND(NOT(ISBLANK(Jumpoverwrite4)),AND(NOT(Y74),AND(Y$4:Y73))),($J74*$G74-LN(1+Jumpoverwrite4*AA$2))/$G74,_xll.qlInterpolationInterpolate(Y$3,$F74,TRUE))</f>
        <v>#NUM!</v>
      </c>
      <c r="AA74" s="34" t="str">
        <f>IF(AND(NOT(Y74),AND(Y$4:Y73)),IF(Z74&gt;$J74,MAX(EXP((Z74-$J74)*$G74),1),MIN(EXP((Z74-$J74)*$G74),1)),"")</f>
        <v/>
      </c>
      <c r="AB74" s="108"/>
      <c r="AC74" s="72" t="b">
        <f>IF(AND(NOT(Y74),AND(Y$4:Y73)),TRUE,Y74)</f>
        <v>0</v>
      </c>
      <c r="AD74" s="34" t="e">
        <f>IF(AND(NOT(ISBLANK(Jumpoverwrite5)),AND(NOT(AC74),AND(AC$4:AC73))),($J74*$G74-LN(1+Jumpoverwrite5*AE$2))/$G74,_xll.qlInterpolationInterpolate(AC$3,$F74,TRUE))</f>
        <v>#NUM!</v>
      </c>
      <c r="AE74" s="34" t="str">
        <f>IF(AND(NOT(AC74),AND(AC$4:AC73)),IF(AD74&gt;$J74,MAX(EXP((AD74-$J74)*$G74),1),MIN(EXP((AD74-$J74)*$G74),1)),"")</f>
        <v/>
      </c>
      <c r="AF74" s="108"/>
      <c r="AG74" s="72" t="b">
        <f>IF(AND(NOT(AC74),AND(AC$4:AC73)),TRUE,AC74)</f>
        <v>0</v>
      </c>
      <c r="AH74" s="34" t="e">
        <f>IF(AND(NOT(ISBLANK(Jumpoverwrite6)),AND(NOT(AG74),AND(AG$4:AG73))),($J74*$G74-LN(1+Jumpoverwrite6*AI$2))/$G74,_xll.qlInterpolationInterpolate(AG$3,$F74,TRUE))</f>
        <v>#NUM!</v>
      </c>
      <c r="AI74" s="34" t="str">
        <f>IF(AND(NOT(AG74),AND(AG$4:AG73)),IF(AH74&gt;$J74,MAX(EXP((AH74-$J74)*$G74),1),MIN(EXP((AH74-$J74)*$G74),1)),"")</f>
        <v/>
      </c>
      <c r="AJ74" s="108"/>
      <c r="AK74" s="72" t="b">
        <f>IF(AND(NOT(AG74),AND(AG$4:AG73)),TRUE,AG74)</f>
        <v>0</v>
      </c>
      <c r="AL74" s="34" t="e">
        <f>IF(AND(NOT(ISBLANK(Jumpoverwrite7)),AND(NOT(AK74),AND(AK$4:AK73))),($J74*$G74-LN(1+Jumpoverwrite7*AM$2))/$G74,_xll.qlInterpolationInterpolate(AK$3,$F74,TRUE))</f>
        <v>#NUM!</v>
      </c>
      <c r="AM74" s="34" t="str">
        <f>IF(AND(NOT(AK74),AND(AK$4:AK73)),IF(AL74&gt;$J74,MAX(EXP((AL74-$J74)*$G74),1),MIN(EXP((AL74-$J74)*$G74),1)),"")</f>
        <v/>
      </c>
      <c r="AO74" s="72" t="b">
        <f>IF(AND(NOT(AK74),AND(AK$4:AK73)),TRUE,AK74)</f>
        <v>0</v>
      </c>
      <c r="AP74" s="34" t="e">
        <f>IF(AND(NOT(ISBLANK(Jumpoverwrite8)),AND(NOT(AO74),AND(AO$4:AO73))),($J74*$G74-LN(1+Jumpoverwrite8*AQ$2))/$G74,_xll.qlInterpolationInterpolate(AO$3,$F74,TRUE))</f>
        <v>#NUM!</v>
      </c>
      <c r="AQ74" s="34" t="str">
        <f>IF(AND(NOT(AO74),AND(AO$4:AO73)),IF(AP74&gt;$J74,MAX(EXP((AP74-$J74)*$G74),1),MIN(EXP((AP74-$J74)*$G74),1)),"")</f>
        <v/>
      </c>
      <c r="AS74" s="72" t="b">
        <f>IF(AND(NOT(AO74),AND(AO$4:AO73)),TRUE,AO74)</f>
        <v>0</v>
      </c>
      <c r="AT74" s="34" t="e">
        <f>IF(AND(NOT(ISBLANK(Jumpoverwrite9)),AND(NOT(AS74),AND(AS$4:AS73))),($J74*$G74-LN(1+Jumpoverwrite9*AU$2))/$G74,_xll.qlInterpolationInterpolate(AS$3,$F74,TRUE))</f>
        <v>#NUM!</v>
      </c>
      <c r="AU74" s="34" t="str">
        <f>IF(AND(NOT(AS74),AND(AS$4:AS73)),IF(AT74&gt;$J74,MAX(EXP((AT74-$J74)*$G74),1),MIN(EXP((AT74-$J74)*$G74),1)),"")</f>
        <v/>
      </c>
      <c r="AW74" s="72" t="b">
        <f>IF(AND(NOT(AS74),AND(AS$4:AS73)),TRUE,AS74)</f>
        <v>0</v>
      </c>
      <c r="AX74" s="34" t="e">
        <f>IF(AND(NOT(ISBLANK(Jumpoverwrite10)),AND(NOT(AW74),AND(AW$4:AW73))),($J74*$G74-LN(1+Jumpoverwrite10*AY$2))/$G74,_xll.qlInterpolationInterpolate(AW$3,$F74,TRUE))</f>
        <v>#NUM!</v>
      </c>
      <c r="AY74" s="34" t="str">
        <f>IF(AND(NOT(AW74),AND(AW$4:AW73)),IF(AX74&gt;$J74,MAX(EXP((AX74-$J74)*$G74),1),MIN(EXP((AX74-$J74)*$G74),1)),"")</f>
        <v/>
      </c>
      <c r="BA74" s="72" t="b">
        <f>IF(AND(NOT(AW74),AND(AW$4:AW73)),TRUE,AW74)</f>
        <v>0</v>
      </c>
      <c r="BB74" s="34" t="e">
        <f>IF(AND(NOT(ISBLANK(Jumpoverwrite11)),AND(NOT(BA74),AND(BA$4:BA73))),($J74*$G74-LN(1+Jumpoverwrite11*BC$2))/$G74,_xll.qlInterpolationInterpolate(BA$3,$F74,TRUE))</f>
        <v>#NUM!</v>
      </c>
      <c r="BC74" s="34" t="str">
        <f>IF(AND(NOT(BA74),AND(BA$4:BA73)),IF(BB74&gt;$J74,MAX(EXP((BB74-$J74)*$G74),1),MIN(EXP((BB74-$J74)*$G74),1)),"")</f>
        <v/>
      </c>
      <c r="BE74" s="72" t="b">
        <f>IF(AND(NOT(BA74),AND(BA$4:BA73)),TRUE,BA74)</f>
        <v>0</v>
      </c>
      <c r="BF74" s="34" t="e">
        <f>IF(AND(NOT(ISBLANK(Jumpoverwrite12)),AND(NOT(BE74),AND(BE$4:BE73))),($J74*$G74-LN(1+Jumpoverwrite12*BG$2))/$G74,_xll.qlInterpolationInterpolate(BE$3,$F74,TRUE))</f>
        <v>#NUM!</v>
      </c>
      <c r="BG74" s="34" t="str">
        <f>IF(AND(NOT(BE74),AND(BE$4:BE73)),IF(BF74&gt;$J74,MAX(EXP((BF74-$J74)*$G74),1),MIN(EXP((BF74-$J74)*$G74),1)),"")</f>
        <v/>
      </c>
      <c r="BI74" s="72" t="b">
        <f t="shared" si="6"/>
        <v>0</v>
      </c>
      <c r="BJ74" s="34" t="e">
        <f>IF(AND(NOT(ISBLANK(jumpoverwrite13)),AND(NOT(BI74),AND(BI$4:BI73))),($J74*$G74-LN(1+jumpoverwrite13*BK$2))/$G74,_xll.qlInterpolationInterpolate(BI$3,$F74,TRUE))</f>
        <v>#NUM!</v>
      </c>
      <c r="BK74" s="34" t="str">
        <f>IF(AND(NOT(BI74),AND(BI$4:BI73)),IF(BJ74&gt;$J74,MAX(EXP((BJ74-$J74)*$G74),1),MIN(EXP((BJ74-$J74)*$G74),1)),"")</f>
        <v/>
      </c>
      <c r="BM74" s="72" t="b">
        <f>IF(AND(NOT(BI74),AND(BI$4:BI73)),TRUE,BI74)</f>
        <v>0</v>
      </c>
      <c r="BN74" s="175" t="e">
        <f>IF(AND(NOT(ISBLANK(Jumpoverwrite14)),AND(NOT(BM74),AND(BM$4:BM73))),($J74*$G74-LN(1+Jumpoverwrite14*BO$2))/$G74,_xll.qlInterpolationInterpolate(BM$3,$F74,TRUE))</f>
        <v>#NUM!</v>
      </c>
      <c r="BO74" s="34" t="str">
        <f>IF(AND(NOT(BM74),AND(BM$4:BM73)),IF(BM74&gt;$J74,MAX(EXP((BM74-$J74)*$G74),1),MIN(EXP((BM74-$J74)*$G74),1)),"")</f>
        <v/>
      </c>
    </row>
    <row r="75" spans="1:67" x14ac:dyDescent="0.2">
      <c r="A75" s="33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84" t="e">
        <f t="shared" si="4"/>
        <v>#N/A</v>
      </c>
      <c r="G75" s="85" t="e">
        <f>_xll.qlDayCounterYearFraction(DayCounter,D74,D75)</f>
        <v>#NUM!</v>
      </c>
      <c r="I75" s="93" t="b">
        <f t="shared" si="7"/>
        <v>0</v>
      </c>
      <c r="J75" s="37" t="e">
        <v>#N/A</v>
      </c>
      <c r="K75" s="94" t="e">
        <f t="shared" si="8"/>
        <v>#VALUE!</v>
      </c>
      <c r="L75" s="106"/>
      <c r="M75" s="72" t="b">
        <f>IF(AND(NOT(I75),AND(I$4:I74)),TRUE,I75)</f>
        <v>0</v>
      </c>
      <c r="N75" s="34" t="e">
        <f>IF(AND(NOT(ISBLANK(Jumpoverwrite1)),AND(NOT(M75),AND(M$4:M74))),($J75*$G75-LN(1+Jumpoverwrite1*O$2))/$G75,_xll.qlInterpolationInterpolate(M$3,$F75,TRUE))</f>
        <v>#NUM!</v>
      </c>
      <c r="O75" s="34" t="str">
        <f>IF(AND(NOT(M75),AND(M$4:M74)),IF(N75&gt;$J75,MAX(EXP((N75-$J75)*$G75),1),MIN(EXP((N75-$J75)*$G75),1)),"")</f>
        <v/>
      </c>
      <c r="P75" s="108"/>
      <c r="Q75" s="72" t="b">
        <f>IF(AND(NOT(M75),AND(M$4:M74)),TRUE,M75)</f>
        <v>0</v>
      </c>
      <c r="R75" s="34" t="e">
        <f>IF(AND(NOT(ISBLANK(Jumpoverwrite2)),AND(NOT(Q75),AND(Q$4:Q74))),($J75*$G75-LN(1+Jumpoverwrite2*S$2))/$G75,_xll.qlInterpolationInterpolate(Q$3,$F75,TRUE))</f>
        <v>#NUM!</v>
      </c>
      <c r="S75" s="34" t="str">
        <f>IF(AND(NOT(Q75),AND(Q$4:Q74)),IF(R75&gt;$J75,MAX(EXP((R75-$J75)*$G75),1),MIN(EXP((R75-$J75)*$G75),1)),"")</f>
        <v/>
      </c>
      <c r="T75" s="108"/>
      <c r="U75" s="72" t="b">
        <f>IF(AND(NOT(Q75),AND(Q$4:Q74)),TRUE,Q75)</f>
        <v>0</v>
      </c>
      <c r="V75" s="34" t="e">
        <f>IF(AND(NOT(ISBLANK(Jumpoverwrite3)),AND(NOT(U75),AND(U$4:U74))),($J75*$G75-LN(1+Jumpoverwrite3*W$2))/$G75,_xll.qlInterpolationInterpolate(U$3,$F75,TRUE))</f>
        <v>#NUM!</v>
      </c>
      <c r="W75" s="34" t="str">
        <f>IF(AND(NOT(U75),AND(U$4:U74)),IF(V75&gt;$J75,MAX(EXP((V75-$J75)*$G75),1),MIN(EXP((V75-$J75)*$G75),1)),"")</f>
        <v/>
      </c>
      <c r="X75" s="108"/>
      <c r="Y75" s="72" t="b">
        <f>IF(AND(NOT(U75),AND(U$4:U74)),TRUE,U75)</f>
        <v>0</v>
      </c>
      <c r="Z75" s="34" t="e">
        <f>IF(AND(NOT(ISBLANK(Jumpoverwrite4)),AND(NOT(Y75),AND(Y$4:Y74))),($J75*$G75-LN(1+Jumpoverwrite4*AA$2))/$G75,_xll.qlInterpolationInterpolate(Y$3,$F75,TRUE))</f>
        <v>#NUM!</v>
      </c>
      <c r="AA75" s="34" t="str">
        <f>IF(AND(NOT(Y75),AND(Y$4:Y74)),IF(Z75&gt;$J75,MAX(EXP((Z75-$J75)*$G75),1),MIN(EXP((Z75-$J75)*$G75),1)),"")</f>
        <v/>
      </c>
      <c r="AB75" s="108"/>
      <c r="AC75" s="72" t="b">
        <f>IF(AND(NOT(Y75),AND(Y$4:Y74)),TRUE,Y75)</f>
        <v>0</v>
      </c>
      <c r="AD75" s="34" t="e">
        <f>IF(AND(NOT(ISBLANK(Jumpoverwrite5)),AND(NOT(AC75),AND(AC$4:AC74))),($J75*$G75-LN(1+Jumpoverwrite5*AE$2))/$G75,_xll.qlInterpolationInterpolate(AC$3,$F75,TRUE))</f>
        <v>#NUM!</v>
      </c>
      <c r="AE75" s="34" t="str">
        <f>IF(AND(NOT(AC75),AND(AC$4:AC74)),IF(AD75&gt;$J75,MAX(EXP((AD75-$J75)*$G75),1),MIN(EXP((AD75-$J75)*$G75),1)),"")</f>
        <v/>
      </c>
      <c r="AF75" s="108"/>
      <c r="AG75" s="72" t="b">
        <f>IF(AND(NOT(AC75),AND(AC$4:AC74)),TRUE,AC75)</f>
        <v>0</v>
      </c>
      <c r="AH75" s="34" t="e">
        <f>IF(AND(NOT(ISBLANK(Jumpoverwrite6)),AND(NOT(AG75),AND(AG$4:AG74))),($J75*$G75-LN(1+Jumpoverwrite6*AI$2))/$G75,_xll.qlInterpolationInterpolate(AG$3,$F75,TRUE))</f>
        <v>#NUM!</v>
      </c>
      <c r="AI75" s="34" t="str">
        <f>IF(AND(NOT(AG75),AND(AG$4:AG74)),IF(AH75&gt;$J75,MAX(EXP((AH75-$J75)*$G75),1),MIN(EXP((AH75-$J75)*$G75),1)),"")</f>
        <v/>
      </c>
      <c r="AJ75" s="108"/>
      <c r="AK75" s="72" t="b">
        <f>IF(AND(NOT(AG75),AND(AG$4:AG74)),TRUE,AG75)</f>
        <v>0</v>
      </c>
      <c r="AL75" s="34" t="e">
        <f>IF(AND(NOT(ISBLANK(Jumpoverwrite7)),AND(NOT(AK75),AND(AK$4:AK74))),($J75*$G75-LN(1+Jumpoverwrite7*AM$2))/$G75,_xll.qlInterpolationInterpolate(AK$3,$F75,TRUE))</f>
        <v>#NUM!</v>
      </c>
      <c r="AM75" s="34" t="str">
        <f>IF(AND(NOT(AK75),AND(AK$4:AK74)),IF(AL75&gt;$J75,MAX(EXP((AL75-$J75)*$G75),1),MIN(EXP((AL75-$J75)*$G75),1)),"")</f>
        <v/>
      </c>
      <c r="AO75" s="72" t="b">
        <f>IF(AND(NOT(AK75),AND(AK$4:AK74)),TRUE,AK75)</f>
        <v>0</v>
      </c>
      <c r="AP75" s="34" t="e">
        <f>IF(AND(NOT(ISBLANK(Jumpoverwrite8)),AND(NOT(AO75),AND(AO$4:AO74))),($J75*$G75-LN(1+Jumpoverwrite8*AQ$2))/$G75,_xll.qlInterpolationInterpolate(AO$3,$F75,TRUE))</f>
        <v>#NUM!</v>
      </c>
      <c r="AQ75" s="34" t="str">
        <f>IF(AND(NOT(AO75),AND(AO$4:AO74)),IF(AP75&gt;$J75,MAX(EXP((AP75-$J75)*$G75),1),MIN(EXP((AP75-$J75)*$G75),1)),"")</f>
        <v/>
      </c>
      <c r="AS75" s="72" t="b">
        <f>IF(AND(NOT(AO75),AND(AO$4:AO74)),TRUE,AO75)</f>
        <v>0</v>
      </c>
      <c r="AT75" s="34" t="e">
        <f>IF(AND(NOT(ISBLANK(Jumpoverwrite9)),AND(NOT(AS75),AND(AS$4:AS74))),($J75*$G75-LN(1+Jumpoverwrite9*AU$2))/$G75,_xll.qlInterpolationInterpolate(AS$3,$F75,TRUE))</f>
        <v>#NUM!</v>
      </c>
      <c r="AU75" s="34" t="str">
        <f>IF(AND(NOT(AS75),AND(AS$4:AS74)),IF(AT75&gt;$J75,MAX(EXP((AT75-$J75)*$G75),1),MIN(EXP((AT75-$J75)*$G75),1)),"")</f>
        <v/>
      </c>
      <c r="AW75" s="72" t="b">
        <f>IF(AND(NOT(AS75),AND(AS$4:AS74)),TRUE,AS75)</f>
        <v>0</v>
      </c>
      <c r="AX75" s="34" t="e">
        <f>IF(AND(NOT(ISBLANK(Jumpoverwrite10)),AND(NOT(AW75),AND(AW$4:AW74))),($J75*$G75-LN(1+Jumpoverwrite10*AY$2))/$G75,_xll.qlInterpolationInterpolate(AW$3,$F75,TRUE))</f>
        <v>#NUM!</v>
      </c>
      <c r="AY75" s="34" t="str">
        <f>IF(AND(NOT(AW75),AND(AW$4:AW74)),IF(AX75&gt;$J75,MAX(EXP((AX75-$J75)*$G75),1),MIN(EXP((AX75-$J75)*$G75),1)),"")</f>
        <v/>
      </c>
      <c r="BA75" s="72" t="b">
        <f>IF(AND(NOT(AW75),AND(AW$4:AW74)),TRUE,AW75)</f>
        <v>0</v>
      </c>
      <c r="BB75" s="34" t="e">
        <f>IF(AND(NOT(ISBLANK(Jumpoverwrite11)),AND(NOT(BA75),AND(BA$4:BA74))),($J75*$G75-LN(1+Jumpoverwrite11*BC$2))/$G75,_xll.qlInterpolationInterpolate(BA$3,$F75,TRUE))</f>
        <v>#NUM!</v>
      </c>
      <c r="BC75" s="34" t="str">
        <f>IF(AND(NOT(BA75),AND(BA$4:BA74)),IF(BB75&gt;$J75,MAX(EXP((BB75-$J75)*$G75),1),MIN(EXP((BB75-$J75)*$G75),1)),"")</f>
        <v/>
      </c>
      <c r="BE75" s="72" t="b">
        <f>IF(AND(NOT(BA75),AND(BA$4:BA74)),TRUE,BA75)</f>
        <v>0</v>
      </c>
      <c r="BF75" s="34" t="e">
        <f>IF(AND(NOT(ISBLANK(Jumpoverwrite12)),AND(NOT(BE75),AND(BE$4:BE74))),($J75*$G75-LN(1+Jumpoverwrite12*BG$2))/$G75,_xll.qlInterpolationInterpolate(BE$3,$F75,TRUE))</f>
        <v>#NUM!</v>
      </c>
      <c r="BG75" s="34" t="str">
        <f>IF(AND(NOT(BE75),AND(BE$4:BE74)),IF(BF75&gt;$J75,MAX(EXP((BF75-$J75)*$G75),1),MIN(EXP((BF75-$J75)*$G75),1)),"")</f>
        <v/>
      </c>
      <c r="BI75" s="72" t="b">
        <f t="shared" si="6"/>
        <v>0</v>
      </c>
      <c r="BJ75" s="34" t="e">
        <f>IF(AND(NOT(ISBLANK(jumpoverwrite13)),AND(NOT(BI75),AND(BI$4:BI74))),($J75*$G75-LN(1+jumpoverwrite13*BK$2))/$G75,_xll.qlInterpolationInterpolate(BI$3,$F75,TRUE))</f>
        <v>#NUM!</v>
      </c>
      <c r="BK75" s="34" t="str">
        <f>IF(AND(NOT(BI75),AND(BI$4:BI74)),IF(BJ75&gt;$J75,MAX(EXP((BJ75-$J75)*$G75),1),MIN(EXP((BJ75-$J75)*$G75),1)),"")</f>
        <v/>
      </c>
      <c r="BM75" s="72" t="b">
        <f>IF(AND(NOT(BI75),AND(BI$4:BI74)),TRUE,BI75)</f>
        <v>0</v>
      </c>
      <c r="BN75" s="175" t="e">
        <f>IF(AND(NOT(ISBLANK(Jumpoverwrite14)),AND(NOT(BM75),AND(BM$4:BM74))),($J75*$G75-LN(1+Jumpoverwrite14*BO$2))/$G75,_xll.qlInterpolationInterpolate(BM$3,$F75,TRUE))</f>
        <v>#NUM!</v>
      </c>
      <c r="BO75" s="34" t="str">
        <f>IF(AND(NOT(BM75),AND(BM$4:BM74)),IF(BM75&gt;$J75,MAX(EXP((BM75-$J75)*$G75),1),MIN(EXP((BM75-$J75)*$G75),1)),"")</f>
        <v/>
      </c>
    </row>
    <row r="76" spans="1:67" x14ac:dyDescent="0.2">
      <c r="A76" s="33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84" t="e">
        <f t="shared" si="4"/>
        <v>#N/A</v>
      </c>
      <c r="G76" s="85" t="e">
        <f>_xll.qlDayCounterYearFraction(DayCounter,D75,D76)</f>
        <v>#NUM!</v>
      </c>
      <c r="I76" s="93" t="b">
        <f t="shared" si="7"/>
        <v>0</v>
      </c>
      <c r="J76" s="37" t="e">
        <v>#N/A</v>
      </c>
      <c r="K76" s="94" t="e">
        <f t="shared" si="8"/>
        <v>#VALUE!</v>
      </c>
      <c r="L76" s="106"/>
      <c r="M76" s="72" t="b">
        <f>IF(AND(NOT(I76),AND(I$4:I75)),TRUE,I76)</f>
        <v>0</v>
      </c>
      <c r="N76" s="34" t="e">
        <f>IF(AND(NOT(ISBLANK(Jumpoverwrite1)),AND(NOT(M76),AND(M$4:M75))),($J76*$G76-LN(1+Jumpoverwrite1*O$2))/$G76,_xll.qlInterpolationInterpolate(M$3,$F76,TRUE))</f>
        <v>#NUM!</v>
      </c>
      <c r="O76" s="34" t="str">
        <f>IF(AND(NOT(M76),AND(M$4:M75)),IF(N76&gt;$J76,MAX(EXP((N76-$J76)*$G76),1),MIN(EXP((N76-$J76)*$G76),1)),"")</f>
        <v/>
      </c>
      <c r="P76" s="108"/>
      <c r="Q76" s="72" t="b">
        <f>IF(AND(NOT(M76),AND(M$4:M75)),TRUE,M76)</f>
        <v>0</v>
      </c>
      <c r="R76" s="34" t="e">
        <f>IF(AND(NOT(ISBLANK(Jumpoverwrite2)),AND(NOT(Q76),AND(Q$4:Q75))),($J76*$G76-LN(1+Jumpoverwrite2*S$2))/$G76,_xll.qlInterpolationInterpolate(Q$3,$F76,TRUE))</f>
        <v>#NUM!</v>
      </c>
      <c r="S76" s="34" t="str">
        <f>IF(AND(NOT(Q76),AND(Q$4:Q75)),IF(R76&gt;$J76,MAX(EXP((R76-$J76)*$G76),1),MIN(EXP((R76-$J76)*$G76),1)),"")</f>
        <v/>
      </c>
      <c r="T76" s="108"/>
      <c r="U76" s="72" t="b">
        <f>IF(AND(NOT(Q76),AND(Q$4:Q75)),TRUE,Q76)</f>
        <v>0</v>
      </c>
      <c r="V76" s="34" t="e">
        <f>IF(AND(NOT(ISBLANK(Jumpoverwrite3)),AND(NOT(U76),AND(U$4:U75))),($J76*$G76-LN(1+Jumpoverwrite3*W$2))/$G76,_xll.qlInterpolationInterpolate(U$3,$F76,TRUE))</f>
        <v>#NUM!</v>
      </c>
      <c r="W76" s="34" t="str">
        <f>IF(AND(NOT(U76),AND(U$4:U75)),IF(V76&gt;$J76,MAX(EXP((V76-$J76)*$G76),1),MIN(EXP((V76-$J76)*$G76),1)),"")</f>
        <v/>
      </c>
      <c r="X76" s="108"/>
      <c r="Y76" s="72" t="b">
        <f>IF(AND(NOT(U76),AND(U$4:U75)),TRUE,U76)</f>
        <v>0</v>
      </c>
      <c r="Z76" s="34" t="e">
        <f>IF(AND(NOT(ISBLANK(Jumpoverwrite4)),AND(NOT(Y76),AND(Y$4:Y75))),($J76*$G76-LN(1+Jumpoverwrite4*AA$2))/$G76,_xll.qlInterpolationInterpolate(Y$3,$F76,TRUE))</f>
        <v>#NUM!</v>
      </c>
      <c r="AA76" s="34" t="str">
        <f>IF(AND(NOT(Y76),AND(Y$4:Y75)),IF(Z76&gt;$J76,MAX(EXP((Z76-$J76)*$G76),1),MIN(EXP((Z76-$J76)*$G76),1)),"")</f>
        <v/>
      </c>
      <c r="AB76" s="108"/>
      <c r="AC76" s="72" t="b">
        <f>IF(AND(NOT(Y76),AND(Y$4:Y75)),TRUE,Y76)</f>
        <v>0</v>
      </c>
      <c r="AD76" s="34" t="e">
        <f>IF(AND(NOT(ISBLANK(Jumpoverwrite5)),AND(NOT(AC76),AND(AC$4:AC75))),($J76*$G76-LN(1+Jumpoverwrite5*AE$2))/$G76,_xll.qlInterpolationInterpolate(AC$3,$F76,TRUE))</f>
        <v>#NUM!</v>
      </c>
      <c r="AE76" s="34" t="str">
        <f>IF(AND(NOT(AC76),AND(AC$4:AC75)),IF(AD76&gt;$J76,MAX(EXP((AD76-$J76)*$G76),1),MIN(EXP((AD76-$J76)*$G76),1)),"")</f>
        <v/>
      </c>
      <c r="AF76" s="108"/>
      <c r="AG76" s="72" t="b">
        <f>IF(AND(NOT(AC76),AND(AC$4:AC75)),TRUE,AC76)</f>
        <v>0</v>
      </c>
      <c r="AH76" s="34" t="e">
        <f>IF(AND(NOT(ISBLANK(Jumpoverwrite6)),AND(NOT(AG76),AND(AG$4:AG75))),($J76*$G76-LN(1+Jumpoverwrite6*AI$2))/$G76,_xll.qlInterpolationInterpolate(AG$3,$F76,TRUE))</f>
        <v>#NUM!</v>
      </c>
      <c r="AI76" s="34" t="str">
        <f>IF(AND(NOT(AG76),AND(AG$4:AG75)),IF(AH76&gt;$J76,MAX(EXP((AH76-$J76)*$G76),1),MIN(EXP((AH76-$J76)*$G76),1)),"")</f>
        <v/>
      </c>
      <c r="AJ76" s="108"/>
      <c r="AK76" s="72" t="b">
        <f>IF(AND(NOT(AG76),AND(AG$4:AG75)),TRUE,AG76)</f>
        <v>0</v>
      </c>
      <c r="AL76" s="34" t="e">
        <f>IF(AND(NOT(ISBLANK(Jumpoverwrite7)),AND(NOT(AK76),AND(AK$4:AK75))),($J76*$G76-LN(1+Jumpoverwrite7*AM$2))/$G76,_xll.qlInterpolationInterpolate(AK$3,$F76,TRUE))</f>
        <v>#NUM!</v>
      </c>
      <c r="AM76" s="34" t="str">
        <f>IF(AND(NOT(AK76),AND(AK$4:AK75)),IF(AL76&gt;$J76,MAX(EXP((AL76-$J76)*$G76),1),MIN(EXP((AL76-$J76)*$G76),1)),"")</f>
        <v/>
      </c>
      <c r="AO76" s="72" t="b">
        <f>IF(AND(NOT(AK76),AND(AK$4:AK75)),TRUE,AK76)</f>
        <v>0</v>
      </c>
      <c r="AP76" s="34" t="e">
        <f>IF(AND(NOT(ISBLANK(Jumpoverwrite8)),AND(NOT(AO76),AND(AO$4:AO75))),($J76*$G76-LN(1+Jumpoverwrite8*AQ$2))/$G76,_xll.qlInterpolationInterpolate(AO$3,$F76,TRUE))</f>
        <v>#NUM!</v>
      </c>
      <c r="AQ76" s="34" t="str">
        <f>IF(AND(NOT(AO76),AND(AO$4:AO75)),IF(AP76&gt;$J76,MAX(EXP((AP76-$J76)*$G76),1),MIN(EXP((AP76-$J76)*$G76),1)),"")</f>
        <v/>
      </c>
      <c r="AS76" s="72" t="b">
        <f>IF(AND(NOT(AO76),AND(AO$4:AO75)),TRUE,AO76)</f>
        <v>0</v>
      </c>
      <c r="AT76" s="34" t="e">
        <f>IF(AND(NOT(ISBLANK(Jumpoverwrite9)),AND(NOT(AS76),AND(AS$4:AS75))),($J76*$G76-LN(1+Jumpoverwrite9*AU$2))/$G76,_xll.qlInterpolationInterpolate(AS$3,$F76,TRUE))</f>
        <v>#NUM!</v>
      </c>
      <c r="AU76" s="34" t="str">
        <f>IF(AND(NOT(AS76),AND(AS$4:AS75)),IF(AT76&gt;$J76,MAX(EXP((AT76-$J76)*$G76),1),MIN(EXP((AT76-$J76)*$G76),1)),"")</f>
        <v/>
      </c>
      <c r="AW76" s="72" t="b">
        <f>IF(AND(NOT(AS76),AND(AS$4:AS75)),TRUE,AS76)</f>
        <v>0</v>
      </c>
      <c r="AX76" s="34" t="e">
        <f>IF(AND(NOT(ISBLANK(Jumpoverwrite10)),AND(NOT(AW76),AND(AW$4:AW75))),($J76*$G76-LN(1+Jumpoverwrite10*AY$2))/$G76,_xll.qlInterpolationInterpolate(AW$3,$F76,TRUE))</f>
        <v>#NUM!</v>
      </c>
      <c r="AY76" s="34" t="str">
        <f>IF(AND(NOT(AW76),AND(AW$4:AW75)),IF(AX76&gt;$J76,MAX(EXP((AX76-$J76)*$G76),1),MIN(EXP((AX76-$J76)*$G76),1)),"")</f>
        <v/>
      </c>
      <c r="BA76" s="72" t="b">
        <f>IF(AND(NOT(AW76),AND(AW$4:AW75)),TRUE,AW76)</f>
        <v>0</v>
      </c>
      <c r="BB76" s="34" t="e">
        <f>IF(AND(NOT(ISBLANK(Jumpoverwrite11)),AND(NOT(BA76),AND(BA$4:BA75))),($J76*$G76-LN(1+Jumpoverwrite11*BC$2))/$G76,_xll.qlInterpolationInterpolate(BA$3,$F76,TRUE))</f>
        <v>#NUM!</v>
      </c>
      <c r="BC76" s="34" t="str">
        <f>IF(AND(NOT(BA76),AND(BA$4:BA75)),IF(BB76&gt;$J76,MAX(EXP((BB76-$J76)*$G76),1),MIN(EXP((BB76-$J76)*$G76),1)),"")</f>
        <v/>
      </c>
      <c r="BE76" s="72" t="b">
        <f>IF(AND(NOT(BA76),AND(BA$4:BA75)),TRUE,BA76)</f>
        <v>0</v>
      </c>
      <c r="BF76" s="34" t="e">
        <f>IF(AND(NOT(ISBLANK(Jumpoverwrite12)),AND(NOT(BE76),AND(BE$4:BE75))),($J76*$G76-LN(1+Jumpoverwrite12*BG$2))/$G76,_xll.qlInterpolationInterpolate(BE$3,$F76,TRUE))</f>
        <v>#NUM!</v>
      </c>
      <c r="BG76" s="34" t="str">
        <f>IF(AND(NOT(BE76),AND(BE$4:BE75)),IF(BF76&gt;$J76,MAX(EXP((BF76-$J76)*$G76),1),MIN(EXP((BF76-$J76)*$G76),1)),"")</f>
        <v/>
      </c>
      <c r="BI76" s="72" t="b">
        <f t="shared" si="6"/>
        <v>0</v>
      </c>
      <c r="BJ76" s="34" t="e">
        <f>IF(AND(NOT(ISBLANK(jumpoverwrite13)),AND(NOT(BI76),AND(BI$4:BI75))),($J76*$G76-LN(1+jumpoverwrite13*BK$2))/$G76,_xll.qlInterpolationInterpolate(BI$3,$F76,TRUE))</f>
        <v>#NUM!</v>
      </c>
      <c r="BK76" s="34" t="str">
        <f>IF(AND(NOT(BI76),AND(BI$4:BI75)),IF(BJ76&gt;$J76,MAX(EXP((BJ76-$J76)*$G76),1),MIN(EXP((BJ76-$J76)*$G76),1)),"")</f>
        <v/>
      </c>
      <c r="BM76" s="72" t="b">
        <f>IF(AND(NOT(BI76),AND(BI$4:BI75)),TRUE,BI76)</f>
        <v>0</v>
      </c>
      <c r="BN76" s="175" t="e">
        <f>IF(AND(NOT(ISBLANK(Jumpoverwrite14)),AND(NOT(BM76),AND(BM$4:BM75))),($J76*$G76-LN(1+Jumpoverwrite14*BO$2))/$G76,_xll.qlInterpolationInterpolate(BM$3,$F76,TRUE))</f>
        <v>#NUM!</v>
      </c>
      <c r="BO76" s="34" t="str">
        <f>IF(AND(NOT(BM76),AND(BM$4:BM75)),IF(BM76&gt;$J76,MAX(EXP((BM76-$J76)*$G76),1),MIN(EXP((BM76-$J76)*$G76),1)),"")</f>
        <v/>
      </c>
    </row>
    <row r="77" spans="1:67" x14ac:dyDescent="0.2">
      <c r="A77" s="33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84" t="e">
        <f t="shared" si="4"/>
        <v>#N/A</v>
      </c>
      <c r="G77" s="85" t="e">
        <f>_xll.qlDayCounterYearFraction(DayCounter,D76,D77)</f>
        <v>#NUM!</v>
      </c>
      <c r="I77" s="93" t="b">
        <f t="shared" si="7"/>
        <v>0</v>
      </c>
      <c r="J77" s="37" t="e">
        <v>#N/A</v>
      </c>
      <c r="K77" s="94" t="e">
        <f t="shared" si="8"/>
        <v>#VALUE!</v>
      </c>
      <c r="L77" s="106"/>
      <c r="M77" s="72" t="b">
        <f>IF(AND(NOT(I77),AND(I$4:I76)),TRUE,I77)</f>
        <v>0</v>
      </c>
      <c r="N77" s="34" t="e">
        <f>IF(AND(NOT(ISBLANK(Jumpoverwrite1)),AND(NOT(M77),AND(M$4:M76))),($J77*$G77-LN(1+Jumpoverwrite1*O$2))/$G77,_xll.qlInterpolationInterpolate(M$3,$F77,TRUE))</f>
        <v>#NUM!</v>
      </c>
      <c r="O77" s="34" t="str">
        <f>IF(AND(NOT(M77),AND(M$4:M76)),IF(N77&gt;$J77,MAX(EXP((N77-$J77)*$G77),1),MIN(EXP((N77-$J77)*$G77),1)),"")</f>
        <v/>
      </c>
      <c r="P77" s="108"/>
      <c r="Q77" s="72" t="b">
        <f>IF(AND(NOT(M77),AND(M$4:M76)),TRUE,M77)</f>
        <v>0</v>
      </c>
      <c r="R77" s="34" t="e">
        <f>IF(AND(NOT(ISBLANK(Jumpoverwrite2)),AND(NOT(Q77),AND(Q$4:Q76))),($J77*$G77-LN(1+Jumpoverwrite2*S$2))/$G77,_xll.qlInterpolationInterpolate(Q$3,$F77,TRUE))</f>
        <v>#NUM!</v>
      </c>
      <c r="S77" s="34" t="str">
        <f>IF(AND(NOT(Q77),AND(Q$4:Q76)),IF(R77&gt;$J77,MAX(EXP((R77-$J77)*$G77),1),MIN(EXP((R77-$J77)*$G77),1)),"")</f>
        <v/>
      </c>
      <c r="T77" s="108"/>
      <c r="U77" s="72" t="b">
        <f>IF(AND(NOT(Q77),AND(Q$4:Q76)),TRUE,Q77)</f>
        <v>0</v>
      </c>
      <c r="V77" s="34" t="e">
        <f>IF(AND(NOT(ISBLANK(Jumpoverwrite3)),AND(NOT(U77),AND(U$4:U76))),($J77*$G77-LN(1+Jumpoverwrite3*W$2))/$G77,_xll.qlInterpolationInterpolate(U$3,$F77,TRUE))</f>
        <v>#NUM!</v>
      </c>
      <c r="W77" s="34" t="str">
        <f>IF(AND(NOT(U77),AND(U$4:U76)),IF(V77&gt;$J77,MAX(EXP((V77-$J77)*$G77),1),MIN(EXP((V77-$J77)*$G77),1)),"")</f>
        <v/>
      </c>
      <c r="X77" s="108"/>
      <c r="Y77" s="72" t="b">
        <f>IF(AND(NOT(U77),AND(U$4:U76)),TRUE,U77)</f>
        <v>0</v>
      </c>
      <c r="Z77" s="34" t="e">
        <f>IF(AND(NOT(ISBLANK(Jumpoverwrite4)),AND(NOT(Y77),AND(Y$4:Y76))),($J77*$G77-LN(1+Jumpoverwrite4*AA$2))/$G77,_xll.qlInterpolationInterpolate(Y$3,$F77,TRUE))</f>
        <v>#NUM!</v>
      </c>
      <c r="AA77" s="34" t="str">
        <f>IF(AND(NOT(Y77),AND(Y$4:Y76)),IF(Z77&gt;$J77,MAX(EXP((Z77-$J77)*$G77),1),MIN(EXP((Z77-$J77)*$G77),1)),"")</f>
        <v/>
      </c>
      <c r="AB77" s="108"/>
      <c r="AC77" s="72" t="b">
        <f>IF(AND(NOT(Y77),AND(Y$4:Y76)),TRUE,Y77)</f>
        <v>0</v>
      </c>
      <c r="AD77" s="34" t="e">
        <f>IF(AND(NOT(ISBLANK(Jumpoverwrite5)),AND(NOT(AC77),AND(AC$4:AC76))),($J77*$G77-LN(1+Jumpoverwrite5*AE$2))/$G77,_xll.qlInterpolationInterpolate(AC$3,$F77,TRUE))</f>
        <v>#NUM!</v>
      </c>
      <c r="AE77" s="34" t="str">
        <f>IF(AND(NOT(AC77),AND(AC$4:AC76)),IF(AD77&gt;$J77,MAX(EXP((AD77-$J77)*$G77),1),MIN(EXP((AD77-$J77)*$G77),1)),"")</f>
        <v/>
      </c>
      <c r="AF77" s="108"/>
      <c r="AG77" s="72" t="b">
        <f>IF(AND(NOT(AC77),AND(AC$4:AC76)),TRUE,AC77)</f>
        <v>0</v>
      </c>
      <c r="AH77" s="34" t="e">
        <f>IF(AND(NOT(ISBLANK(Jumpoverwrite6)),AND(NOT(AG77),AND(AG$4:AG76))),($J77*$G77-LN(1+Jumpoverwrite6*AI$2))/$G77,_xll.qlInterpolationInterpolate(AG$3,$F77,TRUE))</f>
        <v>#NUM!</v>
      </c>
      <c r="AI77" s="34" t="str">
        <f>IF(AND(NOT(AG77),AND(AG$4:AG76)),IF(AH77&gt;$J77,MAX(EXP((AH77-$J77)*$G77),1),MIN(EXP((AH77-$J77)*$G77),1)),"")</f>
        <v/>
      </c>
      <c r="AJ77" s="108"/>
      <c r="AK77" s="72" t="b">
        <f>IF(AND(NOT(AG77),AND(AG$4:AG76)),TRUE,AG77)</f>
        <v>0</v>
      </c>
      <c r="AL77" s="34" t="e">
        <f>IF(AND(NOT(ISBLANK(Jumpoverwrite7)),AND(NOT(AK77),AND(AK$4:AK76))),($J77*$G77-LN(1+Jumpoverwrite7*AM$2))/$G77,_xll.qlInterpolationInterpolate(AK$3,$F77,TRUE))</f>
        <v>#NUM!</v>
      </c>
      <c r="AM77" s="34" t="str">
        <f>IF(AND(NOT(AK77),AND(AK$4:AK76)),IF(AL77&gt;$J77,MAX(EXP((AL77-$J77)*$G77),1),MIN(EXP((AL77-$J77)*$G77),1)),"")</f>
        <v/>
      </c>
      <c r="AO77" s="72" t="b">
        <f>IF(AND(NOT(AK77),AND(AK$4:AK76)),TRUE,AK77)</f>
        <v>0</v>
      </c>
      <c r="AP77" s="34" t="e">
        <f>IF(AND(NOT(ISBLANK(Jumpoverwrite8)),AND(NOT(AO77),AND(AO$4:AO76))),($J77*$G77-LN(1+Jumpoverwrite8*AQ$2))/$G77,_xll.qlInterpolationInterpolate(AO$3,$F77,TRUE))</f>
        <v>#NUM!</v>
      </c>
      <c r="AQ77" s="34" t="str">
        <f>IF(AND(NOT(AO77),AND(AO$4:AO76)),IF(AP77&gt;$J77,MAX(EXP((AP77-$J77)*$G77),1),MIN(EXP((AP77-$J77)*$G77),1)),"")</f>
        <v/>
      </c>
      <c r="AS77" s="72" t="b">
        <f>IF(AND(NOT(AO77),AND(AO$4:AO76)),TRUE,AO77)</f>
        <v>0</v>
      </c>
      <c r="AT77" s="34" t="e">
        <f>IF(AND(NOT(ISBLANK(Jumpoverwrite9)),AND(NOT(AS77),AND(AS$4:AS76))),($J77*$G77-LN(1+Jumpoverwrite9*AU$2))/$G77,_xll.qlInterpolationInterpolate(AS$3,$F77,TRUE))</f>
        <v>#NUM!</v>
      </c>
      <c r="AU77" s="34" t="str">
        <f>IF(AND(NOT(AS77),AND(AS$4:AS76)),IF(AT77&gt;$J77,MAX(EXP((AT77-$J77)*$G77),1),MIN(EXP((AT77-$J77)*$G77),1)),"")</f>
        <v/>
      </c>
      <c r="AW77" s="72" t="b">
        <f>IF(AND(NOT(AS77),AND(AS$4:AS76)),TRUE,AS77)</f>
        <v>0</v>
      </c>
      <c r="AX77" s="34" t="e">
        <f>IF(AND(NOT(ISBLANK(Jumpoverwrite10)),AND(NOT(AW77),AND(AW$4:AW76))),($J77*$G77-LN(1+Jumpoverwrite10*AY$2))/$G77,_xll.qlInterpolationInterpolate(AW$3,$F77,TRUE))</f>
        <v>#NUM!</v>
      </c>
      <c r="AY77" s="34" t="str">
        <f>IF(AND(NOT(AW77),AND(AW$4:AW76)),IF(AX77&gt;$J77,MAX(EXP((AX77-$J77)*$G77),1),MIN(EXP((AX77-$J77)*$G77),1)),"")</f>
        <v/>
      </c>
      <c r="BA77" s="72" t="b">
        <f>IF(AND(NOT(AW77),AND(AW$4:AW76)),TRUE,AW77)</f>
        <v>0</v>
      </c>
      <c r="BB77" s="34" t="e">
        <f>IF(AND(NOT(ISBLANK(Jumpoverwrite11)),AND(NOT(BA77),AND(BA$4:BA76))),($J77*$G77-LN(1+Jumpoverwrite11*BC$2))/$G77,_xll.qlInterpolationInterpolate(BA$3,$F77,TRUE))</f>
        <v>#NUM!</v>
      </c>
      <c r="BC77" s="34" t="str">
        <f>IF(AND(NOT(BA77),AND(BA$4:BA76)),IF(BB77&gt;$J77,MAX(EXP((BB77-$J77)*$G77),1),MIN(EXP((BB77-$J77)*$G77),1)),"")</f>
        <v/>
      </c>
      <c r="BE77" s="72" t="b">
        <f>IF(AND(NOT(BA77),AND(BA$4:BA76)),TRUE,BA77)</f>
        <v>0</v>
      </c>
      <c r="BF77" s="34" t="e">
        <f>IF(AND(NOT(ISBLANK(Jumpoverwrite12)),AND(NOT(BE77),AND(BE$4:BE76))),($J77*$G77-LN(1+Jumpoverwrite12*BG$2))/$G77,_xll.qlInterpolationInterpolate(BE$3,$F77,TRUE))</f>
        <v>#NUM!</v>
      </c>
      <c r="BG77" s="34" t="str">
        <f>IF(AND(NOT(BE77),AND(BE$4:BE76)),IF(BF77&gt;$J77,MAX(EXP((BF77-$J77)*$G77),1),MIN(EXP((BF77-$J77)*$G77),1)),"")</f>
        <v/>
      </c>
      <c r="BI77" s="72" t="b">
        <f t="shared" si="6"/>
        <v>0</v>
      </c>
      <c r="BJ77" s="34" t="e">
        <f>IF(AND(NOT(ISBLANK(jumpoverwrite13)),AND(NOT(BI77),AND(BI$4:BI76))),($J77*$G77-LN(1+jumpoverwrite13*BK$2))/$G77,_xll.qlInterpolationInterpolate(BI$3,$F77,TRUE))</f>
        <v>#NUM!</v>
      </c>
      <c r="BK77" s="34" t="str">
        <f>IF(AND(NOT(BI77),AND(BI$4:BI76)),IF(BJ77&gt;$J77,MAX(EXP((BJ77-$J77)*$G77),1),MIN(EXP((BJ77-$J77)*$G77),1)),"")</f>
        <v/>
      </c>
      <c r="BM77" s="72" t="b">
        <f>IF(AND(NOT(BI77),AND(BI$4:BI76)),TRUE,BI77)</f>
        <v>0</v>
      </c>
      <c r="BN77" s="175" t="e">
        <f>IF(AND(NOT(ISBLANK(Jumpoverwrite14)),AND(NOT(BM77),AND(BM$4:BM76))),($J77*$G77-LN(1+Jumpoverwrite14*BO$2))/$G77,_xll.qlInterpolationInterpolate(BM$3,$F77,TRUE))</f>
        <v>#NUM!</v>
      </c>
      <c r="BO77" s="34" t="str">
        <f>IF(AND(NOT(BM77),AND(BM$4:BM76)),IF(BM77&gt;$J77,MAX(EXP((BM77-$J77)*$G77),1),MIN(EXP((BM77-$J77)*$G77),1)),"")</f>
        <v/>
      </c>
    </row>
    <row r="78" spans="1:67" x14ac:dyDescent="0.2">
      <c r="A78" s="33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84" t="e">
        <f t="shared" si="4"/>
        <v>#N/A</v>
      </c>
      <c r="G78" s="85" t="e">
        <f>_xll.qlDayCounterYearFraction(DayCounter,D77,D78)</f>
        <v>#NUM!</v>
      </c>
      <c r="I78" s="93" t="b">
        <f t="shared" si="7"/>
        <v>0</v>
      </c>
      <c r="J78" s="37" t="e">
        <v>#N/A</v>
      </c>
      <c r="K78" s="94" t="e">
        <f t="shared" si="8"/>
        <v>#VALUE!</v>
      </c>
      <c r="L78" s="106"/>
      <c r="M78" s="72" t="b">
        <f>IF(AND(NOT(I78),AND(I$4:I77)),TRUE,I78)</f>
        <v>0</v>
      </c>
      <c r="N78" s="34" t="e">
        <f>IF(AND(NOT(ISBLANK(Jumpoverwrite1)),AND(NOT(M78),AND(M$4:M77))),($J78*$G78-LN(1+Jumpoverwrite1*O$2))/$G78,_xll.qlInterpolationInterpolate(M$3,$F78,TRUE))</f>
        <v>#NUM!</v>
      </c>
      <c r="O78" s="34" t="str">
        <f>IF(AND(NOT(M78),AND(M$4:M77)),IF(N78&gt;$J78,MAX(EXP((N78-$J78)*$G78),1),MIN(EXP((N78-$J78)*$G78),1)),"")</f>
        <v/>
      </c>
      <c r="P78" s="108"/>
      <c r="Q78" s="72" t="b">
        <f>IF(AND(NOT(M78),AND(M$4:M77)),TRUE,M78)</f>
        <v>0</v>
      </c>
      <c r="R78" s="34" t="e">
        <f>IF(AND(NOT(ISBLANK(Jumpoverwrite2)),AND(NOT(Q78),AND(Q$4:Q77))),($J78*$G78-LN(1+Jumpoverwrite2*S$2))/$G78,_xll.qlInterpolationInterpolate(Q$3,$F78,TRUE))</f>
        <v>#NUM!</v>
      </c>
      <c r="S78" s="34" t="str">
        <f>IF(AND(NOT(Q78),AND(Q$4:Q77)),IF(R78&gt;$J78,MAX(EXP((R78-$J78)*$G78),1),MIN(EXP((R78-$J78)*$G78),1)),"")</f>
        <v/>
      </c>
      <c r="T78" s="108"/>
      <c r="U78" s="72" t="b">
        <f>IF(AND(NOT(Q78),AND(Q$4:Q77)),TRUE,Q78)</f>
        <v>0</v>
      </c>
      <c r="V78" s="34" t="e">
        <f>IF(AND(NOT(ISBLANK(Jumpoverwrite3)),AND(NOT(U78),AND(U$4:U77))),($J78*$G78-LN(1+Jumpoverwrite3*W$2))/$G78,_xll.qlInterpolationInterpolate(U$3,$F78,TRUE))</f>
        <v>#NUM!</v>
      </c>
      <c r="W78" s="34" t="str">
        <f>IF(AND(NOT(U78),AND(U$4:U77)),IF(V78&gt;$J78,MAX(EXP((V78-$J78)*$G78),1),MIN(EXP((V78-$J78)*$G78),1)),"")</f>
        <v/>
      </c>
      <c r="X78" s="108"/>
      <c r="Y78" s="72" t="b">
        <f>IF(AND(NOT(U78),AND(U$4:U77)),TRUE,U78)</f>
        <v>0</v>
      </c>
      <c r="Z78" s="34" t="e">
        <f>IF(AND(NOT(ISBLANK(Jumpoverwrite4)),AND(NOT(Y78),AND(Y$4:Y77))),($J78*$G78-LN(1+Jumpoverwrite4*AA$2))/$G78,_xll.qlInterpolationInterpolate(Y$3,$F78,TRUE))</f>
        <v>#NUM!</v>
      </c>
      <c r="AA78" s="34" t="str">
        <f>IF(AND(NOT(Y78),AND(Y$4:Y77)),IF(Z78&gt;$J78,MAX(EXP((Z78-$J78)*$G78),1),MIN(EXP((Z78-$J78)*$G78),1)),"")</f>
        <v/>
      </c>
      <c r="AB78" s="108"/>
      <c r="AC78" s="72" t="b">
        <f>IF(AND(NOT(Y78),AND(Y$4:Y77)),TRUE,Y78)</f>
        <v>0</v>
      </c>
      <c r="AD78" s="34" t="e">
        <f>IF(AND(NOT(ISBLANK(Jumpoverwrite5)),AND(NOT(AC78),AND(AC$4:AC77))),($J78*$G78-LN(1+Jumpoverwrite5*AE$2))/$G78,_xll.qlInterpolationInterpolate(AC$3,$F78,TRUE))</f>
        <v>#NUM!</v>
      </c>
      <c r="AE78" s="34" t="str">
        <f>IF(AND(NOT(AC78),AND(AC$4:AC77)),IF(AD78&gt;$J78,MAX(EXP((AD78-$J78)*$G78),1),MIN(EXP((AD78-$J78)*$G78),1)),"")</f>
        <v/>
      </c>
      <c r="AF78" s="108"/>
      <c r="AG78" s="72" t="b">
        <f>IF(AND(NOT(AC78),AND(AC$4:AC77)),TRUE,AC78)</f>
        <v>0</v>
      </c>
      <c r="AH78" s="34" t="e">
        <f>IF(AND(NOT(ISBLANK(Jumpoverwrite6)),AND(NOT(AG78),AND(AG$4:AG77))),($J78*$G78-LN(1+Jumpoverwrite6*AI$2))/$G78,_xll.qlInterpolationInterpolate(AG$3,$F78,TRUE))</f>
        <v>#NUM!</v>
      </c>
      <c r="AI78" s="34" t="str">
        <f>IF(AND(NOT(AG78),AND(AG$4:AG77)),IF(AH78&gt;$J78,MAX(EXP((AH78-$J78)*$G78),1),MIN(EXP((AH78-$J78)*$G78),1)),"")</f>
        <v/>
      </c>
      <c r="AJ78" s="108"/>
      <c r="AK78" s="72" t="b">
        <f>IF(AND(NOT(AG78),AND(AG$4:AG77)),TRUE,AG78)</f>
        <v>0</v>
      </c>
      <c r="AL78" s="34" t="e">
        <f>IF(AND(NOT(ISBLANK(Jumpoverwrite7)),AND(NOT(AK78),AND(AK$4:AK77))),($J78*$G78-LN(1+Jumpoverwrite7*AM$2))/$G78,_xll.qlInterpolationInterpolate(AK$3,$F78,TRUE))</f>
        <v>#NUM!</v>
      </c>
      <c r="AM78" s="34" t="str">
        <f>IF(AND(NOT(AK78),AND(AK$4:AK77)),IF(AL78&gt;$J78,MAX(EXP((AL78-$J78)*$G78),1),MIN(EXP((AL78-$J78)*$G78),1)),"")</f>
        <v/>
      </c>
      <c r="AO78" s="72" t="b">
        <f>IF(AND(NOT(AK78),AND(AK$4:AK77)),TRUE,AK78)</f>
        <v>0</v>
      </c>
      <c r="AP78" s="34" t="e">
        <f>IF(AND(NOT(ISBLANK(Jumpoverwrite8)),AND(NOT(AO78),AND(AO$4:AO77))),($J78*$G78-LN(1+Jumpoverwrite8*AQ$2))/$G78,_xll.qlInterpolationInterpolate(AO$3,$F78,TRUE))</f>
        <v>#NUM!</v>
      </c>
      <c r="AQ78" s="34" t="str">
        <f>IF(AND(NOT(AO78),AND(AO$4:AO77)),IF(AP78&gt;$J78,MAX(EXP((AP78-$J78)*$G78),1),MIN(EXP((AP78-$J78)*$G78),1)),"")</f>
        <v/>
      </c>
      <c r="AS78" s="72" t="b">
        <f>IF(AND(NOT(AO78),AND(AO$4:AO77)),TRUE,AO78)</f>
        <v>0</v>
      </c>
      <c r="AT78" s="34" t="e">
        <f>IF(AND(NOT(ISBLANK(Jumpoverwrite9)),AND(NOT(AS78),AND(AS$4:AS77))),($J78*$G78-LN(1+Jumpoverwrite9*AU$2))/$G78,_xll.qlInterpolationInterpolate(AS$3,$F78,TRUE))</f>
        <v>#NUM!</v>
      </c>
      <c r="AU78" s="34" t="str">
        <f>IF(AND(NOT(AS78),AND(AS$4:AS77)),IF(AT78&gt;$J78,MAX(EXP((AT78-$J78)*$G78),1),MIN(EXP((AT78-$J78)*$G78),1)),"")</f>
        <v/>
      </c>
      <c r="AW78" s="72" t="b">
        <f>IF(AND(NOT(AS78),AND(AS$4:AS77)),TRUE,AS78)</f>
        <v>0</v>
      </c>
      <c r="AX78" s="34" t="e">
        <f>IF(AND(NOT(ISBLANK(Jumpoverwrite10)),AND(NOT(AW78),AND(AW$4:AW77))),($J78*$G78-LN(1+Jumpoverwrite10*AY$2))/$G78,_xll.qlInterpolationInterpolate(AW$3,$F78,TRUE))</f>
        <v>#NUM!</v>
      </c>
      <c r="AY78" s="34" t="str">
        <f>IF(AND(NOT(AW78),AND(AW$4:AW77)),IF(AX78&gt;$J78,MAX(EXP((AX78-$J78)*$G78),1),MIN(EXP((AX78-$J78)*$G78),1)),"")</f>
        <v/>
      </c>
      <c r="BA78" s="72" t="b">
        <f>IF(AND(NOT(AW78),AND(AW$4:AW77)),TRUE,AW78)</f>
        <v>0</v>
      </c>
      <c r="BB78" s="34" t="e">
        <f>IF(AND(NOT(ISBLANK(Jumpoverwrite11)),AND(NOT(BA78),AND(BA$4:BA77))),($J78*$G78-LN(1+Jumpoverwrite11*BC$2))/$G78,_xll.qlInterpolationInterpolate(BA$3,$F78,TRUE))</f>
        <v>#NUM!</v>
      </c>
      <c r="BC78" s="34" t="str">
        <f>IF(AND(NOT(BA78),AND(BA$4:BA77)),IF(BB78&gt;$J78,MAX(EXP((BB78-$J78)*$G78),1),MIN(EXP((BB78-$J78)*$G78),1)),"")</f>
        <v/>
      </c>
      <c r="BE78" s="72" t="b">
        <f>IF(AND(NOT(BA78),AND(BA$4:BA77)),TRUE,BA78)</f>
        <v>0</v>
      </c>
      <c r="BF78" s="34" t="e">
        <f>IF(AND(NOT(ISBLANK(Jumpoverwrite12)),AND(NOT(BE78),AND(BE$4:BE77))),($J78*$G78-LN(1+Jumpoverwrite12*BG$2))/$G78,_xll.qlInterpolationInterpolate(BE$3,$F78,TRUE))</f>
        <v>#NUM!</v>
      </c>
      <c r="BG78" s="34" t="str">
        <f>IF(AND(NOT(BE78),AND(BE$4:BE77)),IF(BF78&gt;$J78,MAX(EXP((BF78-$J78)*$G78),1),MIN(EXP((BF78-$J78)*$G78),1)),"")</f>
        <v/>
      </c>
      <c r="BI78" s="72" t="b">
        <f t="shared" si="6"/>
        <v>0</v>
      </c>
      <c r="BJ78" s="34" t="e">
        <f>IF(AND(NOT(ISBLANK(jumpoverwrite13)),AND(NOT(BI78),AND(BI$4:BI77))),($J78*$G78-LN(1+jumpoverwrite13*BK$2))/$G78,_xll.qlInterpolationInterpolate(BI$3,$F78,TRUE))</f>
        <v>#NUM!</v>
      </c>
      <c r="BK78" s="34" t="str">
        <f>IF(AND(NOT(BI78),AND(BI$4:BI77)),IF(BJ78&gt;$J78,MAX(EXP((BJ78-$J78)*$G78),1),MIN(EXP((BJ78-$J78)*$G78),1)),"")</f>
        <v/>
      </c>
      <c r="BM78" s="72" t="b">
        <f>IF(AND(NOT(BI78),AND(BI$4:BI77)),TRUE,BI78)</f>
        <v>0</v>
      </c>
      <c r="BN78" s="175" t="e">
        <f>IF(AND(NOT(ISBLANK(Jumpoverwrite14)),AND(NOT(BM78),AND(BM$4:BM77))),($J78*$G78-LN(1+Jumpoverwrite14*BO$2))/$G78,_xll.qlInterpolationInterpolate(BM$3,$F78,TRUE))</f>
        <v>#NUM!</v>
      </c>
      <c r="BO78" s="34" t="str">
        <f>IF(AND(NOT(BM78),AND(BM$4:BM77)),IF(BM78&gt;$J78,MAX(EXP((BM78-$J78)*$G78),1),MIN(EXP((BM78-$J78)*$G78),1)),"")</f>
        <v/>
      </c>
    </row>
    <row r="79" spans="1:67" x14ac:dyDescent="0.2">
      <c r="A79" s="33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84" t="e">
        <f t="shared" si="4"/>
        <v>#N/A</v>
      </c>
      <c r="G79" s="85" t="e">
        <f>_xll.qlDayCounterYearFraction(DayCounter,D78,D79)</f>
        <v>#NUM!</v>
      </c>
      <c r="I79" s="93" t="b">
        <f t="shared" si="7"/>
        <v>0</v>
      </c>
      <c r="J79" s="37" t="e">
        <v>#N/A</v>
      </c>
      <c r="K79" s="94" t="e">
        <f t="shared" si="8"/>
        <v>#VALUE!</v>
      </c>
      <c r="L79" s="106"/>
      <c r="M79" s="72" t="b">
        <f>IF(AND(NOT(I79),AND(I$4:I78)),TRUE,I79)</f>
        <v>0</v>
      </c>
      <c r="N79" s="34" t="e">
        <f>IF(AND(NOT(ISBLANK(Jumpoverwrite1)),AND(NOT(M79),AND(M$4:M78))),($J79*$G79-LN(1+Jumpoverwrite1*O$2))/$G79,_xll.qlInterpolationInterpolate(M$3,$F79,TRUE))</f>
        <v>#NUM!</v>
      </c>
      <c r="O79" s="34" t="str">
        <f>IF(AND(NOT(M79),AND(M$4:M78)),IF(N79&gt;$J79,MAX(EXP((N79-$J79)*$G79),1),MIN(EXP((N79-$J79)*$G79),1)),"")</f>
        <v/>
      </c>
      <c r="P79" s="108"/>
      <c r="Q79" s="72" t="b">
        <f>IF(AND(NOT(M79),AND(M$4:M78)),TRUE,M79)</f>
        <v>0</v>
      </c>
      <c r="R79" s="34" t="e">
        <f>IF(AND(NOT(ISBLANK(Jumpoverwrite2)),AND(NOT(Q79),AND(Q$4:Q78))),($J79*$G79-LN(1+Jumpoverwrite2*S$2))/$G79,_xll.qlInterpolationInterpolate(Q$3,$F79,TRUE))</f>
        <v>#NUM!</v>
      </c>
      <c r="S79" s="34" t="str">
        <f>IF(AND(NOT(Q79),AND(Q$4:Q78)),IF(R79&gt;$J79,MAX(EXP((R79-$J79)*$G79),1),MIN(EXP((R79-$J79)*$G79),1)),"")</f>
        <v/>
      </c>
      <c r="T79" s="108"/>
      <c r="U79" s="72" t="b">
        <f>IF(AND(NOT(Q79),AND(Q$4:Q78)),TRUE,Q79)</f>
        <v>0</v>
      </c>
      <c r="V79" s="34" t="e">
        <f>IF(AND(NOT(ISBLANK(Jumpoverwrite3)),AND(NOT(U79),AND(U$4:U78))),($J79*$G79-LN(1+Jumpoverwrite3*W$2))/$G79,_xll.qlInterpolationInterpolate(U$3,$F79,TRUE))</f>
        <v>#NUM!</v>
      </c>
      <c r="W79" s="34" t="str">
        <f>IF(AND(NOT(U79),AND(U$4:U78)),IF(V79&gt;$J79,MAX(EXP((V79-$J79)*$G79),1),MIN(EXP((V79-$J79)*$G79),1)),"")</f>
        <v/>
      </c>
      <c r="X79" s="108"/>
      <c r="Y79" s="72" t="b">
        <f>IF(AND(NOT(U79),AND(U$4:U78)),TRUE,U79)</f>
        <v>0</v>
      </c>
      <c r="Z79" s="34" t="e">
        <f>IF(AND(NOT(ISBLANK(Jumpoverwrite4)),AND(NOT(Y79),AND(Y$4:Y78))),($J79*$G79-LN(1+Jumpoverwrite4*AA$2))/$G79,_xll.qlInterpolationInterpolate(Y$3,$F79,TRUE))</f>
        <v>#NUM!</v>
      </c>
      <c r="AA79" s="34" t="str">
        <f>IF(AND(NOT(Y79),AND(Y$4:Y78)),IF(Z79&gt;$J79,MAX(EXP((Z79-$J79)*$G79),1),MIN(EXP((Z79-$J79)*$G79),1)),"")</f>
        <v/>
      </c>
      <c r="AB79" s="108"/>
      <c r="AC79" s="72" t="b">
        <f>IF(AND(NOT(Y79),AND(Y$4:Y78)),TRUE,Y79)</f>
        <v>0</v>
      </c>
      <c r="AD79" s="34" t="e">
        <f>IF(AND(NOT(ISBLANK(Jumpoverwrite5)),AND(NOT(AC79),AND(AC$4:AC78))),($J79*$G79-LN(1+Jumpoverwrite5*AE$2))/$G79,_xll.qlInterpolationInterpolate(AC$3,$F79,TRUE))</f>
        <v>#NUM!</v>
      </c>
      <c r="AE79" s="34" t="str">
        <f>IF(AND(NOT(AC79),AND(AC$4:AC78)),IF(AD79&gt;$J79,MAX(EXP((AD79-$J79)*$G79),1),MIN(EXP((AD79-$J79)*$G79),1)),"")</f>
        <v/>
      </c>
      <c r="AF79" s="108"/>
      <c r="AG79" s="72" t="b">
        <f>IF(AND(NOT(AC79),AND(AC$4:AC78)),TRUE,AC79)</f>
        <v>0</v>
      </c>
      <c r="AH79" s="34" t="e">
        <f>IF(AND(NOT(ISBLANK(Jumpoverwrite6)),AND(NOT(AG79),AND(AG$4:AG78))),($J79*$G79-LN(1+Jumpoverwrite6*AI$2))/$G79,_xll.qlInterpolationInterpolate(AG$3,$F79,TRUE))</f>
        <v>#NUM!</v>
      </c>
      <c r="AI79" s="34" t="str">
        <f>IF(AND(NOT(AG79),AND(AG$4:AG78)),IF(AH79&gt;$J79,MAX(EXP((AH79-$J79)*$G79),1),MIN(EXP((AH79-$J79)*$G79),1)),"")</f>
        <v/>
      </c>
      <c r="AJ79" s="108"/>
      <c r="AK79" s="72" t="b">
        <f>IF(AND(NOT(AG79),AND(AG$4:AG78)),TRUE,AG79)</f>
        <v>0</v>
      </c>
      <c r="AL79" s="34" t="e">
        <f>IF(AND(NOT(ISBLANK(Jumpoverwrite7)),AND(NOT(AK79),AND(AK$4:AK78))),($J79*$G79-LN(1+Jumpoverwrite7*AM$2))/$G79,_xll.qlInterpolationInterpolate(AK$3,$F79,TRUE))</f>
        <v>#NUM!</v>
      </c>
      <c r="AM79" s="34" t="str">
        <f>IF(AND(NOT(AK79),AND(AK$4:AK78)),IF(AL79&gt;$J79,MAX(EXP((AL79-$J79)*$G79),1),MIN(EXP((AL79-$J79)*$G79),1)),"")</f>
        <v/>
      </c>
      <c r="AO79" s="72" t="b">
        <f>IF(AND(NOT(AK79),AND(AK$4:AK78)),TRUE,AK79)</f>
        <v>0</v>
      </c>
      <c r="AP79" s="34" t="e">
        <f>IF(AND(NOT(ISBLANK(Jumpoverwrite8)),AND(NOT(AO79),AND(AO$4:AO78))),($J79*$G79-LN(1+Jumpoverwrite8*AQ$2))/$G79,_xll.qlInterpolationInterpolate(AO$3,$F79,TRUE))</f>
        <v>#NUM!</v>
      </c>
      <c r="AQ79" s="34" t="str">
        <f>IF(AND(NOT(AO79),AND(AO$4:AO78)),IF(AP79&gt;$J79,MAX(EXP((AP79-$J79)*$G79),1),MIN(EXP((AP79-$J79)*$G79),1)),"")</f>
        <v/>
      </c>
      <c r="AS79" s="72" t="b">
        <f>IF(AND(NOT(AO79),AND(AO$4:AO78)),TRUE,AO79)</f>
        <v>0</v>
      </c>
      <c r="AT79" s="34" t="e">
        <f>IF(AND(NOT(ISBLANK(Jumpoverwrite9)),AND(NOT(AS79),AND(AS$4:AS78))),($J79*$G79-LN(1+Jumpoverwrite9*AU$2))/$G79,_xll.qlInterpolationInterpolate(AS$3,$F79,TRUE))</f>
        <v>#NUM!</v>
      </c>
      <c r="AU79" s="34" t="str">
        <f>IF(AND(NOT(AS79),AND(AS$4:AS78)),IF(AT79&gt;$J79,MAX(EXP((AT79-$J79)*$G79),1),MIN(EXP((AT79-$J79)*$G79),1)),"")</f>
        <v/>
      </c>
      <c r="AW79" s="72" t="b">
        <f>IF(AND(NOT(AS79),AND(AS$4:AS78)),TRUE,AS79)</f>
        <v>0</v>
      </c>
      <c r="AX79" s="34" t="e">
        <f>IF(AND(NOT(ISBLANK(Jumpoverwrite10)),AND(NOT(AW79),AND(AW$4:AW78))),($J79*$G79-LN(1+Jumpoverwrite10*AY$2))/$G79,_xll.qlInterpolationInterpolate(AW$3,$F79,TRUE))</f>
        <v>#NUM!</v>
      </c>
      <c r="AY79" s="34" t="str">
        <f>IF(AND(NOT(AW79),AND(AW$4:AW78)),IF(AX79&gt;$J79,MAX(EXP((AX79-$J79)*$G79),1),MIN(EXP((AX79-$J79)*$G79),1)),"")</f>
        <v/>
      </c>
      <c r="BA79" s="72" t="b">
        <f>IF(AND(NOT(AW79),AND(AW$4:AW78)),TRUE,AW79)</f>
        <v>0</v>
      </c>
      <c r="BB79" s="34" t="e">
        <f>IF(AND(NOT(ISBLANK(Jumpoverwrite11)),AND(NOT(BA79),AND(BA$4:BA78))),($J79*$G79-LN(1+Jumpoverwrite11*BC$2))/$G79,_xll.qlInterpolationInterpolate(BA$3,$F79,TRUE))</f>
        <v>#NUM!</v>
      </c>
      <c r="BC79" s="34" t="str">
        <f>IF(AND(NOT(BA79),AND(BA$4:BA78)),IF(BB79&gt;$J79,MAX(EXP((BB79-$J79)*$G79),1),MIN(EXP((BB79-$J79)*$G79),1)),"")</f>
        <v/>
      </c>
      <c r="BE79" s="72" t="b">
        <f>IF(AND(NOT(BA79),AND(BA$4:BA78)),TRUE,BA79)</f>
        <v>0</v>
      </c>
      <c r="BF79" s="34" t="e">
        <f>IF(AND(NOT(ISBLANK(Jumpoverwrite12)),AND(NOT(BE79),AND(BE$4:BE78))),($J79*$G79-LN(1+Jumpoverwrite12*BG$2))/$G79,_xll.qlInterpolationInterpolate(BE$3,$F79,TRUE))</f>
        <v>#NUM!</v>
      </c>
      <c r="BG79" s="34" t="str">
        <f>IF(AND(NOT(BE79),AND(BE$4:BE78)),IF(BF79&gt;$J79,MAX(EXP((BF79-$J79)*$G79),1),MIN(EXP((BF79-$J79)*$G79),1)),"")</f>
        <v/>
      </c>
      <c r="BI79" s="72" t="b">
        <f t="shared" si="6"/>
        <v>0</v>
      </c>
      <c r="BJ79" s="34" t="e">
        <f>IF(AND(NOT(ISBLANK(jumpoverwrite13)),AND(NOT(BI79),AND(BI$4:BI78))),($J79*$G79-LN(1+jumpoverwrite13*BK$2))/$G79,_xll.qlInterpolationInterpolate(BI$3,$F79,TRUE))</f>
        <v>#NUM!</v>
      </c>
      <c r="BK79" s="34" t="str">
        <f>IF(AND(NOT(BI79),AND(BI$4:BI78)),IF(BJ79&gt;$J79,MAX(EXP((BJ79-$J79)*$G79),1),MIN(EXP((BJ79-$J79)*$G79),1)),"")</f>
        <v/>
      </c>
      <c r="BM79" s="72" t="b">
        <f>IF(AND(NOT(BI79),AND(BI$4:BI78)),TRUE,BI79)</f>
        <v>0</v>
      </c>
      <c r="BN79" s="175" t="e">
        <f>IF(AND(NOT(ISBLANK(Jumpoverwrite14)),AND(NOT(BM79),AND(BM$4:BM78))),($J79*$G79-LN(1+Jumpoverwrite14*BO$2))/$G79,_xll.qlInterpolationInterpolate(BM$3,$F79,TRUE))</f>
        <v>#NUM!</v>
      </c>
      <c r="BO79" s="34" t="str">
        <f>IF(AND(NOT(BM79),AND(BM$4:BM78)),IF(BM79&gt;$J79,MAX(EXP((BM79-$J79)*$G79),1),MIN(EXP((BM79-$J79)*$G79),1)),"")</f>
        <v/>
      </c>
    </row>
    <row r="80" spans="1:67" x14ac:dyDescent="0.2">
      <c r="A80" s="33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84" t="e">
        <f t="shared" si="4"/>
        <v>#N/A</v>
      </c>
      <c r="G80" s="85" t="e">
        <f>_xll.qlDayCounterYearFraction(DayCounter,D79,D80)</f>
        <v>#NUM!</v>
      </c>
      <c r="I80" s="93" t="b">
        <f t="shared" si="7"/>
        <v>0</v>
      </c>
      <c r="J80" s="37" t="e">
        <v>#N/A</v>
      </c>
      <c r="K80" s="94" t="e">
        <f t="shared" si="8"/>
        <v>#VALUE!</v>
      </c>
      <c r="L80" s="106"/>
      <c r="M80" s="72" t="b">
        <f>IF(AND(NOT(I80),AND(I$4:I79)),TRUE,I80)</f>
        <v>0</v>
      </c>
      <c r="N80" s="34" t="e">
        <f>IF(AND(NOT(ISBLANK(Jumpoverwrite1)),AND(NOT(M80),AND(M$4:M79))),($J80*$G80-LN(1+Jumpoverwrite1*O$2))/$G80,_xll.qlInterpolationInterpolate(M$3,$F80,TRUE))</f>
        <v>#NUM!</v>
      </c>
      <c r="O80" s="34" t="str">
        <f>IF(AND(NOT(M80),AND(M$4:M79)),IF(N80&gt;$J80,MAX(EXP((N80-$J80)*$G80),1),MIN(EXP((N80-$J80)*$G80),1)),"")</f>
        <v/>
      </c>
      <c r="P80" s="108"/>
      <c r="Q80" s="72" t="b">
        <f>IF(AND(NOT(M80),AND(M$4:M79)),TRUE,M80)</f>
        <v>0</v>
      </c>
      <c r="R80" s="34" t="e">
        <f>IF(AND(NOT(ISBLANK(Jumpoverwrite2)),AND(NOT(Q80),AND(Q$4:Q79))),($J80*$G80-LN(1+Jumpoverwrite2*S$2))/$G80,_xll.qlInterpolationInterpolate(Q$3,$F80,TRUE))</f>
        <v>#NUM!</v>
      </c>
      <c r="S80" s="34" t="str">
        <f>IF(AND(NOT(Q80),AND(Q$4:Q79)),IF(R80&gt;$J80,MAX(EXP((R80-$J80)*$G80),1),MIN(EXP((R80-$J80)*$G80),1)),"")</f>
        <v/>
      </c>
      <c r="T80" s="108"/>
      <c r="U80" s="72" t="b">
        <f>IF(AND(NOT(Q80),AND(Q$4:Q79)),TRUE,Q80)</f>
        <v>0</v>
      </c>
      <c r="V80" s="34" t="e">
        <f>IF(AND(NOT(ISBLANK(Jumpoverwrite3)),AND(NOT(U80),AND(U$4:U79))),($J80*$G80-LN(1+Jumpoverwrite3*W$2))/$G80,_xll.qlInterpolationInterpolate(U$3,$F80,TRUE))</f>
        <v>#NUM!</v>
      </c>
      <c r="W80" s="34" t="str">
        <f>IF(AND(NOT(U80),AND(U$4:U79)),IF(V80&gt;$J80,MAX(EXP((V80-$J80)*$G80),1),MIN(EXP((V80-$J80)*$G80),1)),"")</f>
        <v/>
      </c>
      <c r="X80" s="108"/>
      <c r="Y80" s="72" t="b">
        <f>IF(AND(NOT(U80),AND(U$4:U79)),TRUE,U80)</f>
        <v>0</v>
      </c>
      <c r="Z80" s="34" t="e">
        <f>IF(AND(NOT(ISBLANK(Jumpoverwrite4)),AND(NOT(Y80),AND(Y$4:Y79))),($J80*$G80-LN(1+Jumpoverwrite4*AA$2))/$G80,_xll.qlInterpolationInterpolate(Y$3,$F80,TRUE))</f>
        <v>#NUM!</v>
      </c>
      <c r="AA80" s="34" t="str">
        <f>IF(AND(NOT(Y80),AND(Y$4:Y79)),IF(Z80&gt;$J80,MAX(EXP((Z80-$J80)*$G80),1),MIN(EXP((Z80-$J80)*$G80),1)),"")</f>
        <v/>
      </c>
      <c r="AB80" s="108"/>
      <c r="AC80" s="72" t="b">
        <f>IF(AND(NOT(Y80),AND(Y$4:Y79)),TRUE,Y80)</f>
        <v>0</v>
      </c>
      <c r="AD80" s="34" t="e">
        <f>IF(AND(NOT(ISBLANK(Jumpoverwrite5)),AND(NOT(AC80),AND(AC$4:AC79))),($J80*$G80-LN(1+Jumpoverwrite5*AE$2))/$G80,_xll.qlInterpolationInterpolate(AC$3,$F80,TRUE))</f>
        <v>#NUM!</v>
      </c>
      <c r="AE80" s="34" t="str">
        <f>IF(AND(NOT(AC80),AND(AC$4:AC79)),IF(AD80&gt;$J80,MAX(EXP((AD80-$J80)*$G80),1),MIN(EXP((AD80-$J80)*$G80),1)),"")</f>
        <v/>
      </c>
      <c r="AF80" s="108"/>
      <c r="AG80" s="72" t="b">
        <f>IF(AND(NOT(AC80),AND(AC$4:AC79)),TRUE,AC80)</f>
        <v>0</v>
      </c>
      <c r="AH80" s="34" t="e">
        <f>IF(AND(NOT(ISBLANK(Jumpoverwrite6)),AND(NOT(AG80),AND(AG$4:AG79))),($J80*$G80-LN(1+Jumpoverwrite6*AI$2))/$G80,_xll.qlInterpolationInterpolate(AG$3,$F80,TRUE))</f>
        <v>#NUM!</v>
      </c>
      <c r="AI80" s="34" t="str">
        <f>IF(AND(NOT(AG80),AND(AG$4:AG79)),IF(AH80&gt;$J80,MAX(EXP((AH80-$J80)*$G80),1),MIN(EXP((AH80-$J80)*$G80),1)),"")</f>
        <v/>
      </c>
      <c r="AJ80" s="108"/>
      <c r="AK80" s="72" t="b">
        <f>IF(AND(NOT(AG80),AND(AG$4:AG79)),TRUE,AG80)</f>
        <v>0</v>
      </c>
      <c r="AL80" s="34" t="e">
        <f>IF(AND(NOT(ISBLANK(Jumpoverwrite7)),AND(NOT(AK80),AND(AK$4:AK79))),($J80*$G80-LN(1+Jumpoverwrite7*AM$2))/$G80,_xll.qlInterpolationInterpolate(AK$3,$F80,TRUE))</f>
        <v>#NUM!</v>
      </c>
      <c r="AM80" s="34" t="str">
        <f>IF(AND(NOT(AK80),AND(AK$4:AK79)),IF(AL80&gt;$J80,MAX(EXP((AL80-$J80)*$G80),1),MIN(EXP((AL80-$J80)*$G80),1)),"")</f>
        <v/>
      </c>
      <c r="AO80" s="72" t="b">
        <f>IF(AND(NOT(AK80),AND(AK$4:AK79)),TRUE,AK80)</f>
        <v>0</v>
      </c>
      <c r="AP80" s="34" t="e">
        <f>IF(AND(NOT(ISBLANK(Jumpoverwrite8)),AND(NOT(AO80),AND(AO$4:AO79))),($J80*$G80-LN(1+Jumpoverwrite8*AQ$2))/$G80,_xll.qlInterpolationInterpolate(AO$3,$F80,TRUE))</f>
        <v>#NUM!</v>
      </c>
      <c r="AQ80" s="34" t="str">
        <f>IF(AND(NOT(AO80),AND(AO$4:AO79)),IF(AP80&gt;$J80,MAX(EXP((AP80-$J80)*$G80),1),MIN(EXP((AP80-$J80)*$G80),1)),"")</f>
        <v/>
      </c>
      <c r="AS80" s="72" t="b">
        <f>IF(AND(NOT(AO80),AND(AO$4:AO79)),TRUE,AO80)</f>
        <v>0</v>
      </c>
      <c r="AT80" s="34" t="e">
        <f>IF(AND(NOT(ISBLANK(Jumpoverwrite9)),AND(NOT(AS80),AND(AS$4:AS79))),($J80*$G80-LN(1+Jumpoverwrite9*AU$2))/$G80,_xll.qlInterpolationInterpolate(AS$3,$F80,TRUE))</f>
        <v>#NUM!</v>
      </c>
      <c r="AU80" s="34" t="str">
        <f>IF(AND(NOT(AS80),AND(AS$4:AS79)),IF(AT80&gt;$J80,MAX(EXP((AT80-$J80)*$G80),1),MIN(EXP((AT80-$J80)*$G80),1)),"")</f>
        <v/>
      </c>
      <c r="AW80" s="72" t="b">
        <f>IF(AND(NOT(AS80),AND(AS$4:AS79)),TRUE,AS80)</f>
        <v>0</v>
      </c>
      <c r="AX80" s="34" t="e">
        <f>IF(AND(NOT(ISBLANK(Jumpoverwrite10)),AND(NOT(AW80),AND(AW$4:AW79))),($J80*$G80-LN(1+Jumpoverwrite10*AY$2))/$G80,_xll.qlInterpolationInterpolate(AW$3,$F80,TRUE))</f>
        <v>#NUM!</v>
      </c>
      <c r="AY80" s="34" t="str">
        <f>IF(AND(NOT(AW80),AND(AW$4:AW79)),IF(AX80&gt;$J80,MAX(EXP((AX80-$J80)*$G80),1),MIN(EXP((AX80-$J80)*$G80),1)),"")</f>
        <v/>
      </c>
      <c r="BA80" s="72" t="b">
        <f>IF(AND(NOT(AW80),AND(AW$4:AW79)),TRUE,AW80)</f>
        <v>0</v>
      </c>
      <c r="BB80" s="34" t="e">
        <f>IF(AND(NOT(ISBLANK(Jumpoverwrite11)),AND(NOT(BA80),AND(BA$4:BA79))),($J80*$G80-LN(1+Jumpoverwrite11*BC$2))/$G80,_xll.qlInterpolationInterpolate(BA$3,$F80,TRUE))</f>
        <v>#NUM!</v>
      </c>
      <c r="BC80" s="34" t="str">
        <f>IF(AND(NOT(BA80),AND(BA$4:BA79)),IF(BB80&gt;$J80,MAX(EXP((BB80-$J80)*$G80),1),MIN(EXP((BB80-$J80)*$G80),1)),"")</f>
        <v/>
      </c>
      <c r="BE80" s="72" t="b">
        <f>IF(AND(NOT(BA80),AND(BA$4:BA79)),TRUE,BA80)</f>
        <v>0</v>
      </c>
      <c r="BF80" s="34" t="e">
        <f>IF(AND(NOT(ISBLANK(Jumpoverwrite12)),AND(NOT(BE80),AND(BE$4:BE79))),($J80*$G80-LN(1+Jumpoverwrite12*BG$2))/$G80,_xll.qlInterpolationInterpolate(BE$3,$F80,TRUE))</f>
        <v>#NUM!</v>
      </c>
      <c r="BG80" s="34" t="str">
        <f>IF(AND(NOT(BE80),AND(BE$4:BE79)),IF(BF80&gt;$J80,MAX(EXP((BF80-$J80)*$G80),1),MIN(EXP((BF80-$J80)*$G80),1)),"")</f>
        <v/>
      </c>
      <c r="BI80" s="72" t="b">
        <f t="shared" si="6"/>
        <v>0</v>
      </c>
      <c r="BJ80" s="34" t="e">
        <f>IF(AND(NOT(ISBLANK(jumpoverwrite13)),AND(NOT(BI80),AND(BI$4:BI79))),($J80*$G80-LN(1+jumpoverwrite13*BK$2))/$G80,_xll.qlInterpolationInterpolate(BI$3,$F80,TRUE))</f>
        <v>#NUM!</v>
      </c>
      <c r="BK80" s="34" t="str">
        <f>IF(AND(NOT(BI80),AND(BI$4:BI79)),IF(BJ80&gt;$J80,MAX(EXP((BJ80-$J80)*$G80),1),MIN(EXP((BJ80-$J80)*$G80),1)),"")</f>
        <v/>
      </c>
      <c r="BM80" s="72" t="b">
        <f>IF(AND(NOT(BI80),AND(BI$4:BI79)),TRUE,BI80)</f>
        <v>0</v>
      </c>
      <c r="BN80" s="175" t="e">
        <f>IF(AND(NOT(ISBLANK(Jumpoverwrite14)),AND(NOT(BM80),AND(BM$4:BM79))),($J80*$G80-LN(1+Jumpoverwrite14*BO$2))/$G80,_xll.qlInterpolationInterpolate(BM$3,$F80,TRUE))</f>
        <v>#NUM!</v>
      </c>
      <c r="BO80" s="34" t="str">
        <f>IF(AND(NOT(BM80),AND(BM$4:BM79)),IF(BM80&gt;$J80,MAX(EXP((BM80-$J80)*$G80),1),MIN(EXP((BM80-$J80)*$G80),1)),"")</f>
        <v/>
      </c>
    </row>
    <row r="81" spans="1:67" x14ac:dyDescent="0.2">
      <c r="A81" s="33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84" t="e">
        <f t="shared" si="4"/>
        <v>#N/A</v>
      </c>
      <c r="G81" s="85" t="e">
        <f>_xll.qlDayCounterYearFraction(DayCounter,D80,D81)</f>
        <v>#NUM!</v>
      </c>
      <c r="I81" s="93" t="b">
        <f t="shared" si="7"/>
        <v>0</v>
      </c>
      <c r="J81" s="37" t="e">
        <v>#N/A</v>
      </c>
      <c r="K81" s="94" t="e">
        <f t="shared" si="8"/>
        <v>#VALUE!</v>
      </c>
      <c r="L81" s="106"/>
      <c r="M81" s="72" t="b">
        <f>IF(AND(NOT(I81),AND(I$4:I80)),TRUE,I81)</f>
        <v>0</v>
      </c>
      <c r="N81" s="34" t="e">
        <f>IF(AND(NOT(ISBLANK(Jumpoverwrite1)),AND(NOT(M81),AND(M$4:M80))),($J81*$G81-LN(1+Jumpoverwrite1*O$2))/$G81,_xll.qlInterpolationInterpolate(M$3,$F81,TRUE))</f>
        <v>#NUM!</v>
      </c>
      <c r="O81" s="34" t="str">
        <f>IF(AND(NOT(M81),AND(M$4:M80)),IF(N81&gt;$J81,MAX(EXP((N81-$J81)*$G81),1),MIN(EXP((N81-$J81)*$G81),1)),"")</f>
        <v/>
      </c>
      <c r="P81" s="108"/>
      <c r="Q81" s="72" t="b">
        <f>IF(AND(NOT(M81),AND(M$4:M80)),TRUE,M81)</f>
        <v>0</v>
      </c>
      <c r="R81" s="34" t="e">
        <f>IF(AND(NOT(ISBLANK(Jumpoverwrite2)),AND(NOT(Q81),AND(Q$4:Q80))),($J81*$G81-LN(1+Jumpoverwrite2*S$2))/$G81,_xll.qlInterpolationInterpolate(Q$3,$F81,TRUE))</f>
        <v>#NUM!</v>
      </c>
      <c r="S81" s="34" t="str">
        <f>IF(AND(NOT(Q81),AND(Q$4:Q80)),IF(R81&gt;$J81,MAX(EXP((R81-$J81)*$G81),1),MIN(EXP((R81-$J81)*$G81),1)),"")</f>
        <v/>
      </c>
      <c r="T81" s="108"/>
      <c r="U81" s="72" t="b">
        <f>IF(AND(NOT(Q81),AND(Q$4:Q80)),TRUE,Q81)</f>
        <v>0</v>
      </c>
      <c r="V81" s="34" t="e">
        <f>IF(AND(NOT(ISBLANK(Jumpoverwrite3)),AND(NOT(U81),AND(U$4:U80))),($J81*$G81-LN(1+Jumpoverwrite3*W$2))/$G81,_xll.qlInterpolationInterpolate(U$3,$F81,TRUE))</f>
        <v>#NUM!</v>
      </c>
      <c r="W81" s="34" t="str">
        <f>IF(AND(NOT(U81),AND(U$4:U80)),IF(V81&gt;$J81,MAX(EXP((V81-$J81)*$G81),1),MIN(EXP((V81-$J81)*$G81),1)),"")</f>
        <v/>
      </c>
      <c r="X81" s="108"/>
      <c r="Y81" s="72" t="b">
        <f>IF(AND(NOT(U81),AND(U$4:U80)),TRUE,U81)</f>
        <v>0</v>
      </c>
      <c r="Z81" s="34" t="e">
        <f>IF(AND(NOT(ISBLANK(Jumpoverwrite4)),AND(NOT(Y81),AND(Y$4:Y80))),($J81*$G81-LN(1+Jumpoverwrite4*AA$2))/$G81,_xll.qlInterpolationInterpolate(Y$3,$F81,TRUE))</f>
        <v>#NUM!</v>
      </c>
      <c r="AA81" s="34" t="str">
        <f>IF(AND(NOT(Y81),AND(Y$4:Y80)),IF(Z81&gt;$J81,MAX(EXP((Z81-$J81)*$G81),1),MIN(EXP((Z81-$J81)*$G81),1)),"")</f>
        <v/>
      </c>
      <c r="AB81" s="108"/>
      <c r="AC81" s="72" t="b">
        <f>IF(AND(NOT(Y81),AND(Y$4:Y80)),TRUE,Y81)</f>
        <v>0</v>
      </c>
      <c r="AD81" s="34" t="e">
        <f>IF(AND(NOT(ISBLANK(Jumpoverwrite5)),AND(NOT(AC81),AND(AC$4:AC80))),($J81*$G81-LN(1+Jumpoverwrite5*AE$2))/$G81,_xll.qlInterpolationInterpolate(AC$3,$F81,TRUE))</f>
        <v>#NUM!</v>
      </c>
      <c r="AE81" s="34" t="str">
        <f>IF(AND(NOT(AC81),AND(AC$4:AC80)),IF(AD81&gt;$J81,MAX(EXP((AD81-$J81)*$G81),1),MIN(EXP((AD81-$J81)*$G81),1)),"")</f>
        <v/>
      </c>
      <c r="AF81" s="108"/>
      <c r="AG81" s="72" t="b">
        <f>IF(AND(NOT(AC81),AND(AC$4:AC80)),TRUE,AC81)</f>
        <v>0</v>
      </c>
      <c r="AH81" s="34" t="e">
        <f>IF(AND(NOT(ISBLANK(Jumpoverwrite6)),AND(NOT(AG81),AND(AG$4:AG80))),($J81*$G81-LN(1+Jumpoverwrite6*AI$2))/$G81,_xll.qlInterpolationInterpolate(AG$3,$F81,TRUE))</f>
        <v>#NUM!</v>
      </c>
      <c r="AI81" s="34" t="str">
        <f>IF(AND(NOT(AG81),AND(AG$4:AG80)),IF(AH81&gt;$J81,MAX(EXP((AH81-$J81)*$G81),1),MIN(EXP((AH81-$J81)*$G81),1)),"")</f>
        <v/>
      </c>
      <c r="AJ81" s="108"/>
      <c r="AK81" s="72" t="b">
        <f>IF(AND(NOT(AG81),AND(AG$4:AG80)),TRUE,AG81)</f>
        <v>0</v>
      </c>
      <c r="AL81" s="34" t="e">
        <f>IF(AND(NOT(ISBLANK(Jumpoverwrite7)),AND(NOT(AK81),AND(AK$4:AK80))),($J81*$G81-LN(1+Jumpoverwrite7*AM$2))/$G81,_xll.qlInterpolationInterpolate(AK$3,$F81,TRUE))</f>
        <v>#NUM!</v>
      </c>
      <c r="AM81" s="34" t="str">
        <f>IF(AND(NOT(AK81),AND(AK$4:AK80)),IF(AL81&gt;$J81,MAX(EXP((AL81-$J81)*$G81),1),MIN(EXP((AL81-$J81)*$G81),1)),"")</f>
        <v/>
      </c>
      <c r="AO81" s="72" t="b">
        <f>IF(AND(NOT(AK81),AND(AK$4:AK80)),TRUE,AK81)</f>
        <v>0</v>
      </c>
      <c r="AP81" s="34" t="e">
        <f>IF(AND(NOT(ISBLANK(Jumpoverwrite8)),AND(NOT(AO81),AND(AO$4:AO80))),($J81*$G81-LN(1+Jumpoverwrite8*AQ$2))/$G81,_xll.qlInterpolationInterpolate(AO$3,$F81,TRUE))</f>
        <v>#NUM!</v>
      </c>
      <c r="AQ81" s="34" t="str">
        <f>IF(AND(NOT(AO81),AND(AO$4:AO80)),IF(AP81&gt;$J81,MAX(EXP((AP81-$J81)*$G81),1),MIN(EXP((AP81-$J81)*$G81),1)),"")</f>
        <v/>
      </c>
      <c r="AS81" s="72" t="b">
        <f>IF(AND(NOT(AO81),AND(AO$4:AO80)),TRUE,AO81)</f>
        <v>0</v>
      </c>
      <c r="AT81" s="34" t="e">
        <f>IF(AND(NOT(ISBLANK(Jumpoverwrite9)),AND(NOT(AS81),AND(AS$4:AS80))),($J81*$G81-LN(1+Jumpoverwrite9*AU$2))/$G81,_xll.qlInterpolationInterpolate(AS$3,$F81,TRUE))</f>
        <v>#NUM!</v>
      </c>
      <c r="AU81" s="34" t="str">
        <f>IF(AND(NOT(AS81),AND(AS$4:AS80)),IF(AT81&gt;$J81,MAX(EXP((AT81-$J81)*$G81),1),MIN(EXP((AT81-$J81)*$G81),1)),"")</f>
        <v/>
      </c>
      <c r="AW81" s="72" t="b">
        <f>IF(AND(NOT(AS81),AND(AS$4:AS80)),TRUE,AS81)</f>
        <v>0</v>
      </c>
      <c r="AX81" s="34" t="e">
        <f>IF(AND(NOT(ISBLANK(Jumpoverwrite10)),AND(NOT(AW81),AND(AW$4:AW80))),($J81*$G81-LN(1+Jumpoverwrite10*AY$2))/$G81,_xll.qlInterpolationInterpolate(AW$3,$F81,TRUE))</f>
        <v>#NUM!</v>
      </c>
      <c r="AY81" s="34" t="str">
        <f>IF(AND(NOT(AW81),AND(AW$4:AW80)),IF(AX81&gt;$J81,MAX(EXP((AX81-$J81)*$G81),1),MIN(EXP((AX81-$J81)*$G81),1)),"")</f>
        <v/>
      </c>
      <c r="BA81" s="72" t="b">
        <f>IF(AND(NOT(AW81),AND(AW$4:AW80)),TRUE,AW81)</f>
        <v>0</v>
      </c>
      <c r="BB81" s="34" t="e">
        <f>IF(AND(NOT(ISBLANK(Jumpoverwrite11)),AND(NOT(BA81),AND(BA$4:BA80))),($J81*$G81-LN(1+Jumpoverwrite11*BC$2))/$G81,_xll.qlInterpolationInterpolate(BA$3,$F81,TRUE))</f>
        <v>#NUM!</v>
      </c>
      <c r="BC81" s="34" t="str">
        <f>IF(AND(NOT(BA81),AND(BA$4:BA80)),IF(BB81&gt;$J81,MAX(EXP((BB81-$J81)*$G81),1),MIN(EXP((BB81-$J81)*$G81),1)),"")</f>
        <v/>
      </c>
      <c r="BE81" s="72" t="b">
        <f>IF(AND(NOT(BA81),AND(BA$4:BA80)),TRUE,BA81)</f>
        <v>0</v>
      </c>
      <c r="BF81" s="34" t="e">
        <f>IF(AND(NOT(ISBLANK(Jumpoverwrite12)),AND(NOT(BE81),AND(BE$4:BE80))),($J81*$G81-LN(1+Jumpoverwrite12*BG$2))/$G81,_xll.qlInterpolationInterpolate(BE$3,$F81,TRUE))</f>
        <v>#NUM!</v>
      </c>
      <c r="BG81" s="34" t="str">
        <f>IF(AND(NOT(BE81),AND(BE$4:BE80)),IF(BF81&gt;$J81,MAX(EXP((BF81-$J81)*$G81),1),MIN(EXP((BF81-$J81)*$G81),1)),"")</f>
        <v/>
      </c>
      <c r="BI81" s="72" t="b">
        <f t="shared" si="6"/>
        <v>0</v>
      </c>
      <c r="BJ81" s="34" t="e">
        <f>IF(AND(NOT(ISBLANK(jumpoverwrite13)),AND(NOT(BI81),AND(BI$4:BI80))),($J81*$G81-LN(1+jumpoverwrite13*BK$2))/$G81,_xll.qlInterpolationInterpolate(BI$3,$F81,TRUE))</f>
        <v>#NUM!</v>
      </c>
      <c r="BK81" s="34" t="str">
        <f>IF(AND(NOT(BI81),AND(BI$4:BI80)),IF(BJ81&gt;$J81,MAX(EXP((BJ81-$J81)*$G81),1),MIN(EXP((BJ81-$J81)*$G81),1)),"")</f>
        <v/>
      </c>
      <c r="BM81" s="72" t="b">
        <f>IF(AND(NOT(BI81),AND(BI$4:BI80)),TRUE,BI81)</f>
        <v>0</v>
      </c>
      <c r="BN81" s="175" t="e">
        <f>IF(AND(NOT(ISBLANK(Jumpoverwrite14)),AND(NOT(BM81),AND(BM$4:BM80))),($J81*$G81-LN(1+Jumpoverwrite14*BO$2))/$G81,_xll.qlInterpolationInterpolate(BM$3,$F81,TRUE))</f>
        <v>#NUM!</v>
      </c>
      <c r="BO81" s="34" t="str">
        <f>IF(AND(NOT(BM81),AND(BM$4:BM80)),IF(BM81&gt;$J81,MAX(EXP((BM81-$J81)*$G81),1),MIN(EXP((BM81-$J81)*$G81),1)),"")</f>
        <v/>
      </c>
    </row>
    <row r="82" spans="1:67" x14ac:dyDescent="0.2">
      <c r="A82" s="33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84" t="e">
        <f t="shared" si="4"/>
        <v>#N/A</v>
      </c>
      <c r="G82" s="85" t="e">
        <f>_xll.qlDayCounterYearFraction(DayCounter,D81,D82)</f>
        <v>#NUM!</v>
      </c>
      <c r="I82" s="93" t="b">
        <f t="shared" si="7"/>
        <v>0</v>
      </c>
      <c r="J82" s="37" t="e">
        <v>#N/A</v>
      </c>
      <c r="K82" s="94" t="e">
        <f t="shared" si="8"/>
        <v>#VALUE!</v>
      </c>
      <c r="L82" s="106"/>
      <c r="M82" s="72" t="b">
        <f>IF(AND(NOT(I82),AND(I$4:I81)),TRUE,I82)</f>
        <v>0</v>
      </c>
      <c r="N82" s="34" t="e">
        <f>IF(AND(NOT(ISBLANK(Jumpoverwrite1)),AND(NOT(M82),AND(M$4:M81))),($J82*$G82-LN(1+Jumpoverwrite1*O$2))/$G82,_xll.qlInterpolationInterpolate(M$3,$F82,TRUE))</f>
        <v>#NUM!</v>
      </c>
      <c r="O82" s="34" t="str">
        <f>IF(AND(NOT(M82),AND(M$4:M81)),IF(N82&gt;$J82,MAX(EXP((N82-$J82)*$G82),1),MIN(EXP((N82-$J82)*$G82),1)),"")</f>
        <v/>
      </c>
      <c r="P82" s="108"/>
      <c r="Q82" s="72" t="b">
        <f>IF(AND(NOT(M82),AND(M$4:M81)),TRUE,M82)</f>
        <v>0</v>
      </c>
      <c r="R82" s="34" t="e">
        <f>IF(AND(NOT(ISBLANK(Jumpoverwrite2)),AND(NOT(Q82),AND(Q$4:Q81))),($J82*$G82-LN(1+Jumpoverwrite2*S$2))/$G82,_xll.qlInterpolationInterpolate(Q$3,$F82,TRUE))</f>
        <v>#NUM!</v>
      </c>
      <c r="S82" s="34" t="str">
        <f>IF(AND(NOT(Q82),AND(Q$4:Q81)),IF(R82&gt;$J82,MAX(EXP((R82-$J82)*$G82),1),MIN(EXP((R82-$J82)*$G82),1)),"")</f>
        <v/>
      </c>
      <c r="T82" s="108"/>
      <c r="U82" s="72" t="b">
        <f>IF(AND(NOT(Q82),AND(Q$4:Q81)),TRUE,Q82)</f>
        <v>0</v>
      </c>
      <c r="V82" s="34" t="e">
        <f>IF(AND(NOT(ISBLANK(Jumpoverwrite3)),AND(NOT(U82),AND(U$4:U81))),($J82*$G82-LN(1+Jumpoverwrite3*W$2))/$G82,_xll.qlInterpolationInterpolate(U$3,$F82,TRUE))</f>
        <v>#NUM!</v>
      </c>
      <c r="W82" s="34" t="str">
        <f>IF(AND(NOT(U82),AND(U$4:U81)),IF(V82&gt;$J82,MAX(EXP((V82-$J82)*$G82),1),MIN(EXP((V82-$J82)*$G82),1)),"")</f>
        <v/>
      </c>
      <c r="X82" s="108"/>
      <c r="Y82" s="72" t="b">
        <f>IF(AND(NOT(U82),AND(U$4:U81)),TRUE,U82)</f>
        <v>0</v>
      </c>
      <c r="Z82" s="34" t="e">
        <f>IF(AND(NOT(ISBLANK(Jumpoverwrite4)),AND(NOT(Y82),AND(Y$4:Y81))),($J82*$G82-LN(1+Jumpoverwrite4*AA$2))/$G82,_xll.qlInterpolationInterpolate(Y$3,$F82,TRUE))</f>
        <v>#NUM!</v>
      </c>
      <c r="AA82" s="34" t="str">
        <f>IF(AND(NOT(Y82),AND(Y$4:Y81)),IF(Z82&gt;$J82,MAX(EXP((Z82-$J82)*$G82),1),MIN(EXP((Z82-$J82)*$G82),1)),"")</f>
        <v/>
      </c>
      <c r="AB82" s="108"/>
      <c r="AC82" s="72" t="b">
        <f>IF(AND(NOT(Y82),AND(Y$4:Y81)),TRUE,Y82)</f>
        <v>0</v>
      </c>
      <c r="AD82" s="34" t="e">
        <f>IF(AND(NOT(ISBLANK(Jumpoverwrite5)),AND(NOT(AC82),AND(AC$4:AC81))),($J82*$G82-LN(1+Jumpoverwrite5*AE$2))/$G82,_xll.qlInterpolationInterpolate(AC$3,$F82,TRUE))</f>
        <v>#NUM!</v>
      </c>
      <c r="AE82" s="34" t="str">
        <f>IF(AND(NOT(AC82),AND(AC$4:AC81)),IF(AD82&gt;$J82,MAX(EXP((AD82-$J82)*$G82),1),MIN(EXP((AD82-$J82)*$G82),1)),"")</f>
        <v/>
      </c>
      <c r="AF82" s="108"/>
      <c r="AG82" s="72" t="b">
        <f>IF(AND(NOT(AC82),AND(AC$4:AC81)),TRUE,AC82)</f>
        <v>0</v>
      </c>
      <c r="AH82" s="34" t="e">
        <f>IF(AND(NOT(ISBLANK(Jumpoverwrite6)),AND(NOT(AG82),AND(AG$4:AG81))),($J82*$G82-LN(1+Jumpoverwrite6*AI$2))/$G82,_xll.qlInterpolationInterpolate(AG$3,$F82,TRUE))</f>
        <v>#NUM!</v>
      </c>
      <c r="AI82" s="34" t="str">
        <f>IF(AND(NOT(AG82),AND(AG$4:AG81)),IF(AH82&gt;$J82,MAX(EXP((AH82-$J82)*$G82),1),MIN(EXP((AH82-$J82)*$G82),1)),"")</f>
        <v/>
      </c>
      <c r="AJ82" s="108"/>
      <c r="AK82" s="72" t="b">
        <f>IF(AND(NOT(AG82),AND(AG$4:AG81)),TRUE,AG82)</f>
        <v>0</v>
      </c>
      <c r="AL82" s="34" t="e">
        <f>IF(AND(NOT(ISBLANK(Jumpoverwrite7)),AND(NOT(AK82),AND(AK$4:AK81))),($J82*$G82-LN(1+Jumpoverwrite7*AM$2))/$G82,_xll.qlInterpolationInterpolate(AK$3,$F82,TRUE))</f>
        <v>#NUM!</v>
      </c>
      <c r="AM82" s="34" t="str">
        <f>IF(AND(NOT(AK82),AND(AK$4:AK81)),IF(AL82&gt;$J82,MAX(EXP((AL82-$J82)*$G82),1),MIN(EXP((AL82-$J82)*$G82),1)),"")</f>
        <v/>
      </c>
      <c r="AO82" s="72" t="b">
        <f>IF(AND(NOT(AK82),AND(AK$4:AK81)),TRUE,AK82)</f>
        <v>0</v>
      </c>
      <c r="AP82" s="34" t="e">
        <f>IF(AND(NOT(ISBLANK(Jumpoverwrite8)),AND(NOT(AO82),AND(AO$4:AO81))),($J82*$G82-LN(1+Jumpoverwrite8*AQ$2))/$G82,_xll.qlInterpolationInterpolate(AO$3,$F82,TRUE))</f>
        <v>#NUM!</v>
      </c>
      <c r="AQ82" s="34" t="str">
        <f>IF(AND(NOT(AO82),AND(AO$4:AO81)),IF(AP82&gt;$J82,MAX(EXP((AP82-$J82)*$G82),1),MIN(EXP((AP82-$J82)*$G82),1)),"")</f>
        <v/>
      </c>
      <c r="AS82" s="72" t="b">
        <f>IF(AND(NOT(AO82),AND(AO$4:AO81)),TRUE,AO82)</f>
        <v>0</v>
      </c>
      <c r="AT82" s="34" t="e">
        <f>IF(AND(NOT(ISBLANK(Jumpoverwrite9)),AND(NOT(AS82),AND(AS$4:AS81))),($J82*$G82-LN(1+Jumpoverwrite9*AU$2))/$G82,_xll.qlInterpolationInterpolate(AS$3,$F82,TRUE))</f>
        <v>#NUM!</v>
      </c>
      <c r="AU82" s="34" t="str">
        <f>IF(AND(NOT(AS82),AND(AS$4:AS81)),IF(AT82&gt;$J82,MAX(EXP((AT82-$J82)*$G82),1),MIN(EXP((AT82-$J82)*$G82),1)),"")</f>
        <v/>
      </c>
      <c r="AW82" s="72" t="b">
        <f>IF(AND(NOT(AS82),AND(AS$4:AS81)),TRUE,AS82)</f>
        <v>0</v>
      </c>
      <c r="AX82" s="34" t="e">
        <f>IF(AND(NOT(ISBLANK(Jumpoverwrite10)),AND(NOT(AW82),AND(AW$4:AW81))),($J82*$G82-LN(1+Jumpoverwrite10*AY$2))/$G82,_xll.qlInterpolationInterpolate(AW$3,$F82,TRUE))</f>
        <v>#NUM!</v>
      </c>
      <c r="AY82" s="34" t="str">
        <f>IF(AND(NOT(AW82),AND(AW$4:AW81)),IF(AX82&gt;$J82,MAX(EXP((AX82-$J82)*$G82),1),MIN(EXP((AX82-$J82)*$G82),1)),"")</f>
        <v/>
      </c>
      <c r="BA82" s="72" t="b">
        <f>IF(AND(NOT(AW82),AND(AW$4:AW81)),TRUE,AW82)</f>
        <v>0</v>
      </c>
      <c r="BB82" s="34" t="e">
        <f>IF(AND(NOT(ISBLANK(Jumpoverwrite11)),AND(NOT(BA82),AND(BA$4:BA81))),($J82*$G82-LN(1+Jumpoverwrite11*BC$2))/$G82,_xll.qlInterpolationInterpolate(BA$3,$F82,TRUE))</f>
        <v>#NUM!</v>
      </c>
      <c r="BC82" s="34" t="str">
        <f>IF(AND(NOT(BA82),AND(BA$4:BA81)),IF(BB82&gt;$J82,MAX(EXP((BB82-$J82)*$G82),1),MIN(EXP((BB82-$J82)*$G82),1)),"")</f>
        <v/>
      </c>
      <c r="BE82" s="72" t="b">
        <f>IF(AND(NOT(BA82),AND(BA$4:BA81)),TRUE,BA82)</f>
        <v>0</v>
      </c>
      <c r="BF82" s="34" t="e">
        <f>IF(AND(NOT(ISBLANK(Jumpoverwrite12)),AND(NOT(BE82),AND(BE$4:BE81))),($J82*$G82-LN(1+Jumpoverwrite12*BG$2))/$G82,_xll.qlInterpolationInterpolate(BE$3,$F82,TRUE))</f>
        <v>#NUM!</v>
      </c>
      <c r="BG82" s="34" t="str">
        <f>IF(AND(NOT(BE82),AND(BE$4:BE81)),IF(BF82&gt;$J82,MAX(EXP((BF82-$J82)*$G82),1),MIN(EXP((BF82-$J82)*$G82),1)),"")</f>
        <v/>
      </c>
      <c r="BI82" s="72" t="b">
        <f t="shared" si="6"/>
        <v>0</v>
      </c>
      <c r="BJ82" s="34" t="e">
        <f>IF(AND(NOT(ISBLANK(jumpoverwrite13)),AND(NOT(BI82),AND(BI$4:BI81))),($J82*$G82-LN(1+jumpoverwrite13*BK$2))/$G82,_xll.qlInterpolationInterpolate(BI$3,$F82,TRUE))</f>
        <v>#NUM!</v>
      </c>
      <c r="BK82" s="34" t="str">
        <f>IF(AND(NOT(BI82),AND(BI$4:BI81)),IF(BJ82&gt;$J82,MAX(EXP((BJ82-$J82)*$G82),1),MIN(EXP((BJ82-$J82)*$G82),1)),"")</f>
        <v/>
      </c>
      <c r="BM82" s="72" t="b">
        <f>IF(AND(NOT(BI82),AND(BI$4:BI81)),TRUE,BI82)</f>
        <v>0</v>
      </c>
      <c r="BN82" s="175" t="e">
        <f>IF(AND(NOT(ISBLANK(Jumpoverwrite14)),AND(NOT(BM82),AND(BM$4:BM81))),($J82*$G82-LN(1+Jumpoverwrite14*BO$2))/$G82,_xll.qlInterpolationInterpolate(BM$3,$F82,TRUE))</f>
        <v>#NUM!</v>
      </c>
      <c r="BO82" s="34" t="str">
        <f>IF(AND(NOT(BM82),AND(BM$4:BM81)),IF(BM82&gt;$J82,MAX(EXP((BM82-$J82)*$G82),1),MIN(EXP((BM82-$J82)*$G82),1)),"")</f>
        <v/>
      </c>
    </row>
    <row r="83" spans="1:67" x14ac:dyDescent="0.2">
      <c r="A83" s="33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84" t="e">
        <f t="shared" si="4"/>
        <v>#N/A</v>
      </c>
      <c r="G83" s="85" t="e">
        <f>_xll.qlDayCounterYearFraction(DayCounter,D82,D83)</f>
        <v>#NUM!</v>
      </c>
      <c r="I83" s="93" t="b">
        <f t="shared" si="7"/>
        <v>0</v>
      </c>
      <c r="J83" s="37" t="e">
        <v>#N/A</v>
      </c>
      <c r="K83" s="94" t="e">
        <f t="shared" si="8"/>
        <v>#VALUE!</v>
      </c>
      <c r="L83" s="106"/>
      <c r="M83" s="72" t="b">
        <f>IF(AND(NOT(I83),AND(I$4:I82)),TRUE,I83)</f>
        <v>0</v>
      </c>
      <c r="N83" s="34" t="e">
        <f>IF(AND(NOT(ISBLANK(Jumpoverwrite1)),AND(NOT(M83),AND(M$4:M82))),($J83*$G83-LN(1+Jumpoverwrite1*O$2))/$G83,_xll.qlInterpolationInterpolate(M$3,$F83,TRUE))</f>
        <v>#NUM!</v>
      </c>
      <c r="O83" s="34" t="str">
        <f>IF(AND(NOT(M83),AND(M$4:M82)),IF(N83&gt;$J83,MAX(EXP((N83-$J83)*$G83),1),MIN(EXP((N83-$J83)*$G83),1)),"")</f>
        <v/>
      </c>
      <c r="P83" s="108"/>
      <c r="Q83" s="72" t="b">
        <f>IF(AND(NOT(M83),AND(M$4:M82)),TRUE,M83)</f>
        <v>0</v>
      </c>
      <c r="R83" s="34" t="e">
        <f>IF(AND(NOT(ISBLANK(Jumpoverwrite2)),AND(NOT(Q83),AND(Q$4:Q82))),($J83*$G83-LN(1+Jumpoverwrite2*S$2))/$G83,_xll.qlInterpolationInterpolate(Q$3,$F83,TRUE))</f>
        <v>#NUM!</v>
      </c>
      <c r="S83" s="34" t="str">
        <f>IF(AND(NOT(Q83),AND(Q$4:Q82)),IF(R83&gt;$J83,MAX(EXP((R83-$J83)*$G83),1),MIN(EXP((R83-$J83)*$G83),1)),"")</f>
        <v/>
      </c>
      <c r="T83" s="108"/>
      <c r="U83" s="72" t="b">
        <f>IF(AND(NOT(Q83),AND(Q$4:Q82)),TRUE,Q83)</f>
        <v>0</v>
      </c>
      <c r="V83" s="34" t="e">
        <f>IF(AND(NOT(ISBLANK(Jumpoverwrite3)),AND(NOT(U83),AND(U$4:U82))),($J83*$G83-LN(1+Jumpoverwrite3*W$2))/$G83,_xll.qlInterpolationInterpolate(U$3,$F83,TRUE))</f>
        <v>#NUM!</v>
      </c>
      <c r="W83" s="34" t="str">
        <f>IF(AND(NOT(U83),AND(U$4:U82)),IF(V83&gt;$J83,MAX(EXP((V83-$J83)*$G83),1),MIN(EXP((V83-$J83)*$G83),1)),"")</f>
        <v/>
      </c>
      <c r="X83" s="108"/>
      <c r="Y83" s="72" t="b">
        <f>IF(AND(NOT(U83),AND(U$4:U82)),TRUE,U83)</f>
        <v>0</v>
      </c>
      <c r="Z83" s="34" t="e">
        <f>IF(AND(NOT(ISBLANK(Jumpoverwrite4)),AND(NOT(Y83),AND(Y$4:Y82))),($J83*$G83-LN(1+Jumpoverwrite4*AA$2))/$G83,_xll.qlInterpolationInterpolate(Y$3,$F83,TRUE))</f>
        <v>#NUM!</v>
      </c>
      <c r="AA83" s="34" t="str">
        <f>IF(AND(NOT(Y83),AND(Y$4:Y82)),IF(Z83&gt;$J83,MAX(EXP((Z83-$J83)*$G83),1),MIN(EXP((Z83-$J83)*$G83),1)),"")</f>
        <v/>
      </c>
      <c r="AB83" s="108"/>
      <c r="AC83" s="72" t="b">
        <f>IF(AND(NOT(Y83),AND(Y$4:Y82)),TRUE,Y83)</f>
        <v>0</v>
      </c>
      <c r="AD83" s="34" t="e">
        <f>IF(AND(NOT(ISBLANK(Jumpoverwrite5)),AND(NOT(AC83),AND(AC$4:AC82))),($J83*$G83-LN(1+Jumpoverwrite5*AE$2))/$G83,_xll.qlInterpolationInterpolate(AC$3,$F83,TRUE))</f>
        <v>#NUM!</v>
      </c>
      <c r="AE83" s="34" t="str">
        <f>IF(AND(NOT(AC83),AND(AC$4:AC82)),IF(AD83&gt;$J83,MAX(EXP((AD83-$J83)*$G83),1),MIN(EXP((AD83-$J83)*$G83),1)),"")</f>
        <v/>
      </c>
      <c r="AF83" s="108"/>
      <c r="AG83" s="72" t="b">
        <f>IF(AND(NOT(AC83),AND(AC$4:AC82)),TRUE,AC83)</f>
        <v>0</v>
      </c>
      <c r="AH83" s="34" t="e">
        <f>IF(AND(NOT(ISBLANK(Jumpoverwrite6)),AND(NOT(AG83),AND(AG$4:AG82))),($J83*$G83-LN(1+Jumpoverwrite6*AI$2))/$G83,_xll.qlInterpolationInterpolate(AG$3,$F83,TRUE))</f>
        <v>#NUM!</v>
      </c>
      <c r="AI83" s="34" t="str">
        <f>IF(AND(NOT(AG83),AND(AG$4:AG82)),IF(AH83&gt;$J83,MAX(EXP((AH83-$J83)*$G83),1),MIN(EXP((AH83-$J83)*$G83),1)),"")</f>
        <v/>
      </c>
      <c r="AJ83" s="108"/>
      <c r="AK83" s="72" t="b">
        <f>IF(AND(NOT(AG83),AND(AG$4:AG82)),TRUE,AG83)</f>
        <v>0</v>
      </c>
      <c r="AL83" s="34" t="e">
        <f>IF(AND(NOT(ISBLANK(Jumpoverwrite7)),AND(NOT(AK83),AND(AK$4:AK82))),($J83*$G83-LN(1+Jumpoverwrite7*AM$2))/$G83,_xll.qlInterpolationInterpolate(AK$3,$F83,TRUE))</f>
        <v>#NUM!</v>
      </c>
      <c r="AM83" s="34" t="str">
        <f>IF(AND(NOT(AK83),AND(AK$4:AK82)),IF(AL83&gt;$J83,MAX(EXP((AL83-$J83)*$G83),1),MIN(EXP((AL83-$J83)*$G83),1)),"")</f>
        <v/>
      </c>
      <c r="AO83" s="72" t="b">
        <f>IF(AND(NOT(AK83),AND(AK$4:AK82)),TRUE,AK83)</f>
        <v>0</v>
      </c>
      <c r="AP83" s="34" t="e">
        <f>IF(AND(NOT(ISBLANK(Jumpoverwrite8)),AND(NOT(AO83),AND(AO$4:AO82))),($J83*$G83-LN(1+Jumpoverwrite8*AQ$2))/$G83,_xll.qlInterpolationInterpolate(AO$3,$F83,TRUE))</f>
        <v>#NUM!</v>
      </c>
      <c r="AQ83" s="34" t="str">
        <f>IF(AND(NOT(AO83),AND(AO$4:AO82)),IF(AP83&gt;$J83,MAX(EXP((AP83-$J83)*$G83),1),MIN(EXP((AP83-$J83)*$G83),1)),"")</f>
        <v/>
      </c>
      <c r="AS83" s="72" t="b">
        <f>IF(AND(NOT(AO83),AND(AO$4:AO82)),TRUE,AO83)</f>
        <v>0</v>
      </c>
      <c r="AT83" s="34" t="e">
        <f>IF(AND(NOT(ISBLANK(Jumpoverwrite9)),AND(NOT(AS83),AND(AS$4:AS82))),($J83*$G83-LN(1+Jumpoverwrite9*AU$2))/$G83,_xll.qlInterpolationInterpolate(AS$3,$F83,TRUE))</f>
        <v>#NUM!</v>
      </c>
      <c r="AU83" s="34" t="str">
        <f>IF(AND(NOT(AS83),AND(AS$4:AS82)),IF(AT83&gt;$J83,MAX(EXP((AT83-$J83)*$G83),1),MIN(EXP((AT83-$J83)*$G83),1)),"")</f>
        <v/>
      </c>
      <c r="AW83" s="72" t="b">
        <f>IF(AND(NOT(AS83),AND(AS$4:AS82)),TRUE,AS83)</f>
        <v>0</v>
      </c>
      <c r="AX83" s="34" t="e">
        <f>IF(AND(NOT(ISBLANK(Jumpoverwrite10)),AND(NOT(AW83),AND(AW$4:AW82))),($J83*$G83-LN(1+Jumpoverwrite10*AY$2))/$G83,_xll.qlInterpolationInterpolate(AW$3,$F83,TRUE))</f>
        <v>#NUM!</v>
      </c>
      <c r="AY83" s="34" t="str">
        <f>IF(AND(NOT(AW83),AND(AW$4:AW82)),IF(AX83&gt;$J83,MAX(EXP((AX83-$J83)*$G83),1),MIN(EXP((AX83-$J83)*$G83),1)),"")</f>
        <v/>
      </c>
      <c r="BA83" s="72" t="b">
        <f>IF(AND(NOT(AW83),AND(AW$4:AW82)),TRUE,AW83)</f>
        <v>0</v>
      </c>
      <c r="BB83" s="34" t="e">
        <f>IF(AND(NOT(ISBLANK(Jumpoverwrite11)),AND(NOT(BA83),AND(BA$4:BA82))),($J83*$G83-LN(1+Jumpoverwrite11*BC$2))/$G83,_xll.qlInterpolationInterpolate(BA$3,$F83,TRUE))</f>
        <v>#NUM!</v>
      </c>
      <c r="BC83" s="34" t="str">
        <f>IF(AND(NOT(BA83),AND(BA$4:BA82)),IF(BB83&gt;$J83,MAX(EXP((BB83-$J83)*$G83),1),MIN(EXP((BB83-$J83)*$G83),1)),"")</f>
        <v/>
      </c>
      <c r="BE83" s="72" t="b">
        <f>IF(AND(NOT(BA83),AND(BA$4:BA82)),TRUE,BA83)</f>
        <v>0</v>
      </c>
      <c r="BF83" s="34" t="e">
        <f>IF(AND(NOT(ISBLANK(Jumpoverwrite12)),AND(NOT(BE83),AND(BE$4:BE82))),($J83*$G83-LN(1+Jumpoverwrite12*BG$2))/$G83,_xll.qlInterpolationInterpolate(BE$3,$F83,TRUE))</f>
        <v>#NUM!</v>
      </c>
      <c r="BG83" s="34" t="str">
        <f>IF(AND(NOT(BE83),AND(BE$4:BE82)),IF(BF83&gt;$J83,MAX(EXP((BF83-$J83)*$G83),1),MIN(EXP((BF83-$J83)*$G83),1)),"")</f>
        <v/>
      </c>
      <c r="BI83" s="72" t="b">
        <f t="shared" si="6"/>
        <v>0</v>
      </c>
      <c r="BJ83" s="34" t="e">
        <f>IF(AND(NOT(ISBLANK(jumpoverwrite13)),AND(NOT(BI83),AND(BI$4:BI82))),($J83*$G83-LN(1+jumpoverwrite13*BK$2))/$G83,_xll.qlInterpolationInterpolate(BI$3,$F83,TRUE))</f>
        <v>#NUM!</v>
      </c>
      <c r="BK83" s="34" t="str">
        <f>IF(AND(NOT(BI83),AND(BI$4:BI82)),IF(BJ83&gt;$J83,MAX(EXP((BJ83-$J83)*$G83),1),MIN(EXP((BJ83-$J83)*$G83),1)),"")</f>
        <v/>
      </c>
      <c r="BM83" s="72" t="b">
        <f>IF(AND(NOT(BI83),AND(BI$4:BI82)),TRUE,BI83)</f>
        <v>0</v>
      </c>
      <c r="BN83" s="175" t="e">
        <f>IF(AND(NOT(ISBLANK(Jumpoverwrite14)),AND(NOT(BM83),AND(BM$4:BM82))),($J83*$G83-LN(1+Jumpoverwrite14*BO$2))/$G83,_xll.qlInterpolationInterpolate(BM$3,$F83,TRUE))</f>
        <v>#NUM!</v>
      </c>
      <c r="BO83" s="34" t="str">
        <f>IF(AND(NOT(BM83),AND(BM$4:BM82)),IF(BM83&gt;$J83,MAX(EXP((BM83-$J83)*$G83),1),MIN(EXP((BM83-$J83)*$G83),1)),"")</f>
        <v/>
      </c>
    </row>
    <row r="84" spans="1:67" x14ac:dyDescent="0.2">
      <c r="A84" s="33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84" t="e">
        <f t="shared" si="4"/>
        <v>#N/A</v>
      </c>
      <c r="G84" s="85" t="e">
        <f>_xll.qlDayCounterYearFraction(DayCounter,D83,D84)</f>
        <v>#NUM!</v>
      </c>
      <c r="I84" s="93" t="b">
        <f t="shared" si="7"/>
        <v>0</v>
      </c>
      <c r="J84" s="37" t="e">
        <v>#N/A</v>
      </c>
      <c r="K84" s="94" t="e">
        <f t="shared" si="8"/>
        <v>#VALUE!</v>
      </c>
      <c r="L84" s="106"/>
      <c r="M84" s="72" t="b">
        <f>IF(AND(NOT(I84),AND(I$4:I83)),TRUE,I84)</f>
        <v>0</v>
      </c>
      <c r="N84" s="34" t="e">
        <f>IF(AND(NOT(ISBLANK(Jumpoverwrite1)),AND(NOT(M84),AND(M$4:M83))),($J84*$G84-LN(1+Jumpoverwrite1*O$2))/$G84,_xll.qlInterpolationInterpolate(M$3,$F84,TRUE))</f>
        <v>#NUM!</v>
      </c>
      <c r="O84" s="34" t="str">
        <f>IF(AND(NOT(M84),AND(M$4:M83)),IF(N84&gt;$J84,MAX(EXP((N84-$J84)*$G84),1),MIN(EXP((N84-$J84)*$G84),1)),"")</f>
        <v/>
      </c>
      <c r="P84" s="108"/>
      <c r="Q84" s="72" t="b">
        <f>IF(AND(NOT(M84),AND(M$4:M83)),TRUE,M84)</f>
        <v>0</v>
      </c>
      <c r="R84" s="34" t="e">
        <f>IF(AND(NOT(ISBLANK(Jumpoverwrite2)),AND(NOT(Q84),AND(Q$4:Q83))),($J84*$G84-LN(1+Jumpoverwrite2*S$2))/$G84,_xll.qlInterpolationInterpolate(Q$3,$F84,TRUE))</f>
        <v>#NUM!</v>
      </c>
      <c r="S84" s="34" t="str">
        <f>IF(AND(NOT(Q84),AND(Q$4:Q83)),IF(R84&gt;$J84,MAX(EXP((R84-$J84)*$G84),1),MIN(EXP((R84-$J84)*$G84),1)),"")</f>
        <v/>
      </c>
      <c r="T84" s="108"/>
      <c r="U84" s="72" t="b">
        <f>IF(AND(NOT(Q84),AND(Q$4:Q83)),TRUE,Q84)</f>
        <v>0</v>
      </c>
      <c r="V84" s="34" t="e">
        <f>IF(AND(NOT(ISBLANK(Jumpoverwrite3)),AND(NOT(U84),AND(U$4:U83))),($J84*$G84-LN(1+Jumpoverwrite3*W$2))/$G84,_xll.qlInterpolationInterpolate(U$3,$F84,TRUE))</f>
        <v>#NUM!</v>
      </c>
      <c r="W84" s="34" t="str">
        <f>IF(AND(NOT(U84),AND(U$4:U83)),IF(V84&gt;$J84,MAX(EXP((V84-$J84)*$G84),1),MIN(EXP((V84-$J84)*$G84),1)),"")</f>
        <v/>
      </c>
      <c r="X84" s="108"/>
      <c r="Y84" s="72" t="b">
        <f>IF(AND(NOT(U84),AND(U$4:U83)),TRUE,U84)</f>
        <v>0</v>
      </c>
      <c r="Z84" s="34" t="e">
        <f>IF(AND(NOT(ISBLANK(Jumpoverwrite4)),AND(NOT(Y84),AND(Y$4:Y83))),($J84*$G84-LN(1+Jumpoverwrite4*AA$2))/$G84,_xll.qlInterpolationInterpolate(Y$3,$F84,TRUE))</f>
        <v>#NUM!</v>
      </c>
      <c r="AA84" s="34" t="str">
        <f>IF(AND(NOT(Y84),AND(Y$4:Y83)),IF(Z84&gt;$J84,MAX(EXP((Z84-$J84)*$G84),1),MIN(EXP((Z84-$J84)*$G84),1)),"")</f>
        <v/>
      </c>
      <c r="AB84" s="108"/>
      <c r="AC84" s="72" t="b">
        <f>IF(AND(NOT(Y84),AND(Y$4:Y83)),TRUE,Y84)</f>
        <v>0</v>
      </c>
      <c r="AD84" s="34" t="e">
        <f>IF(AND(NOT(ISBLANK(Jumpoverwrite5)),AND(NOT(AC84),AND(AC$4:AC83))),($J84*$G84-LN(1+Jumpoverwrite5*AE$2))/$G84,_xll.qlInterpolationInterpolate(AC$3,$F84,TRUE))</f>
        <v>#NUM!</v>
      </c>
      <c r="AE84" s="34" t="str">
        <f>IF(AND(NOT(AC84),AND(AC$4:AC83)),IF(AD84&gt;$J84,MAX(EXP((AD84-$J84)*$G84),1),MIN(EXP((AD84-$J84)*$G84),1)),"")</f>
        <v/>
      </c>
      <c r="AF84" s="108"/>
      <c r="AG84" s="72" t="b">
        <f>IF(AND(NOT(AC84),AND(AC$4:AC83)),TRUE,AC84)</f>
        <v>0</v>
      </c>
      <c r="AH84" s="34" t="e">
        <f>IF(AND(NOT(ISBLANK(Jumpoverwrite6)),AND(NOT(AG84),AND(AG$4:AG83))),($J84*$G84-LN(1+Jumpoverwrite6*AI$2))/$G84,_xll.qlInterpolationInterpolate(AG$3,$F84,TRUE))</f>
        <v>#NUM!</v>
      </c>
      <c r="AI84" s="34" t="str">
        <f>IF(AND(NOT(AG84),AND(AG$4:AG83)),IF(AH84&gt;$J84,MAX(EXP((AH84-$J84)*$G84),1),MIN(EXP((AH84-$J84)*$G84),1)),"")</f>
        <v/>
      </c>
      <c r="AJ84" s="108"/>
      <c r="AK84" s="72" t="b">
        <f>IF(AND(NOT(AG84),AND(AG$4:AG83)),TRUE,AG84)</f>
        <v>0</v>
      </c>
      <c r="AL84" s="34" t="e">
        <f>IF(AND(NOT(ISBLANK(Jumpoverwrite7)),AND(NOT(AK84),AND(AK$4:AK83))),($J84*$G84-LN(1+Jumpoverwrite7*AM$2))/$G84,_xll.qlInterpolationInterpolate(AK$3,$F84,TRUE))</f>
        <v>#NUM!</v>
      </c>
      <c r="AM84" s="34" t="str">
        <f>IF(AND(NOT(AK84),AND(AK$4:AK83)),IF(AL84&gt;$J84,MAX(EXP((AL84-$J84)*$G84),1),MIN(EXP((AL84-$J84)*$G84),1)),"")</f>
        <v/>
      </c>
      <c r="AO84" s="72" t="b">
        <f>IF(AND(NOT(AK84),AND(AK$4:AK83)),TRUE,AK84)</f>
        <v>0</v>
      </c>
      <c r="AP84" s="34" t="e">
        <f>IF(AND(NOT(ISBLANK(Jumpoverwrite8)),AND(NOT(AO84),AND(AO$4:AO83))),($J84*$G84-LN(1+Jumpoverwrite8*AQ$2))/$G84,_xll.qlInterpolationInterpolate(AO$3,$F84,TRUE))</f>
        <v>#NUM!</v>
      </c>
      <c r="AQ84" s="34" t="str">
        <f>IF(AND(NOT(AO84),AND(AO$4:AO83)),IF(AP84&gt;$J84,MAX(EXP((AP84-$J84)*$G84),1),MIN(EXP((AP84-$J84)*$G84),1)),"")</f>
        <v/>
      </c>
      <c r="AS84" s="72" t="b">
        <f>IF(AND(NOT(AO84),AND(AO$4:AO83)),TRUE,AO84)</f>
        <v>0</v>
      </c>
      <c r="AT84" s="34" t="e">
        <f>IF(AND(NOT(ISBLANK(Jumpoverwrite9)),AND(NOT(AS84),AND(AS$4:AS83))),($J84*$G84-LN(1+Jumpoverwrite9*AU$2))/$G84,_xll.qlInterpolationInterpolate(AS$3,$F84,TRUE))</f>
        <v>#NUM!</v>
      </c>
      <c r="AU84" s="34" t="str">
        <f>IF(AND(NOT(AS84),AND(AS$4:AS83)),IF(AT84&gt;$J84,MAX(EXP((AT84-$J84)*$G84),1),MIN(EXP((AT84-$J84)*$G84),1)),"")</f>
        <v/>
      </c>
      <c r="AW84" s="72" t="b">
        <f>IF(AND(NOT(AS84),AND(AS$4:AS83)),TRUE,AS84)</f>
        <v>0</v>
      </c>
      <c r="AX84" s="34" t="e">
        <f>IF(AND(NOT(ISBLANK(Jumpoverwrite10)),AND(NOT(AW84),AND(AW$4:AW83))),($J84*$G84-LN(1+Jumpoverwrite10*AY$2))/$G84,_xll.qlInterpolationInterpolate(AW$3,$F84,TRUE))</f>
        <v>#NUM!</v>
      </c>
      <c r="AY84" s="34" t="str">
        <f>IF(AND(NOT(AW84),AND(AW$4:AW83)),IF(AX84&gt;$J84,MAX(EXP((AX84-$J84)*$G84),1),MIN(EXP((AX84-$J84)*$G84),1)),"")</f>
        <v/>
      </c>
      <c r="BA84" s="72" t="b">
        <f>IF(AND(NOT(AW84),AND(AW$4:AW83)),TRUE,AW84)</f>
        <v>0</v>
      </c>
      <c r="BB84" s="34" t="e">
        <f>IF(AND(NOT(ISBLANK(Jumpoverwrite11)),AND(NOT(BA84),AND(BA$4:BA83))),($J84*$G84-LN(1+Jumpoverwrite11*BC$2))/$G84,_xll.qlInterpolationInterpolate(BA$3,$F84,TRUE))</f>
        <v>#NUM!</v>
      </c>
      <c r="BC84" s="34" t="str">
        <f>IF(AND(NOT(BA84),AND(BA$4:BA83)),IF(BB84&gt;$J84,MAX(EXP((BB84-$J84)*$G84),1),MIN(EXP((BB84-$J84)*$G84),1)),"")</f>
        <v/>
      </c>
      <c r="BE84" s="72" t="b">
        <f>IF(AND(NOT(BA84),AND(BA$4:BA83)),TRUE,BA84)</f>
        <v>0</v>
      </c>
      <c r="BF84" s="34" t="e">
        <f>IF(AND(NOT(ISBLANK(Jumpoverwrite12)),AND(NOT(BE84),AND(BE$4:BE83))),($J84*$G84-LN(1+Jumpoverwrite12*BG$2))/$G84,_xll.qlInterpolationInterpolate(BE$3,$F84,TRUE))</f>
        <v>#NUM!</v>
      </c>
      <c r="BG84" s="34" t="str">
        <f>IF(AND(NOT(BE84),AND(BE$4:BE83)),IF(BF84&gt;$J84,MAX(EXP((BF84-$J84)*$G84),1),MIN(EXP((BF84-$J84)*$G84),1)),"")</f>
        <v/>
      </c>
      <c r="BI84" s="72" t="b">
        <f t="shared" si="6"/>
        <v>0</v>
      </c>
      <c r="BJ84" s="34" t="e">
        <f>IF(AND(NOT(ISBLANK(jumpoverwrite13)),AND(NOT(BI84),AND(BI$4:BI83))),($J84*$G84-LN(1+jumpoverwrite13*BK$2))/$G84,_xll.qlInterpolationInterpolate(BI$3,$F84,TRUE))</f>
        <v>#NUM!</v>
      </c>
      <c r="BK84" s="34" t="str">
        <f>IF(AND(NOT(BI84),AND(BI$4:BI83)),IF(BJ84&gt;$J84,MAX(EXP((BJ84-$J84)*$G84),1),MIN(EXP((BJ84-$J84)*$G84),1)),"")</f>
        <v/>
      </c>
      <c r="BM84" s="72" t="b">
        <f>IF(AND(NOT(BI84),AND(BI$4:BI83)),TRUE,BI84)</f>
        <v>0</v>
      </c>
      <c r="BN84" s="175" t="e">
        <f>IF(AND(NOT(ISBLANK(Jumpoverwrite14)),AND(NOT(BM84),AND(BM$4:BM83))),($J84*$G84-LN(1+Jumpoverwrite14*BO$2))/$G84,_xll.qlInterpolationInterpolate(BM$3,$F84,TRUE))</f>
        <v>#NUM!</v>
      </c>
      <c r="BO84" s="34" t="str">
        <f>IF(AND(NOT(BM84),AND(BM$4:BM83)),IF(BM84&gt;$J84,MAX(EXP((BM84-$J84)*$G84),1),MIN(EXP((BM84-$J84)*$G84),1)),"")</f>
        <v/>
      </c>
    </row>
    <row r="85" spans="1:67" x14ac:dyDescent="0.2">
      <c r="A85" s="33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84" t="e">
        <f t="shared" si="4"/>
        <v>#N/A</v>
      </c>
      <c r="G85" s="85" t="e">
        <f>_xll.qlDayCounterYearFraction(DayCounter,D84,D85)</f>
        <v>#NUM!</v>
      </c>
      <c r="I85" s="93" t="b">
        <f t="shared" si="7"/>
        <v>0</v>
      </c>
      <c r="J85" s="37" t="e">
        <v>#N/A</v>
      </c>
      <c r="K85" s="94" t="e">
        <f t="shared" si="8"/>
        <v>#VALUE!</v>
      </c>
      <c r="L85" s="106"/>
      <c r="M85" s="72" t="b">
        <f>IF(AND(NOT(I85),AND(I$4:I84)),TRUE,I85)</f>
        <v>0</v>
      </c>
      <c r="N85" s="34" t="e">
        <f>IF(AND(NOT(ISBLANK(Jumpoverwrite1)),AND(NOT(M85),AND(M$4:M84))),($J85*$G85-LN(1+Jumpoverwrite1*O$2))/$G85,_xll.qlInterpolationInterpolate(M$3,$F85,TRUE))</f>
        <v>#NUM!</v>
      </c>
      <c r="O85" s="34" t="str">
        <f>IF(AND(NOT(M85),AND(M$4:M84)),IF(N85&gt;$J85,MAX(EXP((N85-$J85)*$G85),1),MIN(EXP((N85-$J85)*$G85),1)),"")</f>
        <v/>
      </c>
      <c r="P85" s="108"/>
      <c r="Q85" s="72" t="b">
        <f>IF(AND(NOT(M85),AND(M$4:M84)),TRUE,M85)</f>
        <v>0</v>
      </c>
      <c r="R85" s="34" t="e">
        <f>IF(AND(NOT(ISBLANK(Jumpoverwrite2)),AND(NOT(Q85),AND(Q$4:Q84))),($J85*$G85-LN(1+Jumpoverwrite2*S$2))/$G85,_xll.qlInterpolationInterpolate(Q$3,$F85,TRUE))</f>
        <v>#NUM!</v>
      </c>
      <c r="S85" s="34" t="str">
        <f>IF(AND(NOT(Q85),AND(Q$4:Q84)),IF(R85&gt;$J85,MAX(EXP((R85-$J85)*$G85),1),MIN(EXP((R85-$J85)*$G85),1)),"")</f>
        <v/>
      </c>
      <c r="T85" s="108"/>
      <c r="U85" s="72" t="b">
        <f>IF(AND(NOT(Q85),AND(Q$4:Q84)),TRUE,Q85)</f>
        <v>0</v>
      </c>
      <c r="V85" s="34" t="e">
        <f>IF(AND(NOT(ISBLANK(Jumpoverwrite3)),AND(NOT(U85),AND(U$4:U84))),($J85*$G85-LN(1+Jumpoverwrite3*W$2))/$G85,_xll.qlInterpolationInterpolate(U$3,$F85,TRUE))</f>
        <v>#NUM!</v>
      </c>
      <c r="W85" s="34" t="str">
        <f>IF(AND(NOT(U85),AND(U$4:U84)),IF(V85&gt;$J85,MAX(EXP((V85-$J85)*$G85),1),MIN(EXP((V85-$J85)*$G85),1)),"")</f>
        <v/>
      </c>
      <c r="X85" s="108"/>
      <c r="Y85" s="72" t="b">
        <f>IF(AND(NOT(U85),AND(U$4:U84)),TRUE,U85)</f>
        <v>0</v>
      </c>
      <c r="Z85" s="34" t="e">
        <f>IF(AND(NOT(ISBLANK(Jumpoverwrite4)),AND(NOT(Y85),AND(Y$4:Y84))),($J85*$G85-LN(1+Jumpoverwrite4*AA$2))/$G85,_xll.qlInterpolationInterpolate(Y$3,$F85,TRUE))</f>
        <v>#NUM!</v>
      </c>
      <c r="AA85" s="34" t="str">
        <f>IF(AND(NOT(Y85),AND(Y$4:Y84)),IF(Z85&gt;$J85,MAX(EXP((Z85-$J85)*$G85),1),MIN(EXP((Z85-$J85)*$G85),1)),"")</f>
        <v/>
      </c>
      <c r="AB85" s="108"/>
      <c r="AC85" s="72" t="b">
        <f>IF(AND(NOT(Y85),AND(Y$4:Y84)),TRUE,Y85)</f>
        <v>0</v>
      </c>
      <c r="AD85" s="34" t="e">
        <f>IF(AND(NOT(ISBLANK(Jumpoverwrite5)),AND(NOT(AC85),AND(AC$4:AC84))),($J85*$G85-LN(1+Jumpoverwrite5*AE$2))/$G85,_xll.qlInterpolationInterpolate(AC$3,$F85,TRUE))</f>
        <v>#NUM!</v>
      </c>
      <c r="AE85" s="34" t="str">
        <f>IF(AND(NOT(AC85),AND(AC$4:AC84)),IF(AD85&gt;$J85,MAX(EXP((AD85-$J85)*$G85),1),MIN(EXP((AD85-$J85)*$G85),1)),"")</f>
        <v/>
      </c>
      <c r="AF85" s="108"/>
      <c r="AG85" s="72" t="b">
        <f>IF(AND(NOT(AC85),AND(AC$4:AC84)),TRUE,AC85)</f>
        <v>0</v>
      </c>
      <c r="AH85" s="34" t="e">
        <f>IF(AND(NOT(ISBLANK(Jumpoverwrite6)),AND(NOT(AG85),AND(AG$4:AG84))),($J85*$G85-LN(1+Jumpoverwrite6*AI$2))/$G85,_xll.qlInterpolationInterpolate(AG$3,$F85,TRUE))</f>
        <v>#NUM!</v>
      </c>
      <c r="AI85" s="34" t="str">
        <f>IF(AND(NOT(AG85),AND(AG$4:AG84)),IF(AH85&gt;$J85,MAX(EXP((AH85-$J85)*$G85),1),MIN(EXP((AH85-$J85)*$G85),1)),"")</f>
        <v/>
      </c>
      <c r="AJ85" s="108"/>
      <c r="AK85" s="72" t="b">
        <f>IF(AND(NOT(AG85),AND(AG$4:AG84)),TRUE,AG85)</f>
        <v>0</v>
      </c>
      <c r="AL85" s="34" t="e">
        <f>IF(AND(NOT(ISBLANK(Jumpoverwrite7)),AND(NOT(AK85),AND(AK$4:AK84))),($J85*$G85-LN(1+Jumpoverwrite7*AM$2))/$G85,_xll.qlInterpolationInterpolate(AK$3,$F85,TRUE))</f>
        <v>#NUM!</v>
      </c>
      <c r="AM85" s="34" t="str">
        <f>IF(AND(NOT(AK85),AND(AK$4:AK84)),IF(AL85&gt;$J85,MAX(EXP((AL85-$J85)*$G85),1),MIN(EXP((AL85-$J85)*$G85),1)),"")</f>
        <v/>
      </c>
      <c r="AO85" s="72" t="b">
        <f>IF(AND(NOT(AK85),AND(AK$4:AK84)),TRUE,AK85)</f>
        <v>0</v>
      </c>
      <c r="AP85" s="34" t="e">
        <f>IF(AND(NOT(ISBLANK(Jumpoverwrite8)),AND(NOT(AO85),AND(AO$4:AO84))),($J85*$G85-LN(1+Jumpoverwrite8*AQ$2))/$G85,_xll.qlInterpolationInterpolate(AO$3,$F85,TRUE))</f>
        <v>#NUM!</v>
      </c>
      <c r="AQ85" s="34" t="str">
        <f>IF(AND(NOT(AO85),AND(AO$4:AO84)),IF(AP85&gt;$J85,MAX(EXP((AP85-$J85)*$G85),1),MIN(EXP((AP85-$J85)*$G85),1)),"")</f>
        <v/>
      </c>
      <c r="AS85" s="72" t="b">
        <f>IF(AND(NOT(AO85),AND(AO$4:AO84)),TRUE,AO85)</f>
        <v>0</v>
      </c>
      <c r="AT85" s="34" t="e">
        <f>IF(AND(NOT(ISBLANK(Jumpoverwrite9)),AND(NOT(AS85),AND(AS$4:AS84))),($J85*$G85-LN(1+Jumpoverwrite9*AU$2))/$G85,_xll.qlInterpolationInterpolate(AS$3,$F85,TRUE))</f>
        <v>#NUM!</v>
      </c>
      <c r="AU85" s="34" t="str">
        <f>IF(AND(NOT(AS85),AND(AS$4:AS84)),IF(AT85&gt;$J85,MAX(EXP((AT85-$J85)*$G85),1),MIN(EXP((AT85-$J85)*$G85),1)),"")</f>
        <v/>
      </c>
      <c r="AW85" s="72" t="b">
        <f>IF(AND(NOT(AS85),AND(AS$4:AS84)),TRUE,AS85)</f>
        <v>0</v>
      </c>
      <c r="AX85" s="34" t="e">
        <f>IF(AND(NOT(ISBLANK(Jumpoverwrite10)),AND(NOT(AW85),AND(AW$4:AW84))),($J85*$G85-LN(1+Jumpoverwrite10*AY$2))/$G85,_xll.qlInterpolationInterpolate(AW$3,$F85,TRUE))</f>
        <v>#NUM!</v>
      </c>
      <c r="AY85" s="34" t="str">
        <f>IF(AND(NOT(AW85),AND(AW$4:AW84)),IF(AX85&gt;$J85,MAX(EXP((AX85-$J85)*$G85),1),MIN(EXP((AX85-$J85)*$G85),1)),"")</f>
        <v/>
      </c>
      <c r="BA85" s="72" t="b">
        <f>IF(AND(NOT(AW85),AND(AW$4:AW84)),TRUE,AW85)</f>
        <v>0</v>
      </c>
      <c r="BB85" s="34" t="e">
        <f>IF(AND(NOT(ISBLANK(Jumpoverwrite11)),AND(NOT(BA85),AND(BA$4:BA84))),($J85*$G85-LN(1+Jumpoverwrite11*BC$2))/$G85,_xll.qlInterpolationInterpolate(BA$3,$F85,TRUE))</f>
        <v>#NUM!</v>
      </c>
      <c r="BC85" s="34" t="str">
        <f>IF(AND(NOT(BA85),AND(BA$4:BA84)),IF(BB85&gt;$J85,MAX(EXP((BB85-$J85)*$G85),1),MIN(EXP((BB85-$J85)*$G85),1)),"")</f>
        <v/>
      </c>
      <c r="BE85" s="72" t="b">
        <f>IF(AND(NOT(BA85),AND(BA$4:BA84)),TRUE,BA85)</f>
        <v>0</v>
      </c>
      <c r="BF85" s="34" t="e">
        <f>IF(AND(NOT(ISBLANK(Jumpoverwrite12)),AND(NOT(BE85),AND(BE$4:BE84))),($J85*$G85-LN(1+Jumpoverwrite12*BG$2))/$G85,_xll.qlInterpolationInterpolate(BE$3,$F85,TRUE))</f>
        <v>#NUM!</v>
      </c>
      <c r="BG85" s="34" t="str">
        <f>IF(AND(NOT(BE85),AND(BE$4:BE84)),IF(BF85&gt;$J85,MAX(EXP((BF85-$J85)*$G85),1),MIN(EXP((BF85-$J85)*$G85),1)),"")</f>
        <v/>
      </c>
      <c r="BI85" s="72" t="b">
        <f t="shared" si="6"/>
        <v>0</v>
      </c>
      <c r="BJ85" s="34" t="e">
        <f>IF(AND(NOT(ISBLANK(jumpoverwrite13)),AND(NOT(BI85),AND(BI$4:BI84))),($J85*$G85-LN(1+jumpoverwrite13*BK$2))/$G85,_xll.qlInterpolationInterpolate(BI$3,$F85,TRUE))</f>
        <v>#NUM!</v>
      </c>
      <c r="BK85" s="34" t="str">
        <f>IF(AND(NOT(BI85),AND(BI$4:BI84)),IF(BJ85&gt;$J85,MAX(EXP((BJ85-$J85)*$G85),1),MIN(EXP((BJ85-$J85)*$G85),1)),"")</f>
        <v/>
      </c>
      <c r="BM85" s="72" t="b">
        <f>IF(AND(NOT(BI85),AND(BI$4:BI84)),TRUE,BI85)</f>
        <v>0</v>
      </c>
      <c r="BN85" s="175" t="e">
        <f>IF(AND(NOT(ISBLANK(Jumpoverwrite14)),AND(NOT(BM85),AND(BM$4:BM84))),($J85*$G85-LN(1+Jumpoverwrite14*BO$2))/$G85,_xll.qlInterpolationInterpolate(BM$3,$F85,TRUE))</f>
        <v>#NUM!</v>
      </c>
      <c r="BO85" s="34" t="str">
        <f>IF(AND(NOT(BM85),AND(BM$4:BM84)),IF(BM85&gt;$J85,MAX(EXP((BM85-$J85)*$G85),1),MIN(EXP((BM85-$J85)*$G85),1)),"")</f>
        <v/>
      </c>
    </row>
    <row r="86" spans="1:67" x14ac:dyDescent="0.2">
      <c r="A86" s="33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84" t="e">
        <f t="shared" si="4"/>
        <v>#N/A</v>
      </c>
      <c r="G86" s="85" t="e">
        <f>_xll.qlDayCounterYearFraction(DayCounter,D85,D86)</f>
        <v>#NUM!</v>
      </c>
      <c r="I86" s="93" t="b">
        <f t="shared" si="7"/>
        <v>0</v>
      </c>
      <c r="J86" s="37" t="e">
        <v>#N/A</v>
      </c>
      <c r="K86" s="94" t="e">
        <f t="shared" si="8"/>
        <v>#VALUE!</v>
      </c>
      <c r="L86" s="106"/>
      <c r="M86" s="72" t="b">
        <f>IF(AND(NOT(I86),AND(I$4:I85)),TRUE,I86)</f>
        <v>0</v>
      </c>
      <c r="N86" s="34" t="e">
        <f>IF(AND(NOT(ISBLANK(Jumpoverwrite1)),AND(NOT(M86),AND(M$4:M85))),($J86*$G86-LN(1+Jumpoverwrite1*O$2))/$G86,_xll.qlInterpolationInterpolate(M$3,$F86,TRUE))</f>
        <v>#NUM!</v>
      </c>
      <c r="O86" s="34" t="str">
        <f>IF(AND(NOT(M86),AND(M$4:M85)),IF(N86&gt;$J86,MAX(EXP((N86-$J86)*$G86),1),MIN(EXP((N86-$J86)*$G86),1)),"")</f>
        <v/>
      </c>
      <c r="P86" s="108"/>
      <c r="Q86" s="72" t="b">
        <f>IF(AND(NOT(M86),AND(M$4:M85)),TRUE,M86)</f>
        <v>0</v>
      </c>
      <c r="R86" s="34" t="e">
        <f>IF(AND(NOT(ISBLANK(Jumpoverwrite2)),AND(NOT(Q86),AND(Q$4:Q85))),($J86*$G86-LN(1+Jumpoverwrite2*S$2))/$G86,_xll.qlInterpolationInterpolate(Q$3,$F86,TRUE))</f>
        <v>#NUM!</v>
      </c>
      <c r="S86" s="34" t="str">
        <f>IF(AND(NOT(Q86),AND(Q$4:Q85)),IF(R86&gt;$J86,MAX(EXP((R86-$J86)*$G86),1),MIN(EXP((R86-$J86)*$G86),1)),"")</f>
        <v/>
      </c>
      <c r="T86" s="108"/>
      <c r="U86" s="72" t="b">
        <f>IF(AND(NOT(Q86),AND(Q$4:Q85)),TRUE,Q86)</f>
        <v>0</v>
      </c>
      <c r="V86" s="34" t="e">
        <f>IF(AND(NOT(ISBLANK(Jumpoverwrite3)),AND(NOT(U86),AND(U$4:U85))),($J86*$G86-LN(1+Jumpoverwrite3*W$2))/$G86,_xll.qlInterpolationInterpolate(U$3,$F86,TRUE))</f>
        <v>#NUM!</v>
      </c>
      <c r="W86" s="34" t="str">
        <f>IF(AND(NOT(U86),AND(U$4:U85)),IF(V86&gt;$J86,MAX(EXP((V86-$J86)*$G86),1),MIN(EXP((V86-$J86)*$G86),1)),"")</f>
        <v/>
      </c>
      <c r="X86" s="108"/>
      <c r="Y86" s="72" t="b">
        <f>IF(AND(NOT(U86),AND(U$4:U85)),TRUE,U86)</f>
        <v>0</v>
      </c>
      <c r="Z86" s="34" t="e">
        <f>IF(AND(NOT(ISBLANK(Jumpoverwrite4)),AND(NOT(Y86),AND(Y$4:Y85))),($J86*$G86-LN(1+Jumpoverwrite4*AA$2))/$G86,_xll.qlInterpolationInterpolate(Y$3,$F86,TRUE))</f>
        <v>#NUM!</v>
      </c>
      <c r="AA86" s="34" t="str">
        <f>IF(AND(NOT(Y86),AND(Y$4:Y85)),IF(Z86&gt;$J86,MAX(EXP((Z86-$J86)*$G86),1),MIN(EXP((Z86-$J86)*$G86),1)),"")</f>
        <v/>
      </c>
      <c r="AB86" s="108"/>
      <c r="AC86" s="72" t="b">
        <f>IF(AND(NOT(Y86),AND(Y$4:Y85)),TRUE,Y86)</f>
        <v>0</v>
      </c>
      <c r="AD86" s="34" t="e">
        <f>IF(AND(NOT(ISBLANK(Jumpoverwrite5)),AND(NOT(AC86),AND(AC$4:AC85))),($J86*$G86-LN(1+Jumpoverwrite5*AE$2))/$G86,_xll.qlInterpolationInterpolate(AC$3,$F86,TRUE))</f>
        <v>#NUM!</v>
      </c>
      <c r="AE86" s="34" t="str">
        <f>IF(AND(NOT(AC86),AND(AC$4:AC85)),IF(AD86&gt;$J86,MAX(EXP((AD86-$J86)*$G86),1),MIN(EXP((AD86-$J86)*$G86),1)),"")</f>
        <v/>
      </c>
      <c r="AF86" s="108"/>
      <c r="AG86" s="72" t="b">
        <f>IF(AND(NOT(AC86),AND(AC$4:AC85)),TRUE,AC86)</f>
        <v>0</v>
      </c>
      <c r="AH86" s="34" t="e">
        <f>IF(AND(NOT(ISBLANK(Jumpoverwrite6)),AND(NOT(AG86),AND(AG$4:AG85))),($J86*$G86-LN(1+Jumpoverwrite6*AI$2))/$G86,_xll.qlInterpolationInterpolate(AG$3,$F86,TRUE))</f>
        <v>#NUM!</v>
      </c>
      <c r="AI86" s="34" t="str">
        <f>IF(AND(NOT(AG86),AND(AG$4:AG85)),IF(AH86&gt;$J86,MAX(EXP((AH86-$J86)*$G86),1),MIN(EXP((AH86-$J86)*$G86),1)),"")</f>
        <v/>
      </c>
      <c r="AJ86" s="108"/>
      <c r="AK86" s="72" t="b">
        <f>IF(AND(NOT(AG86),AND(AG$4:AG85)),TRUE,AG86)</f>
        <v>0</v>
      </c>
      <c r="AL86" s="34" t="e">
        <f>IF(AND(NOT(ISBLANK(Jumpoverwrite7)),AND(NOT(AK86),AND(AK$4:AK85))),($J86*$G86-LN(1+Jumpoverwrite7*AM$2))/$G86,_xll.qlInterpolationInterpolate(AK$3,$F86,TRUE))</f>
        <v>#NUM!</v>
      </c>
      <c r="AM86" s="34" t="str">
        <f>IF(AND(NOT(AK86),AND(AK$4:AK85)),IF(AL86&gt;$J86,MAX(EXP((AL86-$J86)*$G86),1),MIN(EXP((AL86-$J86)*$G86),1)),"")</f>
        <v/>
      </c>
      <c r="AO86" s="72" t="b">
        <f>IF(AND(NOT(AK86),AND(AK$4:AK85)),TRUE,AK86)</f>
        <v>0</v>
      </c>
      <c r="AP86" s="34" t="e">
        <f>IF(AND(NOT(ISBLANK(Jumpoverwrite8)),AND(NOT(AO86),AND(AO$4:AO85))),($J86*$G86-LN(1+Jumpoverwrite8*AQ$2))/$G86,_xll.qlInterpolationInterpolate(AO$3,$F86,TRUE))</f>
        <v>#NUM!</v>
      </c>
      <c r="AQ86" s="34" t="str">
        <f>IF(AND(NOT(AO86),AND(AO$4:AO85)),IF(AP86&gt;$J86,MAX(EXP((AP86-$J86)*$G86),1),MIN(EXP((AP86-$J86)*$G86),1)),"")</f>
        <v/>
      </c>
      <c r="AS86" s="72" t="b">
        <f>IF(AND(NOT(AO86),AND(AO$4:AO85)),TRUE,AO86)</f>
        <v>0</v>
      </c>
      <c r="AT86" s="34" t="e">
        <f>IF(AND(NOT(ISBLANK(Jumpoverwrite9)),AND(NOT(AS86),AND(AS$4:AS85))),($J86*$G86-LN(1+Jumpoverwrite9*AU$2))/$G86,_xll.qlInterpolationInterpolate(AS$3,$F86,TRUE))</f>
        <v>#NUM!</v>
      </c>
      <c r="AU86" s="34" t="str">
        <f>IF(AND(NOT(AS86),AND(AS$4:AS85)),IF(AT86&gt;$J86,MAX(EXP((AT86-$J86)*$G86),1),MIN(EXP((AT86-$J86)*$G86),1)),"")</f>
        <v/>
      </c>
      <c r="AW86" s="72" t="b">
        <f>IF(AND(NOT(AS86),AND(AS$4:AS85)),TRUE,AS86)</f>
        <v>0</v>
      </c>
      <c r="AX86" s="34" t="e">
        <f>IF(AND(NOT(ISBLANK(Jumpoverwrite10)),AND(NOT(AW86),AND(AW$4:AW85))),($J86*$G86-LN(1+Jumpoverwrite10*AY$2))/$G86,_xll.qlInterpolationInterpolate(AW$3,$F86,TRUE))</f>
        <v>#NUM!</v>
      </c>
      <c r="AY86" s="34" t="str">
        <f>IF(AND(NOT(AW86),AND(AW$4:AW85)),IF(AX86&gt;$J86,MAX(EXP((AX86-$J86)*$G86),1),MIN(EXP((AX86-$J86)*$G86),1)),"")</f>
        <v/>
      </c>
      <c r="BA86" s="72" t="b">
        <f>IF(AND(NOT(AW86),AND(AW$4:AW85)),TRUE,AW86)</f>
        <v>0</v>
      </c>
      <c r="BB86" s="34" t="e">
        <f>IF(AND(NOT(ISBLANK(Jumpoverwrite11)),AND(NOT(BA86),AND(BA$4:BA85))),($J86*$G86-LN(1+Jumpoverwrite11*BC$2))/$G86,_xll.qlInterpolationInterpolate(BA$3,$F86,TRUE))</f>
        <v>#NUM!</v>
      </c>
      <c r="BC86" s="34" t="str">
        <f>IF(AND(NOT(BA86),AND(BA$4:BA85)),IF(BB86&gt;$J86,MAX(EXP((BB86-$J86)*$G86),1),MIN(EXP((BB86-$J86)*$G86),1)),"")</f>
        <v/>
      </c>
      <c r="BE86" s="72" t="b">
        <f>IF(AND(NOT(BA86),AND(BA$4:BA85)),TRUE,BA86)</f>
        <v>0</v>
      </c>
      <c r="BF86" s="34" t="e">
        <f>IF(AND(NOT(ISBLANK(Jumpoverwrite12)),AND(NOT(BE86),AND(BE$4:BE85))),($J86*$G86-LN(1+Jumpoverwrite12*BG$2))/$G86,_xll.qlInterpolationInterpolate(BE$3,$F86,TRUE))</f>
        <v>#NUM!</v>
      </c>
      <c r="BG86" s="34" t="str">
        <f>IF(AND(NOT(BE86),AND(BE$4:BE85)),IF(BF86&gt;$J86,MAX(EXP((BF86-$J86)*$G86),1),MIN(EXP((BF86-$J86)*$G86),1)),"")</f>
        <v/>
      </c>
      <c r="BI86" s="72" t="b">
        <f t="shared" si="6"/>
        <v>0</v>
      </c>
      <c r="BJ86" s="34" t="e">
        <f>IF(AND(NOT(ISBLANK(jumpoverwrite13)),AND(NOT(BI86),AND(BI$4:BI85))),($J86*$G86-LN(1+jumpoverwrite13*BK$2))/$G86,_xll.qlInterpolationInterpolate(BI$3,$F86,TRUE))</f>
        <v>#NUM!</v>
      </c>
      <c r="BK86" s="34" t="str">
        <f>IF(AND(NOT(BI86),AND(BI$4:BI85)),IF(BJ86&gt;$J86,MAX(EXP((BJ86-$J86)*$G86),1),MIN(EXP((BJ86-$J86)*$G86),1)),"")</f>
        <v/>
      </c>
      <c r="BM86" s="72" t="b">
        <f>IF(AND(NOT(BI86),AND(BI$4:BI85)),TRUE,BI86)</f>
        <v>0</v>
      </c>
      <c r="BN86" s="175" t="e">
        <f>IF(AND(NOT(ISBLANK(Jumpoverwrite14)),AND(NOT(BM86),AND(BM$4:BM85))),($J86*$G86-LN(1+Jumpoverwrite14*BO$2))/$G86,_xll.qlInterpolationInterpolate(BM$3,$F86,TRUE))</f>
        <v>#NUM!</v>
      </c>
      <c r="BO86" s="34" t="str">
        <f>IF(AND(NOT(BM86),AND(BM$4:BM85)),IF(BM86&gt;$J86,MAX(EXP((BM86-$J86)*$G86),1),MIN(EXP((BM86-$J86)*$G86),1)),"")</f>
        <v/>
      </c>
    </row>
    <row r="87" spans="1:67" x14ac:dyDescent="0.2">
      <c r="A87" s="33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84" t="e">
        <f t="shared" si="4"/>
        <v>#N/A</v>
      </c>
      <c r="G87" s="85" t="e">
        <f>_xll.qlDayCounterYearFraction(DayCounter,D86,D87)</f>
        <v>#NUM!</v>
      </c>
      <c r="I87" s="93" t="b">
        <f t="shared" si="7"/>
        <v>0</v>
      </c>
      <c r="J87" s="37" t="e">
        <v>#N/A</v>
      </c>
      <c r="K87" s="94" t="e">
        <f t="shared" si="8"/>
        <v>#VALUE!</v>
      </c>
      <c r="L87" s="106"/>
      <c r="M87" s="72" t="b">
        <f>IF(AND(NOT(I87),AND(I$4:I86)),TRUE,I87)</f>
        <v>0</v>
      </c>
      <c r="N87" s="34" t="e">
        <f>IF(AND(NOT(ISBLANK(Jumpoverwrite1)),AND(NOT(M87),AND(M$4:M86))),($J87*$G87-LN(1+Jumpoverwrite1*O$2))/$G87,_xll.qlInterpolationInterpolate(M$3,$F87,TRUE))</f>
        <v>#NUM!</v>
      </c>
      <c r="O87" s="34" t="str">
        <f>IF(AND(NOT(M87),AND(M$4:M86)),IF(N87&gt;$J87,MAX(EXP((N87-$J87)*$G87),1),MIN(EXP((N87-$J87)*$G87),1)),"")</f>
        <v/>
      </c>
      <c r="P87" s="108"/>
      <c r="Q87" s="72" t="b">
        <f>IF(AND(NOT(M87),AND(M$4:M86)),TRUE,M87)</f>
        <v>0</v>
      </c>
      <c r="R87" s="34" t="e">
        <f>IF(AND(NOT(ISBLANK(Jumpoverwrite2)),AND(NOT(Q87),AND(Q$4:Q86))),($J87*$G87-LN(1+Jumpoverwrite2*S$2))/$G87,_xll.qlInterpolationInterpolate(Q$3,$F87,TRUE))</f>
        <v>#NUM!</v>
      </c>
      <c r="S87" s="34" t="str">
        <f>IF(AND(NOT(Q87),AND(Q$4:Q86)),IF(R87&gt;$J87,MAX(EXP((R87-$J87)*$G87),1),MIN(EXP((R87-$J87)*$G87),1)),"")</f>
        <v/>
      </c>
      <c r="T87" s="108"/>
      <c r="U87" s="72" t="b">
        <f>IF(AND(NOT(Q87),AND(Q$4:Q86)),TRUE,Q87)</f>
        <v>0</v>
      </c>
      <c r="V87" s="34" t="e">
        <f>IF(AND(NOT(ISBLANK(Jumpoverwrite3)),AND(NOT(U87),AND(U$4:U86))),($J87*$G87-LN(1+Jumpoverwrite3*W$2))/$G87,_xll.qlInterpolationInterpolate(U$3,$F87,TRUE))</f>
        <v>#NUM!</v>
      </c>
      <c r="W87" s="34" t="str">
        <f>IF(AND(NOT(U87),AND(U$4:U86)),IF(V87&gt;$J87,MAX(EXP((V87-$J87)*$G87),1),MIN(EXP((V87-$J87)*$G87),1)),"")</f>
        <v/>
      </c>
      <c r="X87" s="108"/>
      <c r="Y87" s="72" t="b">
        <f>IF(AND(NOT(U87),AND(U$4:U86)),TRUE,U87)</f>
        <v>0</v>
      </c>
      <c r="Z87" s="34" t="e">
        <f>IF(AND(NOT(ISBLANK(Jumpoverwrite4)),AND(NOT(Y87),AND(Y$4:Y86))),($J87*$G87-LN(1+Jumpoverwrite4*AA$2))/$G87,_xll.qlInterpolationInterpolate(Y$3,$F87,TRUE))</f>
        <v>#NUM!</v>
      </c>
      <c r="AA87" s="34" t="str">
        <f>IF(AND(NOT(Y87),AND(Y$4:Y86)),IF(Z87&gt;$J87,MAX(EXP((Z87-$J87)*$G87),1),MIN(EXP((Z87-$J87)*$G87),1)),"")</f>
        <v/>
      </c>
      <c r="AB87" s="108"/>
      <c r="AC87" s="72" t="b">
        <f>IF(AND(NOT(Y87),AND(Y$4:Y86)),TRUE,Y87)</f>
        <v>0</v>
      </c>
      <c r="AD87" s="34" t="e">
        <f>IF(AND(NOT(ISBLANK(Jumpoverwrite5)),AND(NOT(AC87),AND(AC$4:AC86))),($J87*$G87-LN(1+Jumpoverwrite5*AE$2))/$G87,_xll.qlInterpolationInterpolate(AC$3,$F87,TRUE))</f>
        <v>#NUM!</v>
      </c>
      <c r="AE87" s="34" t="str">
        <f>IF(AND(NOT(AC87),AND(AC$4:AC86)),IF(AD87&gt;$J87,MAX(EXP((AD87-$J87)*$G87),1),MIN(EXP((AD87-$J87)*$G87),1)),"")</f>
        <v/>
      </c>
      <c r="AF87" s="108"/>
      <c r="AG87" s="72" t="b">
        <f>IF(AND(NOT(AC87),AND(AC$4:AC86)),TRUE,AC87)</f>
        <v>0</v>
      </c>
      <c r="AH87" s="34" t="e">
        <f>IF(AND(NOT(ISBLANK(Jumpoverwrite6)),AND(NOT(AG87),AND(AG$4:AG86))),($J87*$G87-LN(1+Jumpoverwrite6*AI$2))/$G87,_xll.qlInterpolationInterpolate(AG$3,$F87,TRUE))</f>
        <v>#NUM!</v>
      </c>
      <c r="AI87" s="34" t="str">
        <f>IF(AND(NOT(AG87),AND(AG$4:AG86)),IF(AH87&gt;$J87,MAX(EXP((AH87-$J87)*$G87),1),MIN(EXP((AH87-$J87)*$G87),1)),"")</f>
        <v/>
      </c>
      <c r="AJ87" s="108"/>
      <c r="AK87" s="72" t="b">
        <f>IF(AND(NOT(AG87),AND(AG$4:AG86)),TRUE,AG87)</f>
        <v>0</v>
      </c>
      <c r="AL87" s="34" t="e">
        <f>IF(AND(NOT(ISBLANK(Jumpoverwrite7)),AND(NOT(AK87),AND(AK$4:AK86))),($J87*$G87-LN(1+Jumpoverwrite7*AM$2))/$G87,_xll.qlInterpolationInterpolate(AK$3,$F87,TRUE))</f>
        <v>#NUM!</v>
      </c>
      <c r="AM87" s="34" t="str">
        <f>IF(AND(NOT(AK87),AND(AK$4:AK86)),IF(AL87&gt;$J87,MAX(EXP((AL87-$J87)*$G87),1),MIN(EXP((AL87-$J87)*$G87),1)),"")</f>
        <v/>
      </c>
      <c r="AO87" s="72" t="b">
        <f>IF(AND(NOT(AK87),AND(AK$4:AK86)),TRUE,AK87)</f>
        <v>0</v>
      </c>
      <c r="AP87" s="34" t="e">
        <f>IF(AND(NOT(ISBLANK(Jumpoverwrite8)),AND(NOT(AO87),AND(AO$4:AO86))),($J87*$G87-LN(1+Jumpoverwrite8*AQ$2))/$G87,_xll.qlInterpolationInterpolate(AO$3,$F87,TRUE))</f>
        <v>#NUM!</v>
      </c>
      <c r="AQ87" s="34" t="str">
        <f>IF(AND(NOT(AO87),AND(AO$4:AO86)),IF(AP87&gt;$J87,MAX(EXP((AP87-$J87)*$G87),1),MIN(EXP((AP87-$J87)*$G87),1)),"")</f>
        <v/>
      </c>
      <c r="AS87" s="72" t="b">
        <f>IF(AND(NOT(AO87),AND(AO$4:AO86)),TRUE,AO87)</f>
        <v>0</v>
      </c>
      <c r="AT87" s="34" t="e">
        <f>IF(AND(NOT(ISBLANK(Jumpoverwrite9)),AND(NOT(AS87),AND(AS$4:AS86))),($J87*$G87-LN(1+Jumpoverwrite9*AU$2))/$G87,_xll.qlInterpolationInterpolate(AS$3,$F87,TRUE))</f>
        <v>#NUM!</v>
      </c>
      <c r="AU87" s="34" t="str">
        <f>IF(AND(NOT(AS87),AND(AS$4:AS86)),IF(AT87&gt;$J87,MAX(EXP((AT87-$J87)*$G87),1),MIN(EXP((AT87-$J87)*$G87),1)),"")</f>
        <v/>
      </c>
      <c r="AW87" s="72" t="b">
        <f>IF(AND(NOT(AS87),AND(AS$4:AS86)),TRUE,AS87)</f>
        <v>0</v>
      </c>
      <c r="AX87" s="34" t="e">
        <f>IF(AND(NOT(ISBLANK(Jumpoverwrite10)),AND(NOT(AW87),AND(AW$4:AW86))),($J87*$G87-LN(1+Jumpoverwrite10*AY$2))/$G87,_xll.qlInterpolationInterpolate(AW$3,$F87,TRUE))</f>
        <v>#NUM!</v>
      </c>
      <c r="AY87" s="34" t="str">
        <f>IF(AND(NOT(AW87),AND(AW$4:AW86)),IF(AX87&gt;$J87,MAX(EXP((AX87-$J87)*$G87),1),MIN(EXP((AX87-$J87)*$G87),1)),"")</f>
        <v/>
      </c>
      <c r="BA87" s="72" t="b">
        <f>IF(AND(NOT(AW87),AND(AW$4:AW86)),TRUE,AW87)</f>
        <v>0</v>
      </c>
      <c r="BB87" s="34" t="e">
        <f>IF(AND(NOT(ISBLANK(Jumpoverwrite11)),AND(NOT(BA87),AND(BA$4:BA86))),($J87*$G87-LN(1+Jumpoverwrite11*BC$2))/$G87,_xll.qlInterpolationInterpolate(BA$3,$F87,TRUE))</f>
        <v>#NUM!</v>
      </c>
      <c r="BC87" s="34" t="str">
        <f>IF(AND(NOT(BA87),AND(BA$4:BA86)),IF(BB87&gt;$J87,MAX(EXP((BB87-$J87)*$G87),1),MIN(EXP((BB87-$J87)*$G87),1)),"")</f>
        <v/>
      </c>
      <c r="BE87" s="72" t="b">
        <f>IF(AND(NOT(BA87),AND(BA$4:BA86)),TRUE,BA87)</f>
        <v>0</v>
      </c>
      <c r="BF87" s="34" t="e">
        <f>IF(AND(NOT(ISBLANK(Jumpoverwrite12)),AND(NOT(BE87),AND(BE$4:BE86))),($J87*$G87-LN(1+Jumpoverwrite12*BG$2))/$G87,_xll.qlInterpolationInterpolate(BE$3,$F87,TRUE))</f>
        <v>#NUM!</v>
      </c>
      <c r="BG87" s="34" t="str">
        <f>IF(AND(NOT(BE87),AND(BE$4:BE86)),IF(BF87&gt;$J87,MAX(EXP((BF87-$J87)*$G87),1),MIN(EXP((BF87-$J87)*$G87),1)),"")</f>
        <v/>
      </c>
      <c r="BI87" s="72" t="b">
        <f t="shared" si="6"/>
        <v>0</v>
      </c>
      <c r="BJ87" s="34" t="e">
        <f>IF(AND(NOT(ISBLANK(jumpoverwrite13)),AND(NOT(BI87),AND(BI$4:BI86))),($J87*$G87-LN(1+jumpoverwrite13*BK$2))/$G87,_xll.qlInterpolationInterpolate(BI$3,$F87,TRUE))</f>
        <v>#NUM!</v>
      </c>
      <c r="BK87" s="34" t="str">
        <f>IF(AND(NOT(BI87),AND(BI$4:BI86)),IF(BJ87&gt;$J87,MAX(EXP((BJ87-$J87)*$G87),1),MIN(EXP((BJ87-$J87)*$G87),1)),"")</f>
        <v/>
      </c>
      <c r="BM87" s="72" t="b">
        <f>IF(AND(NOT(BI87),AND(BI$4:BI86)),TRUE,BI87)</f>
        <v>0</v>
      </c>
      <c r="BN87" s="175" t="e">
        <f>IF(AND(NOT(ISBLANK(Jumpoverwrite14)),AND(NOT(BM87),AND(BM$4:BM86))),($J87*$G87-LN(1+Jumpoverwrite14*BO$2))/$G87,_xll.qlInterpolationInterpolate(BM$3,$F87,TRUE))</f>
        <v>#NUM!</v>
      </c>
      <c r="BO87" s="34" t="str">
        <f>IF(AND(NOT(BM87),AND(BM$4:BM86)),IF(BM87&gt;$J87,MAX(EXP((BM87-$J87)*$G87),1),MIN(EXP((BM87-$J87)*$G87),1)),"")</f>
        <v/>
      </c>
    </row>
    <row r="88" spans="1:67" x14ac:dyDescent="0.2">
      <c r="A88" s="33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84" t="e">
        <f t="shared" si="4"/>
        <v>#N/A</v>
      </c>
      <c r="G88" s="85" t="e">
        <f>_xll.qlDayCounterYearFraction(DayCounter,D87,D88)</f>
        <v>#NUM!</v>
      </c>
      <c r="I88" s="93" t="b">
        <f t="shared" si="7"/>
        <v>0</v>
      </c>
      <c r="J88" s="37" t="e">
        <v>#N/A</v>
      </c>
      <c r="K88" s="94" t="e">
        <f t="shared" si="8"/>
        <v>#VALUE!</v>
      </c>
      <c r="L88" s="106"/>
      <c r="M88" s="72" t="b">
        <f>IF(AND(NOT(I88),AND(I$4:I87)),TRUE,I88)</f>
        <v>0</v>
      </c>
      <c r="N88" s="34" t="e">
        <f>IF(AND(NOT(ISBLANK(Jumpoverwrite1)),AND(NOT(M88),AND(M$4:M87))),($J88*$G88-LN(1+Jumpoverwrite1*O$2))/$G88,_xll.qlInterpolationInterpolate(M$3,$F88,TRUE))</f>
        <v>#NUM!</v>
      </c>
      <c r="O88" s="34" t="str">
        <f>IF(AND(NOT(M88),AND(M$4:M87)),IF(N88&gt;$J88,MAX(EXP((N88-$J88)*$G88),1),MIN(EXP((N88-$J88)*$G88),1)),"")</f>
        <v/>
      </c>
      <c r="P88" s="108"/>
      <c r="Q88" s="72" t="b">
        <f>IF(AND(NOT(M88),AND(M$4:M87)),TRUE,M88)</f>
        <v>0</v>
      </c>
      <c r="R88" s="34" t="e">
        <f>IF(AND(NOT(ISBLANK(Jumpoverwrite2)),AND(NOT(Q88),AND(Q$4:Q87))),($J88*$G88-LN(1+Jumpoverwrite2*S$2))/$G88,_xll.qlInterpolationInterpolate(Q$3,$F88,TRUE))</f>
        <v>#NUM!</v>
      </c>
      <c r="S88" s="34" t="str">
        <f>IF(AND(NOT(Q88),AND(Q$4:Q87)),IF(R88&gt;$J88,MAX(EXP((R88-$J88)*$G88),1),MIN(EXP((R88-$J88)*$G88),1)),"")</f>
        <v/>
      </c>
      <c r="T88" s="108"/>
      <c r="U88" s="72" t="b">
        <f>IF(AND(NOT(Q88),AND(Q$4:Q87)),TRUE,Q88)</f>
        <v>0</v>
      </c>
      <c r="V88" s="34" t="e">
        <f>IF(AND(NOT(ISBLANK(Jumpoverwrite3)),AND(NOT(U88),AND(U$4:U87))),($J88*$G88-LN(1+Jumpoverwrite3*W$2))/$G88,_xll.qlInterpolationInterpolate(U$3,$F88,TRUE))</f>
        <v>#NUM!</v>
      </c>
      <c r="W88" s="34" t="str">
        <f>IF(AND(NOT(U88),AND(U$4:U87)),IF(V88&gt;$J88,MAX(EXP((V88-$J88)*$G88),1),MIN(EXP((V88-$J88)*$G88),1)),"")</f>
        <v/>
      </c>
      <c r="X88" s="108"/>
      <c r="Y88" s="72" t="b">
        <f>IF(AND(NOT(U88),AND(U$4:U87)),TRUE,U88)</f>
        <v>0</v>
      </c>
      <c r="Z88" s="34" t="e">
        <f>IF(AND(NOT(ISBLANK(Jumpoverwrite4)),AND(NOT(Y88),AND(Y$4:Y87))),($J88*$G88-LN(1+Jumpoverwrite4*AA$2))/$G88,_xll.qlInterpolationInterpolate(Y$3,$F88,TRUE))</f>
        <v>#NUM!</v>
      </c>
      <c r="AA88" s="34" t="str">
        <f>IF(AND(NOT(Y88),AND(Y$4:Y87)),IF(Z88&gt;$J88,MAX(EXP((Z88-$J88)*$G88),1),MIN(EXP((Z88-$J88)*$G88),1)),"")</f>
        <v/>
      </c>
      <c r="AB88" s="108"/>
      <c r="AC88" s="72" t="b">
        <f>IF(AND(NOT(Y88),AND(Y$4:Y87)),TRUE,Y88)</f>
        <v>0</v>
      </c>
      <c r="AD88" s="34" t="e">
        <f>IF(AND(NOT(ISBLANK(Jumpoverwrite5)),AND(NOT(AC88),AND(AC$4:AC87))),($J88*$G88-LN(1+Jumpoverwrite5*AE$2))/$G88,_xll.qlInterpolationInterpolate(AC$3,$F88,TRUE))</f>
        <v>#NUM!</v>
      </c>
      <c r="AE88" s="34" t="str">
        <f>IF(AND(NOT(AC88),AND(AC$4:AC87)),IF(AD88&gt;$J88,MAX(EXP((AD88-$J88)*$G88),1),MIN(EXP((AD88-$J88)*$G88),1)),"")</f>
        <v/>
      </c>
      <c r="AF88" s="108"/>
      <c r="AG88" s="72" t="b">
        <f>IF(AND(NOT(AC88),AND(AC$4:AC87)),TRUE,AC88)</f>
        <v>0</v>
      </c>
      <c r="AH88" s="34" t="e">
        <f>IF(AND(NOT(ISBLANK(Jumpoverwrite6)),AND(NOT(AG88),AND(AG$4:AG87))),($J88*$G88-LN(1+Jumpoverwrite6*AI$2))/$G88,_xll.qlInterpolationInterpolate(AG$3,$F88,TRUE))</f>
        <v>#NUM!</v>
      </c>
      <c r="AI88" s="34" t="str">
        <f>IF(AND(NOT(AG88),AND(AG$4:AG87)),IF(AH88&gt;$J88,MAX(EXP((AH88-$J88)*$G88),1),MIN(EXP((AH88-$J88)*$G88),1)),"")</f>
        <v/>
      </c>
      <c r="AJ88" s="108"/>
      <c r="AK88" s="72" t="b">
        <f>IF(AND(NOT(AG88),AND(AG$4:AG87)),TRUE,AG88)</f>
        <v>0</v>
      </c>
      <c r="AL88" s="34" t="e">
        <f>IF(AND(NOT(ISBLANK(Jumpoverwrite7)),AND(NOT(AK88),AND(AK$4:AK87))),($J88*$G88-LN(1+Jumpoverwrite7*AM$2))/$G88,_xll.qlInterpolationInterpolate(AK$3,$F88,TRUE))</f>
        <v>#NUM!</v>
      </c>
      <c r="AM88" s="34" t="str">
        <f>IF(AND(NOT(AK88),AND(AK$4:AK87)),IF(AL88&gt;$J88,MAX(EXP((AL88-$J88)*$G88),1),MIN(EXP((AL88-$J88)*$G88),1)),"")</f>
        <v/>
      </c>
      <c r="AO88" s="72" t="b">
        <f>IF(AND(NOT(AK88),AND(AK$4:AK87)),TRUE,AK88)</f>
        <v>0</v>
      </c>
      <c r="AP88" s="34" t="e">
        <f>IF(AND(NOT(ISBLANK(Jumpoverwrite8)),AND(NOT(AO88),AND(AO$4:AO87))),($J88*$G88-LN(1+Jumpoverwrite8*AQ$2))/$G88,_xll.qlInterpolationInterpolate(AO$3,$F88,TRUE))</f>
        <v>#NUM!</v>
      </c>
      <c r="AQ88" s="34" t="str">
        <f>IF(AND(NOT(AO88),AND(AO$4:AO87)),IF(AP88&gt;$J88,MAX(EXP((AP88-$J88)*$G88),1),MIN(EXP((AP88-$J88)*$G88),1)),"")</f>
        <v/>
      </c>
      <c r="AS88" s="72" t="b">
        <f>IF(AND(NOT(AO88),AND(AO$4:AO87)),TRUE,AO88)</f>
        <v>0</v>
      </c>
      <c r="AT88" s="34" t="e">
        <f>IF(AND(NOT(ISBLANK(Jumpoverwrite9)),AND(NOT(AS88),AND(AS$4:AS87))),($J88*$G88-LN(1+Jumpoverwrite9*AU$2))/$G88,_xll.qlInterpolationInterpolate(AS$3,$F88,TRUE))</f>
        <v>#NUM!</v>
      </c>
      <c r="AU88" s="34" t="str">
        <f>IF(AND(NOT(AS88),AND(AS$4:AS87)),IF(AT88&gt;$J88,MAX(EXP((AT88-$J88)*$G88),1),MIN(EXP((AT88-$J88)*$G88),1)),"")</f>
        <v/>
      </c>
      <c r="AW88" s="72" t="b">
        <f>IF(AND(NOT(AS88),AND(AS$4:AS87)),TRUE,AS88)</f>
        <v>0</v>
      </c>
      <c r="AX88" s="34" t="e">
        <f>IF(AND(NOT(ISBLANK(Jumpoverwrite10)),AND(NOT(AW88),AND(AW$4:AW87))),($J88*$G88-LN(1+Jumpoverwrite10*AY$2))/$G88,_xll.qlInterpolationInterpolate(AW$3,$F88,TRUE))</f>
        <v>#NUM!</v>
      </c>
      <c r="AY88" s="34" t="str">
        <f>IF(AND(NOT(AW88),AND(AW$4:AW87)),IF(AX88&gt;$J88,MAX(EXP((AX88-$J88)*$G88),1),MIN(EXP((AX88-$J88)*$G88),1)),"")</f>
        <v/>
      </c>
      <c r="BA88" s="72" t="b">
        <f>IF(AND(NOT(AW88),AND(AW$4:AW87)),TRUE,AW88)</f>
        <v>0</v>
      </c>
      <c r="BB88" s="34" t="e">
        <f>IF(AND(NOT(ISBLANK(Jumpoverwrite11)),AND(NOT(BA88),AND(BA$4:BA87))),($J88*$G88-LN(1+Jumpoverwrite11*BC$2))/$G88,_xll.qlInterpolationInterpolate(BA$3,$F88,TRUE))</f>
        <v>#NUM!</v>
      </c>
      <c r="BC88" s="34" t="str">
        <f>IF(AND(NOT(BA88),AND(BA$4:BA87)),IF(BB88&gt;$J88,MAX(EXP((BB88-$J88)*$G88),1),MIN(EXP((BB88-$J88)*$G88),1)),"")</f>
        <v/>
      </c>
      <c r="BE88" s="72" t="b">
        <f>IF(AND(NOT(BA88),AND(BA$4:BA87)),TRUE,BA88)</f>
        <v>0</v>
      </c>
      <c r="BF88" s="34" t="e">
        <f>IF(AND(NOT(ISBLANK(Jumpoverwrite12)),AND(NOT(BE88),AND(BE$4:BE87))),($J88*$G88-LN(1+Jumpoverwrite12*BG$2))/$G88,_xll.qlInterpolationInterpolate(BE$3,$F88,TRUE))</f>
        <v>#NUM!</v>
      </c>
      <c r="BG88" s="34" t="str">
        <f>IF(AND(NOT(BE88),AND(BE$4:BE87)),IF(BF88&gt;$J88,MAX(EXP((BF88-$J88)*$G88),1),MIN(EXP((BF88-$J88)*$G88),1)),"")</f>
        <v/>
      </c>
      <c r="BI88" s="72" t="b">
        <f t="shared" si="6"/>
        <v>0</v>
      </c>
      <c r="BJ88" s="34" t="e">
        <f>IF(AND(NOT(ISBLANK(jumpoverwrite13)),AND(NOT(BI88),AND(BI$4:BI87))),($J88*$G88-LN(1+jumpoverwrite13*BK$2))/$G88,_xll.qlInterpolationInterpolate(BI$3,$F88,TRUE))</f>
        <v>#NUM!</v>
      </c>
      <c r="BK88" s="34" t="str">
        <f>IF(AND(NOT(BI88),AND(BI$4:BI87)),IF(BJ88&gt;$J88,MAX(EXP((BJ88-$J88)*$G88),1),MIN(EXP((BJ88-$J88)*$G88),1)),"")</f>
        <v/>
      </c>
      <c r="BM88" s="72" t="b">
        <f>IF(AND(NOT(BI88),AND(BI$4:BI87)),TRUE,BI88)</f>
        <v>0</v>
      </c>
      <c r="BN88" s="175" t="e">
        <f>IF(AND(NOT(ISBLANK(Jumpoverwrite14)),AND(NOT(BM88),AND(BM$4:BM87))),($J88*$G88-LN(1+Jumpoverwrite14*BO$2))/$G88,_xll.qlInterpolationInterpolate(BM$3,$F88,TRUE))</f>
        <v>#NUM!</v>
      </c>
      <c r="BO88" s="34" t="str">
        <f>IF(AND(NOT(BM88),AND(BM$4:BM87)),IF(BM88&gt;$J88,MAX(EXP((BM88-$J88)*$G88),1),MIN(EXP((BM88-$J88)*$G88),1)),"")</f>
        <v/>
      </c>
    </row>
    <row r="89" spans="1:67" x14ac:dyDescent="0.2">
      <c r="A89" s="33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84" t="e">
        <f t="shared" si="4"/>
        <v>#N/A</v>
      </c>
      <c r="G89" s="85" t="e">
        <f>_xll.qlDayCounterYearFraction(DayCounter,D88,D89)</f>
        <v>#NUM!</v>
      </c>
      <c r="I89" s="93" t="b">
        <f t="shared" si="7"/>
        <v>0</v>
      </c>
      <c r="J89" s="37" t="e">
        <v>#N/A</v>
      </c>
      <c r="K89" s="94" t="e">
        <f t="shared" si="8"/>
        <v>#VALUE!</v>
      </c>
      <c r="L89" s="106"/>
      <c r="M89" s="72" t="b">
        <f>IF(AND(NOT(I89),AND(I$4:I88)),TRUE,I89)</f>
        <v>0</v>
      </c>
      <c r="N89" s="34" t="e">
        <f>IF(AND(NOT(ISBLANK(Jumpoverwrite1)),AND(NOT(M89),AND(M$4:M88))),($J89*$G89-LN(1+Jumpoverwrite1*O$2))/$G89,_xll.qlInterpolationInterpolate(M$3,$F89,TRUE))</f>
        <v>#NUM!</v>
      </c>
      <c r="O89" s="34" t="str">
        <f>IF(AND(NOT(M89),AND(M$4:M88)),IF(N89&gt;$J89,MAX(EXP((N89-$J89)*$G89),1),MIN(EXP((N89-$J89)*$G89),1)),"")</f>
        <v/>
      </c>
      <c r="P89" s="108"/>
      <c r="Q89" s="72" t="b">
        <f>IF(AND(NOT(M89),AND(M$4:M88)),TRUE,M89)</f>
        <v>0</v>
      </c>
      <c r="R89" s="34" t="e">
        <f>IF(AND(NOT(ISBLANK(Jumpoverwrite2)),AND(NOT(Q89),AND(Q$4:Q88))),($J89*$G89-LN(1+Jumpoverwrite2*S$2))/$G89,_xll.qlInterpolationInterpolate(Q$3,$F89,TRUE))</f>
        <v>#NUM!</v>
      </c>
      <c r="S89" s="34" t="str">
        <f>IF(AND(NOT(Q89),AND(Q$4:Q88)),IF(R89&gt;$J89,MAX(EXP((R89-$J89)*$G89),1),MIN(EXP((R89-$J89)*$G89),1)),"")</f>
        <v/>
      </c>
      <c r="T89" s="108"/>
      <c r="U89" s="72" t="b">
        <f>IF(AND(NOT(Q89),AND(Q$4:Q88)),TRUE,Q89)</f>
        <v>0</v>
      </c>
      <c r="V89" s="34" t="e">
        <f>IF(AND(NOT(ISBLANK(Jumpoverwrite3)),AND(NOT(U89),AND(U$4:U88))),($J89*$G89-LN(1+Jumpoverwrite3*W$2))/$G89,_xll.qlInterpolationInterpolate(U$3,$F89,TRUE))</f>
        <v>#NUM!</v>
      </c>
      <c r="W89" s="34" t="str">
        <f>IF(AND(NOT(U89),AND(U$4:U88)),IF(V89&gt;$J89,MAX(EXP((V89-$J89)*$G89),1),MIN(EXP((V89-$J89)*$G89),1)),"")</f>
        <v/>
      </c>
      <c r="X89" s="108"/>
      <c r="Y89" s="72" t="b">
        <f>IF(AND(NOT(U89),AND(U$4:U88)),TRUE,U89)</f>
        <v>0</v>
      </c>
      <c r="Z89" s="34" t="e">
        <f>IF(AND(NOT(ISBLANK(Jumpoverwrite4)),AND(NOT(Y89),AND(Y$4:Y88))),($J89*$G89-LN(1+Jumpoverwrite4*AA$2))/$G89,_xll.qlInterpolationInterpolate(Y$3,$F89,TRUE))</f>
        <v>#NUM!</v>
      </c>
      <c r="AA89" s="34" t="str">
        <f>IF(AND(NOT(Y89),AND(Y$4:Y88)),IF(Z89&gt;$J89,MAX(EXP((Z89-$J89)*$G89),1),MIN(EXP((Z89-$J89)*$G89),1)),"")</f>
        <v/>
      </c>
      <c r="AB89" s="108"/>
      <c r="AC89" s="72" t="b">
        <f>IF(AND(NOT(Y89),AND(Y$4:Y88)),TRUE,Y89)</f>
        <v>0</v>
      </c>
      <c r="AD89" s="34" t="e">
        <f>IF(AND(NOT(ISBLANK(Jumpoverwrite5)),AND(NOT(AC89),AND(AC$4:AC88))),($J89*$G89-LN(1+Jumpoverwrite5*AE$2))/$G89,_xll.qlInterpolationInterpolate(AC$3,$F89,TRUE))</f>
        <v>#NUM!</v>
      </c>
      <c r="AE89" s="34" t="str">
        <f>IF(AND(NOT(AC89),AND(AC$4:AC88)),IF(AD89&gt;$J89,MAX(EXP((AD89-$J89)*$G89),1),MIN(EXP((AD89-$J89)*$G89),1)),"")</f>
        <v/>
      </c>
      <c r="AF89" s="108"/>
      <c r="AG89" s="72" t="b">
        <f>IF(AND(NOT(AC89),AND(AC$4:AC88)),TRUE,AC89)</f>
        <v>0</v>
      </c>
      <c r="AH89" s="34" t="e">
        <f>IF(AND(NOT(ISBLANK(Jumpoverwrite6)),AND(NOT(AG89),AND(AG$4:AG88))),($J89*$G89-LN(1+Jumpoverwrite6*AI$2))/$G89,_xll.qlInterpolationInterpolate(AG$3,$F89,TRUE))</f>
        <v>#NUM!</v>
      </c>
      <c r="AI89" s="34" t="str">
        <f>IF(AND(NOT(AG89),AND(AG$4:AG88)),IF(AH89&gt;$J89,MAX(EXP((AH89-$J89)*$G89),1),MIN(EXP((AH89-$J89)*$G89),1)),"")</f>
        <v/>
      </c>
      <c r="AJ89" s="108"/>
      <c r="AK89" s="72" t="b">
        <f>IF(AND(NOT(AG89),AND(AG$4:AG88)),TRUE,AG89)</f>
        <v>0</v>
      </c>
      <c r="AL89" s="34" t="e">
        <f>IF(AND(NOT(ISBLANK(Jumpoverwrite7)),AND(NOT(AK89),AND(AK$4:AK88))),($J89*$G89-LN(1+Jumpoverwrite7*AM$2))/$G89,_xll.qlInterpolationInterpolate(AK$3,$F89,TRUE))</f>
        <v>#NUM!</v>
      </c>
      <c r="AM89" s="34" t="str">
        <f>IF(AND(NOT(AK89),AND(AK$4:AK88)),IF(AL89&gt;$J89,MAX(EXP((AL89-$J89)*$G89),1),MIN(EXP((AL89-$J89)*$G89),1)),"")</f>
        <v/>
      </c>
      <c r="AO89" s="72" t="b">
        <f>IF(AND(NOT(AK89),AND(AK$4:AK88)),TRUE,AK89)</f>
        <v>0</v>
      </c>
      <c r="AP89" s="34" t="e">
        <f>IF(AND(NOT(ISBLANK(Jumpoverwrite8)),AND(NOT(AO89),AND(AO$4:AO88))),($J89*$G89-LN(1+Jumpoverwrite8*AQ$2))/$G89,_xll.qlInterpolationInterpolate(AO$3,$F89,TRUE))</f>
        <v>#NUM!</v>
      </c>
      <c r="AQ89" s="34" t="str">
        <f>IF(AND(NOT(AO89),AND(AO$4:AO88)),IF(AP89&gt;$J89,MAX(EXP((AP89-$J89)*$G89),1),MIN(EXP((AP89-$J89)*$G89),1)),"")</f>
        <v/>
      </c>
      <c r="AS89" s="72" t="b">
        <f>IF(AND(NOT(AO89),AND(AO$4:AO88)),TRUE,AO89)</f>
        <v>0</v>
      </c>
      <c r="AT89" s="34" t="e">
        <f>IF(AND(NOT(ISBLANK(Jumpoverwrite9)),AND(NOT(AS89),AND(AS$4:AS88))),($J89*$G89-LN(1+Jumpoverwrite9*AU$2))/$G89,_xll.qlInterpolationInterpolate(AS$3,$F89,TRUE))</f>
        <v>#NUM!</v>
      </c>
      <c r="AU89" s="34" t="str">
        <f>IF(AND(NOT(AS89),AND(AS$4:AS88)),IF(AT89&gt;$J89,MAX(EXP((AT89-$J89)*$G89),1),MIN(EXP((AT89-$J89)*$G89),1)),"")</f>
        <v/>
      </c>
      <c r="AW89" s="72" t="b">
        <f>IF(AND(NOT(AS89),AND(AS$4:AS88)),TRUE,AS89)</f>
        <v>0</v>
      </c>
      <c r="AX89" s="34" t="e">
        <f>IF(AND(NOT(ISBLANK(Jumpoverwrite10)),AND(NOT(AW89),AND(AW$4:AW88))),($J89*$G89-LN(1+Jumpoverwrite10*AY$2))/$G89,_xll.qlInterpolationInterpolate(AW$3,$F89,TRUE))</f>
        <v>#NUM!</v>
      </c>
      <c r="AY89" s="34" t="str">
        <f>IF(AND(NOT(AW89),AND(AW$4:AW88)),IF(AX89&gt;$J89,MAX(EXP((AX89-$J89)*$G89),1),MIN(EXP((AX89-$J89)*$G89),1)),"")</f>
        <v/>
      </c>
      <c r="BA89" s="72" t="b">
        <f>IF(AND(NOT(AW89),AND(AW$4:AW88)),TRUE,AW89)</f>
        <v>0</v>
      </c>
      <c r="BB89" s="34" t="e">
        <f>IF(AND(NOT(ISBLANK(Jumpoverwrite11)),AND(NOT(BA89),AND(BA$4:BA88))),($J89*$G89-LN(1+Jumpoverwrite11*BC$2))/$G89,_xll.qlInterpolationInterpolate(BA$3,$F89,TRUE))</f>
        <v>#NUM!</v>
      </c>
      <c r="BC89" s="34" t="str">
        <f>IF(AND(NOT(BA89),AND(BA$4:BA88)),IF(BB89&gt;$J89,MAX(EXP((BB89-$J89)*$G89),1),MIN(EXP((BB89-$J89)*$G89),1)),"")</f>
        <v/>
      </c>
      <c r="BE89" s="72" t="b">
        <f>IF(AND(NOT(BA89),AND(BA$4:BA88)),TRUE,BA89)</f>
        <v>0</v>
      </c>
      <c r="BF89" s="34" t="e">
        <f>IF(AND(NOT(ISBLANK(Jumpoverwrite12)),AND(NOT(BE89),AND(BE$4:BE88))),($J89*$G89-LN(1+Jumpoverwrite12*BG$2))/$G89,_xll.qlInterpolationInterpolate(BE$3,$F89,TRUE))</f>
        <v>#NUM!</v>
      </c>
      <c r="BG89" s="34" t="str">
        <f>IF(AND(NOT(BE89),AND(BE$4:BE88)),IF(BF89&gt;$J89,MAX(EXP((BF89-$J89)*$G89),1),MIN(EXP((BF89-$J89)*$G89),1)),"")</f>
        <v/>
      </c>
      <c r="BI89" s="72" t="b">
        <f t="shared" si="6"/>
        <v>0</v>
      </c>
      <c r="BJ89" s="34" t="e">
        <f>IF(AND(NOT(ISBLANK(jumpoverwrite13)),AND(NOT(BI89),AND(BI$4:BI88))),($J89*$G89-LN(1+jumpoverwrite13*BK$2))/$G89,_xll.qlInterpolationInterpolate(BI$3,$F89,TRUE))</f>
        <v>#NUM!</v>
      </c>
      <c r="BK89" s="34" t="str">
        <f>IF(AND(NOT(BI89),AND(BI$4:BI88)),IF(BJ89&gt;$J89,MAX(EXP((BJ89-$J89)*$G89),1),MIN(EXP((BJ89-$J89)*$G89),1)),"")</f>
        <v/>
      </c>
      <c r="BM89" s="72" t="b">
        <f>IF(AND(NOT(BI89),AND(BI$4:BI88)),TRUE,BI89)</f>
        <v>0</v>
      </c>
      <c r="BN89" s="175" t="e">
        <f>IF(AND(NOT(ISBLANK(Jumpoverwrite14)),AND(NOT(BM89),AND(BM$4:BM88))),($J89*$G89-LN(1+Jumpoverwrite14*BO$2))/$G89,_xll.qlInterpolationInterpolate(BM$3,$F89,TRUE))</f>
        <v>#NUM!</v>
      </c>
      <c r="BO89" s="34" t="str">
        <f>IF(AND(NOT(BM89),AND(BM$4:BM88)),IF(BM89&gt;$J89,MAX(EXP((BM89-$J89)*$G89),1),MIN(EXP((BM89-$J89)*$G89),1)),"")</f>
        <v/>
      </c>
    </row>
    <row r="90" spans="1:67" x14ac:dyDescent="0.2">
      <c r="A90" s="33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84" t="e">
        <f t="shared" si="4"/>
        <v>#N/A</v>
      </c>
      <c r="G90" s="85" t="e">
        <f>_xll.qlDayCounterYearFraction(DayCounter,D89,D90)</f>
        <v>#NUM!</v>
      </c>
      <c r="I90" s="93" t="b">
        <f t="shared" si="7"/>
        <v>0</v>
      </c>
      <c r="J90" s="37" t="e">
        <v>#N/A</v>
      </c>
      <c r="K90" s="94" t="e">
        <f t="shared" si="8"/>
        <v>#VALUE!</v>
      </c>
      <c r="L90" s="106"/>
      <c r="M90" s="72" t="b">
        <f>IF(AND(NOT(I90),AND(I$4:I89)),TRUE,I90)</f>
        <v>0</v>
      </c>
      <c r="N90" s="34" t="e">
        <f>IF(AND(NOT(ISBLANK(Jumpoverwrite1)),AND(NOT(M90),AND(M$4:M89))),($J90*$G90-LN(1+Jumpoverwrite1*O$2))/$G90,_xll.qlInterpolationInterpolate(M$3,$F90,TRUE))</f>
        <v>#NUM!</v>
      </c>
      <c r="O90" s="34" t="str">
        <f>IF(AND(NOT(M90),AND(M$4:M89)),IF(N90&gt;$J90,MAX(EXP((N90-$J90)*$G90),1),MIN(EXP((N90-$J90)*$G90),1)),"")</f>
        <v/>
      </c>
      <c r="P90" s="108"/>
      <c r="Q90" s="72" t="b">
        <f>IF(AND(NOT(M90),AND(M$4:M89)),TRUE,M90)</f>
        <v>0</v>
      </c>
      <c r="R90" s="34" t="e">
        <f>IF(AND(NOT(ISBLANK(Jumpoverwrite2)),AND(NOT(Q90),AND(Q$4:Q89))),($J90*$G90-LN(1+Jumpoverwrite2*S$2))/$G90,_xll.qlInterpolationInterpolate(Q$3,$F90,TRUE))</f>
        <v>#NUM!</v>
      </c>
      <c r="S90" s="34" t="str">
        <f>IF(AND(NOT(Q90),AND(Q$4:Q89)),IF(R90&gt;$J90,MAX(EXP((R90-$J90)*$G90),1),MIN(EXP((R90-$J90)*$G90),1)),"")</f>
        <v/>
      </c>
      <c r="T90" s="108"/>
      <c r="U90" s="72" t="b">
        <f>IF(AND(NOT(Q90),AND(Q$4:Q89)),TRUE,Q90)</f>
        <v>0</v>
      </c>
      <c r="V90" s="34" t="e">
        <f>IF(AND(NOT(ISBLANK(Jumpoverwrite3)),AND(NOT(U90),AND(U$4:U89))),($J90*$G90-LN(1+Jumpoverwrite3*W$2))/$G90,_xll.qlInterpolationInterpolate(U$3,$F90,TRUE))</f>
        <v>#NUM!</v>
      </c>
      <c r="W90" s="34" t="str">
        <f>IF(AND(NOT(U90),AND(U$4:U89)),IF(V90&gt;$J90,MAX(EXP((V90-$J90)*$G90),1),MIN(EXP((V90-$J90)*$G90),1)),"")</f>
        <v/>
      </c>
      <c r="X90" s="108"/>
      <c r="Y90" s="72" t="b">
        <f>IF(AND(NOT(U90),AND(U$4:U89)),TRUE,U90)</f>
        <v>0</v>
      </c>
      <c r="Z90" s="34" t="e">
        <f>IF(AND(NOT(ISBLANK(Jumpoverwrite4)),AND(NOT(Y90),AND(Y$4:Y89))),($J90*$G90-LN(1+Jumpoverwrite4*AA$2))/$G90,_xll.qlInterpolationInterpolate(Y$3,$F90,TRUE))</f>
        <v>#NUM!</v>
      </c>
      <c r="AA90" s="34" t="str">
        <f>IF(AND(NOT(Y90),AND(Y$4:Y89)),IF(Z90&gt;$J90,MAX(EXP((Z90-$J90)*$G90),1),MIN(EXP((Z90-$J90)*$G90),1)),"")</f>
        <v/>
      </c>
      <c r="AB90" s="108"/>
      <c r="AC90" s="72" t="b">
        <f>IF(AND(NOT(Y90),AND(Y$4:Y89)),TRUE,Y90)</f>
        <v>0</v>
      </c>
      <c r="AD90" s="34" t="e">
        <f>IF(AND(NOT(ISBLANK(Jumpoverwrite5)),AND(NOT(AC90),AND(AC$4:AC89))),($J90*$G90-LN(1+Jumpoverwrite5*AE$2))/$G90,_xll.qlInterpolationInterpolate(AC$3,$F90,TRUE))</f>
        <v>#NUM!</v>
      </c>
      <c r="AE90" s="34" t="str">
        <f>IF(AND(NOT(AC90),AND(AC$4:AC89)),IF(AD90&gt;$J90,MAX(EXP((AD90-$J90)*$G90),1),MIN(EXP((AD90-$J90)*$G90),1)),"")</f>
        <v/>
      </c>
      <c r="AF90" s="108"/>
      <c r="AG90" s="72" t="b">
        <f>IF(AND(NOT(AC90),AND(AC$4:AC89)),TRUE,AC90)</f>
        <v>0</v>
      </c>
      <c r="AH90" s="34" t="e">
        <f>IF(AND(NOT(ISBLANK(Jumpoverwrite6)),AND(NOT(AG90),AND(AG$4:AG89))),($J90*$G90-LN(1+Jumpoverwrite6*AI$2))/$G90,_xll.qlInterpolationInterpolate(AG$3,$F90,TRUE))</f>
        <v>#NUM!</v>
      </c>
      <c r="AI90" s="34" t="str">
        <f>IF(AND(NOT(AG90),AND(AG$4:AG89)),IF(AH90&gt;$J90,MAX(EXP((AH90-$J90)*$G90),1),MIN(EXP((AH90-$J90)*$G90),1)),"")</f>
        <v/>
      </c>
      <c r="AJ90" s="108"/>
      <c r="AK90" s="72" t="b">
        <f>IF(AND(NOT(AG90),AND(AG$4:AG89)),TRUE,AG90)</f>
        <v>0</v>
      </c>
      <c r="AL90" s="34" t="e">
        <f>IF(AND(NOT(ISBLANK(Jumpoverwrite7)),AND(NOT(AK90),AND(AK$4:AK89))),($J90*$G90-LN(1+Jumpoverwrite7*AM$2))/$G90,_xll.qlInterpolationInterpolate(AK$3,$F90,TRUE))</f>
        <v>#NUM!</v>
      </c>
      <c r="AM90" s="34" t="str">
        <f>IF(AND(NOT(AK90),AND(AK$4:AK89)),IF(AL90&gt;$J90,MAX(EXP((AL90-$J90)*$G90),1),MIN(EXP((AL90-$J90)*$G90),1)),"")</f>
        <v/>
      </c>
      <c r="AO90" s="72" t="b">
        <f>IF(AND(NOT(AK90),AND(AK$4:AK89)),TRUE,AK90)</f>
        <v>0</v>
      </c>
      <c r="AP90" s="34" t="e">
        <f>IF(AND(NOT(ISBLANK(Jumpoverwrite8)),AND(NOT(AO90),AND(AO$4:AO89))),($J90*$G90-LN(1+Jumpoverwrite8*AQ$2))/$G90,_xll.qlInterpolationInterpolate(AO$3,$F90,TRUE))</f>
        <v>#NUM!</v>
      </c>
      <c r="AQ90" s="34" t="str">
        <f>IF(AND(NOT(AO90),AND(AO$4:AO89)),IF(AP90&gt;$J90,MAX(EXP((AP90-$J90)*$G90),1),MIN(EXP((AP90-$J90)*$G90),1)),"")</f>
        <v/>
      </c>
      <c r="AS90" s="72" t="b">
        <f>IF(AND(NOT(AO90),AND(AO$4:AO89)),TRUE,AO90)</f>
        <v>0</v>
      </c>
      <c r="AT90" s="34" t="e">
        <f>IF(AND(NOT(ISBLANK(Jumpoverwrite9)),AND(NOT(AS90),AND(AS$4:AS89))),($J90*$G90-LN(1+Jumpoverwrite9*AU$2))/$G90,_xll.qlInterpolationInterpolate(AS$3,$F90,TRUE))</f>
        <v>#NUM!</v>
      </c>
      <c r="AU90" s="34" t="str">
        <f>IF(AND(NOT(AS90),AND(AS$4:AS89)),IF(AT90&gt;$J90,MAX(EXP((AT90-$J90)*$G90),1),MIN(EXP((AT90-$J90)*$G90),1)),"")</f>
        <v/>
      </c>
      <c r="AW90" s="72" t="b">
        <f>IF(AND(NOT(AS90),AND(AS$4:AS89)),TRUE,AS90)</f>
        <v>0</v>
      </c>
      <c r="AX90" s="34" t="e">
        <f>IF(AND(NOT(ISBLANK(Jumpoverwrite10)),AND(NOT(AW90),AND(AW$4:AW89))),($J90*$G90-LN(1+Jumpoverwrite10*AY$2))/$G90,_xll.qlInterpolationInterpolate(AW$3,$F90,TRUE))</f>
        <v>#NUM!</v>
      </c>
      <c r="AY90" s="34" t="str">
        <f>IF(AND(NOT(AW90),AND(AW$4:AW89)),IF(AX90&gt;$J90,MAX(EXP((AX90-$J90)*$G90),1),MIN(EXP((AX90-$J90)*$G90),1)),"")</f>
        <v/>
      </c>
      <c r="BA90" s="72" t="b">
        <f>IF(AND(NOT(AW90),AND(AW$4:AW89)),TRUE,AW90)</f>
        <v>0</v>
      </c>
      <c r="BB90" s="34" t="e">
        <f>IF(AND(NOT(ISBLANK(Jumpoverwrite11)),AND(NOT(BA90),AND(BA$4:BA89))),($J90*$G90-LN(1+Jumpoverwrite11*BC$2))/$G90,_xll.qlInterpolationInterpolate(BA$3,$F90,TRUE))</f>
        <v>#NUM!</v>
      </c>
      <c r="BC90" s="34" t="str">
        <f>IF(AND(NOT(BA90),AND(BA$4:BA89)),IF(BB90&gt;$J90,MAX(EXP((BB90-$J90)*$G90),1),MIN(EXP((BB90-$J90)*$G90),1)),"")</f>
        <v/>
      </c>
      <c r="BE90" s="72" t="b">
        <f>IF(AND(NOT(BA90),AND(BA$4:BA89)),TRUE,BA90)</f>
        <v>0</v>
      </c>
      <c r="BF90" s="34" t="e">
        <f>IF(AND(NOT(ISBLANK(Jumpoverwrite12)),AND(NOT(BE90),AND(BE$4:BE89))),($J90*$G90-LN(1+Jumpoverwrite12*BG$2))/$G90,_xll.qlInterpolationInterpolate(BE$3,$F90,TRUE))</f>
        <v>#NUM!</v>
      </c>
      <c r="BG90" s="34" t="str">
        <f>IF(AND(NOT(BE90),AND(BE$4:BE89)),IF(BF90&gt;$J90,MAX(EXP((BF90-$J90)*$G90),1),MIN(EXP((BF90-$J90)*$G90),1)),"")</f>
        <v/>
      </c>
      <c r="BI90" s="72" t="b">
        <f t="shared" si="6"/>
        <v>0</v>
      </c>
      <c r="BJ90" s="34" t="e">
        <f>IF(AND(NOT(ISBLANK(jumpoverwrite13)),AND(NOT(BI90),AND(BI$4:BI89))),($J90*$G90-LN(1+jumpoverwrite13*BK$2))/$G90,_xll.qlInterpolationInterpolate(BI$3,$F90,TRUE))</f>
        <v>#NUM!</v>
      </c>
      <c r="BK90" s="34" t="str">
        <f>IF(AND(NOT(BI90),AND(BI$4:BI89)),IF(BJ90&gt;$J90,MAX(EXP((BJ90-$J90)*$G90),1),MIN(EXP((BJ90-$J90)*$G90),1)),"")</f>
        <v/>
      </c>
      <c r="BM90" s="72" t="b">
        <f>IF(AND(NOT(BI90),AND(BI$4:BI89)),TRUE,BI90)</f>
        <v>0</v>
      </c>
      <c r="BN90" s="175" t="e">
        <f>IF(AND(NOT(ISBLANK(Jumpoverwrite14)),AND(NOT(BM90),AND(BM$4:BM89))),($J90*$G90-LN(1+Jumpoverwrite14*BO$2))/$G90,_xll.qlInterpolationInterpolate(BM$3,$F90,TRUE))</f>
        <v>#NUM!</v>
      </c>
      <c r="BO90" s="34" t="str">
        <f>IF(AND(NOT(BM90),AND(BM$4:BM89)),IF(BM90&gt;$J90,MAX(EXP((BM90-$J90)*$G90),1),MIN(EXP((BM90-$J90)*$G90),1)),"")</f>
        <v/>
      </c>
    </row>
    <row r="91" spans="1:67" x14ac:dyDescent="0.2">
      <c r="A91" s="33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84" t="e">
        <f t="shared" si="4"/>
        <v>#N/A</v>
      </c>
      <c r="G91" s="85" t="e">
        <f>_xll.qlDayCounterYearFraction(DayCounter,D90,D91)</f>
        <v>#NUM!</v>
      </c>
      <c r="I91" s="93" t="b">
        <f t="shared" si="7"/>
        <v>0</v>
      </c>
      <c r="J91" s="37" t="e">
        <v>#N/A</v>
      </c>
      <c r="K91" s="94" t="e">
        <f t="shared" si="8"/>
        <v>#VALUE!</v>
      </c>
      <c r="L91" s="106"/>
      <c r="M91" s="72" t="b">
        <f>IF(AND(NOT(I91),AND(I$4:I90)),TRUE,I91)</f>
        <v>0</v>
      </c>
      <c r="N91" s="34" t="e">
        <f>IF(AND(NOT(ISBLANK(Jumpoverwrite1)),AND(NOT(M91),AND(M$4:M90))),($J91*$G91-LN(1+Jumpoverwrite1*O$2))/$G91,_xll.qlInterpolationInterpolate(M$3,$F91,TRUE))</f>
        <v>#NUM!</v>
      </c>
      <c r="O91" s="34" t="str">
        <f>IF(AND(NOT(M91),AND(M$4:M90)),IF(N91&gt;$J91,MAX(EXP((N91-$J91)*$G91),1),MIN(EXP((N91-$J91)*$G91),1)),"")</f>
        <v/>
      </c>
      <c r="P91" s="108"/>
      <c r="Q91" s="72" t="b">
        <f>IF(AND(NOT(M91),AND(M$4:M90)),TRUE,M91)</f>
        <v>0</v>
      </c>
      <c r="R91" s="34" t="e">
        <f>IF(AND(NOT(ISBLANK(Jumpoverwrite2)),AND(NOT(Q91),AND(Q$4:Q90))),($J91*$G91-LN(1+Jumpoverwrite2*S$2))/$G91,_xll.qlInterpolationInterpolate(Q$3,$F91,TRUE))</f>
        <v>#NUM!</v>
      </c>
      <c r="S91" s="34" t="str">
        <f>IF(AND(NOT(Q91),AND(Q$4:Q90)),IF(R91&gt;$J91,MAX(EXP((R91-$J91)*$G91),1),MIN(EXP((R91-$J91)*$G91),1)),"")</f>
        <v/>
      </c>
      <c r="T91" s="108"/>
      <c r="U91" s="72" t="b">
        <f>IF(AND(NOT(Q91),AND(Q$4:Q90)),TRUE,Q91)</f>
        <v>0</v>
      </c>
      <c r="V91" s="34" t="e">
        <f>IF(AND(NOT(ISBLANK(Jumpoverwrite3)),AND(NOT(U91),AND(U$4:U90))),($J91*$G91-LN(1+Jumpoverwrite3*W$2))/$G91,_xll.qlInterpolationInterpolate(U$3,$F91,TRUE))</f>
        <v>#NUM!</v>
      </c>
      <c r="W91" s="34" t="str">
        <f>IF(AND(NOT(U91),AND(U$4:U90)),IF(V91&gt;$J91,MAX(EXP((V91-$J91)*$G91),1),MIN(EXP((V91-$J91)*$G91),1)),"")</f>
        <v/>
      </c>
      <c r="X91" s="108"/>
      <c r="Y91" s="72" t="b">
        <f>IF(AND(NOT(U91),AND(U$4:U90)),TRUE,U91)</f>
        <v>0</v>
      </c>
      <c r="Z91" s="34" t="e">
        <f>IF(AND(NOT(ISBLANK(Jumpoverwrite4)),AND(NOT(Y91),AND(Y$4:Y90))),($J91*$G91-LN(1+Jumpoverwrite4*AA$2))/$G91,_xll.qlInterpolationInterpolate(Y$3,$F91,TRUE))</f>
        <v>#NUM!</v>
      </c>
      <c r="AA91" s="34" t="str">
        <f>IF(AND(NOT(Y91),AND(Y$4:Y90)),IF(Z91&gt;$J91,MAX(EXP((Z91-$J91)*$G91),1),MIN(EXP((Z91-$J91)*$G91),1)),"")</f>
        <v/>
      </c>
      <c r="AB91" s="108"/>
      <c r="AC91" s="72" t="b">
        <f>IF(AND(NOT(Y91),AND(Y$4:Y90)),TRUE,Y91)</f>
        <v>0</v>
      </c>
      <c r="AD91" s="34" t="e">
        <f>IF(AND(NOT(ISBLANK(Jumpoverwrite5)),AND(NOT(AC91),AND(AC$4:AC90))),($J91*$G91-LN(1+Jumpoverwrite5*AE$2))/$G91,_xll.qlInterpolationInterpolate(AC$3,$F91,TRUE))</f>
        <v>#NUM!</v>
      </c>
      <c r="AE91" s="34" t="str">
        <f>IF(AND(NOT(AC91),AND(AC$4:AC90)),IF(AD91&gt;$J91,MAX(EXP((AD91-$J91)*$G91),1),MIN(EXP((AD91-$J91)*$G91),1)),"")</f>
        <v/>
      </c>
      <c r="AF91" s="108"/>
      <c r="AG91" s="72" t="b">
        <f>IF(AND(NOT(AC91),AND(AC$4:AC90)),TRUE,AC91)</f>
        <v>0</v>
      </c>
      <c r="AH91" s="34" t="e">
        <f>IF(AND(NOT(ISBLANK(Jumpoverwrite6)),AND(NOT(AG91),AND(AG$4:AG90))),($J91*$G91-LN(1+Jumpoverwrite6*AI$2))/$G91,_xll.qlInterpolationInterpolate(AG$3,$F91,TRUE))</f>
        <v>#NUM!</v>
      </c>
      <c r="AI91" s="34" t="str">
        <f>IF(AND(NOT(AG91),AND(AG$4:AG90)),IF(AH91&gt;$J91,MAX(EXP((AH91-$J91)*$G91),1),MIN(EXP((AH91-$J91)*$G91),1)),"")</f>
        <v/>
      </c>
      <c r="AJ91" s="108"/>
      <c r="AK91" s="72" t="b">
        <f>IF(AND(NOT(AG91),AND(AG$4:AG90)),TRUE,AG91)</f>
        <v>0</v>
      </c>
      <c r="AL91" s="34" t="e">
        <f>IF(AND(NOT(ISBLANK(Jumpoverwrite7)),AND(NOT(AK91),AND(AK$4:AK90))),($J91*$G91-LN(1+Jumpoverwrite7*AM$2))/$G91,_xll.qlInterpolationInterpolate(AK$3,$F91,TRUE))</f>
        <v>#NUM!</v>
      </c>
      <c r="AM91" s="34" t="str">
        <f>IF(AND(NOT(AK91),AND(AK$4:AK90)),IF(AL91&gt;$J91,MAX(EXP((AL91-$J91)*$G91),1),MIN(EXP((AL91-$J91)*$G91),1)),"")</f>
        <v/>
      </c>
      <c r="AO91" s="72" t="b">
        <f>IF(AND(NOT(AK91),AND(AK$4:AK90)),TRUE,AK91)</f>
        <v>0</v>
      </c>
      <c r="AP91" s="34" t="e">
        <f>IF(AND(NOT(ISBLANK(Jumpoverwrite8)),AND(NOT(AO91),AND(AO$4:AO90))),($J91*$G91-LN(1+Jumpoverwrite8*AQ$2))/$G91,_xll.qlInterpolationInterpolate(AO$3,$F91,TRUE))</f>
        <v>#NUM!</v>
      </c>
      <c r="AQ91" s="34" t="str">
        <f>IF(AND(NOT(AO91),AND(AO$4:AO90)),IF(AP91&gt;$J91,MAX(EXP((AP91-$J91)*$G91),1),MIN(EXP((AP91-$J91)*$G91),1)),"")</f>
        <v/>
      </c>
      <c r="AS91" s="72" t="b">
        <f>IF(AND(NOT(AO91),AND(AO$4:AO90)),TRUE,AO91)</f>
        <v>0</v>
      </c>
      <c r="AT91" s="34" t="e">
        <f>IF(AND(NOT(ISBLANK(Jumpoverwrite9)),AND(NOT(AS91),AND(AS$4:AS90))),($J91*$G91-LN(1+Jumpoverwrite9*AU$2))/$G91,_xll.qlInterpolationInterpolate(AS$3,$F91,TRUE))</f>
        <v>#NUM!</v>
      </c>
      <c r="AU91" s="34" t="str">
        <f>IF(AND(NOT(AS91),AND(AS$4:AS90)),IF(AT91&gt;$J91,MAX(EXP((AT91-$J91)*$G91),1),MIN(EXP((AT91-$J91)*$G91),1)),"")</f>
        <v/>
      </c>
      <c r="AW91" s="72" t="b">
        <f>IF(AND(NOT(AS91),AND(AS$4:AS90)),TRUE,AS91)</f>
        <v>0</v>
      </c>
      <c r="AX91" s="34" t="e">
        <f>IF(AND(NOT(ISBLANK(Jumpoverwrite10)),AND(NOT(AW91),AND(AW$4:AW90))),($J91*$G91-LN(1+Jumpoverwrite10*AY$2))/$G91,_xll.qlInterpolationInterpolate(AW$3,$F91,TRUE))</f>
        <v>#NUM!</v>
      </c>
      <c r="AY91" s="34" t="str">
        <f>IF(AND(NOT(AW91),AND(AW$4:AW90)),IF(AX91&gt;$J91,MAX(EXP((AX91-$J91)*$G91),1),MIN(EXP((AX91-$J91)*$G91),1)),"")</f>
        <v/>
      </c>
      <c r="BA91" s="72" t="b">
        <f>IF(AND(NOT(AW91),AND(AW$4:AW90)),TRUE,AW91)</f>
        <v>0</v>
      </c>
      <c r="BB91" s="34" t="e">
        <f>IF(AND(NOT(ISBLANK(Jumpoverwrite11)),AND(NOT(BA91),AND(BA$4:BA90))),($J91*$G91-LN(1+Jumpoverwrite11*BC$2))/$G91,_xll.qlInterpolationInterpolate(BA$3,$F91,TRUE))</f>
        <v>#NUM!</v>
      </c>
      <c r="BC91" s="34" t="str">
        <f>IF(AND(NOT(BA91),AND(BA$4:BA90)),IF(BB91&gt;$J91,MAX(EXP((BB91-$J91)*$G91),1),MIN(EXP((BB91-$J91)*$G91),1)),"")</f>
        <v/>
      </c>
      <c r="BE91" s="72" t="b">
        <f>IF(AND(NOT(BA91),AND(BA$4:BA90)),TRUE,BA91)</f>
        <v>0</v>
      </c>
      <c r="BF91" s="34" t="e">
        <f>IF(AND(NOT(ISBLANK(Jumpoverwrite12)),AND(NOT(BE91),AND(BE$4:BE90))),($J91*$G91-LN(1+Jumpoverwrite12*BG$2))/$G91,_xll.qlInterpolationInterpolate(BE$3,$F91,TRUE))</f>
        <v>#NUM!</v>
      </c>
      <c r="BG91" s="34" t="str">
        <f>IF(AND(NOT(BE91),AND(BE$4:BE90)),IF(BF91&gt;$J91,MAX(EXP((BF91-$J91)*$G91),1),MIN(EXP((BF91-$J91)*$G91),1)),"")</f>
        <v/>
      </c>
      <c r="BI91" s="72" t="b">
        <f t="shared" si="6"/>
        <v>0</v>
      </c>
      <c r="BJ91" s="34" t="e">
        <f>IF(AND(NOT(ISBLANK(jumpoverwrite13)),AND(NOT(BI91),AND(BI$4:BI90))),($J91*$G91-LN(1+jumpoverwrite13*BK$2))/$G91,_xll.qlInterpolationInterpolate(BI$3,$F91,TRUE))</f>
        <v>#NUM!</v>
      </c>
      <c r="BK91" s="34" t="str">
        <f>IF(AND(NOT(BI91),AND(BI$4:BI90)),IF(BJ91&gt;$J91,MAX(EXP((BJ91-$J91)*$G91),1),MIN(EXP((BJ91-$J91)*$G91),1)),"")</f>
        <v/>
      </c>
      <c r="BM91" s="72" t="b">
        <f>IF(AND(NOT(BI91),AND(BI$4:BI90)),TRUE,BI91)</f>
        <v>0</v>
      </c>
      <c r="BN91" s="175" t="e">
        <f>IF(AND(NOT(ISBLANK(Jumpoverwrite14)),AND(NOT(BM91),AND(BM$4:BM90))),($J91*$G91-LN(1+Jumpoverwrite14*BO$2))/$G91,_xll.qlInterpolationInterpolate(BM$3,$F91,TRUE))</f>
        <v>#NUM!</v>
      </c>
      <c r="BO91" s="34" t="str">
        <f>IF(AND(NOT(BM91),AND(BM$4:BM90)),IF(BM91&gt;$J91,MAX(EXP((BM91-$J91)*$G91),1),MIN(EXP((BM91-$J91)*$G91),1)),"")</f>
        <v/>
      </c>
    </row>
    <row r="92" spans="1:67" x14ac:dyDescent="0.2">
      <c r="A92" s="33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84" t="e">
        <f t="shared" si="4"/>
        <v>#N/A</v>
      </c>
      <c r="G92" s="85" t="e">
        <f>_xll.qlDayCounterYearFraction(DayCounter,D91,D92)</f>
        <v>#NUM!</v>
      </c>
      <c r="I92" s="93" t="b">
        <f t="shared" si="7"/>
        <v>0</v>
      </c>
      <c r="J92" s="37" t="e">
        <v>#N/A</v>
      </c>
      <c r="K92" s="94" t="e">
        <f t="shared" si="8"/>
        <v>#VALUE!</v>
      </c>
      <c r="L92" s="106"/>
      <c r="M92" s="72" t="b">
        <f>IF(AND(NOT(I92),AND(I$4:I91)),TRUE,I92)</f>
        <v>0</v>
      </c>
      <c r="N92" s="34" t="e">
        <f>IF(AND(NOT(ISBLANK(Jumpoverwrite1)),AND(NOT(M92),AND(M$4:M91))),($J92*$G92-LN(1+Jumpoverwrite1*O$2))/$G92,_xll.qlInterpolationInterpolate(M$3,$F92,TRUE))</f>
        <v>#NUM!</v>
      </c>
      <c r="O92" s="34" t="str">
        <f>IF(AND(NOT(M92),AND(M$4:M91)),IF(N92&gt;$J92,MAX(EXP((N92-$J92)*$G92),1),MIN(EXP((N92-$J92)*$G92),1)),"")</f>
        <v/>
      </c>
      <c r="P92" s="108"/>
      <c r="Q92" s="72" t="b">
        <f>IF(AND(NOT(M92),AND(M$4:M91)),TRUE,M92)</f>
        <v>0</v>
      </c>
      <c r="R92" s="34" t="e">
        <f>IF(AND(NOT(ISBLANK(Jumpoverwrite2)),AND(NOT(Q92),AND(Q$4:Q91))),($J92*$G92-LN(1+Jumpoverwrite2*S$2))/$G92,_xll.qlInterpolationInterpolate(Q$3,$F92,TRUE))</f>
        <v>#NUM!</v>
      </c>
      <c r="S92" s="34" t="str">
        <f>IF(AND(NOT(Q92),AND(Q$4:Q91)),IF(R92&gt;$J92,MAX(EXP((R92-$J92)*$G92),1),MIN(EXP((R92-$J92)*$G92),1)),"")</f>
        <v/>
      </c>
      <c r="T92" s="108"/>
      <c r="U92" s="72" t="b">
        <f>IF(AND(NOT(Q92),AND(Q$4:Q91)),TRUE,Q92)</f>
        <v>0</v>
      </c>
      <c r="V92" s="34" t="e">
        <f>IF(AND(NOT(ISBLANK(Jumpoverwrite3)),AND(NOT(U92),AND(U$4:U91))),($J92*$G92-LN(1+Jumpoverwrite3*W$2))/$G92,_xll.qlInterpolationInterpolate(U$3,$F92,TRUE))</f>
        <v>#NUM!</v>
      </c>
      <c r="W92" s="34" t="str">
        <f>IF(AND(NOT(U92),AND(U$4:U91)),IF(V92&gt;$J92,MAX(EXP((V92-$J92)*$G92),1),MIN(EXP((V92-$J92)*$G92),1)),"")</f>
        <v/>
      </c>
      <c r="X92" s="108"/>
      <c r="Y92" s="72" t="b">
        <f>IF(AND(NOT(U92),AND(U$4:U91)),TRUE,U92)</f>
        <v>0</v>
      </c>
      <c r="Z92" s="34" t="e">
        <f>IF(AND(NOT(ISBLANK(Jumpoverwrite4)),AND(NOT(Y92),AND(Y$4:Y91))),($J92*$G92-LN(1+Jumpoverwrite4*AA$2))/$G92,_xll.qlInterpolationInterpolate(Y$3,$F92,TRUE))</f>
        <v>#NUM!</v>
      </c>
      <c r="AA92" s="34" t="str">
        <f>IF(AND(NOT(Y92),AND(Y$4:Y91)),IF(Z92&gt;$J92,MAX(EXP((Z92-$J92)*$G92),1),MIN(EXP((Z92-$J92)*$G92),1)),"")</f>
        <v/>
      </c>
      <c r="AB92" s="108"/>
      <c r="AC92" s="72" t="b">
        <f>IF(AND(NOT(Y92),AND(Y$4:Y91)),TRUE,Y92)</f>
        <v>0</v>
      </c>
      <c r="AD92" s="34" t="e">
        <f>IF(AND(NOT(ISBLANK(Jumpoverwrite5)),AND(NOT(AC92),AND(AC$4:AC91))),($J92*$G92-LN(1+Jumpoverwrite5*AE$2))/$G92,_xll.qlInterpolationInterpolate(AC$3,$F92,TRUE))</f>
        <v>#NUM!</v>
      </c>
      <c r="AE92" s="34" t="str">
        <f>IF(AND(NOT(AC92),AND(AC$4:AC91)),IF(AD92&gt;$J92,MAX(EXP((AD92-$J92)*$G92),1),MIN(EXP((AD92-$J92)*$G92),1)),"")</f>
        <v/>
      </c>
      <c r="AF92" s="108"/>
      <c r="AG92" s="72" t="b">
        <f>IF(AND(NOT(AC92),AND(AC$4:AC91)),TRUE,AC92)</f>
        <v>0</v>
      </c>
      <c r="AH92" s="34" t="e">
        <f>IF(AND(NOT(ISBLANK(Jumpoverwrite6)),AND(NOT(AG92),AND(AG$4:AG91))),($J92*$G92-LN(1+Jumpoverwrite6*AI$2))/$G92,_xll.qlInterpolationInterpolate(AG$3,$F92,TRUE))</f>
        <v>#NUM!</v>
      </c>
      <c r="AI92" s="34" t="str">
        <f>IF(AND(NOT(AG92),AND(AG$4:AG91)),IF(AH92&gt;$J92,MAX(EXP((AH92-$J92)*$G92),1),MIN(EXP((AH92-$J92)*$G92),1)),"")</f>
        <v/>
      </c>
      <c r="AJ92" s="108"/>
      <c r="AK92" s="72" t="b">
        <f>IF(AND(NOT(AG92),AND(AG$4:AG91)),TRUE,AG92)</f>
        <v>0</v>
      </c>
      <c r="AL92" s="34" t="e">
        <f>IF(AND(NOT(ISBLANK(Jumpoverwrite7)),AND(NOT(AK92),AND(AK$4:AK91))),($J92*$G92-LN(1+Jumpoverwrite7*AM$2))/$G92,_xll.qlInterpolationInterpolate(AK$3,$F92,TRUE))</f>
        <v>#NUM!</v>
      </c>
      <c r="AM92" s="34" t="str">
        <f>IF(AND(NOT(AK92),AND(AK$4:AK91)),IF(AL92&gt;$J92,MAX(EXP((AL92-$J92)*$G92),1),MIN(EXP((AL92-$J92)*$G92),1)),"")</f>
        <v/>
      </c>
      <c r="AO92" s="72" t="b">
        <f>IF(AND(NOT(AK92),AND(AK$4:AK91)),TRUE,AK92)</f>
        <v>0</v>
      </c>
      <c r="AP92" s="34" t="e">
        <f>IF(AND(NOT(ISBLANK(Jumpoverwrite8)),AND(NOT(AO92),AND(AO$4:AO91))),($J92*$G92-LN(1+Jumpoverwrite8*AQ$2))/$G92,_xll.qlInterpolationInterpolate(AO$3,$F92,TRUE))</f>
        <v>#NUM!</v>
      </c>
      <c r="AQ92" s="34" t="str">
        <f>IF(AND(NOT(AO92),AND(AO$4:AO91)),IF(AP92&gt;$J92,MAX(EXP((AP92-$J92)*$G92),1),MIN(EXP((AP92-$J92)*$G92),1)),"")</f>
        <v/>
      </c>
      <c r="AS92" s="72" t="b">
        <f>IF(AND(NOT(AO92),AND(AO$4:AO91)),TRUE,AO92)</f>
        <v>0</v>
      </c>
      <c r="AT92" s="34" t="e">
        <f>IF(AND(NOT(ISBLANK(Jumpoverwrite9)),AND(NOT(AS92),AND(AS$4:AS91))),($J92*$G92-LN(1+Jumpoverwrite9*AU$2))/$G92,_xll.qlInterpolationInterpolate(AS$3,$F92,TRUE))</f>
        <v>#NUM!</v>
      </c>
      <c r="AU92" s="34" t="str">
        <f>IF(AND(NOT(AS92),AND(AS$4:AS91)),IF(AT92&gt;$J92,MAX(EXP((AT92-$J92)*$G92),1),MIN(EXP((AT92-$J92)*$G92),1)),"")</f>
        <v/>
      </c>
      <c r="AW92" s="72" t="b">
        <f>IF(AND(NOT(AS92),AND(AS$4:AS91)),TRUE,AS92)</f>
        <v>0</v>
      </c>
      <c r="AX92" s="34" t="e">
        <f>IF(AND(NOT(ISBLANK(Jumpoverwrite10)),AND(NOT(AW92),AND(AW$4:AW91))),($J92*$G92-LN(1+Jumpoverwrite10*AY$2))/$G92,_xll.qlInterpolationInterpolate(AW$3,$F92,TRUE))</f>
        <v>#NUM!</v>
      </c>
      <c r="AY92" s="34" t="str">
        <f>IF(AND(NOT(AW92),AND(AW$4:AW91)),IF(AX92&gt;$J92,MAX(EXP((AX92-$J92)*$G92),1),MIN(EXP((AX92-$J92)*$G92),1)),"")</f>
        <v/>
      </c>
      <c r="BA92" s="72" t="b">
        <f>IF(AND(NOT(AW92),AND(AW$4:AW91)),TRUE,AW92)</f>
        <v>0</v>
      </c>
      <c r="BB92" s="34" t="e">
        <f>IF(AND(NOT(ISBLANK(Jumpoverwrite11)),AND(NOT(BA92),AND(BA$4:BA91))),($J92*$G92-LN(1+Jumpoverwrite11*BC$2))/$G92,_xll.qlInterpolationInterpolate(BA$3,$F92,TRUE))</f>
        <v>#NUM!</v>
      </c>
      <c r="BC92" s="34" t="str">
        <f>IF(AND(NOT(BA92),AND(BA$4:BA91)),IF(BB92&gt;$J92,MAX(EXP((BB92-$J92)*$G92),1),MIN(EXP((BB92-$J92)*$G92),1)),"")</f>
        <v/>
      </c>
      <c r="BE92" s="72" t="b">
        <f>IF(AND(NOT(BA92),AND(BA$4:BA91)),TRUE,BA92)</f>
        <v>0</v>
      </c>
      <c r="BF92" s="34" t="e">
        <f>IF(AND(NOT(ISBLANK(Jumpoverwrite12)),AND(NOT(BE92),AND(BE$4:BE91))),($J92*$G92-LN(1+Jumpoverwrite12*BG$2))/$G92,_xll.qlInterpolationInterpolate(BE$3,$F92,TRUE))</f>
        <v>#NUM!</v>
      </c>
      <c r="BG92" s="34" t="str">
        <f>IF(AND(NOT(BE92),AND(BE$4:BE91)),IF(BF92&gt;$J92,MAX(EXP((BF92-$J92)*$G92),1),MIN(EXP((BF92-$J92)*$G92),1)),"")</f>
        <v/>
      </c>
      <c r="BI92" s="72" t="b">
        <f t="shared" si="6"/>
        <v>0</v>
      </c>
      <c r="BJ92" s="34" t="e">
        <f>IF(AND(NOT(ISBLANK(jumpoverwrite13)),AND(NOT(BI92),AND(BI$4:BI91))),($J92*$G92-LN(1+jumpoverwrite13*BK$2))/$G92,_xll.qlInterpolationInterpolate(BI$3,$F92,TRUE))</f>
        <v>#NUM!</v>
      </c>
      <c r="BK92" s="34" t="str">
        <f>IF(AND(NOT(BI92),AND(BI$4:BI91)),IF(BJ92&gt;$J92,MAX(EXP((BJ92-$J92)*$G92),1),MIN(EXP((BJ92-$J92)*$G92),1)),"")</f>
        <v/>
      </c>
      <c r="BM92" s="72" t="b">
        <f>IF(AND(NOT(BI92),AND(BI$4:BI91)),TRUE,BI92)</f>
        <v>0</v>
      </c>
      <c r="BN92" s="175" t="e">
        <f>IF(AND(NOT(ISBLANK(Jumpoverwrite14)),AND(NOT(BM92),AND(BM$4:BM91))),($J92*$G92-LN(1+Jumpoverwrite14*BO$2))/$G92,_xll.qlInterpolationInterpolate(BM$3,$F92,TRUE))</f>
        <v>#NUM!</v>
      </c>
      <c r="BO92" s="34" t="str">
        <f>IF(AND(NOT(BM92),AND(BM$4:BM91)),IF(BM92&gt;$J92,MAX(EXP((BM92-$J92)*$G92),1),MIN(EXP((BM92-$J92)*$G92),1)),"")</f>
        <v/>
      </c>
    </row>
    <row r="93" spans="1:67" x14ac:dyDescent="0.2">
      <c r="A93" s="33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84" t="e">
        <f t="shared" si="4"/>
        <v>#N/A</v>
      </c>
      <c r="G93" s="85" t="e">
        <f>_xll.qlDayCounterYearFraction(DayCounter,D92,D93)</f>
        <v>#NUM!</v>
      </c>
      <c r="I93" s="93" t="b">
        <f t="shared" si="7"/>
        <v>0</v>
      </c>
      <c r="J93" s="37" t="e">
        <v>#N/A</v>
      </c>
      <c r="K93" s="94" t="e">
        <f t="shared" si="8"/>
        <v>#VALUE!</v>
      </c>
      <c r="L93" s="106"/>
      <c r="M93" s="72" t="b">
        <f>IF(AND(NOT(I93),AND(I$4:I92)),TRUE,I93)</f>
        <v>0</v>
      </c>
      <c r="N93" s="34" t="e">
        <f>IF(AND(NOT(ISBLANK(Jumpoverwrite1)),AND(NOT(M93),AND(M$4:M92))),($J93*$G93-LN(1+Jumpoverwrite1*O$2))/$G93,_xll.qlInterpolationInterpolate(M$3,$F93,TRUE))</f>
        <v>#NUM!</v>
      </c>
      <c r="O93" s="34" t="str">
        <f>IF(AND(NOT(M93),AND(M$4:M92)),IF(N93&gt;$J93,MAX(EXP((N93-$J93)*$G93),1),MIN(EXP((N93-$J93)*$G93),1)),"")</f>
        <v/>
      </c>
      <c r="P93" s="108"/>
      <c r="Q93" s="72" t="b">
        <f>IF(AND(NOT(M93),AND(M$4:M92)),TRUE,M93)</f>
        <v>0</v>
      </c>
      <c r="R93" s="34" t="e">
        <f>IF(AND(NOT(ISBLANK(Jumpoverwrite2)),AND(NOT(Q93),AND(Q$4:Q92))),($J93*$G93-LN(1+Jumpoverwrite2*S$2))/$G93,_xll.qlInterpolationInterpolate(Q$3,$F93,TRUE))</f>
        <v>#NUM!</v>
      </c>
      <c r="S93" s="34" t="str">
        <f>IF(AND(NOT(Q93),AND(Q$4:Q92)),IF(R93&gt;$J93,MAX(EXP((R93-$J93)*$G93),1),MIN(EXP((R93-$J93)*$G93),1)),"")</f>
        <v/>
      </c>
      <c r="T93" s="108"/>
      <c r="U93" s="72" t="b">
        <f>IF(AND(NOT(Q93),AND(Q$4:Q92)),TRUE,Q93)</f>
        <v>0</v>
      </c>
      <c r="V93" s="34" t="e">
        <f>IF(AND(NOT(ISBLANK(Jumpoverwrite3)),AND(NOT(U93),AND(U$4:U92))),($J93*$G93-LN(1+Jumpoverwrite3*W$2))/$G93,_xll.qlInterpolationInterpolate(U$3,$F93,TRUE))</f>
        <v>#NUM!</v>
      </c>
      <c r="W93" s="34" t="str">
        <f>IF(AND(NOT(U93),AND(U$4:U92)),IF(V93&gt;$J93,MAX(EXP((V93-$J93)*$G93),1),MIN(EXP((V93-$J93)*$G93),1)),"")</f>
        <v/>
      </c>
      <c r="X93" s="108"/>
      <c r="Y93" s="72" t="b">
        <f>IF(AND(NOT(U93),AND(U$4:U92)),TRUE,U93)</f>
        <v>0</v>
      </c>
      <c r="Z93" s="34" t="e">
        <f>IF(AND(NOT(ISBLANK(Jumpoverwrite4)),AND(NOT(Y93),AND(Y$4:Y92))),($J93*$G93-LN(1+Jumpoverwrite4*AA$2))/$G93,_xll.qlInterpolationInterpolate(Y$3,$F93,TRUE))</f>
        <v>#NUM!</v>
      </c>
      <c r="AA93" s="34" t="str">
        <f>IF(AND(NOT(Y93),AND(Y$4:Y92)),IF(Z93&gt;$J93,MAX(EXP((Z93-$J93)*$G93),1),MIN(EXP((Z93-$J93)*$G93),1)),"")</f>
        <v/>
      </c>
      <c r="AB93" s="108"/>
      <c r="AC93" s="72" t="b">
        <f>IF(AND(NOT(Y93),AND(Y$4:Y92)),TRUE,Y93)</f>
        <v>0</v>
      </c>
      <c r="AD93" s="34" t="e">
        <f>IF(AND(NOT(ISBLANK(Jumpoverwrite5)),AND(NOT(AC93),AND(AC$4:AC92))),($J93*$G93-LN(1+Jumpoverwrite5*AE$2))/$G93,_xll.qlInterpolationInterpolate(AC$3,$F93,TRUE))</f>
        <v>#NUM!</v>
      </c>
      <c r="AE93" s="34" t="str">
        <f>IF(AND(NOT(AC93),AND(AC$4:AC92)),IF(AD93&gt;$J93,MAX(EXP((AD93-$J93)*$G93),1),MIN(EXP((AD93-$J93)*$G93),1)),"")</f>
        <v/>
      </c>
      <c r="AF93" s="108"/>
      <c r="AG93" s="72" t="b">
        <f>IF(AND(NOT(AC93),AND(AC$4:AC92)),TRUE,AC93)</f>
        <v>0</v>
      </c>
      <c r="AH93" s="34" t="e">
        <f>IF(AND(NOT(ISBLANK(Jumpoverwrite6)),AND(NOT(AG93),AND(AG$4:AG92))),($J93*$G93-LN(1+Jumpoverwrite6*AI$2))/$G93,_xll.qlInterpolationInterpolate(AG$3,$F93,TRUE))</f>
        <v>#NUM!</v>
      </c>
      <c r="AI93" s="34" t="str">
        <f>IF(AND(NOT(AG93),AND(AG$4:AG92)),IF(AH93&gt;$J93,MAX(EXP((AH93-$J93)*$G93),1),MIN(EXP((AH93-$J93)*$G93),1)),"")</f>
        <v/>
      </c>
      <c r="AJ93" s="108"/>
      <c r="AK93" s="72" t="b">
        <f>IF(AND(NOT(AG93),AND(AG$4:AG92)),TRUE,AG93)</f>
        <v>0</v>
      </c>
      <c r="AL93" s="34" t="e">
        <f>IF(AND(NOT(ISBLANK(Jumpoverwrite7)),AND(NOT(AK93),AND(AK$4:AK92))),($J93*$G93-LN(1+Jumpoverwrite7*AM$2))/$G93,_xll.qlInterpolationInterpolate(AK$3,$F93,TRUE))</f>
        <v>#NUM!</v>
      </c>
      <c r="AM93" s="34" t="str">
        <f>IF(AND(NOT(AK93),AND(AK$4:AK92)),IF(AL93&gt;$J93,MAX(EXP((AL93-$J93)*$G93),1),MIN(EXP((AL93-$J93)*$G93),1)),"")</f>
        <v/>
      </c>
      <c r="AO93" s="72" t="b">
        <f>IF(AND(NOT(AK93),AND(AK$4:AK92)),TRUE,AK93)</f>
        <v>0</v>
      </c>
      <c r="AP93" s="34" t="e">
        <f>IF(AND(NOT(ISBLANK(Jumpoverwrite8)),AND(NOT(AO93),AND(AO$4:AO92))),($J93*$G93-LN(1+Jumpoverwrite8*AQ$2))/$G93,_xll.qlInterpolationInterpolate(AO$3,$F93,TRUE))</f>
        <v>#NUM!</v>
      </c>
      <c r="AQ93" s="34" t="str">
        <f>IF(AND(NOT(AO93),AND(AO$4:AO92)),IF(AP93&gt;$J93,MAX(EXP((AP93-$J93)*$G93),1),MIN(EXP((AP93-$J93)*$G93),1)),"")</f>
        <v/>
      </c>
      <c r="AS93" s="72" t="b">
        <f>IF(AND(NOT(AO93),AND(AO$4:AO92)),TRUE,AO93)</f>
        <v>0</v>
      </c>
      <c r="AT93" s="34" t="e">
        <f>IF(AND(NOT(ISBLANK(Jumpoverwrite9)),AND(NOT(AS93),AND(AS$4:AS92))),($J93*$G93-LN(1+Jumpoverwrite9*AU$2))/$G93,_xll.qlInterpolationInterpolate(AS$3,$F93,TRUE))</f>
        <v>#NUM!</v>
      </c>
      <c r="AU93" s="34" t="str">
        <f>IF(AND(NOT(AS93),AND(AS$4:AS92)),IF(AT93&gt;$J93,MAX(EXP((AT93-$J93)*$G93),1),MIN(EXP((AT93-$J93)*$G93),1)),"")</f>
        <v/>
      </c>
      <c r="AW93" s="72" t="b">
        <f>IF(AND(NOT(AS93),AND(AS$4:AS92)),TRUE,AS93)</f>
        <v>0</v>
      </c>
      <c r="AX93" s="34" t="e">
        <f>IF(AND(NOT(ISBLANK(Jumpoverwrite10)),AND(NOT(AW93),AND(AW$4:AW92))),($J93*$G93-LN(1+Jumpoverwrite10*AY$2))/$G93,_xll.qlInterpolationInterpolate(AW$3,$F93,TRUE))</f>
        <v>#NUM!</v>
      </c>
      <c r="AY93" s="34" t="str">
        <f>IF(AND(NOT(AW93),AND(AW$4:AW92)),IF(AX93&gt;$J93,MAX(EXP((AX93-$J93)*$G93),1),MIN(EXP((AX93-$J93)*$G93),1)),"")</f>
        <v/>
      </c>
      <c r="BA93" s="72" t="b">
        <f>IF(AND(NOT(AW93),AND(AW$4:AW92)),TRUE,AW93)</f>
        <v>0</v>
      </c>
      <c r="BB93" s="34" t="e">
        <f>IF(AND(NOT(ISBLANK(Jumpoverwrite11)),AND(NOT(BA93),AND(BA$4:BA92))),($J93*$G93-LN(1+Jumpoverwrite11*BC$2))/$G93,_xll.qlInterpolationInterpolate(BA$3,$F93,TRUE))</f>
        <v>#NUM!</v>
      </c>
      <c r="BC93" s="34" t="str">
        <f>IF(AND(NOT(BA93),AND(BA$4:BA92)),IF(BB93&gt;$J93,MAX(EXP((BB93-$J93)*$G93),1),MIN(EXP((BB93-$J93)*$G93),1)),"")</f>
        <v/>
      </c>
      <c r="BE93" s="72" t="b">
        <f>IF(AND(NOT(BA93),AND(BA$4:BA92)),TRUE,BA93)</f>
        <v>0</v>
      </c>
      <c r="BF93" s="34" t="e">
        <f>IF(AND(NOT(ISBLANK(Jumpoverwrite12)),AND(NOT(BE93),AND(BE$4:BE92))),($J93*$G93-LN(1+Jumpoverwrite12*BG$2))/$G93,_xll.qlInterpolationInterpolate(BE$3,$F93,TRUE))</f>
        <v>#NUM!</v>
      </c>
      <c r="BG93" s="34" t="str">
        <f>IF(AND(NOT(BE93),AND(BE$4:BE92)),IF(BF93&gt;$J93,MAX(EXP((BF93-$J93)*$G93),1),MIN(EXP((BF93-$J93)*$G93),1)),"")</f>
        <v/>
      </c>
      <c r="BI93" s="72" t="b">
        <f t="shared" si="6"/>
        <v>0</v>
      </c>
      <c r="BJ93" s="34" t="e">
        <f>IF(AND(NOT(ISBLANK(jumpoverwrite13)),AND(NOT(BI93),AND(BI$4:BI92))),($J93*$G93-LN(1+jumpoverwrite13*BK$2))/$G93,_xll.qlInterpolationInterpolate(BI$3,$F93,TRUE))</f>
        <v>#NUM!</v>
      </c>
      <c r="BK93" s="34" t="str">
        <f>IF(AND(NOT(BI93),AND(BI$4:BI92)),IF(BJ93&gt;$J93,MAX(EXP((BJ93-$J93)*$G93),1),MIN(EXP((BJ93-$J93)*$G93),1)),"")</f>
        <v/>
      </c>
      <c r="BM93" s="72" t="b">
        <f>IF(AND(NOT(BI93),AND(BI$4:BI92)),TRUE,BI93)</f>
        <v>0</v>
      </c>
      <c r="BN93" s="175" t="e">
        <f>IF(AND(NOT(ISBLANK(Jumpoverwrite14)),AND(NOT(BM93),AND(BM$4:BM92))),($J93*$G93-LN(1+Jumpoverwrite14*BO$2))/$G93,_xll.qlInterpolationInterpolate(BM$3,$F93,TRUE))</f>
        <v>#NUM!</v>
      </c>
      <c r="BO93" s="34" t="str">
        <f>IF(AND(NOT(BM93),AND(BM$4:BM92)),IF(BM93&gt;$J93,MAX(EXP((BM93-$J93)*$G93),1),MIN(EXP((BM93-$J93)*$G93),1)),"")</f>
        <v/>
      </c>
    </row>
    <row r="94" spans="1:67" x14ac:dyDescent="0.2">
      <c r="A94" s="33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84" t="e">
        <f t="shared" si="4"/>
        <v>#N/A</v>
      </c>
      <c r="G94" s="85" t="e">
        <f>_xll.qlDayCounterYearFraction(DayCounter,D93,D94)</f>
        <v>#NUM!</v>
      </c>
      <c r="I94" s="93" t="b">
        <f t="shared" si="7"/>
        <v>0</v>
      </c>
      <c r="J94" s="37" t="e">
        <v>#N/A</v>
      </c>
      <c r="K94" s="94" t="e">
        <f t="shared" si="8"/>
        <v>#VALUE!</v>
      </c>
      <c r="L94" s="106"/>
      <c r="M94" s="72" t="b">
        <f>IF(AND(NOT(I94),AND(I$4:I93)),TRUE,I94)</f>
        <v>0</v>
      </c>
      <c r="N94" s="34" t="e">
        <f>IF(AND(NOT(ISBLANK(Jumpoverwrite1)),AND(NOT(M94),AND(M$4:M93))),($J94*$G94-LN(1+Jumpoverwrite1*O$2))/$G94,_xll.qlInterpolationInterpolate(M$3,$F94,TRUE))</f>
        <v>#NUM!</v>
      </c>
      <c r="O94" s="34" t="str">
        <f>IF(AND(NOT(M94),AND(M$4:M93)),IF(N94&gt;$J94,MAX(EXP((N94-$J94)*$G94),1),MIN(EXP((N94-$J94)*$G94),1)),"")</f>
        <v/>
      </c>
      <c r="P94" s="108"/>
      <c r="Q94" s="72" t="b">
        <f>IF(AND(NOT(M94),AND(M$4:M93)),TRUE,M94)</f>
        <v>0</v>
      </c>
      <c r="R94" s="34" t="e">
        <f>IF(AND(NOT(ISBLANK(Jumpoverwrite2)),AND(NOT(Q94),AND(Q$4:Q93))),($J94*$G94-LN(1+Jumpoverwrite2*S$2))/$G94,_xll.qlInterpolationInterpolate(Q$3,$F94,TRUE))</f>
        <v>#NUM!</v>
      </c>
      <c r="S94" s="34" t="str">
        <f>IF(AND(NOT(Q94),AND(Q$4:Q93)),IF(R94&gt;$J94,MAX(EXP((R94-$J94)*$G94),1),MIN(EXP((R94-$J94)*$G94),1)),"")</f>
        <v/>
      </c>
      <c r="T94" s="108"/>
      <c r="U94" s="72" t="b">
        <f>IF(AND(NOT(Q94),AND(Q$4:Q93)),TRUE,Q94)</f>
        <v>0</v>
      </c>
      <c r="V94" s="34" t="e">
        <f>IF(AND(NOT(ISBLANK(Jumpoverwrite3)),AND(NOT(U94),AND(U$4:U93))),($J94*$G94-LN(1+Jumpoverwrite3*W$2))/$G94,_xll.qlInterpolationInterpolate(U$3,$F94,TRUE))</f>
        <v>#NUM!</v>
      </c>
      <c r="W94" s="34" t="str">
        <f>IF(AND(NOT(U94),AND(U$4:U93)),IF(V94&gt;$J94,MAX(EXP((V94-$J94)*$G94),1),MIN(EXP((V94-$J94)*$G94),1)),"")</f>
        <v/>
      </c>
      <c r="X94" s="108"/>
      <c r="Y94" s="72" t="b">
        <f>IF(AND(NOT(U94),AND(U$4:U93)),TRUE,U94)</f>
        <v>0</v>
      </c>
      <c r="Z94" s="34" t="e">
        <f>IF(AND(NOT(ISBLANK(Jumpoverwrite4)),AND(NOT(Y94),AND(Y$4:Y93))),($J94*$G94-LN(1+Jumpoverwrite4*AA$2))/$G94,_xll.qlInterpolationInterpolate(Y$3,$F94,TRUE))</f>
        <v>#NUM!</v>
      </c>
      <c r="AA94" s="34" t="str">
        <f>IF(AND(NOT(Y94),AND(Y$4:Y93)),IF(Z94&gt;$J94,MAX(EXP((Z94-$J94)*$G94),1),MIN(EXP((Z94-$J94)*$G94),1)),"")</f>
        <v/>
      </c>
      <c r="AB94" s="108"/>
      <c r="AC94" s="72" t="b">
        <f>IF(AND(NOT(Y94),AND(Y$4:Y93)),TRUE,Y94)</f>
        <v>0</v>
      </c>
      <c r="AD94" s="34" t="e">
        <f>IF(AND(NOT(ISBLANK(Jumpoverwrite5)),AND(NOT(AC94),AND(AC$4:AC93))),($J94*$G94-LN(1+Jumpoverwrite5*AE$2))/$G94,_xll.qlInterpolationInterpolate(AC$3,$F94,TRUE))</f>
        <v>#NUM!</v>
      </c>
      <c r="AE94" s="34" t="str">
        <f>IF(AND(NOT(AC94),AND(AC$4:AC93)),IF(AD94&gt;$J94,MAX(EXP((AD94-$J94)*$G94),1),MIN(EXP((AD94-$J94)*$G94),1)),"")</f>
        <v/>
      </c>
      <c r="AF94" s="108"/>
      <c r="AG94" s="72" t="b">
        <f>IF(AND(NOT(AC94),AND(AC$4:AC93)),TRUE,AC94)</f>
        <v>0</v>
      </c>
      <c r="AH94" s="34" t="e">
        <f>IF(AND(NOT(ISBLANK(Jumpoverwrite6)),AND(NOT(AG94),AND(AG$4:AG93))),($J94*$G94-LN(1+Jumpoverwrite6*AI$2))/$G94,_xll.qlInterpolationInterpolate(AG$3,$F94,TRUE))</f>
        <v>#NUM!</v>
      </c>
      <c r="AI94" s="34" t="str">
        <f>IF(AND(NOT(AG94),AND(AG$4:AG93)),IF(AH94&gt;$J94,MAX(EXP((AH94-$J94)*$G94),1),MIN(EXP((AH94-$J94)*$G94),1)),"")</f>
        <v/>
      </c>
      <c r="AJ94" s="108"/>
      <c r="AK94" s="72" t="b">
        <f>IF(AND(NOT(AG94),AND(AG$4:AG93)),TRUE,AG94)</f>
        <v>0</v>
      </c>
      <c r="AL94" s="34" t="e">
        <f>IF(AND(NOT(ISBLANK(Jumpoverwrite7)),AND(NOT(AK94),AND(AK$4:AK93))),($J94*$G94-LN(1+Jumpoverwrite7*AM$2))/$G94,_xll.qlInterpolationInterpolate(AK$3,$F94,TRUE))</f>
        <v>#NUM!</v>
      </c>
      <c r="AM94" s="34" t="str">
        <f>IF(AND(NOT(AK94),AND(AK$4:AK93)),IF(AL94&gt;$J94,MAX(EXP((AL94-$J94)*$G94),1),MIN(EXP((AL94-$J94)*$G94),1)),"")</f>
        <v/>
      </c>
      <c r="AO94" s="72" t="b">
        <f>IF(AND(NOT(AK94),AND(AK$4:AK93)),TRUE,AK94)</f>
        <v>0</v>
      </c>
      <c r="AP94" s="34" t="e">
        <f>IF(AND(NOT(ISBLANK(Jumpoverwrite8)),AND(NOT(AO94),AND(AO$4:AO93))),($J94*$G94-LN(1+Jumpoverwrite8*AQ$2))/$G94,_xll.qlInterpolationInterpolate(AO$3,$F94,TRUE))</f>
        <v>#NUM!</v>
      </c>
      <c r="AQ94" s="34" t="str">
        <f>IF(AND(NOT(AO94),AND(AO$4:AO93)),IF(AP94&gt;$J94,MAX(EXP((AP94-$J94)*$G94),1),MIN(EXP((AP94-$J94)*$G94),1)),"")</f>
        <v/>
      </c>
      <c r="AS94" s="72" t="b">
        <f>IF(AND(NOT(AO94),AND(AO$4:AO93)),TRUE,AO94)</f>
        <v>0</v>
      </c>
      <c r="AT94" s="34" t="e">
        <f>IF(AND(NOT(ISBLANK(Jumpoverwrite9)),AND(NOT(AS94),AND(AS$4:AS93))),($J94*$G94-LN(1+Jumpoverwrite9*AU$2))/$G94,_xll.qlInterpolationInterpolate(AS$3,$F94,TRUE))</f>
        <v>#NUM!</v>
      </c>
      <c r="AU94" s="34" t="str">
        <f>IF(AND(NOT(AS94),AND(AS$4:AS93)),IF(AT94&gt;$J94,MAX(EXP((AT94-$J94)*$G94),1),MIN(EXP((AT94-$J94)*$G94),1)),"")</f>
        <v/>
      </c>
      <c r="AW94" s="72" t="b">
        <f>IF(AND(NOT(AS94),AND(AS$4:AS93)),TRUE,AS94)</f>
        <v>0</v>
      </c>
      <c r="AX94" s="34" t="e">
        <f>IF(AND(NOT(ISBLANK(Jumpoverwrite10)),AND(NOT(AW94),AND(AW$4:AW93))),($J94*$G94-LN(1+Jumpoverwrite10*AY$2))/$G94,_xll.qlInterpolationInterpolate(AW$3,$F94,TRUE))</f>
        <v>#NUM!</v>
      </c>
      <c r="AY94" s="34" t="str">
        <f>IF(AND(NOT(AW94),AND(AW$4:AW93)),IF(AX94&gt;$J94,MAX(EXP((AX94-$J94)*$G94),1),MIN(EXP((AX94-$J94)*$G94),1)),"")</f>
        <v/>
      </c>
      <c r="BA94" s="72" t="b">
        <f>IF(AND(NOT(AW94),AND(AW$4:AW93)),TRUE,AW94)</f>
        <v>0</v>
      </c>
      <c r="BB94" s="34" t="e">
        <f>IF(AND(NOT(ISBLANK(Jumpoverwrite11)),AND(NOT(BA94),AND(BA$4:BA93))),($J94*$G94-LN(1+Jumpoverwrite11*BC$2))/$G94,_xll.qlInterpolationInterpolate(BA$3,$F94,TRUE))</f>
        <v>#NUM!</v>
      </c>
      <c r="BC94" s="34" t="str">
        <f>IF(AND(NOT(BA94),AND(BA$4:BA93)),IF(BB94&gt;$J94,MAX(EXP((BB94-$J94)*$G94),1),MIN(EXP((BB94-$J94)*$G94),1)),"")</f>
        <v/>
      </c>
      <c r="BE94" s="72" t="b">
        <f>IF(AND(NOT(BA94),AND(BA$4:BA93)),TRUE,BA94)</f>
        <v>0</v>
      </c>
      <c r="BF94" s="34" t="e">
        <f>IF(AND(NOT(ISBLANK(Jumpoverwrite12)),AND(NOT(BE94),AND(BE$4:BE93))),($J94*$G94-LN(1+Jumpoverwrite12*BG$2))/$G94,_xll.qlInterpolationInterpolate(BE$3,$F94,TRUE))</f>
        <v>#NUM!</v>
      </c>
      <c r="BG94" s="34" t="str">
        <f>IF(AND(NOT(BE94),AND(BE$4:BE93)),IF(BF94&gt;$J94,MAX(EXP((BF94-$J94)*$G94),1),MIN(EXP((BF94-$J94)*$G94),1)),"")</f>
        <v/>
      </c>
      <c r="BI94" s="72" t="b">
        <f t="shared" si="6"/>
        <v>0</v>
      </c>
      <c r="BJ94" s="34" t="e">
        <f>IF(AND(NOT(ISBLANK(jumpoverwrite13)),AND(NOT(BI94),AND(BI$4:BI93))),($J94*$G94-LN(1+jumpoverwrite13*BK$2))/$G94,_xll.qlInterpolationInterpolate(BI$3,$F94,TRUE))</f>
        <v>#NUM!</v>
      </c>
      <c r="BK94" s="34" t="str">
        <f>IF(AND(NOT(BI94),AND(BI$4:BI93)),IF(BJ94&gt;$J94,MAX(EXP((BJ94-$J94)*$G94),1),MIN(EXP((BJ94-$J94)*$G94),1)),"")</f>
        <v/>
      </c>
      <c r="BM94" s="72" t="b">
        <f>IF(AND(NOT(BI94),AND(BI$4:BI93)),TRUE,BI94)</f>
        <v>0</v>
      </c>
      <c r="BN94" s="175" t="e">
        <f>IF(AND(NOT(ISBLANK(Jumpoverwrite14)),AND(NOT(BM94),AND(BM$4:BM93))),($J94*$G94-LN(1+Jumpoverwrite14*BO$2))/$G94,_xll.qlInterpolationInterpolate(BM$3,$F94,TRUE))</f>
        <v>#NUM!</v>
      </c>
      <c r="BO94" s="34" t="str">
        <f>IF(AND(NOT(BM94),AND(BM$4:BM93)),IF(BM94&gt;$J94,MAX(EXP((BM94-$J94)*$G94),1),MIN(EXP((BM94-$J94)*$G94),1)),"")</f>
        <v/>
      </c>
    </row>
    <row r="95" spans="1:67" x14ac:dyDescent="0.2">
      <c r="A95" s="33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84" t="e">
        <f t="shared" ref="F95:F129" si="9">IF(ISERROR(D95),NA(),(D95-D94)/2+D94)</f>
        <v>#N/A</v>
      </c>
      <c r="G95" s="85" t="e">
        <f>_xll.qlDayCounterYearFraction(DayCounter,D94,D95)</f>
        <v>#NUM!</v>
      </c>
      <c r="I95" s="93" t="b">
        <f t="shared" si="7"/>
        <v>0</v>
      </c>
      <c r="J95" s="37" t="e">
        <v>#N/A</v>
      </c>
      <c r="K95" s="94" t="e">
        <f t="shared" si="8"/>
        <v>#VALUE!</v>
      </c>
      <c r="L95" s="106"/>
      <c r="M95" s="72" t="b">
        <f>IF(AND(NOT(I95),AND(I$4:I94)),TRUE,I95)</f>
        <v>0</v>
      </c>
      <c r="N95" s="34" t="e">
        <f>IF(AND(NOT(ISBLANK(Jumpoverwrite1)),AND(NOT(M95),AND(M$4:M94))),($J95*$G95-LN(1+Jumpoverwrite1*O$2))/$G95,_xll.qlInterpolationInterpolate(M$3,$F95,TRUE))</f>
        <v>#NUM!</v>
      </c>
      <c r="O95" s="34" t="str">
        <f>IF(AND(NOT(M95),AND(M$4:M94)),IF(N95&gt;$J95,MAX(EXP((N95-$J95)*$G95),1),MIN(EXP((N95-$J95)*$G95),1)),"")</f>
        <v/>
      </c>
      <c r="P95" s="108"/>
      <c r="Q95" s="72" t="b">
        <f>IF(AND(NOT(M95),AND(M$4:M94)),TRUE,M95)</f>
        <v>0</v>
      </c>
      <c r="R95" s="34" t="e">
        <f>IF(AND(NOT(ISBLANK(Jumpoverwrite2)),AND(NOT(Q95),AND(Q$4:Q94))),($J95*$G95-LN(1+Jumpoverwrite2*S$2))/$G95,_xll.qlInterpolationInterpolate(Q$3,$F95,TRUE))</f>
        <v>#NUM!</v>
      </c>
      <c r="S95" s="34" t="str">
        <f>IF(AND(NOT(Q95),AND(Q$4:Q94)),IF(R95&gt;$J95,MAX(EXP((R95-$J95)*$G95),1),MIN(EXP((R95-$J95)*$G95),1)),"")</f>
        <v/>
      </c>
      <c r="T95" s="108"/>
      <c r="U95" s="72" t="b">
        <f>IF(AND(NOT(Q95),AND(Q$4:Q94)),TRUE,Q95)</f>
        <v>0</v>
      </c>
      <c r="V95" s="34" t="e">
        <f>IF(AND(NOT(ISBLANK(Jumpoverwrite3)),AND(NOT(U95),AND(U$4:U94))),($J95*$G95-LN(1+Jumpoverwrite3*W$2))/$G95,_xll.qlInterpolationInterpolate(U$3,$F95,TRUE))</f>
        <v>#NUM!</v>
      </c>
      <c r="W95" s="34" t="str">
        <f>IF(AND(NOT(U95),AND(U$4:U94)),IF(V95&gt;$J95,MAX(EXP((V95-$J95)*$G95),1),MIN(EXP((V95-$J95)*$G95),1)),"")</f>
        <v/>
      </c>
      <c r="X95" s="108"/>
      <c r="Y95" s="72" t="b">
        <f>IF(AND(NOT(U95),AND(U$4:U94)),TRUE,U95)</f>
        <v>0</v>
      </c>
      <c r="Z95" s="34" t="e">
        <f>IF(AND(NOT(ISBLANK(Jumpoverwrite4)),AND(NOT(Y95),AND(Y$4:Y94))),($J95*$G95-LN(1+Jumpoverwrite4*AA$2))/$G95,_xll.qlInterpolationInterpolate(Y$3,$F95,TRUE))</f>
        <v>#NUM!</v>
      </c>
      <c r="AA95" s="34" t="str">
        <f>IF(AND(NOT(Y95),AND(Y$4:Y94)),IF(Z95&gt;$J95,MAX(EXP((Z95-$J95)*$G95),1),MIN(EXP((Z95-$J95)*$G95),1)),"")</f>
        <v/>
      </c>
      <c r="AB95" s="108"/>
      <c r="AC95" s="72" t="b">
        <f>IF(AND(NOT(Y95),AND(Y$4:Y94)),TRUE,Y95)</f>
        <v>0</v>
      </c>
      <c r="AD95" s="34" t="e">
        <f>IF(AND(NOT(ISBLANK(Jumpoverwrite5)),AND(NOT(AC95),AND(AC$4:AC94))),($J95*$G95-LN(1+Jumpoverwrite5*AE$2))/$G95,_xll.qlInterpolationInterpolate(AC$3,$F95,TRUE))</f>
        <v>#NUM!</v>
      </c>
      <c r="AE95" s="34" t="str">
        <f>IF(AND(NOT(AC95),AND(AC$4:AC94)),IF(AD95&gt;$J95,MAX(EXP((AD95-$J95)*$G95),1),MIN(EXP((AD95-$J95)*$G95),1)),"")</f>
        <v/>
      </c>
      <c r="AF95" s="108"/>
      <c r="AG95" s="72" t="b">
        <f>IF(AND(NOT(AC95),AND(AC$4:AC94)),TRUE,AC95)</f>
        <v>0</v>
      </c>
      <c r="AH95" s="34" t="e">
        <f>IF(AND(NOT(ISBLANK(Jumpoverwrite6)),AND(NOT(AG95),AND(AG$4:AG94))),($J95*$G95-LN(1+Jumpoverwrite6*AI$2))/$G95,_xll.qlInterpolationInterpolate(AG$3,$F95,TRUE))</f>
        <v>#NUM!</v>
      </c>
      <c r="AI95" s="34" t="str">
        <f>IF(AND(NOT(AG95),AND(AG$4:AG94)),IF(AH95&gt;$J95,MAX(EXP((AH95-$J95)*$G95),1),MIN(EXP((AH95-$J95)*$G95),1)),"")</f>
        <v/>
      </c>
      <c r="AJ95" s="108"/>
      <c r="AK95" s="72" t="b">
        <f>IF(AND(NOT(AG95),AND(AG$4:AG94)),TRUE,AG95)</f>
        <v>0</v>
      </c>
      <c r="AL95" s="34" t="e">
        <f>IF(AND(NOT(ISBLANK(Jumpoverwrite7)),AND(NOT(AK95),AND(AK$4:AK94))),($J95*$G95-LN(1+Jumpoverwrite7*AM$2))/$G95,_xll.qlInterpolationInterpolate(AK$3,$F95,TRUE))</f>
        <v>#NUM!</v>
      </c>
      <c r="AM95" s="34" t="str">
        <f>IF(AND(NOT(AK95),AND(AK$4:AK94)),IF(AL95&gt;$J95,MAX(EXP((AL95-$J95)*$G95),1),MIN(EXP((AL95-$J95)*$G95),1)),"")</f>
        <v/>
      </c>
      <c r="AO95" s="72" t="b">
        <f>IF(AND(NOT(AK95),AND(AK$4:AK94)),TRUE,AK95)</f>
        <v>0</v>
      </c>
      <c r="AP95" s="34" t="e">
        <f>IF(AND(NOT(ISBLANK(Jumpoverwrite8)),AND(NOT(AO95),AND(AO$4:AO94))),($J95*$G95-LN(1+Jumpoverwrite8*AQ$2))/$G95,_xll.qlInterpolationInterpolate(AO$3,$F95,TRUE))</f>
        <v>#NUM!</v>
      </c>
      <c r="AQ95" s="34" t="str">
        <f>IF(AND(NOT(AO95),AND(AO$4:AO94)),IF(AP95&gt;$J95,MAX(EXP((AP95-$J95)*$G95),1),MIN(EXP((AP95-$J95)*$G95),1)),"")</f>
        <v/>
      </c>
      <c r="AS95" s="72" t="b">
        <f>IF(AND(NOT(AO95),AND(AO$4:AO94)),TRUE,AO95)</f>
        <v>0</v>
      </c>
      <c r="AT95" s="34" t="e">
        <f>IF(AND(NOT(ISBLANK(Jumpoverwrite9)),AND(NOT(AS95),AND(AS$4:AS94))),($J95*$G95-LN(1+Jumpoverwrite9*AU$2))/$G95,_xll.qlInterpolationInterpolate(AS$3,$F95,TRUE))</f>
        <v>#NUM!</v>
      </c>
      <c r="AU95" s="34" t="str">
        <f>IF(AND(NOT(AS95),AND(AS$4:AS94)),IF(AT95&gt;$J95,MAX(EXP((AT95-$J95)*$G95),1),MIN(EXP((AT95-$J95)*$G95),1)),"")</f>
        <v/>
      </c>
      <c r="AW95" s="72" t="b">
        <f>IF(AND(NOT(AS95),AND(AS$4:AS94)),TRUE,AS95)</f>
        <v>0</v>
      </c>
      <c r="AX95" s="34" t="e">
        <f>IF(AND(NOT(ISBLANK(Jumpoverwrite10)),AND(NOT(AW95),AND(AW$4:AW94))),($J95*$G95-LN(1+Jumpoverwrite10*AY$2))/$G95,_xll.qlInterpolationInterpolate(AW$3,$F95,TRUE))</f>
        <v>#NUM!</v>
      </c>
      <c r="AY95" s="34" t="str">
        <f>IF(AND(NOT(AW95),AND(AW$4:AW94)),IF(AX95&gt;$J95,MAX(EXP((AX95-$J95)*$G95),1),MIN(EXP((AX95-$J95)*$G95),1)),"")</f>
        <v/>
      </c>
      <c r="BA95" s="72" t="b">
        <f>IF(AND(NOT(AW95),AND(AW$4:AW94)),TRUE,AW95)</f>
        <v>0</v>
      </c>
      <c r="BB95" s="34" t="e">
        <f>IF(AND(NOT(ISBLANK(Jumpoverwrite11)),AND(NOT(BA95),AND(BA$4:BA94))),($J95*$G95-LN(1+Jumpoverwrite11*BC$2))/$G95,_xll.qlInterpolationInterpolate(BA$3,$F95,TRUE))</f>
        <v>#NUM!</v>
      </c>
      <c r="BC95" s="34" t="str">
        <f>IF(AND(NOT(BA95),AND(BA$4:BA94)),IF(BB95&gt;$J95,MAX(EXP((BB95-$J95)*$G95),1),MIN(EXP((BB95-$J95)*$G95),1)),"")</f>
        <v/>
      </c>
      <c r="BE95" s="72" t="b">
        <f>IF(AND(NOT(BA95),AND(BA$4:BA94)),TRUE,BA95)</f>
        <v>0</v>
      </c>
      <c r="BF95" s="34" t="e">
        <f>IF(AND(NOT(ISBLANK(Jumpoverwrite12)),AND(NOT(BE95),AND(BE$4:BE94))),($J95*$G95-LN(1+Jumpoverwrite12*BG$2))/$G95,_xll.qlInterpolationInterpolate(BE$3,$F95,TRUE))</f>
        <v>#NUM!</v>
      </c>
      <c r="BG95" s="34" t="str">
        <f>IF(AND(NOT(BE95),AND(BE$4:BE94)),IF(BF95&gt;$J95,MAX(EXP((BF95-$J95)*$G95),1),MIN(EXP((BF95-$J95)*$G95),1)),"")</f>
        <v/>
      </c>
      <c r="BI95" s="72" t="b">
        <f t="shared" si="6"/>
        <v>0</v>
      </c>
      <c r="BJ95" s="34" t="e">
        <f>IF(AND(NOT(ISBLANK(jumpoverwrite13)),AND(NOT(BI95),AND(BI$4:BI94))),($J95*$G95-LN(1+jumpoverwrite13*BK$2))/$G95,_xll.qlInterpolationInterpolate(BI$3,$F95,TRUE))</f>
        <v>#NUM!</v>
      </c>
      <c r="BK95" s="34" t="str">
        <f>IF(AND(NOT(BI95),AND(BI$4:BI94)),IF(BJ95&gt;$J95,MAX(EXP((BJ95-$J95)*$G95),1),MIN(EXP((BJ95-$J95)*$G95),1)),"")</f>
        <v/>
      </c>
      <c r="BM95" s="72" t="b">
        <f>IF(AND(NOT(BI95),AND(BI$4:BI94)),TRUE,BI95)</f>
        <v>0</v>
      </c>
      <c r="BN95" s="175" t="e">
        <f>IF(AND(NOT(ISBLANK(Jumpoverwrite14)),AND(NOT(BM95),AND(BM$4:BM94))),($J95*$G95-LN(1+Jumpoverwrite14*BO$2))/$G95,_xll.qlInterpolationInterpolate(BM$3,$F95,TRUE))</f>
        <v>#NUM!</v>
      </c>
      <c r="BO95" s="34" t="str">
        <f>IF(AND(NOT(BM95),AND(BM$4:BM94)),IF(BM95&gt;$J95,MAX(EXP((BM95-$J95)*$G95),1),MIN(EXP((BM95-$J95)*$G95),1)),"")</f>
        <v/>
      </c>
    </row>
    <row r="96" spans="1:67" x14ac:dyDescent="0.2">
      <c r="A96" s="33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84" t="e">
        <f t="shared" si="9"/>
        <v>#N/A</v>
      </c>
      <c r="G96" s="85" t="e">
        <f>_xll.qlDayCounterYearFraction(DayCounter,D95,D96)</f>
        <v>#NUM!</v>
      </c>
      <c r="I96" s="93" t="b">
        <f t="shared" si="7"/>
        <v>0</v>
      </c>
      <c r="J96" s="37" t="e">
        <v>#N/A</v>
      </c>
      <c r="K96" s="94" t="e">
        <f t="shared" si="8"/>
        <v>#VALUE!</v>
      </c>
      <c r="L96" s="106"/>
      <c r="M96" s="72" t="b">
        <f>IF(AND(NOT(I96),AND(I$4:I95)),TRUE,I96)</f>
        <v>0</v>
      </c>
      <c r="N96" s="34" t="e">
        <f>IF(AND(NOT(ISBLANK(Jumpoverwrite1)),AND(NOT(M96),AND(M$4:M95))),($J96*$G96-LN(1+Jumpoverwrite1*O$2))/$G96,_xll.qlInterpolationInterpolate(M$3,$F96,TRUE))</f>
        <v>#NUM!</v>
      </c>
      <c r="O96" s="34" t="str">
        <f>IF(AND(NOT(M96),AND(M$4:M95)),IF(N96&gt;$J96,MAX(EXP((N96-$J96)*$G96),1),MIN(EXP((N96-$J96)*$G96),1)),"")</f>
        <v/>
      </c>
      <c r="P96" s="108"/>
      <c r="Q96" s="72" t="b">
        <f>IF(AND(NOT(M96),AND(M$4:M95)),TRUE,M96)</f>
        <v>0</v>
      </c>
      <c r="R96" s="34" t="e">
        <f>IF(AND(NOT(ISBLANK(Jumpoverwrite2)),AND(NOT(Q96),AND(Q$4:Q95))),($J96*$G96-LN(1+Jumpoverwrite2*S$2))/$G96,_xll.qlInterpolationInterpolate(Q$3,$F96,TRUE))</f>
        <v>#NUM!</v>
      </c>
      <c r="S96" s="34" t="str">
        <f>IF(AND(NOT(Q96),AND(Q$4:Q95)),IF(R96&gt;$J96,MAX(EXP((R96-$J96)*$G96),1),MIN(EXP((R96-$J96)*$G96),1)),"")</f>
        <v/>
      </c>
      <c r="T96" s="108"/>
      <c r="U96" s="72" t="b">
        <f>IF(AND(NOT(Q96),AND(Q$4:Q95)),TRUE,Q96)</f>
        <v>0</v>
      </c>
      <c r="V96" s="34" t="e">
        <f>IF(AND(NOT(ISBLANK(Jumpoverwrite3)),AND(NOT(U96),AND(U$4:U95))),($J96*$G96-LN(1+Jumpoverwrite3*W$2))/$G96,_xll.qlInterpolationInterpolate(U$3,$F96,TRUE))</f>
        <v>#NUM!</v>
      </c>
      <c r="W96" s="34" t="str">
        <f>IF(AND(NOT(U96),AND(U$4:U95)),IF(V96&gt;$J96,MAX(EXP((V96-$J96)*$G96),1),MIN(EXP((V96-$J96)*$G96),1)),"")</f>
        <v/>
      </c>
      <c r="X96" s="108"/>
      <c r="Y96" s="72" t="b">
        <f>IF(AND(NOT(U96),AND(U$4:U95)),TRUE,U96)</f>
        <v>0</v>
      </c>
      <c r="Z96" s="34" t="e">
        <f>IF(AND(NOT(ISBLANK(Jumpoverwrite4)),AND(NOT(Y96),AND(Y$4:Y95))),($J96*$G96-LN(1+Jumpoverwrite4*AA$2))/$G96,_xll.qlInterpolationInterpolate(Y$3,$F96,TRUE))</f>
        <v>#NUM!</v>
      </c>
      <c r="AA96" s="34" t="str">
        <f>IF(AND(NOT(Y96),AND(Y$4:Y95)),IF(Z96&gt;$J96,MAX(EXP((Z96-$J96)*$G96),1),MIN(EXP((Z96-$J96)*$G96),1)),"")</f>
        <v/>
      </c>
      <c r="AB96" s="108"/>
      <c r="AC96" s="72" t="b">
        <f>IF(AND(NOT(Y96),AND(Y$4:Y95)),TRUE,Y96)</f>
        <v>0</v>
      </c>
      <c r="AD96" s="34" t="e">
        <f>IF(AND(NOT(ISBLANK(Jumpoverwrite5)),AND(NOT(AC96),AND(AC$4:AC95))),($J96*$G96-LN(1+Jumpoverwrite5*AE$2))/$G96,_xll.qlInterpolationInterpolate(AC$3,$F96,TRUE))</f>
        <v>#NUM!</v>
      </c>
      <c r="AE96" s="34" t="str">
        <f>IF(AND(NOT(AC96),AND(AC$4:AC95)),IF(AD96&gt;$J96,MAX(EXP((AD96-$J96)*$G96),1),MIN(EXP((AD96-$J96)*$G96),1)),"")</f>
        <v/>
      </c>
      <c r="AF96" s="108"/>
      <c r="AG96" s="72" t="b">
        <f>IF(AND(NOT(AC96),AND(AC$4:AC95)),TRUE,AC96)</f>
        <v>0</v>
      </c>
      <c r="AH96" s="34" t="e">
        <f>IF(AND(NOT(ISBLANK(Jumpoverwrite6)),AND(NOT(AG96),AND(AG$4:AG95))),($J96*$G96-LN(1+Jumpoverwrite6*AI$2))/$G96,_xll.qlInterpolationInterpolate(AG$3,$F96,TRUE))</f>
        <v>#NUM!</v>
      </c>
      <c r="AI96" s="34" t="str">
        <f>IF(AND(NOT(AG96),AND(AG$4:AG95)),IF(AH96&gt;$J96,MAX(EXP((AH96-$J96)*$G96),1),MIN(EXP((AH96-$J96)*$G96),1)),"")</f>
        <v/>
      </c>
      <c r="AJ96" s="108"/>
      <c r="AK96" s="72" t="b">
        <f>IF(AND(NOT(AG96),AND(AG$4:AG95)),TRUE,AG96)</f>
        <v>0</v>
      </c>
      <c r="AL96" s="34" t="e">
        <f>IF(AND(NOT(ISBLANK(Jumpoverwrite7)),AND(NOT(AK96),AND(AK$4:AK95))),($J96*$G96-LN(1+Jumpoverwrite7*AM$2))/$G96,_xll.qlInterpolationInterpolate(AK$3,$F96,TRUE))</f>
        <v>#NUM!</v>
      </c>
      <c r="AM96" s="34" t="str">
        <f>IF(AND(NOT(AK96),AND(AK$4:AK95)),IF(AL96&gt;$J96,MAX(EXP((AL96-$J96)*$G96),1),MIN(EXP((AL96-$J96)*$G96),1)),"")</f>
        <v/>
      </c>
      <c r="AO96" s="72" t="b">
        <f>IF(AND(NOT(AK96),AND(AK$4:AK95)),TRUE,AK96)</f>
        <v>0</v>
      </c>
      <c r="AP96" s="34" t="e">
        <f>IF(AND(NOT(ISBLANK(Jumpoverwrite8)),AND(NOT(AO96),AND(AO$4:AO95))),($J96*$G96-LN(1+Jumpoverwrite8*AQ$2))/$G96,_xll.qlInterpolationInterpolate(AO$3,$F96,TRUE))</f>
        <v>#NUM!</v>
      </c>
      <c r="AQ96" s="34" t="str">
        <f>IF(AND(NOT(AO96),AND(AO$4:AO95)),IF(AP96&gt;$J96,MAX(EXP((AP96-$J96)*$G96),1),MIN(EXP((AP96-$J96)*$G96),1)),"")</f>
        <v/>
      </c>
      <c r="AS96" s="72" t="b">
        <f>IF(AND(NOT(AO96),AND(AO$4:AO95)),TRUE,AO96)</f>
        <v>0</v>
      </c>
      <c r="AT96" s="34" t="e">
        <f>IF(AND(NOT(ISBLANK(Jumpoverwrite9)),AND(NOT(AS96),AND(AS$4:AS95))),($J96*$G96-LN(1+Jumpoverwrite9*AU$2))/$G96,_xll.qlInterpolationInterpolate(AS$3,$F96,TRUE))</f>
        <v>#NUM!</v>
      </c>
      <c r="AU96" s="34" t="str">
        <f>IF(AND(NOT(AS96),AND(AS$4:AS95)),IF(AT96&gt;$J96,MAX(EXP((AT96-$J96)*$G96),1),MIN(EXP((AT96-$J96)*$G96),1)),"")</f>
        <v/>
      </c>
      <c r="AW96" s="72" t="b">
        <f>IF(AND(NOT(AS96),AND(AS$4:AS95)),TRUE,AS96)</f>
        <v>0</v>
      </c>
      <c r="AX96" s="34" t="e">
        <f>IF(AND(NOT(ISBLANK(Jumpoverwrite10)),AND(NOT(AW96),AND(AW$4:AW95))),($J96*$G96-LN(1+Jumpoverwrite10*AY$2))/$G96,_xll.qlInterpolationInterpolate(AW$3,$F96,TRUE))</f>
        <v>#NUM!</v>
      </c>
      <c r="AY96" s="34" t="str">
        <f>IF(AND(NOT(AW96),AND(AW$4:AW95)),IF(AX96&gt;$J96,MAX(EXP((AX96-$J96)*$G96),1),MIN(EXP((AX96-$J96)*$G96),1)),"")</f>
        <v/>
      </c>
      <c r="BA96" s="72" t="b">
        <f>IF(AND(NOT(AW96),AND(AW$4:AW95)),TRUE,AW96)</f>
        <v>0</v>
      </c>
      <c r="BB96" s="34" t="e">
        <f>IF(AND(NOT(ISBLANK(Jumpoverwrite11)),AND(NOT(BA96),AND(BA$4:BA95))),($J96*$G96-LN(1+Jumpoverwrite11*BC$2))/$G96,_xll.qlInterpolationInterpolate(BA$3,$F96,TRUE))</f>
        <v>#NUM!</v>
      </c>
      <c r="BC96" s="34" t="str">
        <f>IF(AND(NOT(BA96),AND(BA$4:BA95)),IF(BB96&gt;$J96,MAX(EXP((BB96-$J96)*$G96),1),MIN(EXP((BB96-$J96)*$G96),1)),"")</f>
        <v/>
      </c>
      <c r="BE96" s="72" t="b">
        <f>IF(AND(NOT(BA96),AND(BA$4:BA95)),TRUE,BA96)</f>
        <v>0</v>
      </c>
      <c r="BF96" s="34" t="e">
        <f>IF(AND(NOT(ISBLANK(Jumpoverwrite12)),AND(NOT(BE96),AND(BE$4:BE95))),($J96*$G96-LN(1+Jumpoverwrite12*BG$2))/$G96,_xll.qlInterpolationInterpolate(BE$3,$F96,TRUE))</f>
        <v>#NUM!</v>
      </c>
      <c r="BG96" s="34" t="str">
        <f>IF(AND(NOT(BE96),AND(BE$4:BE95)),IF(BF96&gt;$J96,MAX(EXP((BF96-$J96)*$G96),1),MIN(EXP((BF96-$J96)*$G96),1)),"")</f>
        <v/>
      </c>
      <c r="BI96" s="72" t="b">
        <f t="shared" si="6"/>
        <v>0</v>
      </c>
      <c r="BJ96" s="34" t="e">
        <f>IF(AND(NOT(ISBLANK(jumpoverwrite13)),AND(NOT(BI96),AND(BI$4:BI95))),($J96*$G96-LN(1+jumpoverwrite13*BK$2))/$G96,_xll.qlInterpolationInterpolate(BI$3,$F96,TRUE))</f>
        <v>#NUM!</v>
      </c>
      <c r="BK96" s="34" t="str">
        <f>IF(AND(NOT(BI96),AND(BI$4:BI95)),IF(BJ96&gt;$J96,MAX(EXP((BJ96-$J96)*$G96),1),MIN(EXP((BJ96-$J96)*$G96),1)),"")</f>
        <v/>
      </c>
      <c r="BM96" s="72" t="b">
        <f>IF(AND(NOT(BI96),AND(BI$4:BI95)),TRUE,BI96)</f>
        <v>0</v>
      </c>
      <c r="BN96" s="175" t="e">
        <f>IF(AND(NOT(ISBLANK(Jumpoverwrite14)),AND(NOT(BM96),AND(BM$4:BM95))),($J96*$G96-LN(1+Jumpoverwrite14*BO$2))/$G96,_xll.qlInterpolationInterpolate(BM$3,$F96,TRUE))</f>
        <v>#NUM!</v>
      </c>
      <c r="BO96" s="34" t="str">
        <f>IF(AND(NOT(BM96),AND(BM$4:BM95)),IF(BM96&gt;$J96,MAX(EXP((BM96-$J96)*$G96),1),MIN(EXP((BM96-$J96)*$G96),1)),"")</f>
        <v/>
      </c>
    </row>
    <row r="97" spans="1:67" x14ac:dyDescent="0.2">
      <c r="A97" s="33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84" t="e">
        <f t="shared" si="9"/>
        <v>#N/A</v>
      </c>
      <c r="G97" s="85" t="e">
        <f>_xll.qlDayCounterYearFraction(DayCounter,D96,D97)</f>
        <v>#NUM!</v>
      </c>
      <c r="I97" s="93" t="b">
        <f t="shared" si="7"/>
        <v>0</v>
      </c>
      <c r="J97" s="37" t="e">
        <v>#N/A</v>
      </c>
      <c r="K97" s="94" t="e">
        <f t="shared" si="8"/>
        <v>#VALUE!</v>
      </c>
      <c r="L97" s="106"/>
      <c r="M97" s="72" t="b">
        <f>IF(AND(NOT(I97),AND(I$4:I96)),TRUE,I97)</f>
        <v>0</v>
      </c>
      <c r="N97" s="34" t="e">
        <f>IF(AND(NOT(ISBLANK(Jumpoverwrite1)),AND(NOT(M97),AND(M$4:M96))),($J97*$G97-LN(1+Jumpoverwrite1*O$2))/$G97,_xll.qlInterpolationInterpolate(M$3,$F97,TRUE))</f>
        <v>#NUM!</v>
      </c>
      <c r="O97" s="34" t="str">
        <f>IF(AND(NOT(M97),AND(M$4:M96)),IF(N97&gt;$J97,MAX(EXP((N97-$J97)*$G97),1),MIN(EXP((N97-$J97)*$G97),1)),"")</f>
        <v/>
      </c>
      <c r="P97" s="108"/>
      <c r="Q97" s="72" t="b">
        <f>IF(AND(NOT(M97),AND(M$4:M96)),TRUE,M97)</f>
        <v>0</v>
      </c>
      <c r="R97" s="34" t="e">
        <f>IF(AND(NOT(ISBLANK(Jumpoverwrite2)),AND(NOT(Q97),AND(Q$4:Q96))),($J97*$G97-LN(1+Jumpoverwrite2*S$2))/$G97,_xll.qlInterpolationInterpolate(Q$3,$F97,TRUE))</f>
        <v>#NUM!</v>
      </c>
      <c r="S97" s="34" t="str">
        <f>IF(AND(NOT(Q97),AND(Q$4:Q96)),IF(R97&gt;$J97,MAX(EXP((R97-$J97)*$G97),1),MIN(EXP((R97-$J97)*$G97),1)),"")</f>
        <v/>
      </c>
      <c r="T97" s="108"/>
      <c r="U97" s="72" t="b">
        <f>IF(AND(NOT(Q97),AND(Q$4:Q96)),TRUE,Q97)</f>
        <v>0</v>
      </c>
      <c r="V97" s="34" t="e">
        <f>IF(AND(NOT(ISBLANK(Jumpoverwrite3)),AND(NOT(U97),AND(U$4:U96))),($J97*$G97-LN(1+Jumpoverwrite3*W$2))/$G97,_xll.qlInterpolationInterpolate(U$3,$F97,TRUE))</f>
        <v>#NUM!</v>
      </c>
      <c r="W97" s="34" t="str">
        <f>IF(AND(NOT(U97),AND(U$4:U96)),IF(V97&gt;$J97,MAX(EXP((V97-$J97)*$G97),1),MIN(EXP((V97-$J97)*$G97),1)),"")</f>
        <v/>
      </c>
      <c r="X97" s="108"/>
      <c r="Y97" s="72" t="b">
        <f>IF(AND(NOT(U97),AND(U$4:U96)),TRUE,U97)</f>
        <v>0</v>
      </c>
      <c r="Z97" s="34" t="e">
        <f>IF(AND(NOT(ISBLANK(Jumpoverwrite4)),AND(NOT(Y97),AND(Y$4:Y96))),($J97*$G97-LN(1+Jumpoverwrite4*AA$2))/$G97,_xll.qlInterpolationInterpolate(Y$3,$F97,TRUE))</f>
        <v>#NUM!</v>
      </c>
      <c r="AA97" s="34" t="str">
        <f>IF(AND(NOT(Y97),AND(Y$4:Y96)),IF(Z97&gt;$J97,MAX(EXP((Z97-$J97)*$G97),1),MIN(EXP((Z97-$J97)*$G97),1)),"")</f>
        <v/>
      </c>
      <c r="AB97" s="108"/>
      <c r="AC97" s="72" t="b">
        <f>IF(AND(NOT(Y97),AND(Y$4:Y96)),TRUE,Y97)</f>
        <v>0</v>
      </c>
      <c r="AD97" s="34" t="e">
        <f>IF(AND(NOT(ISBLANK(Jumpoverwrite5)),AND(NOT(AC97),AND(AC$4:AC96))),($J97*$G97-LN(1+Jumpoverwrite5*AE$2))/$G97,_xll.qlInterpolationInterpolate(AC$3,$F97,TRUE))</f>
        <v>#NUM!</v>
      </c>
      <c r="AE97" s="34" t="str">
        <f>IF(AND(NOT(AC97),AND(AC$4:AC96)),IF(AD97&gt;$J97,MAX(EXP((AD97-$J97)*$G97),1),MIN(EXP((AD97-$J97)*$G97),1)),"")</f>
        <v/>
      </c>
      <c r="AF97" s="108"/>
      <c r="AG97" s="72" t="b">
        <f>IF(AND(NOT(AC97),AND(AC$4:AC96)),TRUE,AC97)</f>
        <v>0</v>
      </c>
      <c r="AH97" s="34" t="e">
        <f>IF(AND(NOT(ISBLANK(Jumpoverwrite6)),AND(NOT(AG97),AND(AG$4:AG96))),($J97*$G97-LN(1+Jumpoverwrite6*AI$2))/$G97,_xll.qlInterpolationInterpolate(AG$3,$F97,TRUE))</f>
        <v>#NUM!</v>
      </c>
      <c r="AI97" s="34" t="str">
        <f>IF(AND(NOT(AG97),AND(AG$4:AG96)),IF(AH97&gt;$J97,MAX(EXP((AH97-$J97)*$G97),1),MIN(EXP((AH97-$J97)*$G97),1)),"")</f>
        <v/>
      </c>
      <c r="AJ97" s="108"/>
      <c r="AK97" s="72" t="b">
        <f>IF(AND(NOT(AG97),AND(AG$4:AG96)),TRUE,AG97)</f>
        <v>0</v>
      </c>
      <c r="AL97" s="34" t="e">
        <f>IF(AND(NOT(ISBLANK(Jumpoverwrite7)),AND(NOT(AK97),AND(AK$4:AK96))),($J97*$G97-LN(1+Jumpoverwrite7*AM$2))/$G97,_xll.qlInterpolationInterpolate(AK$3,$F97,TRUE))</f>
        <v>#NUM!</v>
      </c>
      <c r="AM97" s="34" t="str">
        <f>IF(AND(NOT(AK97),AND(AK$4:AK96)),IF(AL97&gt;$J97,MAX(EXP((AL97-$J97)*$G97),1),MIN(EXP((AL97-$J97)*$G97),1)),"")</f>
        <v/>
      </c>
      <c r="AO97" s="72" t="b">
        <f>IF(AND(NOT(AK97),AND(AK$4:AK96)),TRUE,AK97)</f>
        <v>0</v>
      </c>
      <c r="AP97" s="34" t="e">
        <f>IF(AND(NOT(ISBLANK(Jumpoverwrite8)),AND(NOT(AO97),AND(AO$4:AO96))),($J97*$G97-LN(1+Jumpoverwrite8*AQ$2))/$G97,_xll.qlInterpolationInterpolate(AO$3,$F97,TRUE))</f>
        <v>#NUM!</v>
      </c>
      <c r="AQ97" s="34" t="str">
        <f>IF(AND(NOT(AO97),AND(AO$4:AO96)),IF(AP97&gt;$J97,MAX(EXP((AP97-$J97)*$G97),1),MIN(EXP((AP97-$J97)*$G97),1)),"")</f>
        <v/>
      </c>
      <c r="AS97" s="72" t="b">
        <f>IF(AND(NOT(AO97),AND(AO$4:AO96)),TRUE,AO97)</f>
        <v>0</v>
      </c>
      <c r="AT97" s="34" t="e">
        <f>IF(AND(NOT(ISBLANK(Jumpoverwrite9)),AND(NOT(AS97),AND(AS$4:AS96))),($J97*$G97-LN(1+Jumpoverwrite9*AU$2))/$G97,_xll.qlInterpolationInterpolate(AS$3,$F97,TRUE))</f>
        <v>#NUM!</v>
      </c>
      <c r="AU97" s="34" t="str">
        <f>IF(AND(NOT(AS97),AND(AS$4:AS96)),IF(AT97&gt;$J97,MAX(EXP((AT97-$J97)*$G97),1),MIN(EXP((AT97-$J97)*$G97),1)),"")</f>
        <v/>
      </c>
      <c r="AW97" s="72" t="b">
        <f>IF(AND(NOT(AS97),AND(AS$4:AS96)),TRUE,AS97)</f>
        <v>0</v>
      </c>
      <c r="AX97" s="34" t="e">
        <f>IF(AND(NOT(ISBLANK(Jumpoverwrite10)),AND(NOT(AW97),AND(AW$4:AW96))),($J97*$G97-LN(1+Jumpoverwrite10*AY$2))/$G97,_xll.qlInterpolationInterpolate(AW$3,$F97,TRUE))</f>
        <v>#NUM!</v>
      </c>
      <c r="AY97" s="34" t="str">
        <f>IF(AND(NOT(AW97),AND(AW$4:AW96)),IF(AX97&gt;$J97,MAX(EXP((AX97-$J97)*$G97),1),MIN(EXP((AX97-$J97)*$G97),1)),"")</f>
        <v/>
      </c>
      <c r="BA97" s="72" t="b">
        <f>IF(AND(NOT(AW97),AND(AW$4:AW96)),TRUE,AW97)</f>
        <v>0</v>
      </c>
      <c r="BB97" s="34" t="e">
        <f>IF(AND(NOT(ISBLANK(Jumpoverwrite11)),AND(NOT(BA97),AND(BA$4:BA96))),($J97*$G97-LN(1+Jumpoverwrite11*BC$2))/$G97,_xll.qlInterpolationInterpolate(BA$3,$F97,TRUE))</f>
        <v>#NUM!</v>
      </c>
      <c r="BC97" s="34" t="str">
        <f>IF(AND(NOT(BA97),AND(BA$4:BA96)),IF(BB97&gt;$J97,MAX(EXP((BB97-$J97)*$G97),1),MIN(EXP((BB97-$J97)*$G97),1)),"")</f>
        <v/>
      </c>
      <c r="BE97" s="72" t="b">
        <f>IF(AND(NOT(BA97),AND(BA$4:BA96)),TRUE,BA97)</f>
        <v>0</v>
      </c>
      <c r="BF97" s="34" t="e">
        <f>IF(AND(NOT(ISBLANK(Jumpoverwrite12)),AND(NOT(BE97),AND(BE$4:BE96))),($J97*$G97-LN(1+Jumpoverwrite12*BG$2))/$G97,_xll.qlInterpolationInterpolate(BE$3,$F97,TRUE))</f>
        <v>#NUM!</v>
      </c>
      <c r="BG97" s="34" t="str">
        <f>IF(AND(NOT(BE97),AND(BE$4:BE96)),IF(BF97&gt;$J97,MAX(EXP((BF97-$J97)*$G97),1),MIN(EXP((BF97-$J97)*$G97),1)),"")</f>
        <v/>
      </c>
      <c r="BI97" s="72" t="b">
        <f t="shared" si="6"/>
        <v>0</v>
      </c>
      <c r="BJ97" s="34" t="e">
        <f>IF(AND(NOT(ISBLANK(jumpoverwrite13)),AND(NOT(BI97),AND(BI$4:BI96))),($J97*$G97-LN(1+jumpoverwrite13*BK$2))/$G97,_xll.qlInterpolationInterpolate(BI$3,$F97,TRUE))</f>
        <v>#NUM!</v>
      </c>
      <c r="BK97" s="34" t="str">
        <f>IF(AND(NOT(BI97),AND(BI$4:BI96)),IF(BJ97&gt;$J97,MAX(EXP((BJ97-$J97)*$G97),1),MIN(EXP((BJ97-$J97)*$G97),1)),"")</f>
        <v/>
      </c>
      <c r="BM97" s="72" t="b">
        <f>IF(AND(NOT(BI97),AND(BI$4:BI96)),TRUE,BI97)</f>
        <v>0</v>
      </c>
      <c r="BN97" s="175" t="e">
        <f>IF(AND(NOT(ISBLANK(Jumpoverwrite14)),AND(NOT(BM97),AND(BM$4:BM96))),($J97*$G97-LN(1+Jumpoverwrite14*BO$2))/$G97,_xll.qlInterpolationInterpolate(BM$3,$F97,TRUE))</f>
        <v>#NUM!</v>
      </c>
      <c r="BO97" s="34" t="str">
        <f>IF(AND(NOT(BM97),AND(BM$4:BM96)),IF(BM97&gt;$J97,MAX(EXP((BM97-$J97)*$G97),1),MIN(EXP((BM97-$J97)*$G97),1)),"")</f>
        <v/>
      </c>
    </row>
    <row r="98" spans="1:67" x14ac:dyDescent="0.2">
      <c r="A98" s="33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84" t="e">
        <f t="shared" si="9"/>
        <v>#N/A</v>
      </c>
      <c r="G98" s="85" t="e">
        <f>_xll.qlDayCounterYearFraction(DayCounter,D97,D98)</f>
        <v>#NUM!</v>
      </c>
      <c r="I98" s="93" t="b">
        <f t="shared" si="7"/>
        <v>0</v>
      </c>
      <c r="J98" s="37" t="e">
        <v>#N/A</v>
      </c>
      <c r="K98" s="94" t="e">
        <f t="shared" si="8"/>
        <v>#VALUE!</v>
      </c>
      <c r="L98" s="106"/>
      <c r="M98" s="72" t="b">
        <f>IF(AND(NOT(I98),AND(I$4:I97)),TRUE,I98)</f>
        <v>0</v>
      </c>
      <c r="N98" s="34" t="e">
        <f>IF(AND(NOT(ISBLANK(Jumpoverwrite1)),AND(NOT(M98),AND(M$4:M97))),($J98*$G98-LN(1+Jumpoverwrite1*O$2))/$G98,_xll.qlInterpolationInterpolate(M$3,$F98,TRUE))</f>
        <v>#NUM!</v>
      </c>
      <c r="O98" s="34" t="str">
        <f>IF(AND(NOT(M98),AND(M$4:M97)),IF(N98&gt;$J98,MAX(EXP((N98-$J98)*$G98),1),MIN(EXP((N98-$J98)*$G98),1)),"")</f>
        <v/>
      </c>
      <c r="P98" s="108"/>
      <c r="Q98" s="72" t="b">
        <f>IF(AND(NOT(M98),AND(M$4:M97)),TRUE,M98)</f>
        <v>0</v>
      </c>
      <c r="R98" s="34" t="e">
        <f>IF(AND(NOT(ISBLANK(Jumpoverwrite2)),AND(NOT(Q98),AND(Q$4:Q97))),($J98*$G98-LN(1+Jumpoverwrite2*S$2))/$G98,_xll.qlInterpolationInterpolate(Q$3,$F98,TRUE))</f>
        <v>#NUM!</v>
      </c>
      <c r="S98" s="34" t="str">
        <f>IF(AND(NOT(Q98),AND(Q$4:Q97)),IF(R98&gt;$J98,MAX(EXP((R98-$J98)*$G98),1),MIN(EXP((R98-$J98)*$G98),1)),"")</f>
        <v/>
      </c>
      <c r="T98" s="108"/>
      <c r="U98" s="72" t="b">
        <f>IF(AND(NOT(Q98),AND(Q$4:Q97)),TRUE,Q98)</f>
        <v>0</v>
      </c>
      <c r="V98" s="34" t="e">
        <f>IF(AND(NOT(ISBLANK(Jumpoverwrite3)),AND(NOT(U98),AND(U$4:U97))),($J98*$G98-LN(1+Jumpoverwrite3*W$2))/$G98,_xll.qlInterpolationInterpolate(U$3,$F98,TRUE))</f>
        <v>#NUM!</v>
      </c>
      <c r="W98" s="34" t="str">
        <f>IF(AND(NOT(U98),AND(U$4:U97)),IF(V98&gt;$J98,MAX(EXP((V98-$J98)*$G98),1),MIN(EXP((V98-$J98)*$G98),1)),"")</f>
        <v/>
      </c>
      <c r="X98" s="108"/>
      <c r="Y98" s="72" t="b">
        <f>IF(AND(NOT(U98),AND(U$4:U97)),TRUE,U98)</f>
        <v>0</v>
      </c>
      <c r="Z98" s="34" t="e">
        <f>IF(AND(NOT(ISBLANK(Jumpoverwrite4)),AND(NOT(Y98),AND(Y$4:Y97))),($J98*$G98-LN(1+Jumpoverwrite4*AA$2))/$G98,_xll.qlInterpolationInterpolate(Y$3,$F98,TRUE))</f>
        <v>#NUM!</v>
      </c>
      <c r="AA98" s="34" t="str">
        <f>IF(AND(NOT(Y98),AND(Y$4:Y97)),IF(Z98&gt;$J98,MAX(EXP((Z98-$J98)*$G98),1),MIN(EXP((Z98-$J98)*$G98),1)),"")</f>
        <v/>
      </c>
      <c r="AB98" s="108"/>
      <c r="AC98" s="72" t="b">
        <f>IF(AND(NOT(Y98),AND(Y$4:Y97)),TRUE,Y98)</f>
        <v>0</v>
      </c>
      <c r="AD98" s="34" t="e">
        <f>IF(AND(NOT(ISBLANK(Jumpoverwrite5)),AND(NOT(AC98),AND(AC$4:AC97))),($J98*$G98-LN(1+Jumpoverwrite5*AE$2))/$G98,_xll.qlInterpolationInterpolate(AC$3,$F98,TRUE))</f>
        <v>#NUM!</v>
      </c>
      <c r="AE98" s="34" t="str">
        <f>IF(AND(NOT(AC98),AND(AC$4:AC97)),IF(AD98&gt;$J98,MAX(EXP((AD98-$J98)*$G98),1),MIN(EXP((AD98-$J98)*$G98),1)),"")</f>
        <v/>
      </c>
      <c r="AF98" s="108"/>
      <c r="AG98" s="72" t="b">
        <f>IF(AND(NOT(AC98),AND(AC$4:AC97)),TRUE,AC98)</f>
        <v>0</v>
      </c>
      <c r="AH98" s="34" t="e">
        <f>IF(AND(NOT(ISBLANK(Jumpoverwrite6)),AND(NOT(AG98),AND(AG$4:AG97))),($J98*$G98-LN(1+Jumpoverwrite6*AI$2))/$G98,_xll.qlInterpolationInterpolate(AG$3,$F98,TRUE))</f>
        <v>#NUM!</v>
      </c>
      <c r="AI98" s="34" t="str">
        <f>IF(AND(NOT(AG98),AND(AG$4:AG97)),IF(AH98&gt;$J98,MAX(EXP((AH98-$J98)*$G98),1),MIN(EXP((AH98-$J98)*$G98),1)),"")</f>
        <v/>
      </c>
      <c r="AJ98" s="108"/>
      <c r="AK98" s="72" t="b">
        <f>IF(AND(NOT(AG98),AND(AG$4:AG97)),TRUE,AG98)</f>
        <v>0</v>
      </c>
      <c r="AL98" s="34" t="e">
        <f>IF(AND(NOT(ISBLANK(Jumpoverwrite7)),AND(NOT(AK98),AND(AK$4:AK97))),($J98*$G98-LN(1+Jumpoverwrite7*AM$2))/$G98,_xll.qlInterpolationInterpolate(AK$3,$F98,TRUE))</f>
        <v>#NUM!</v>
      </c>
      <c r="AM98" s="34" t="str">
        <f>IF(AND(NOT(AK98),AND(AK$4:AK97)),IF(AL98&gt;$J98,MAX(EXP((AL98-$J98)*$G98),1),MIN(EXP((AL98-$J98)*$G98),1)),"")</f>
        <v/>
      </c>
      <c r="AO98" s="72" t="b">
        <f>IF(AND(NOT(AK98),AND(AK$4:AK97)),TRUE,AK98)</f>
        <v>0</v>
      </c>
      <c r="AP98" s="34" t="e">
        <f>IF(AND(NOT(ISBLANK(Jumpoverwrite8)),AND(NOT(AO98),AND(AO$4:AO97))),($J98*$G98-LN(1+Jumpoverwrite8*AQ$2))/$G98,_xll.qlInterpolationInterpolate(AO$3,$F98,TRUE))</f>
        <v>#NUM!</v>
      </c>
      <c r="AQ98" s="34" t="str">
        <f>IF(AND(NOT(AO98),AND(AO$4:AO97)),IF(AP98&gt;$J98,MAX(EXP((AP98-$J98)*$G98),1),MIN(EXP((AP98-$J98)*$G98),1)),"")</f>
        <v/>
      </c>
      <c r="AS98" s="72" t="b">
        <f>IF(AND(NOT(AO98),AND(AO$4:AO97)),TRUE,AO98)</f>
        <v>0</v>
      </c>
      <c r="AT98" s="34" t="e">
        <f>IF(AND(NOT(ISBLANK(Jumpoverwrite9)),AND(NOT(AS98),AND(AS$4:AS97))),($J98*$G98-LN(1+Jumpoverwrite9*AU$2))/$G98,_xll.qlInterpolationInterpolate(AS$3,$F98,TRUE))</f>
        <v>#NUM!</v>
      </c>
      <c r="AU98" s="34" t="str">
        <f>IF(AND(NOT(AS98),AND(AS$4:AS97)),IF(AT98&gt;$J98,MAX(EXP((AT98-$J98)*$G98),1),MIN(EXP((AT98-$J98)*$G98),1)),"")</f>
        <v/>
      </c>
      <c r="AW98" s="72" t="b">
        <f>IF(AND(NOT(AS98),AND(AS$4:AS97)),TRUE,AS98)</f>
        <v>0</v>
      </c>
      <c r="AX98" s="34" t="e">
        <f>IF(AND(NOT(ISBLANK(Jumpoverwrite10)),AND(NOT(AW98),AND(AW$4:AW97))),($J98*$G98-LN(1+Jumpoverwrite10*AY$2))/$G98,_xll.qlInterpolationInterpolate(AW$3,$F98,TRUE))</f>
        <v>#NUM!</v>
      </c>
      <c r="AY98" s="34" t="str">
        <f>IF(AND(NOT(AW98),AND(AW$4:AW97)),IF(AX98&gt;$J98,MAX(EXP((AX98-$J98)*$G98),1),MIN(EXP((AX98-$J98)*$G98),1)),"")</f>
        <v/>
      </c>
      <c r="BA98" s="72" t="b">
        <f>IF(AND(NOT(AW98),AND(AW$4:AW97)),TRUE,AW98)</f>
        <v>0</v>
      </c>
      <c r="BB98" s="34" t="e">
        <f>IF(AND(NOT(ISBLANK(Jumpoverwrite11)),AND(NOT(BA98),AND(BA$4:BA97))),($J98*$G98-LN(1+Jumpoverwrite11*BC$2))/$G98,_xll.qlInterpolationInterpolate(BA$3,$F98,TRUE))</f>
        <v>#NUM!</v>
      </c>
      <c r="BC98" s="34" t="str">
        <f>IF(AND(NOT(BA98),AND(BA$4:BA97)),IF(BB98&gt;$J98,MAX(EXP((BB98-$J98)*$G98),1),MIN(EXP((BB98-$J98)*$G98),1)),"")</f>
        <v/>
      </c>
      <c r="BE98" s="72" t="b">
        <f>IF(AND(NOT(BA98),AND(BA$4:BA97)),TRUE,BA98)</f>
        <v>0</v>
      </c>
      <c r="BF98" s="34" t="e">
        <f>IF(AND(NOT(ISBLANK(Jumpoverwrite12)),AND(NOT(BE98),AND(BE$4:BE97))),($J98*$G98-LN(1+Jumpoverwrite12*BG$2))/$G98,_xll.qlInterpolationInterpolate(BE$3,$F98,TRUE))</f>
        <v>#NUM!</v>
      </c>
      <c r="BG98" s="34" t="str">
        <f>IF(AND(NOT(BE98),AND(BE$4:BE97)),IF(BF98&gt;$J98,MAX(EXP((BF98-$J98)*$G98),1),MIN(EXP((BF98-$J98)*$G98),1)),"")</f>
        <v/>
      </c>
      <c r="BI98" s="72" t="b">
        <f t="shared" si="6"/>
        <v>0</v>
      </c>
      <c r="BJ98" s="34" t="e">
        <f>IF(AND(NOT(ISBLANK(jumpoverwrite13)),AND(NOT(BI98),AND(BI$4:BI97))),($J98*$G98-LN(1+jumpoverwrite13*BK$2))/$G98,_xll.qlInterpolationInterpolate(BI$3,$F98,TRUE))</f>
        <v>#NUM!</v>
      </c>
      <c r="BK98" s="34" t="str">
        <f>IF(AND(NOT(BI98),AND(BI$4:BI97)),IF(BJ98&gt;$J98,MAX(EXP((BJ98-$J98)*$G98),1),MIN(EXP((BJ98-$J98)*$G98),1)),"")</f>
        <v/>
      </c>
      <c r="BM98" s="72" t="b">
        <f>IF(AND(NOT(BI98),AND(BI$4:BI97)),TRUE,BI98)</f>
        <v>0</v>
      </c>
      <c r="BN98" s="175" t="e">
        <f>IF(AND(NOT(ISBLANK(Jumpoverwrite14)),AND(NOT(BM98),AND(BM$4:BM97))),($J98*$G98-LN(1+Jumpoverwrite14*BO$2))/$G98,_xll.qlInterpolationInterpolate(BM$3,$F98,TRUE))</f>
        <v>#NUM!</v>
      </c>
      <c r="BO98" s="34" t="str">
        <f>IF(AND(NOT(BM98),AND(BM$4:BM97)),IF(BM98&gt;$J98,MAX(EXP((BM98-$J98)*$G98),1),MIN(EXP((BM98-$J98)*$G98),1)),"")</f>
        <v/>
      </c>
    </row>
    <row r="99" spans="1:67" x14ac:dyDescent="0.2">
      <c r="A99" s="33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84" t="e">
        <f t="shared" si="9"/>
        <v>#N/A</v>
      </c>
      <c r="G99" s="85" t="e">
        <f>_xll.qlDayCounterYearFraction(DayCounter,D98,D99)</f>
        <v>#NUM!</v>
      </c>
      <c r="I99" s="93" t="b">
        <f t="shared" si="7"/>
        <v>0</v>
      </c>
      <c r="J99" s="37" t="e">
        <v>#N/A</v>
      </c>
      <c r="K99" s="94" t="e">
        <f t="shared" si="8"/>
        <v>#VALUE!</v>
      </c>
      <c r="L99" s="106"/>
      <c r="M99" s="72" t="b">
        <f>IF(AND(NOT(I99),AND(I$4:I98)),TRUE,I99)</f>
        <v>0</v>
      </c>
      <c r="N99" s="34" t="e">
        <f>IF(AND(NOT(ISBLANK(Jumpoverwrite1)),AND(NOT(M99),AND(M$4:M98))),($J99*$G99-LN(1+Jumpoverwrite1*O$2))/$G99,_xll.qlInterpolationInterpolate(M$3,$F99,TRUE))</f>
        <v>#NUM!</v>
      </c>
      <c r="O99" s="34" t="str">
        <f>IF(AND(NOT(M99),AND(M$4:M98)),IF(N99&gt;$J99,MAX(EXP((N99-$J99)*$G99),1),MIN(EXP((N99-$J99)*$G99),1)),"")</f>
        <v/>
      </c>
      <c r="P99" s="108"/>
      <c r="Q99" s="72" t="b">
        <f>IF(AND(NOT(M99),AND(M$4:M98)),TRUE,M99)</f>
        <v>0</v>
      </c>
      <c r="R99" s="34" t="e">
        <f>IF(AND(NOT(ISBLANK(Jumpoverwrite2)),AND(NOT(Q99),AND(Q$4:Q98))),($J99*$G99-LN(1+Jumpoverwrite2*S$2))/$G99,_xll.qlInterpolationInterpolate(Q$3,$F99,TRUE))</f>
        <v>#NUM!</v>
      </c>
      <c r="S99" s="34" t="str">
        <f>IF(AND(NOT(Q99),AND(Q$4:Q98)),IF(R99&gt;$J99,MAX(EXP((R99-$J99)*$G99),1),MIN(EXP((R99-$J99)*$G99),1)),"")</f>
        <v/>
      </c>
      <c r="T99" s="108"/>
      <c r="U99" s="72" t="b">
        <f>IF(AND(NOT(Q99),AND(Q$4:Q98)),TRUE,Q99)</f>
        <v>0</v>
      </c>
      <c r="V99" s="34" t="e">
        <f>IF(AND(NOT(ISBLANK(Jumpoverwrite3)),AND(NOT(U99),AND(U$4:U98))),($J99*$G99-LN(1+Jumpoverwrite3*W$2))/$G99,_xll.qlInterpolationInterpolate(U$3,$F99,TRUE))</f>
        <v>#NUM!</v>
      </c>
      <c r="W99" s="34" t="str">
        <f>IF(AND(NOT(U99),AND(U$4:U98)),IF(V99&gt;$J99,MAX(EXP((V99-$J99)*$G99),1),MIN(EXP((V99-$J99)*$G99),1)),"")</f>
        <v/>
      </c>
      <c r="X99" s="108"/>
      <c r="Y99" s="72" t="b">
        <f>IF(AND(NOT(U99),AND(U$4:U98)),TRUE,U99)</f>
        <v>0</v>
      </c>
      <c r="Z99" s="34" t="e">
        <f>IF(AND(NOT(ISBLANK(Jumpoverwrite4)),AND(NOT(Y99),AND(Y$4:Y98))),($J99*$G99-LN(1+Jumpoverwrite4*AA$2))/$G99,_xll.qlInterpolationInterpolate(Y$3,$F99,TRUE))</f>
        <v>#NUM!</v>
      </c>
      <c r="AA99" s="34" t="str">
        <f>IF(AND(NOT(Y99),AND(Y$4:Y98)),IF(Z99&gt;$J99,MAX(EXP((Z99-$J99)*$G99),1),MIN(EXP((Z99-$J99)*$G99),1)),"")</f>
        <v/>
      </c>
      <c r="AB99" s="108"/>
      <c r="AC99" s="72" t="b">
        <f>IF(AND(NOT(Y99),AND(Y$4:Y98)),TRUE,Y99)</f>
        <v>0</v>
      </c>
      <c r="AD99" s="34" t="e">
        <f>IF(AND(NOT(ISBLANK(Jumpoverwrite5)),AND(NOT(AC99),AND(AC$4:AC98))),($J99*$G99-LN(1+Jumpoverwrite5*AE$2))/$G99,_xll.qlInterpolationInterpolate(AC$3,$F99,TRUE))</f>
        <v>#NUM!</v>
      </c>
      <c r="AE99" s="34" t="str">
        <f>IF(AND(NOT(AC99),AND(AC$4:AC98)),IF(AD99&gt;$J99,MAX(EXP((AD99-$J99)*$G99),1),MIN(EXP((AD99-$J99)*$G99),1)),"")</f>
        <v/>
      </c>
      <c r="AF99" s="108"/>
      <c r="AG99" s="72" t="b">
        <f>IF(AND(NOT(AC99),AND(AC$4:AC98)),TRUE,AC99)</f>
        <v>0</v>
      </c>
      <c r="AH99" s="34" t="e">
        <f>IF(AND(NOT(ISBLANK(Jumpoverwrite6)),AND(NOT(AG99),AND(AG$4:AG98))),($J99*$G99-LN(1+Jumpoverwrite6*AI$2))/$G99,_xll.qlInterpolationInterpolate(AG$3,$F99,TRUE))</f>
        <v>#NUM!</v>
      </c>
      <c r="AI99" s="34" t="str">
        <f>IF(AND(NOT(AG99),AND(AG$4:AG98)),IF(AH99&gt;$J99,MAX(EXP((AH99-$J99)*$G99),1),MIN(EXP((AH99-$J99)*$G99),1)),"")</f>
        <v/>
      </c>
      <c r="AJ99" s="108"/>
      <c r="AK99" s="72" t="b">
        <f>IF(AND(NOT(AG99),AND(AG$4:AG98)),TRUE,AG99)</f>
        <v>0</v>
      </c>
      <c r="AL99" s="34" t="e">
        <f>IF(AND(NOT(ISBLANK(Jumpoverwrite7)),AND(NOT(AK99),AND(AK$4:AK98))),($J99*$G99-LN(1+Jumpoverwrite7*AM$2))/$G99,_xll.qlInterpolationInterpolate(AK$3,$F99,TRUE))</f>
        <v>#NUM!</v>
      </c>
      <c r="AM99" s="34" t="str">
        <f>IF(AND(NOT(AK99),AND(AK$4:AK98)),IF(AL99&gt;$J99,MAX(EXP((AL99-$J99)*$G99),1),MIN(EXP((AL99-$J99)*$G99),1)),"")</f>
        <v/>
      </c>
      <c r="AO99" s="72" t="b">
        <f>IF(AND(NOT(AK99),AND(AK$4:AK98)),TRUE,AK99)</f>
        <v>0</v>
      </c>
      <c r="AP99" s="34" t="e">
        <f>IF(AND(NOT(ISBLANK(Jumpoverwrite8)),AND(NOT(AO99),AND(AO$4:AO98))),($J99*$G99-LN(1+Jumpoverwrite8*AQ$2))/$G99,_xll.qlInterpolationInterpolate(AO$3,$F99,TRUE))</f>
        <v>#NUM!</v>
      </c>
      <c r="AQ99" s="34" t="str">
        <f>IF(AND(NOT(AO99),AND(AO$4:AO98)),IF(AP99&gt;$J99,MAX(EXP((AP99-$J99)*$G99),1),MIN(EXP((AP99-$J99)*$G99),1)),"")</f>
        <v/>
      </c>
      <c r="AS99" s="72" t="b">
        <f>IF(AND(NOT(AO99),AND(AO$4:AO98)),TRUE,AO99)</f>
        <v>0</v>
      </c>
      <c r="AT99" s="34" t="e">
        <f>IF(AND(NOT(ISBLANK(Jumpoverwrite9)),AND(NOT(AS99),AND(AS$4:AS98))),($J99*$G99-LN(1+Jumpoverwrite9*AU$2))/$G99,_xll.qlInterpolationInterpolate(AS$3,$F99,TRUE))</f>
        <v>#NUM!</v>
      </c>
      <c r="AU99" s="34" t="str">
        <f>IF(AND(NOT(AS99),AND(AS$4:AS98)),IF(AT99&gt;$J99,MAX(EXP((AT99-$J99)*$G99),1),MIN(EXP((AT99-$J99)*$G99),1)),"")</f>
        <v/>
      </c>
      <c r="AW99" s="72" t="b">
        <f>IF(AND(NOT(AS99),AND(AS$4:AS98)),TRUE,AS99)</f>
        <v>0</v>
      </c>
      <c r="AX99" s="34" t="e">
        <f>IF(AND(NOT(ISBLANK(Jumpoverwrite10)),AND(NOT(AW99),AND(AW$4:AW98))),($J99*$G99-LN(1+Jumpoverwrite10*AY$2))/$G99,_xll.qlInterpolationInterpolate(AW$3,$F99,TRUE))</f>
        <v>#NUM!</v>
      </c>
      <c r="AY99" s="34" t="str">
        <f>IF(AND(NOT(AW99),AND(AW$4:AW98)),IF(AX99&gt;$J99,MAX(EXP((AX99-$J99)*$G99),1),MIN(EXP((AX99-$J99)*$G99),1)),"")</f>
        <v/>
      </c>
      <c r="BA99" s="72" t="b">
        <f>IF(AND(NOT(AW99),AND(AW$4:AW98)),TRUE,AW99)</f>
        <v>0</v>
      </c>
      <c r="BB99" s="34" t="e">
        <f>IF(AND(NOT(ISBLANK(Jumpoverwrite11)),AND(NOT(BA99),AND(BA$4:BA98))),($J99*$G99-LN(1+Jumpoverwrite11*BC$2))/$G99,_xll.qlInterpolationInterpolate(BA$3,$F99,TRUE))</f>
        <v>#NUM!</v>
      </c>
      <c r="BC99" s="34" t="str">
        <f>IF(AND(NOT(BA99),AND(BA$4:BA98)),IF(BB99&gt;$J99,MAX(EXP((BB99-$J99)*$G99),1),MIN(EXP((BB99-$J99)*$G99),1)),"")</f>
        <v/>
      </c>
      <c r="BE99" s="72" t="b">
        <f>IF(AND(NOT(BA99),AND(BA$4:BA98)),TRUE,BA99)</f>
        <v>0</v>
      </c>
      <c r="BF99" s="34" t="e">
        <f>IF(AND(NOT(ISBLANK(Jumpoverwrite12)),AND(NOT(BE99),AND(BE$4:BE98))),($J99*$G99-LN(1+Jumpoverwrite12*BG$2))/$G99,_xll.qlInterpolationInterpolate(BE$3,$F99,TRUE))</f>
        <v>#NUM!</v>
      </c>
      <c r="BG99" s="34" t="str">
        <f>IF(AND(NOT(BE99),AND(BE$4:BE98)),IF(BF99&gt;$J99,MAX(EXP((BF99-$J99)*$G99),1),MIN(EXP((BF99-$J99)*$G99),1)),"")</f>
        <v/>
      </c>
      <c r="BI99" s="72" t="b">
        <f t="shared" si="6"/>
        <v>0</v>
      </c>
      <c r="BJ99" s="34" t="e">
        <f>IF(AND(NOT(ISBLANK(jumpoverwrite13)),AND(NOT(BI99),AND(BI$4:BI98))),($J99*$G99-LN(1+jumpoverwrite13*BK$2))/$G99,_xll.qlInterpolationInterpolate(BI$3,$F99,TRUE))</f>
        <v>#NUM!</v>
      </c>
      <c r="BK99" s="34" t="str">
        <f>IF(AND(NOT(BI99),AND(BI$4:BI98)),IF(BJ99&gt;$J99,MAX(EXP((BJ99-$J99)*$G99),1),MIN(EXP((BJ99-$J99)*$G99),1)),"")</f>
        <v/>
      </c>
      <c r="BM99" s="72" t="b">
        <f>IF(AND(NOT(BI99),AND(BI$4:BI98)),TRUE,BI99)</f>
        <v>0</v>
      </c>
      <c r="BN99" s="175" t="e">
        <f>IF(AND(NOT(ISBLANK(Jumpoverwrite14)),AND(NOT(BM99),AND(BM$4:BM98))),($J99*$G99-LN(1+Jumpoverwrite14*BO$2))/$G99,_xll.qlInterpolationInterpolate(BM$3,$F99,TRUE))</f>
        <v>#NUM!</v>
      </c>
      <c r="BO99" s="34" t="str">
        <f>IF(AND(NOT(BM99),AND(BM$4:BM98)),IF(BM99&gt;$J99,MAX(EXP((BM99-$J99)*$G99),1),MIN(EXP((BM99-$J99)*$G99),1)),"")</f>
        <v/>
      </c>
    </row>
    <row r="100" spans="1:67" x14ac:dyDescent="0.2">
      <c r="A100" s="33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84" t="e">
        <f t="shared" si="9"/>
        <v>#N/A</v>
      </c>
      <c r="G100" s="85" t="e">
        <f>_xll.qlDayCounterYearFraction(DayCounter,D99,D100)</f>
        <v>#NUM!</v>
      </c>
      <c r="I100" s="93" t="b">
        <f t="shared" si="7"/>
        <v>0</v>
      </c>
      <c r="J100" s="37" t="e">
        <v>#N/A</v>
      </c>
      <c r="K100" s="94" t="e">
        <f t="shared" si="8"/>
        <v>#VALUE!</v>
      </c>
      <c r="L100" s="106"/>
      <c r="M100" s="72" t="b">
        <f>IF(AND(NOT(I100),AND(I$4:I99)),TRUE,I100)</f>
        <v>0</v>
      </c>
      <c r="N100" s="34" t="e">
        <f>IF(AND(NOT(ISBLANK(Jumpoverwrite1)),AND(NOT(M100),AND(M$4:M99))),($J100*$G100-LN(1+Jumpoverwrite1*O$2))/$G100,_xll.qlInterpolationInterpolate(M$3,$F100,TRUE))</f>
        <v>#NUM!</v>
      </c>
      <c r="O100" s="34" t="str">
        <f>IF(AND(NOT(M100),AND(M$4:M99)),IF(N100&gt;$J100,MAX(EXP((N100-$J100)*$G100),1),MIN(EXP((N100-$J100)*$G100),1)),"")</f>
        <v/>
      </c>
      <c r="P100" s="108"/>
      <c r="Q100" s="72" t="b">
        <f>IF(AND(NOT(M100),AND(M$4:M99)),TRUE,M100)</f>
        <v>0</v>
      </c>
      <c r="R100" s="34" t="e">
        <f>IF(AND(NOT(ISBLANK(Jumpoverwrite2)),AND(NOT(Q100),AND(Q$4:Q99))),($J100*$G100-LN(1+Jumpoverwrite2*S$2))/$G100,_xll.qlInterpolationInterpolate(Q$3,$F100,TRUE))</f>
        <v>#NUM!</v>
      </c>
      <c r="S100" s="34" t="str">
        <f>IF(AND(NOT(Q100),AND(Q$4:Q99)),IF(R100&gt;$J100,MAX(EXP((R100-$J100)*$G100),1),MIN(EXP((R100-$J100)*$G100),1)),"")</f>
        <v/>
      </c>
      <c r="T100" s="108"/>
      <c r="U100" s="72" t="b">
        <f>IF(AND(NOT(Q100),AND(Q$4:Q99)),TRUE,Q100)</f>
        <v>0</v>
      </c>
      <c r="V100" s="34" t="e">
        <f>IF(AND(NOT(ISBLANK(Jumpoverwrite3)),AND(NOT(U100),AND(U$4:U99))),($J100*$G100-LN(1+Jumpoverwrite3*W$2))/$G100,_xll.qlInterpolationInterpolate(U$3,$F100,TRUE))</f>
        <v>#NUM!</v>
      </c>
      <c r="W100" s="34" t="str">
        <f>IF(AND(NOT(U100),AND(U$4:U99)),IF(V100&gt;$J100,MAX(EXP((V100-$J100)*$G100),1),MIN(EXP((V100-$J100)*$G100),1)),"")</f>
        <v/>
      </c>
      <c r="X100" s="108"/>
      <c r="Y100" s="72" t="b">
        <f>IF(AND(NOT(U100),AND(U$4:U99)),TRUE,U100)</f>
        <v>0</v>
      </c>
      <c r="Z100" s="34" t="e">
        <f>IF(AND(NOT(ISBLANK(Jumpoverwrite4)),AND(NOT(Y100),AND(Y$4:Y99))),($J100*$G100-LN(1+Jumpoverwrite4*AA$2))/$G100,_xll.qlInterpolationInterpolate(Y$3,$F100,TRUE))</f>
        <v>#NUM!</v>
      </c>
      <c r="AA100" s="34" t="str">
        <f>IF(AND(NOT(Y100),AND(Y$4:Y99)),IF(Z100&gt;$J100,MAX(EXP((Z100-$J100)*$G100),1),MIN(EXP((Z100-$J100)*$G100),1)),"")</f>
        <v/>
      </c>
      <c r="AB100" s="108"/>
      <c r="AC100" s="72" t="b">
        <f>IF(AND(NOT(Y100),AND(Y$4:Y99)),TRUE,Y100)</f>
        <v>0</v>
      </c>
      <c r="AD100" s="34" t="e">
        <f>IF(AND(NOT(ISBLANK(Jumpoverwrite5)),AND(NOT(AC100),AND(AC$4:AC99))),($J100*$G100-LN(1+Jumpoverwrite5*AE$2))/$G100,_xll.qlInterpolationInterpolate(AC$3,$F100,TRUE))</f>
        <v>#NUM!</v>
      </c>
      <c r="AE100" s="34" t="str">
        <f>IF(AND(NOT(AC100),AND(AC$4:AC99)),IF(AD100&gt;$J100,MAX(EXP((AD100-$J100)*$G100),1),MIN(EXP((AD100-$J100)*$G100),1)),"")</f>
        <v/>
      </c>
      <c r="AF100" s="108"/>
      <c r="AG100" s="72" t="b">
        <f>IF(AND(NOT(AC100),AND(AC$4:AC99)),TRUE,AC100)</f>
        <v>0</v>
      </c>
      <c r="AH100" s="34" t="e">
        <f>IF(AND(NOT(ISBLANK(Jumpoverwrite6)),AND(NOT(AG100),AND(AG$4:AG99))),($J100*$G100-LN(1+Jumpoverwrite6*AI$2))/$G100,_xll.qlInterpolationInterpolate(AG$3,$F100,TRUE))</f>
        <v>#NUM!</v>
      </c>
      <c r="AI100" s="34" t="str">
        <f>IF(AND(NOT(AG100),AND(AG$4:AG99)),IF(AH100&gt;$J100,MAX(EXP((AH100-$J100)*$G100),1),MIN(EXP((AH100-$J100)*$G100),1)),"")</f>
        <v/>
      </c>
      <c r="AJ100" s="108"/>
      <c r="AK100" s="72" t="b">
        <f>IF(AND(NOT(AG100),AND(AG$4:AG99)),TRUE,AG100)</f>
        <v>0</v>
      </c>
      <c r="AL100" s="34" t="e">
        <f>IF(AND(NOT(ISBLANK(Jumpoverwrite7)),AND(NOT(AK100),AND(AK$4:AK99))),($J100*$G100-LN(1+Jumpoverwrite7*AM$2))/$G100,_xll.qlInterpolationInterpolate(AK$3,$F100,TRUE))</f>
        <v>#NUM!</v>
      </c>
      <c r="AM100" s="34" t="str">
        <f>IF(AND(NOT(AK100),AND(AK$4:AK99)),IF(AL100&gt;$J100,MAX(EXP((AL100-$J100)*$G100),1),MIN(EXP((AL100-$J100)*$G100),1)),"")</f>
        <v/>
      </c>
      <c r="AO100" s="72" t="b">
        <f>IF(AND(NOT(AK100),AND(AK$4:AK99)),TRUE,AK100)</f>
        <v>0</v>
      </c>
      <c r="AP100" s="34" t="e">
        <f>IF(AND(NOT(ISBLANK(Jumpoverwrite8)),AND(NOT(AO100),AND(AO$4:AO99))),($J100*$G100-LN(1+Jumpoverwrite8*AQ$2))/$G100,_xll.qlInterpolationInterpolate(AO$3,$F100,TRUE))</f>
        <v>#NUM!</v>
      </c>
      <c r="AQ100" s="34" t="str">
        <f>IF(AND(NOT(AO100),AND(AO$4:AO99)),IF(AP100&gt;$J100,MAX(EXP((AP100-$J100)*$G100),1),MIN(EXP((AP100-$J100)*$G100),1)),"")</f>
        <v/>
      </c>
      <c r="AS100" s="72" t="b">
        <f>IF(AND(NOT(AO100),AND(AO$4:AO99)),TRUE,AO100)</f>
        <v>0</v>
      </c>
      <c r="AT100" s="34" t="e">
        <f>IF(AND(NOT(ISBLANK(Jumpoverwrite9)),AND(NOT(AS100),AND(AS$4:AS99))),($J100*$G100-LN(1+Jumpoverwrite9*AU$2))/$G100,_xll.qlInterpolationInterpolate(AS$3,$F100,TRUE))</f>
        <v>#NUM!</v>
      </c>
      <c r="AU100" s="34" t="str">
        <f>IF(AND(NOT(AS100),AND(AS$4:AS99)),IF(AT100&gt;$J100,MAX(EXP((AT100-$J100)*$G100),1),MIN(EXP((AT100-$J100)*$G100),1)),"")</f>
        <v/>
      </c>
      <c r="AW100" s="72" t="b">
        <f>IF(AND(NOT(AS100),AND(AS$4:AS99)),TRUE,AS100)</f>
        <v>0</v>
      </c>
      <c r="AX100" s="34" t="e">
        <f>IF(AND(NOT(ISBLANK(Jumpoverwrite10)),AND(NOT(AW100),AND(AW$4:AW99))),($J100*$G100-LN(1+Jumpoverwrite10*AY$2))/$G100,_xll.qlInterpolationInterpolate(AW$3,$F100,TRUE))</f>
        <v>#NUM!</v>
      </c>
      <c r="AY100" s="34" t="str">
        <f>IF(AND(NOT(AW100),AND(AW$4:AW99)),IF(AX100&gt;$J100,MAX(EXP((AX100-$J100)*$G100),1),MIN(EXP((AX100-$J100)*$G100),1)),"")</f>
        <v/>
      </c>
      <c r="BA100" s="72" t="b">
        <f>IF(AND(NOT(AW100),AND(AW$4:AW99)),TRUE,AW100)</f>
        <v>0</v>
      </c>
      <c r="BB100" s="34" t="e">
        <f>IF(AND(NOT(ISBLANK(Jumpoverwrite11)),AND(NOT(BA100),AND(BA$4:BA99))),($J100*$G100-LN(1+Jumpoverwrite11*BC$2))/$G100,_xll.qlInterpolationInterpolate(BA$3,$F100,TRUE))</f>
        <v>#NUM!</v>
      </c>
      <c r="BC100" s="34" t="str">
        <f>IF(AND(NOT(BA100),AND(BA$4:BA99)),IF(BB100&gt;$J100,MAX(EXP((BB100-$J100)*$G100),1),MIN(EXP((BB100-$J100)*$G100),1)),"")</f>
        <v/>
      </c>
      <c r="BE100" s="72" t="b">
        <f>IF(AND(NOT(BA100),AND(BA$4:BA99)),TRUE,BA100)</f>
        <v>0</v>
      </c>
      <c r="BF100" s="34" t="e">
        <f>IF(AND(NOT(ISBLANK(Jumpoverwrite12)),AND(NOT(BE100),AND(BE$4:BE99))),($J100*$G100-LN(1+Jumpoverwrite12*BG$2))/$G100,_xll.qlInterpolationInterpolate(BE$3,$F100,TRUE))</f>
        <v>#NUM!</v>
      </c>
      <c r="BG100" s="34" t="str">
        <f>IF(AND(NOT(BE100),AND(BE$4:BE99)),IF(BF100&gt;$J100,MAX(EXP((BF100-$J100)*$G100),1),MIN(EXP((BF100-$J100)*$G100),1)),"")</f>
        <v/>
      </c>
      <c r="BI100" s="72" t="b">
        <f t="shared" si="6"/>
        <v>0</v>
      </c>
      <c r="BJ100" s="34" t="e">
        <f>IF(AND(NOT(ISBLANK(jumpoverwrite13)),AND(NOT(BI100),AND(BI$4:BI99))),($J100*$G100-LN(1+jumpoverwrite13*BK$2))/$G100,_xll.qlInterpolationInterpolate(BI$3,$F100,TRUE))</f>
        <v>#NUM!</v>
      </c>
      <c r="BK100" s="34" t="str">
        <f>IF(AND(NOT(BI100),AND(BI$4:BI99)),IF(BJ100&gt;$J100,MAX(EXP((BJ100-$J100)*$G100),1),MIN(EXP((BJ100-$J100)*$G100),1)),"")</f>
        <v/>
      </c>
      <c r="BM100" s="72" t="b">
        <f>IF(AND(NOT(BI100),AND(BI$4:BI99)),TRUE,BI100)</f>
        <v>0</v>
      </c>
      <c r="BN100" s="175" t="e">
        <f>IF(AND(NOT(ISBLANK(Jumpoverwrite14)),AND(NOT(BM100),AND(BM$4:BM99))),($J100*$G100-LN(1+Jumpoverwrite14*BO$2))/$G100,_xll.qlInterpolationInterpolate(BM$3,$F100,TRUE))</f>
        <v>#NUM!</v>
      </c>
      <c r="BO100" s="34" t="str">
        <f>IF(AND(NOT(BM100),AND(BM$4:BM99)),IF(BM100&gt;$J100,MAX(EXP((BM100-$J100)*$G100),1),MIN(EXP((BM100-$J100)*$G100),1)),"")</f>
        <v/>
      </c>
    </row>
    <row r="101" spans="1:67" x14ac:dyDescent="0.2">
      <c r="A101" s="33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84" t="e">
        <f t="shared" si="9"/>
        <v>#N/A</v>
      </c>
      <c r="G101" s="85" t="e">
        <f>_xll.qlDayCounterYearFraction(DayCounter,D100,D101)</f>
        <v>#NUM!</v>
      </c>
      <c r="I101" s="93" t="b">
        <f t="shared" si="7"/>
        <v>0</v>
      </c>
      <c r="J101" s="37" t="e">
        <v>#N/A</v>
      </c>
      <c r="K101" s="94" t="e">
        <f t="shared" si="8"/>
        <v>#VALUE!</v>
      </c>
      <c r="L101" s="106"/>
      <c r="M101" s="72" t="b">
        <f>IF(AND(NOT(I101),AND(I$4:I100)),TRUE,I101)</f>
        <v>0</v>
      </c>
      <c r="N101" s="34" t="e">
        <f>IF(AND(NOT(ISBLANK(Jumpoverwrite1)),AND(NOT(M101),AND(M$4:M100))),($J101*$G101-LN(1+Jumpoverwrite1*O$2))/$G101,_xll.qlInterpolationInterpolate(M$3,$F101,TRUE))</f>
        <v>#NUM!</v>
      </c>
      <c r="O101" s="34" t="str">
        <f>IF(AND(NOT(M101),AND(M$4:M100)),IF(N101&gt;$J101,MAX(EXP((N101-$J101)*$G101),1),MIN(EXP((N101-$J101)*$G101),1)),"")</f>
        <v/>
      </c>
      <c r="P101" s="108"/>
      <c r="Q101" s="72" t="b">
        <f>IF(AND(NOT(M101),AND(M$4:M100)),TRUE,M101)</f>
        <v>0</v>
      </c>
      <c r="R101" s="34" t="e">
        <f>IF(AND(NOT(ISBLANK(Jumpoverwrite2)),AND(NOT(Q101),AND(Q$4:Q100))),($J101*$G101-LN(1+Jumpoverwrite2*S$2))/$G101,_xll.qlInterpolationInterpolate(Q$3,$F101,TRUE))</f>
        <v>#NUM!</v>
      </c>
      <c r="S101" s="34" t="str">
        <f>IF(AND(NOT(Q101),AND(Q$4:Q100)),IF(R101&gt;$J101,MAX(EXP((R101-$J101)*$G101),1),MIN(EXP((R101-$J101)*$G101),1)),"")</f>
        <v/>
      </c>
      <c r="T101" s="108"/>
      <c r="U101" s="72" t="b">
        <f>IF(AND(NOT(Q101),AND(Q$4:Q100)),TRUE,Q101)</f>
        <v>0</v>
      </c>
      <c r="V101" s="34" t="e">
        <f>IF(AND(NOT(ISBLANK(Jumpoverwrite3)),AND(NOT(U101),AND(U$4:U100))),($J101*$G101-LN(1+Jumpoverwrite3*W$2))/$G101,_xll.qlInterpolationInterpolate(U$3,$F101,TRUE))</f>
        <v>#NUM!</v>
      </c>
      <c r="W101" s="34" t="str">
        <f>IF(AND(NOT(U101),AND(U$4:U100)),IF(V101&gt;$J101,MAX(EXP((V101-$J101)*$G101),1),MIN(EXP((V101-$J101)*$G101),1)),"")</f>
        <v/>
      </c>
      <c r="X101" s="108"/>
      <c r="Y101" s="72" t="b">
        <f>IF(AND(NOT(U101),AND(U$4:U100)),TRUE,U101)</f>
        <v>0</v>
      </c>
      <c r="Z101" s="34" t="e">
        <f>IF(AND(NOT(ISBLANK(Jumpoverwrite4)),AND(NOT(Y101),AND(Y$4:Y100))),($J101*$G101-LN(1+Jumpoverwrite4*AA$2))/$G101,_xll.qlInterpolationInterpolate(Y$3,$F101,TRUE))</f>
        <v>#NUM!</v>
      </c>
      <c r="AA101" s="34" t="str">
        <f>IF(AND(NOT(Y101),AND(Y$4:Y100)),IF(Z101&gt;$J101,MAX(EXP((Z101-$J101)*$G101),1),MIN(EXP((Z101-$J101)*$G101),1)),"")</f>
        <v/>
      </c>
      <c r="AB101" s="108"/>
      <c r="AC101" s="72" t="b">
        <f>IF(AND(NOT(Y101),AND(Y$4:Y100)),TRUE,Y101)</f>
        <v>0</v>
      </c>
      <c r="AD101" s="34" t="e">
        <f>IF(AND(NOT(ISBLANK(Jumpoverwrite5)),AND(NOT(AC101),AND(AC$4:AC100))),($J101*$G101-LN(1+Jumpoverwrite5*AE$2))/$G101,_xll.qlInterpolationInterpolate(AC$3,$F101,TRUE))</f>
        <v>#NUM!</v>
      </c>
      <c r="AE101" s="34" t="str">
        <f>IF(AND(NOT(AC101),AND(AC$4:AC100)),IF(AD101&gt;$J101,MAX(EXP((AD101-$J101)*$G101),1),MIN(EXP((AD101-$J101)*$G101),1)),"")</f>
        <v/>
      </c>
      <c r="AF101" s="108"/>
      <c r="AG101" s="72" t="b">
        <f>IF(AND(NOT(AC101),AND(AC$4:AC100)),TRUE,AC101)</f>
        <v>0</v>
      </c>
      <c r="AH101" s="34" t="e">
        <f>IF(AND(NOT(ISBLANK(Jumpoverwrite6)),AND(NOT(AG101),AND(AG$4:AG100))),($J101*$G101-LN(1+Jumpoverwrite6*AI$2))/$G101,_xll.qlInterpolationInterpolate(AG$3,$F101,TRUE))</f>
        <v>#NUM!</v>
      </c>
      <c r="AI101" s="34" t="str">
        <f>IF(AND(NOT(AG101),AND(AG$4:AG100)),IF(AH101&gt;$J101,MAX(EXP((AH101-$J101)*$G101),1),MIN(EXP((AH101-$J101)*$G101),1)),"")</f>
        <v/>
      </c>
      <c r="AJ101" s="108"/>
      <c r="AK101" s="72" t="b">
        <f>IF(AND(NOT(AG101),AND(AG$4:AG100)),TRUE,AG101)</f>
        <v>0</v>
      </c>
      <c r="AL101" s="34" t="e">
        <f>IF(AND(NOT(ISBLANK(Jumpoverwrite7)),AND(NOT(AK101),AND(AK$4:AK100))),($J101*$G101-LN(1+Jumpoverwrite7*AM$2))/$G101,_xll.qlInterpolationInterpolate(AK$3,$F101,TRUE))</f>
        <v>#NUM!</v>
      </c>
      <c r="AM101" s="34" t="str">
        <f>IF(AND(NOT(AK101),AND(AK$4:AK100)),IF(AL101&gt;$J101,MAX(EXP((AL101-$J101)*$G101),1),MIN(EXP((AL101-$J101)*$G101),1)),"")</f>
        <v/>
      </c>
      <c r="AO101" s="72" t="b">
        <f>IF(AND(NOT(AK101),AND(AK$4:AK100)),TRUE,AK101)</f>
        <v>0</v>
      </c>
      <c r="AP101" s="34" t="e">
        <f>IF(AND(NOT(ISBLANK(Jumpoverwrite8)),AND(NOT(AO101),AND(AO$4:AO100))),($J101*$G101-LN(1+Jumpoverwrite8*AQ$2))/$G101,_xll.qlInterpolationInterpolate(AO$3,$F101,TRUE))</f>
        <v>#NUM!</v>
      </c>
      <c r="AQ101" s="34" t="str">
        <f>IF(AND(NOT(AO101),AND(AO$4:AO100)),IF(AP101&gt;$J101,MAX(EXP((AP101-$J101)*$G101),1),MIN(EXP((AP101-$J101)*$G101),1)),"")</f>
        <v/>
      </c>
      <c r="AS101" s="72" t="b">
        <f>IF(AND(NOT(AO101),AND(AO$4:AO100)),TRUE,AO101)</f>
        <v>0</v>
      </c>
      <c r="AT101" s="34" t="e">
        <f>IF(AND(NOT(ISBLANK(Jumpoverwrite9)),AND(NOT(AS101),AND(AS$4:AS100))),($J101*$G101-LN(1+Jumpoverwrite9*AU$2))/$G101,_xll.qlInterpolationInterpolate(AS$3,$F101,TRUE))</f>
        <v>#NUM!</v>
      </c>
      <c r="AU101" s="34" t="str">
        <f>IF(AND(NOT(AS101),AND(AS$4:AS100)),IF(AT101&gt;$J101,MAX(EXP((AT101-$J101)*$G101),1),MIN(EXP((AT101-$J101)*$G101),1)),"")</f>
        <v/>
      </c>
      <c r="AW101" s="72" t="b">
        <f>IF(AND(NOT(AS101),AND(AS$4:AS100)),TRUE,AS101)</f>
        <v>0</v>
      </c>
      <c r="AX101" s="34" t="e">
        <f>IF(AND(NOT(ISBLANK(Jumpoverwrite10)),AND(NOT(AW101),AND(AW$4:AW100))),($J101*$G101-LN(1+Jumpoverwrite10*AY$2))/$G101,_xll.qlInterpolationInterpolate(AW$3,$F101,TRUE))</f>
        <v>#NUM!</v>
      </c>
      <c r="AY101" s="34" t="str">
        <f>IF(AND(NOT(AW101),AND(AW$4:AW100)),IF(AX101&gt;$J101,MAX(EXP((AX101-$J101)*$G101),1),MIN(EXP((AX101-$J101)*$G101),1)),"")</f>
        <v/>
      </c>
      <c r="BA101" s="72" t="b">
        <f>IF(AND(NOT(AW101),AND(AW$4:AW100)),TRUE,AW101)</f>
        <v>0</v>
      </c>
      <c r="BB101" s="34" t="e">
        <f>IF(AND(NOT(ISBLANK(Jumpoverwrite11)),AND(NOT(BA101),AND(BA$4:BA100))),($J101*$G101-LN(1+Jumpoverwrite11*BC$2))/$G101,_xll.qlInterpolationInterpolate(BA$3,$F101,TRUE))</f>
        <v>#NUM!</v>
      </c>
      <c r="BC101" s="34" t="str">
        <f>IF(AND(NOT(BA101),AND(BA$4:BA100)),IF(BB101&gt;$J101,MAX(EXP((BB101-$J101)*$G101),1),MIN(EXP((BB101-$J101)*$G101),1)),"")</f>
        <v/>
      </c>
      <c r="BE101" s="72" t="b">
        <f>IF(AND(NOT(BA101),AND(BA$4:BA100)),TRUE,BA101)</f>
        <v>0</v>
      </c>
      <c r="BF101" s="34" t="e">
        <f>IF(AND(NOT(ISBLANK(Jumpoverwrite12)),AND(NOT(BE101),AND(BE$4:BE100))),($J101*$G101-LN(1+Jumpoverwrite12*BG$2))/$G101,_xll.qlInterpolationInterpolate(BE$3,$F101,TRUE))</f>
        <v>#NUM!</v>
      </c>
      <c r="BG101" s="34" t="str">
        <f>IF(AND(NOT(BE101),AND(BE$4:BE100)),IF(BF101&gt;$J101,MAX(EXP((BF101-$J101)*$G101),1),MIN(EXP((BF101-$J101)*$G101),1)),"")</f>
        <v/>
      </c>
      <c r="BI101" s="72" t="b">
        <f t="shared" ref="BI101:BI129" si="10">IF(ISERROR(K101),FALSE,IF(YEAR(K101)-YEAR(SettlementDate)=2,FALSE,TRUE))</f>
        <v>0</v>
      </c>
      <c r="BJ101" s="34" t="e">
        <f>IF(AND(NOT(ISBLANK(jumpoverwrite13)),AND(NOT(BI101),AND(BI$4:BI100))),($J101*$G101-LN(1+jumpoverwrite13*BK$2))/$G101,_xll.qlInterpolationInterpolate(BI$3,$F101,TRUE))</f>
        <v>#NUM!</v>
      </c>
      <c r="BK101" s="34" t="str">
        <f>IF(AND(NOT(BI101),AND(BI$4:BI100)),IF(BJ101&gt;$J101,MAX(EXP((BJ101-$J101)*$G101),1),MIN(EXP((BJ101-$J101)*$G101),1)),"")</f>
        <v/>
      </c>
      <c r="BM101" s="72" t="b">
        <f>IF(AND(NOT(BI101),AND(BI$4:BI100)),TRUE,BI101)</f>
        <v>0</v>
      </c>
      <c r="BN101" s="175" t="e">
        <f>IF(AND(NOT(ISBLANK(Jumpoverwrite14)),AND(NOT(BM101),AND(BM$4:BM100))),($J101*$G101-LN(1+Jumpoverwrite14*BO$2))/$G101,_xll.qlInterpolationInterpolate(BM$3,$F101,TRUE))</f>
        <v>#NUM!</v>
      </c>
      <c r="BO101" s="34" t="str">
        <f>IF(AND(NOT(BM101),AND(BM$4:BM100)),IF(BM101&gt;$J101,MAX(EXP((BM101-$J101)*$G101),1),MIN(EXP((BM101-$J101)*$G101),1)),"")</f>
        <v/>
      </c>
    </row>
    <row r="102" spans="1:67" x14ac:dyDescent="0.2">
      <c r="A102" s="33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84" t="e">
        <f t="shared" si="9"/>
        <v>#N/A</v>
      </c>
      <c r="G102" s="85" t="e">
        <f>_xll.qlDayCounterYearFraction(DayCounter,D101,D102)</f>
        <v>#NUM!</v>
      </c>
      <c r="I102" s="93" t="b">
        <f t="shared" si="7"/>
        <v>0</v>
      </c>
      <c r="J102" s="37" t="e">
        <v>#N/A</v>
      </c>
      <c r="K102" s="94" t="e">
        <f t="shared" si="8"/>
        <v>#VALUE!</v>
      </c>
      <c r="L102" s="106"/>
      <c r="M102" s="72" t="b">
        <f>IF(AND(NOT(I102),AND(I$4:I101)),TRUE,I102)</f>
        <v>0</v>
      </c>
      <c r="N102" s="34" t="e">
        <f>IF(AND(NOT(ISBLANK(Jumpoverwrite1)),AND(NOT(M102),AND(M$4:M101))),($J102*$G102-LN(1+Jumpoverwrite1*O$2))/$G102,_xll.qlInterpolationInterpolate(M$3,$F102,TRUE))</f>
        <v>#NUM!</v>
      </c>
      <c r="O102" s="34" t="str">
        <f>IF(AND(NOT(M102),AND(M$4:M101)),IF(N102&gt;$J102,MAX(EXP((N102-$J102)*$G102),1),MIN(EXP((N102-$J102)*$G102),1)),"")</f>
        <v/>
      </c>
      <c r="P102" s="108"/>
      <c r="Q102" s="72" t="b">
        <f>IF(AND(NOT(M102),AND(M$4:M101)),TRUE,M102)</f>
        <v>0</v>
      </c>
      <c r="R102" s="34" t="e">
        <f>IF(AND(NOT(ISBLANK(Jumpoverwrite2)),AND(NOT(Q102),AND(Q$4:Q101))),($J102*$G102-LN(1+Jumpoverwrite2*S$2))/$G102,_xll.qlInterpolationInterpolate(Q$3,$F102,TRUE))</f>
        <v>#NUM!</v>
      </c>
      <c r="S102" s="34" t="str">
        <f>IF(AND(NOT(Q102),AND(Q$4:Q101)),IF(R102&gt;$J102,MAX(EXP((R102-$J102)*$G102),1),MIN(EXP((R102-$J102)*$G102),1)),"")</f>
        <v/>
      </c>
      <c r="T102" s="108"/>
      <c r="U102" s="72" t="b">
        <f>IF(AND(NOT(Q102),AND(Q$4:Q101)),TRUE,Q102)</f>
        <v>0</v>
      </c>
      <c r="V102" s="34" t="e">
        <f>IF(AND(NOT(ISBLANK(Jumpoverwrite3)),AND(NOT(U102),AND(U$4:U101))),($J102*$G102-LN(1+Jumpoverwrite3*W$2))/$G102,_xll.qlInterpolationInterpolate(U$3,$F102,TRUE))</f>
        <v>#NUM!</v>
      </c>
      <c r="W102" s="34" t="str">
        <f>IF(AND(NOT(U102),AND(U$4:U101)),IF(V102&gt;$J102,MAX(EXP((V102-$J102)*$G102),1),MIN(EXP((V102-$J102)*$G102),1)),"")</f>
        <v/>
      </c>
      <c r="X102" s="108"/>
      <c r="Y102" s="72" t="b">
        <f>IF(AND(NOT(U102),AND(U$4:U101)),TRUE,U102)</f>
        <v>0</v>
      </c>
      <c r="Z102" s="34" t="e">
        <f>IF(AND(NOT(ISBLANK(Jumpoverwrite4)),AND(NOT(Y102),AND(Y$4:Y101))),($J102*$G102-LN(1+Jumpoverwrite4*AA$2))/$G102,_xll.qlInterpolationInterpolate(Y$3,$F102,TRUE))</f>
        <v>#NUM!</v>
      </c>
      <c r="AA102" s="34" t="str">
        <f>IF(AND(NOT(Y102),AND(Y$4:Y101)),IF(Z102&gt;$J102,MAX(EXP((Z102-$J102)*$G102),1),MIN(EXP((Z102-$J102)*$G102),1)),"")</f>
        <v/>
      </c>
      <c r="AB102" s="108"/>
      <c r="AC102" s="72" t="b">
        <f>IF(AND(NOT(Y102),AND(Y$4:Y101)),TRUE,Y102)</f>
        <v>0</v>
      </c>
      <c r="AD102" s="34" t="e">
        <f>IF(AND(NOT(ISBLANK(Jumpoverwrite5)),AND(NOT(AC102),AND(AC$4:AC101))),($J102*$G102-LN(1+Jumpoverwrite5*AE$2))/$G102,_xll.qlInterpolationInterpolate(AC$3,$F102,TRUE))</f>
        <v>#NUM!</v>
      </c>
      <c r="AE102" s="34" t="str">
        <f>IF(AND(NOT(AC102),AND(AC$4:AC101)),IF(AD102&gt;$J102,MAX(EXP((AD102-$J102)*$G102),1),MIN(EXP((AD102-$J102)*$G102),1)),"")</f>
        <v/>
      </c>
      <c r="AF102" s="108"/>
      <c r="AG102" s="72" t="b">
        <f>IF(AND(NOT(AC102),AND(AC$4:AC101)),TRUE,AC102)</f>
        <v>0</v>
      </c>
      <c r="AH102" s="34" t="e">
        <f>IF(AND(NOT(ISBLANK(Jumpoverwrite6)),AND(NOT(AG102),AND(AG$4:AG101))),($J102*$G102-LN(1+Jumpoverwrite6*AI$2))/$G102,_xll.qlInterpolationInterpolate(AG$3,$F102,TRUE))</f>
        <v>#NUM!</v>
      </c>
      <c r="AI102" s="34" t="str">
        <f>IF(AND(NOT(AG102),AND(AG$4:AG101)),IF(AH102&gt;$J102,MAX(EXP((AH102-$J102)*$G102),1),MIN(EXP((AH102-$J102)*$G102),1)),"")</f>
        <v/>
      </c>
      <c r="AJ102" s="108"/>
      <c r="AK102" s="72" t="b">
        <f>IF(AND(NOT(AG102),AND(AG$4:AG101)),TRUE,AG102)</f>
        <v>0</v>
      </c>
      <c r="AL102" s="34" t="e">
        <f>IF(AND(NOT(ISBLANK(Jumpoverwrite7)),AND(NOT(AK102),AND(AK$4:AK101))),($J102*$G102-LN(1+Jumpoverwrite7*AM$2))/$G102,_xll.qlInterpolationInterpolate(AK$3,$F102,TRUE))</f>
        <v>#NUM!</v>
      </c>
      <c r="AM102" s="34" t="str">
        <f>IF(AND(NOT(AK102),AND(AK$4:AK101)),IF(AL102&gt;$J102,MAX(EXP((AL102-$J102)*$G102),1),MIN(EXP((AL102-$J102)*$G102),1)),"")</f>
        <v/>
      </c>
      <c r="AO102" s="72" t="b">
        <f>IF(AND(NOT(AK102),AND(AK$4:AK101)),TRUE,AK102)</f>
        <v>0</v>
      </c>
      <c r="AP102" s="34" t="e">
        <f>IF(AND(NOT(ISBLANK(Jumpoverwrite8)),AND(NOT(AO102),AND(AO$4:AO101))),($J102*$G102-LN(1+Jumpoverwrite8*AQ$2))/$G102,_xll.qlInterpolationInterpolate(AO$3,$F102,TRUE))</f>
        <v>#NUM!</v>
      </c>
      <c r="AQ102" s="34" t="str">
        <f>IF(AND(NOT(AO102),AND(AO$4:AO101)),IF(AP102&gt;$J102,MAX(EXP((AP102-$J102)*$G102),1),MIN(EXP((AP102-$J102)*$G102),1)),"")</f>
        <v/>
      </c>
      <c r="AS102" s="72" t="b">
        <f>IF(AND(NOT(AO102),AND(AO$4:AO101)),TRUE,AO102)</f>
        <v>0</v>
      </c>
      <c r="AT102" s="34" t="e">
        <f>IF(AND(NOT(ISBLANK(Jumpoverwrite9)),AND(NOT(AS102),AND(AS$4:AS101))),($J102*$G102-LN(1+Jumpoverwrite9*AU$2))/$G102,_xll.qlInterpolationInterpolate(AS$3,$F102,TRUE))</f>
        <v>#NUM!</v>
      </c>
      <c r="AU102" s="34" t="str">
        <f>IF(AND(NOT(AS102),AND(AS$4:AS101)),IF(AT102&gt;$J102,MAX(EXP((AT102-$J102)*$G102),1),MIN(EXP((AT102-$J102)*$G102),1)),"")</f>
        <v/>
      </c>
      <c r="AW102" s="72" t="b">
        <f>IF(AND(NOT(AS102),AND(AS$4:AS101)),TRUE,AS102)</f>
        <v>0</v>
      </c>
      <c r="AX102" s="34" t="e">
        <f>IF(AND(NOT(ISBLANK(Jumpoverwrite10)),AND(NOT(AW102),AND(AW$4:AW101))),($J102*$G102-LN(1+Jumpoverwrite10*AY$2))/$G102,_xll.qlInterpolationInterpolate(AW$3,$F102,TRUE))</f>
        <v>#NUM!</v>
      </c>
      <c r="AY102" s="34" t="str">
        <f>IF(AND(NOT(AW102),AND(AW$4:AW101)),IF(AX102&gt;$J102,MAX(EXP((AX102-$J102)*$G102),1),MIN(EXP((AX102-$J102)*$G102),1)),"")</f>
        <v/>
      </c>
      <c r="BA102" s="72" t="b">
        <f>IF(AND(NOT(AW102),AND(AW$4:AW101)),TRUE,AW102)</f>
        <v>0</v>
      </c>
      <c r="BB102" s="34" t="e">
        <f>IF(AND(NOT(ISBLANK(Jumpoverwrite11)),AND(NOT(BA102),AND(BA$4:BA101))),($J102*$G102-LN(1+Jumpoverwrite11*BC$2))/$G102,_xll.qlInterpolationInterpolate(BA$3,$F102,TRUE))</f>
        <v>#NUM!</v>
      </c>
      <c r="BC102" s="34" t="str">
        <f>IF(AND(NOT(BA102),AND(BA$4:BA101)),IF(BB102&gt;$J102,MAX(EXP((BB102-$J102)*$G102),1),MIN(EXP((BB102-$J102)*$G102),1)),"")</f>
        <v/>
      </c>
      <c r="BE102" s="72" t="b">
        <f>IF(AND(NOT(BA102),AND(BA$4:BA101)),TRUE,BA102)</f>
        <v>0</v>
      </c>
      <c r="BF102" s="34" t="e">
        <f>IF(AND(NOT(ISBLANK(Jumpoverwrite12)),AND(NOT(BE102),AND(BE$4:BE101))),($J102*$G102-LN(1+Jumpoverwrite12*BG$2))/$G102,_xll.qlInterpolationInterpolate(BE$3,$F102,TRUE))</f>
        <v>#NUM!</v>
      </c>
      <c r="BG102" s="34" t="str">
        <f>IF(AND(NOT(BE102),AND(BE$4:BE101)),IF(BF102&gt;$J102,MAX(EXP((BF102-$J102)*$G102),1),MIN(EXP((BF102-$J102)*$G102),1)),"")</f>
        <v/>
      </c>
      <c r="BI102" s="72" t="b">
        <f t="shared" si="10"/>
        <v>0</v>
      </c>
      <c r="BJ102" s="34" t="e">
        <f>IF(AND(NOT(ISBLANK(jumpoverwrite13)),AND(NOT(BI102),AND(BI$4:BI101))),($J102*$G102-LN(1+jumpoverwrite13*BK$2))/$G102,_xll.qlInterpolationInterpolate(BI$3,$F102,TRUE))</f>
        <v>#NUM!</v>
      </c>
      <c r="BK102" s="34" t="str">
        <f>IF(AND(NOT(BI102),AND(BI$4:BI101)),IF(BJ102&gt;$J102,MAX(EXP((BJ102-$J102)*$G102),1),MIN(EXP((BJ102-$J102)*$G102),1)),"")</f>
        <v/>
      </c>
      <c r="BM102" s="72" t="b">
        <f>IF(AND(NOT(BI102),AND(BI$4:BI101)),TRUE,BI102)</f>
        <v>0</v>
      </c>
      <c r="BN102" s="175" t="e">
        <f>IF(AND(NOT(ISBLANK(Jumpoverwrite14)),AND(NOT(BM102),AND(BM$4:BM101))),($J102*$G102-LN(1+Jumpoverwrite14*BO$2))/$G102,_xll.qlInterpolationInterpolate(BM$3,$F102,TRUE))</f>
        <v>#NUM!</v>
      </c>
      <c r="BO102" s="34" t="str">
        <f>IF(AND(NOT(BM102),AND(BM$4:BM101)),IF(BM102&gt;$J102,MAX(EXP((BM102-$J102)*$G102),1),MIN(EXP((BM102-$J102)*$G102),1)),"")</f>
        <v/>
      </c>
    </row>
    <row r="103" spans="1:67" x14ac:dyDescent="0.2">
      <c r="A103" s="33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84" t="e">
        <f t="shared" si="9"/>
        <v>#N/A</v>
      </c>
      <c r="G103" s="85" t="e">
        <f>_xll.qlDayCounterYearFraction(DayCounter,D102,D103)</f>
        <v>#NUM!</v>
      </c>
      <c r="I103" s="93" t="b">
        <f t="shared" si="7"/>
        <v>0</v>
      </c>
      <c r="J103" s="37" t="e">
        <v>#N/A</v>
      </c>
      <c r="K103" s="94" t="e">
        <f t="shared" si="8"/>
        <v>#VALUE!</v>
      </c>
      <c r="L103" s="106"/>
      <c r="M103" s="72" t="b">
        <f>IF(AND(NOT(I103),AND(I$4:I102)),TRUE,I103)</f>
        <v>0</v>
      </c>
      <c r="N103" s="34" t="e">
        <f>IF(AND(NOT(ISBLANK(Jumpoverwrite1)),AND(NOT(M103),AND(M$4:M102))),($J103*$G103-LN(1+Jumpoverwrite1*O$2))/$G103,_xll.qlInterpolationInterpolate(M$3,$F103,TRUE))</f>
        <v>#NUM!</v>
      </c>
      <c r="O103" s="34" t="str">
        <f>IF(AND(NOT(M103),AND(M$4:M102)),IF(N103&gt;$J103,MAX(EXP((N103-$J103)*$G103),1),MIN(EXP((N103-$J103)*$G103),1)),"")</f>
        <v/>
      </c>
      <c r="P103" s="108"/>
      <c r="Q103" s="72" t="b">
        <f>IF(AND(NOT(M103),AND(M$4:M102)),TRUE,M103)</f>
        <v>0</v>
      </c>
      <c r="R103" s="34" t="e">
        <f>IF(AND(NOT(ISBLANK(Jumpoverwrite2)),AND(NOT(Q103),AND(Q$4:Q102))),($J103*$G103-LN(1+Jumpoverwrite2*S$2))/$G103,_xll.qlInterpolationInterpolate(Q$3,$F103,TRUE))</f>
        <v>#NUM!</v>
      </c>
      <c r="S103" s="34" t="str">
        <f>IF(AND(NOT(Q103),AND(Q$4:Q102)),IF(R103&gt;$J103,MAX(EXP((R103-$J103)*$G103),1),MIN(EXP((R103-$J103)*$G103),1)),"")</f>
        <v/>
      </c>
      <c r="T103" s="108"/>
      <c r="U103" s="72" t="b">
        <f>IF(AND(NOT(Q103),AND(Q$4:Q102)),TRUE,Q103)</f>
        <v>0</v>
      </c>
      <c r="V103" s="34" t="e">
        <f>IF(AND(NOT(ISBLANK(Jumpoverwrite3)),AND(NOT(U103),AND(U$4:U102))),($J103*$G103-LN(1+Jumpoverwrite3*W$2))/$G103,_xll.qlInterpolationInterpolate(U$3,$F103,TRUE))</f>
        <v>#NUM!</v>
      </c>
      <c r="W103" s="34" t="str">
        <f>IF(AND(NOT(U103),AND(U$4:U102)),IF(V103&gt;$J103,MAX(EXP((V103-$J103)*$G103),1),MIN(EXP((V103-$J103)*$G103),1)),"")</f>
        <v/>
      </c>
      <c r="X103" s="108"/>
      <c r="Y103" s="72" t="b">
        <f>IF(AND(NOT(U103),AND(U$4:U102)),TRUE,U103)</f>
        <v>0</v>
      </c>
      <c r="Z103" s="34" t="e">
        <f>IF(AND(NOT(ISBLANK(Jumpoverwrite4)),AND(NOT(Y103),AND(Y$4:Y102))),($J103*$G103-LN(1+Jumpoverwrite4*AA$2))/$G103,_xll.qlInterpolationInterpolate(Y$3,$F103,TRUE))</f>
        <v>#NUM!</v>
      </c>
      <c r="AA103" s="34" t="str">
        <f>IF(AND(NOT(Y103),AND(Y$4:Y102)),IF(Z103&gt;$J103,MAX(EXP((Z103-$J103)*$G103),1),MIN(EXP((Z103-$J103)*$G103),1)),"")</f>
        <v/>
      </c>
      <c r="AB103" s="108"/>
      <c r="AC103" s="72" t="b">
        <f>IF(AND(NOT(Y103),AND(Y$4:Y102)),TRUE,Y103)</f>
        <v>0</v>
      </c>
      <c r="AD103" s="34" t="e">
        <f>IF(AND(NOT(ISBLANK(Jumpoverwrite5)),AND(NOT(AC103),AND(AC$4:AC102))),($J103*$G103-LN(1+Jumpoverwrite5*AE$2))/$G103,_xll.qlInterpolationInterpolate(AC$3,$F103,TRUE))</f>
        <v>#NUM!</v>
      </c>
      <c r="AE103" s="34" t="str">
        <f>IF(AND(NOT(AC103),AND(AC$4:AC102)),IF(AD103&gt;$J103,MAX(EXP((AD103-$J103)*$G103),1),MIN(EXP((AD103-$J103)*$G103),1)),"")</f>
        <v/>
      </c>
      <c r="AF103" s="108"/>
      <c r="AG103" s="72" t="b">
        <f>IF(AND(NOT(AC103),AND(AC$4:AC102)),TRUE,AC103)</f>
        <v>0</v>
      </c>
      <c r="AH103" s="34" t="e">
        <f>IF(AND(NOT(ISBLANK(Jumpoverwrite6)),AND(NOT(AG103),AND(AG$4:AG102))),($J103*$G103-LN(1+Jumpoverwrite6*AI$2))/$G103,_xll.qlInterpolationInterpolate(AG$3,$F103,TRUE))</f>
        <v>#NUM!</v>
      </c>
      <c r="AI103" s="34" t="str">
        <f>IF(AND(NOT(AG103),AND(AG$4:AG102)),IF(AH103&gt;$J103,MAX(EXP((AH103-$J103)*$G103),1),MIN(EXP((AH103-$J103)*$G103),1)),"")</f>
        <v/>
      </c>
      <c r="AJ103" s="108"/>
      <c r="AK103" s="72" t="b">
        <f>IF(AND(NOT(AG103),AND(AG$4:AG102)),TRUE,AG103)</f>
        <v>0</v>
      </c>
      <c r="AL103" s="34" t="e">
        <f>IF(AND(NOT(ISBLANK(Jumpoverwrite7)),AND(NOT(AK103),AND(AK$4:AK102))),($J103*$G103-LN(1+Jumpoverwrite7*AM$2))/$G103,_xll.qlInterpolationInterpolate(AK$3,$F103,TRUE))</f>
        <v>#NUM!</v>
      </c>
      <c r="AM103" s="34" t="str">
        <f>IF(AND(NOT(AK103),AND(AK$4:AK102)),IF(AL103&gt;$J103,MAX(EXP((AL103-$J103)*$G103),1),MIN(EXP((AL103-$J103)*$G103),1)),"")</f>
        <v/>
      </c>
      <c r="AO103" s="72" t="b">
        <f>IF(AND(NOT(AK103),AND(AK$4:AK102)),TRUE,AK103)</f>
        <v>0</v>
      </c>
      <c r="AP103" s="34" t="e">
        <f>IF(AND(NOT(ISBLANK(Jumpoverwrite8)),AND(NOT(AO103),AND(AO$4:AO102))),($J103*$G103-LN(1+Jumpoverwrite8*AQ$2))/$G103,_xll.qlInterpolationInterpolate(AO$3,$F103,TRUE))</f>
        <v>#NUM!</v>
      </c>
      <c r="AQ103" s="34" t="str">
        <f>IF(AND(NOT(AO103),AND(AO$4:AO102)),IF(AP103&gt;$J103,MAX(EXP((AP103-$J103)*$G103),1),MIN(EXP((AP103-$J103)*$G103),1)),"")</f>
        <v/>
      </c>
      <c r="AS103" s="72" t="b">
        <f>IF(AND(NOT(AO103),AND(AO$4:AO102)),TRUE,AO103)</f>
        <v>0</v>
      </c>
      <c r="AT103" s="34" t="e">
        <f>IF(AND(NOT(ISBLANK(Jumpoverwrite9)),AND(NOT(AS103),AND(AS$4:AS102))),($J103*$G103-LN(1+Jumpoverwrite9*AU$2))/$G103,_xll.qlInterpolationInterpolate(AS$3,$F103,TRUE))</f>
        <v>#NUM!</v>
      </c>
      <c r="AU103" s="34" t="str">
        <f>IF(AND(NOT(AS103),AND(AS$4:AS102)),IF(AT103&gt;$J103,MAX(EXP((AT103-$J103)*$G103),1),MIN(EXP((AT103-$J103)*$G103),1)),"")</f>
        <v/>
      </c>
      <c r="AW103" s="72" t="b">
        <f>IF(AND(NOT(AS103),AND(AS$4:AS102)),TRUE,AS103)</f>
        <v>0</v>
      </c>
      <c r="AX103" s="34" t="e">
        <f>IF(AND(NOT(ISBLANK(Jumpoverwrite10)),AND(NOT(AW103),AND(AW$4:AW102))),($J103*$G103-LN(1+Jumpoverwrite10*AY$2))/$G103,_xll.qlInterpolationInterpolate(AW$3,$F103,TRUE))</f>
        <v>#NUM!</v>
      </c>
      <c r="AY103" s="34" t="str">
        <f>IF(AND(NOT(AW103),AND(AW$4:AW102)),IF(AX103&gt;$J103,MAX(EXP((AX103-$J103)*$G103),1),MIN(EXP((AX103-$J103)*$G103),1)),"")</f>
        <v/>
      </c>
      <c r="BA103" s="72" t="b">
        <f>IF(AND(NOT(AW103),AND(AW$4:AW102)),TRUE,AW103)</f>
        <v>0</v>
      </c>
      <c r="BB103" s="34" t="e">
        <f>IF(AND(NOT(ISBLANK(Jumpoverwrite11)),AND(NOT(BA103),AND(BA$4:BA102))),($J103*$G103-LN(1+Jumpoverwrite11*BC$2))/$G103,_xll.qlInterpolationInterpolate(BA$3,$F103,TRUE))</f>
        <v>#NUM!</v>
      </c>
      <c r="BC103" s="34" t="str">
        <f>IF(AND(NOT(BA103),AND(BA$4:BA102)),IF(BB103&gt;$J103,MAX(EXP((BB103-$J103)*$G103),1),MIN(EXP((BB103-$J103)*$G103),1)),"")</f>
        <v/>
      </c>
      <c r="BE103" s="72" t="b">
        <f>IF(AND(NOT(BA103),AND(BA$4:BA102)),TRUE,BA103)</f>
        <v>0</v>
      </c>
      <c r="BF103" s="34" t="e">
        <f>IF(AND(NOT(ISBLANK(Jumpoverwrite12)),AND(NOT(BE103),AND(BE$4:BE102))),($J103*$G103-LN(1+Jumpoverwrite12*BG$2))/$G103,_xll.qlInterpolationInterpolate(BE$3,$F103,TRUE))</f>
        <v>#NUM!</v>
      </c>
      <c r="BG103" s="34" t="str">
        <f>IF(AND(NOT(BE103),AND(BE$4:BE102)),IF(BF103&gt;$J103,MAX(EXP((BF103-$J103)*$G103),1),MIN(EXP((BF103-$J103)*$G103),1)),"")</f>
        <v/>
      </c>
      <c r="BI103" s="72" t="b">
        <f t="shared" si="10"/>
        <v>0</v>
      </c>
      <c r="BJ103" s="34" t="e">
        <f>IF(AND(NOT(ISBLANK(jumpoverwrite13)),AND(NOT(BI103),AND(BI$4:BI102))),($J103*$G103-LN(1+jumpoverwrite13*BK$2))/$G103,_xll.qlInterpolationInterpolate(BI$3,$F103,TRUE))</f>
        <v>#NUM!</v>
      </c>
      <c r="BK103" s="34" t="str">
        <f>IF(AND(NOT(BI103),AND(BI$4:BI102)),IF(BJ103&gt;$J103,MAX(EXP((BJ103-$J103)*$G103),1),MIN(EXP((BJ103-$J103)*$G103),1)),"")</f>
        <v/>
      </c>
      <c r="BM103" s="72" t="b">
        <f>IF(AND(NOT(BI103),AND(BI$4:BI102)),TRUE,BI103)</f>
        <v>0</v>
      </c>
      <c r="BN103" s="175" t="e">
        <f>IF(AND(NOT(ISBLANK(Jumpoverwrite14)),AND(NOT(BM103),AND(BM$4:BM102))),($J103*$G103-LN(1+Jumpoverwrite14*BO$2))/$G103,_xll.qlInterpolationInterpolate(BM$3,$F103,TRUE))</f>
        <v>#NUM!</v>
      </c>
      <c r="BO103" s="34" t="str">
        <f>IF(AND(NOT(BM103),AND(BM$4:BM102)),IF(BM103&gt;$J103,MAX(EXP((BM103-$J103)*$G103),1),MIN(EXP((BM103-$J103)*$G103),1)),"")</f>
        <v/>
      </c>
    </row>
    <row r="104" spans="1:67" x14ac:dyDescent="0.2">
      <c r="A104" s="33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84" t="e">
        <f t="shared" si="9"/>
        <v>#N/A</v>
      </c>
      <c r="G104" s="85" t="e">
        <f>_xll.qlDayCounterYearFraction(DayCounter,D103,D104)</f>
        <v>#NUM!</v>
      </c>
      <c r="I104" s="93" t="b">
        <f t="shared" si="7"/>
        <v>0</v>
      </c>
      <c r="J104" s="37" t="e">
        <v>#N/A</v>
      </c>
      <c r="K104" s="94" t="e">
        <f t="shared" si="8"/>
        <v>#VALUE!</v>
      </c>
      <c r="L104" s="106"/>
      <c r="M104" s="72" t="b">
        <f>IF(AND(NOT(I104),AND(I$4:I103)),TRUE,I104)</f>
        <v>0</v>
      </c>
      <c r="N104" s="34" t="e">
        <f>IF(AND(NOT(ISBLANK(Jumpoverwrite1)),AND(NOT(M104),AND(M$4:M103))),($J104*$G104-LN(1+Jumpoverwrite1*O$2))/$G104,_xll.qlInterpolationInterpolate(M$3,$F104,TRUE))</f>
        <v>#NUM!</v>
      </c>
      <c r="O104" s="34" t="str">
        <f>IF(AND(NOT(M104),AND(M$4:M103)),IF(N104&gt;$J104,MAX(EXP((N104-$J104)*$G104),1),MIN(EXP((N104-$J104)*$G104),1)),"")</f>
        <v/>
      </c>
      <c r="P104" s="108"/>
      <c r="Q104" s="72" t="b">
        <f>IF(AND(NOT(M104),AND(M$4:M103)),TRUE,M104)</f>
        <v>0</v>
      </c>
      <c r="R104" s="34" t="e">
        <f>IF(AND(NOT(ISBLANK(Jumpoverwrite2)),AND(NOT(Q104),AND(Q$4:Q103))),($J104*$G104-LN(1+Jumpoverwrite2*S$2))/$G104,_xll.qlInterpolationInterpolate(Q$3,$F104,TRUE))</f>
        <v>#NUM!</v>
      </c>
      <c r="S104" s="34" t="str">
        <f>IF(AND(NOT(Q104),AND(Q$4:Q103)),IF(R104&gt;$J104,MAX(EXP((R104-$J104)*$G104),1),MIN(EXP((R104-$J104)*$G104),1)),"")</f>
        <v/>
      </c>
      <c r="T104" s="108"/>
      <c r="U104" s="72" t="b">
        <f>IF(AND(NOT(Q104),AND(Q$4:Q103)),TRUE,Q104)</f>
        <v>0</v>
      </c>
      <c r="V104" s="34" t="e">
        <f>IF(AND(NOT(ISBLANK(Jumpoverwrite3)),AND(NOT(U104),AND(U$4:U103))),($J104*$G104-LN(1+Jumpoverwrite3*W$2))/$G104,_xll.qlInterpolationInterpolate(U$3,$F104,TRUE))</f>
        <v>#NUM!</v>
      </c>
      <c r="W104" s="34" t="str">
        <f>IF(AND(NOT(U104),AND(U$4:U103)),IF(V104&gt;$J104,MAX(EXP((V104-$J104)*$G104),1),MIN(EXP((V104-$J104)*$G104),1)),"")</f>
        <v/>
      </c>
      <c r="X104" s="108"/>
      <c r="Y104" s="72" t="b">
        <f>IF(AND(NOT(U104),AND(U$4:U103)),TRUE,U104)</f>
        <v>0</v>
      </c>
      <c r="Z104" s="34" t="e">
        <f>IF(AND(NOT(ISBLANK(Jumpoverwrite4)),AND(NOT(Y104),AND(Y$4:Y103))),($J104*$G104-LN(1+Jumpoverwrite4*AA$2))/$G104,_xll.qlInterpolationInterpolate(Y$3,$F104,TRUE))</f>
        <v>#NUM!</v>
      </c>
      <c r="AA104" s="34" t="str">
        <f>IF(AND(NOT(Y104),AND(Y$4:Y103)),IF(Z104&gt;$J104,MAX(EXP((Z104-$J104)*$G104),1),MIN(EXP((Z104-$J104)*$G104),1)),"")</f>
        <v/>
      </c>
      <c r="AB104" s="108"/>
      <c r="AC104" s="72" t="b">
        <f>IF(AND(NOT(Y104),AND(Y$4:Y103)),TRUE,Y104)</f>
        <v>0</v>
      </c>
      <c r="AD104" s="34" t="e">
        <f>IF(AND(NOT(ISBLANK(Jumpoverwrite5)),AND(NOT(AC104),AND(AC$4:AC103))),($J104*$G104-LN(1+Jumpoverwrite5*AE$2))/$G104,_xll.qlInterpolationInterpolate(AC$3,$F104,TRUE))</f>
        <v>#NUM!</v>
      </c>
      <c r="AE104" s="34" t="str">
        <f>IF(AND(NOT(AC104),AND(AC$4:AC103)),IF(AD104&gt;$J104,MAX(EXP((AD104-$J104)*$G104),1),MIN(EXP((AD104-$J104)*$G104),1)),"")</f>
        <v/>
      </c>
      <c r="AF104" s="108"/>
      <c r="AG104" s="72" t="b">
        <f>IF(AND(NOT(AC104),AND(AC$4:AC103)),TRUE,AC104)</f>
        <v>0</v>
      </c>
      <c r="AH104" s="34" t="e">
        <f>IF(AND(NOT(ISBLANK(Jumpoverwrite6)),AND(NOT(AG104),AND(AG$4:AG103))),($J104*$G104-LN(1+Jumpoverwrite6*AI$2))/$G104,_xll.qlInterpolationInterpolate(AG$3,$F104,TRUE))</f>
        <v>#NUM!</v>
      </c>
      <c r="AI104" s="34" t="str">
        <f>IF(AND(NOT(AG104),AND(AG$4:AG103)),IF(AH104&gt;$J104,MAX(EXP((AH104-$J104)*$G104),1),MIN(EXP((AH104-$J104)*$G104),1)),"")</f>
        <v/>
      </c>
      <c r="AJ104" s="108"/>
      <c r="AK104" s="72" t="b">
        <f>IF(AND(NOT(AG104),AND(AG$4:AG103)),TRUE,AG104)</f>
        <v>0</v>
      </c>
      <c r="AL104" s="34" t="e">
        <f>IF(AND(NOT(ISBLANK(Jumpoverwrite7)),AND(NOT(AK104),AND(AK$4:AK103))),($J104*$G104-LN(1+Jumpoverwrite7*AM$2))/$G104,_xll.qlInterpolationInterpolate(AK$3,$F104,TRUE))</f>
        <v>#NUM!</v>
      </c>
      <c r="AM104" s="34" t="str">
        <f>IF(AND(NOT(AK104),AND(AK$4:AK103)),IF(AL104&gt;$J104,MAX(EXP((AL104-$J104)*$G104),1),MIN(EXP((AL104-$J104)*$G104),1)),"")</f>
        <v/>
      </c>
      <c r="AO104" s="72" t="b">
        <f>IF(AND(NOT(AK104),AND(AK$4:AK103)),TRUE,AK104)</f>
        <v>0</v>
      </c>
      <c r="AP104" s="34" t="e">
        <f>IF(AND(NOT(ISBLANK(Jumpoverwrite8)),AND(NOT(AO104),AND(AO$4:AO103))),($J104*$G104-LN(1+Jumpoverwrite8*AQ$2))/$G104,_xll.qlInterpolationInterpolate(AO$3,$F104,TRUE))</f>
        <v>#NUM!</v>
      </c>
      <c r="AQ104" s="34" t="str">
        <f>IF(AND(NOT(AO104),AND(AO$4:AO103)),IF(AP104&gt;$J104,MAX(EXP((AP104-$J104)*$G104),1),MIN(EXP((AP104-$J104)*$G104),1)),"")</f>
        <v/>
      </c>
      <c r="AS104" s="72" t="b">
        <f>IF(AND(NOT(AO104),AND(AO$4:AO103)),TRUE,AO104)</f>
        <v>0</v>
      </c>
      <c r="AT104" s="34" t="e">
        <f>IF(AND(NOT(ISBLANK(Jumpoverwrite9)),AND(NOT(AS104),AND(AS$4:AS103))),($J104*$G104-LN(1+Jumpoverwrite9*AU$2))/$G104,_xll.qlInterpolationInterpolate(AS$3,$F104,TRUE))</f>
        <v>#NUM!</v>
      </c>
      <c r="AU104" s="34" t="str">
        <f>IF(AND(NOT(AS104),AND(AS$4:AS103)),IF(AT104&gt;$J104,MAX(EXP((AT104-$J104)*$G104),1),MIN(EXP((AT104-$J104)*$G104),1)),"")</f>
        <v/>
      </c>
      <c r="AW104" s="72" t="b">
        <f>IF(AND(NOT(AS104),AND(AS$4:AS103)),TRUE,AS104)</f>
        <v>0</v>
      </c>
      <c r="AX104" s="34" t="e">
        <f>IF(AND(NOT(ISBLANK(Jumpoverwrite10)),AND(NOT(AW104),AND(AW$4:AW103))),($J104*$G104-LN(1+Jumpoverwrite10*AY$2))/$G104,_xll.qlInterpolationInterpolate(AW$3,$F104,TRUE))</f>
        <v>#NUM!</v>
      </c>
      <c r="AY104" s="34" t="str">
        <f>IF(AND(NOT(AW104),AND(AW$4:AW103)),IF(AX104&gt;$J104,MAX(EXP((AX104-$J104)*$G104),1),MIN(EXP((AX104-$J104)*$G104),1)),"")</f>
        <v/>
      </c>
      <c r="BA104" s="72" t="b">
        <f>IF(AND(NOT(AW104),AND(AW$4:AW103)),TRUE,AW104)</f>
        <v>0</v>
      </c>
      <c r="BB104" s="34" t="e">
        <f>IF(AND(NOT(ISBLANK(Jumpoverwrite11)),AND(NOT(BA104),AND(BA$4:BA103))),($J104*$G104-LN(1+Jumpoverwrite11*BC$2))/$G104,_xll.qlInterpolationInterpolate(BA$3,$F104,TRUE))</f>
        <v>#NUM!</v>
      </c>
      <c r="BC104" s="34" t="str">
        <f>IF(AND(NOT(BA104),AND(BA$4:BA103)),IF(BB104&gt;$J104,MAX(EXP((BB104-$J104)*$G104),1),MIN(EXP((BB104-$J104)*$G104),1)),"")</f>
        <v/>
      </c>
      <c r="BE104" s="72" t="b">
        <f>IF(AND(NOT(BA104),AND(BA$4:BA103)),TRUE,BA104)</f>
        <v>0</v>
      </c>
      <c r="BF104" s="34" t="e">
        <f>IF(AND(NOT(ISBLANK(Jumpoverwrite12)),AND(NOT(BE104),AND(BE$4:BE103))),($J104*$G104-LN(1+Jumpoverwrite12*BG$2))/$G104,_xll.qlInterpolationInterpolate(BE$3,$F104,TRUE))</f>
        <v>#NUM!</v>
      </c>
      <c r="BG104" s="34" t="str">
        <f>IF(AND(NOT(BE104),AND(BE$4:BE103)),IF(BF104&gt;$J104,MAX(EXP((BF104-$J104)*$G104),1),MIN(EXP((BF104-$J104)*$G104),1)),"")</f>
        <v/>
      </c>
      <c r="BI104" s="72" t="b">
        <f t="shared" si="10"/>
        <v>0</v>
      </c>
      <c r="BJ104" s="34" t="e">
        <f>IF(AND(NOT(ISBLANK(jumpoverwrite13)),AND(NOT(BI104),AND(BI$4:BI103))),($J104*$G104-LN(1+jumpoverwrite13*BK$2))/$G104,_xll.qlInterpolationInterpolate(BI$3,$F104,TRUE))</f>
        <v>#NUM!</v>
      </c>
      <c r="BK104" s="34" t="str">
        <f>IF(AND(NOT(BI104),AND(BI$4:BI103)),IF(BJ104&gt;$J104,MAX(EXP((BJ104-$J104)*$G104),1),MIN(EXP((BJ104-$J104)*$G104),1)),"")</f>
        <v/>
      </c>
      <c r="BM104" s="72" t="b">
        <f>IF(AND(NOT(BI104),AND(BI$4:BI103)),TRUE,BI104)</f>
        <v>0</v>
      </c>
      <c r="BN104" s="175" t="e">
        <f>IF(AND(NOT(ISBLANK(Jumpoverwrite14)),AND(NOT(BM104),AND(BM$4:BM103))),($J104*$G104-LN(1+Jumpoverwrite14*BO$2))/$G104,_xll.qlInterpolationInterpolate(BM$3,$F104,TRUE))</f>
        <v>#NUM!</v>
      </c>
      <c r="BO104" s="34" t="str">
        <f>IF(AND(NOT(BM104),AND(BM$4:BM103)),IF(BM104&gt;$J104,MAX(EXP((BM104-$J104)*$G104),1),MIN(EXP((BM104-$J104)*$G104),1)),"")</f>
        <v/>
      </c>
    </row>
    <row r="105" spans="1:67" x14ac:dyDescent="0.2">
      <c r="A105" s="33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84" t="e">
        <f t="shared" si="9"/>
        <v>#N/A</v>
      </c>
      <c r="G105" s="85" t="e">
        <f>_xll.qlDayCounterYearFraction(DayCounter,D104,D105)</f>
        <v>#NUM!</v>
      </c>
      <c r="I105" s="93" t="b">
        <f t="shared" si="7"/>
        <v>0</v>
      </c>
      <c r="J105" s="37" t="e">
        <v>#N/A</v>
      </c>
      <c r="K105" s="94" t="e">
        <f t="shared" si="8"/>
        <v>#VALUE!</v>
      </c>
      <c r="L105" s="106"/>
      <c r="M105" s="72" t="b">
        <f>IF(AND(NOT(I105),AND(I$4:I104)),TRUE,I105)</f>
        <v>0</v>
      </c>
      <c r="N105" s="34" t="e">
        <f>IF(AND(NOT(ISBLANK(Jumpoverwrite1)),AND(NOT(M105),AND(M$4:M104))),($J105*$G105-LN(1+Jumpoverwrite1*O$2))/$G105,_xll.qlInterpolationInterpolate(M$3,$F105,TRUE))</f>
        <v>#NUM!</v>
      </c>
      <c r="O105" s="34" t="str">
        <f>IF(AND(NOT(M105),AND(M$4:M104)),IF(N105&gt;$J105,MAX(EXP((N105-$J105)*$G105),1),MIN(EXP((N105-$J105)*$G105),1)),"")</f>
        <v/>
      </c>
      <c r="P105" s="108"/>
      <c r="Q105" s="72" t="b">
        <f>IF(AND(NOT(M105),AND(M$4:M104)),TRUE,M105)</f>
        <v>0</v>
      </c>
      <c r="R105" s="34" t="e">
        <f>IF(AND(NOT(ISBLANK(Jumpoverwrite2)),AND(NOT(Q105),AND(Q$4:Q104))),($J105*$G105-LN(1+Jumpoverwrite2*S$2))/$G105,_xll.qlInterpolationInterpolate(Q$3,$F105,TRUE))</f>
        <v>#NUM!</v>
      </c>
      <c r="S105" s="34" t="str">
        <f>IF(AND(NOT(Q105),AND(Q$4:Q104)),IF(R105&gt;$J105,MAX(EXP((R105-$J105)*$G105),1),MIN(EXP((R105-$J105)*$G105),1)),"")</f>
        <v/>
      </c>
      <c r="T105" s="108"/>
      <c r="U105" s="72" t="b">
        <f>IF(AND(NOT(Q105),AND(Q$4:Q104)),TRUE,Q105)</f>
        <v>0</v>
      </c>
      <c r="V105" s="34" t="e">
        <f>IF(AND(NOT(ISBLANK(Jumpoverwrite3)),AND(NOT(U105),AND(U$4:U104))),($J105*$G105-LN(1+Jumpoverwrite3*W$2))/$G105,_xll.qlInterpolationInterpolate(U$3,$F105,TRUE))</f>
        <v>#NUM!</v>
      </c>
      <c r="W105" s="34" t="str">
        <f>IF(AND(NOT(U105),AND(U$4:U104)),IF(V105&gt;$J105,MAX(EXP((V105-$J105)*$G105),1),MIN(EXP((V105-$J105)*$G105),1)),"")</f>
        <v/>
      </c>
      <c r="X105" s="108"/>
      <c r="Y105" s="72" t="b">
        <f>IF(AND(NOT(U105),AND(U$4:U104)),TRUE,U105)</f>
        <v>0</v>
      </c>
      <c r="Z105" s="34" t="e">
        <f>IF(AND(NOT(ISBLANK(Jumpoverwrite4)),AND(NOT(Y105),AND(Y$4:Y104))),($J105*$G105-LN(1+Jumpoverwrite4*AA$2))/$G105,_xll.qlInterpolationInterpolate(Y$3,$F105,TRUE))</f>
        <v>#NUM!</v>
      </c>
      <c r="AA105" s="34" t="str">
        <f>IF(AND(NOT(Y105),AND(Y$4:Y104)),IF(Z105&gt;$J105,MAX(EXP((Z105-$J105)*$G105),1),MIN(EXP((Z105-$J105)*$G105),1)),"")</f>
        <v/>
      </c>
      <c r="AB105" s="108"/>
      <c r="AC105" s="72" t="b">
        <f>IF(AND(NOT(Y105),AND(Y$4:Y104)),TRUE,Y105)</f>
        <v>0</v>
      </c>
      <c r="AD105" s="34" t="e">
        <f>IF(AND(NOT(ISBLANK(Jumpoverwrite5)),AND(NOT(AC105),AND(AC$4:AC104))),($J105*$G105-LN(1+Jumpoverwrite5*AE$2))/$G105,_xll.qlInterpolationInterpolate(AC$3,$F105,TRUE))</f>
        <v>#NUM!</v>
      </c>
      <c r="AE105" s="34" t="str">
        <f>IF(AND(NOT(AC105),AND(AC$4:AC104)),IF(AD105&gt;$J105,MAX(EXP((AD105-$J105)*$G105),1),MIN(EXP((AD105-$J105)*$G105),1)),"")</f>
        <v/>
      </c>
      <c r="AF105" s="108"/>
      <c r="AG105" s="72" t="b">
        <f>IF(AND(NOT(AC105),AND(AC$4:AC104)),TRUE,AC105)</f>
        <v>0</v>
      </c>
      <c r="AH105" s="34" t="e">
        <f>IF(AND(NOT(ISBLANK(Jumpoverwrite6)),AND(NOT(AG105),AND(AG$4:AG104))),($J105*$G105-LN(1+Jumpoverwrite6*AI$2))/$G105,_xll.qlInterpolationInterpolate(AG$3,$F105,TRUE))</f>
        <v>#NUM!</v>
      </c>
      <c r="AI105" s="34" t="str">
        <f>IF(AND(NOT(AG105),AND(AG$4:AG104)),IF(AH105&gt;$J105,MAX(EXP((AH105-$J105)*$G105),1),MIN(EXP((AH105-$J105)*$G105),1)),"")</f>
        <v/>
      </c>
      <c r="AJ105" s="108"/>
      <c r="AK105" s="72" t="b">
        <f>IF(AND(NOT(AG105),AND(AG$4:AG104)),TRUE,AG105)</f>
        <v>0</v>
      </c>
      <c r="AL105" s="34" t="e">
        <f>IF(AND(NOT(ISBLANK(Jumpoverwrite7)),AND(NOT(AK105),AND(AK$4:AK104))),($J105*$G105-LN(1+Jumpoverwrite7*AM$2))/$G105,_xll.qlInterpolationInterpolate(AK$3,$F105,TRUE))</f>
        <v>#NUM!</v>
      </c>
      <c r="AM105" s="34" t="str">
        <f>IF(AND(NOT(AK105),AND(AK$4:AK104)),IF(AL105&gt;$J105,MAX(EXP((AL105-$J105)*$G105),1),MIN(EXP((AL105-$J105)*$G105),1)),"")</f>
        <v/>
      </c>
      <c r="AO105" s="72" t="b">
        <f>IF(AND(NOT(AK105),AND(AK$4:AK104)),TRUE,AK105)</f>
        <v>0</v>
      </c>
      <c r="AP105" s="34" t="e">
        <f>IF(AND(NOT(ISBLANK(Jumpoverwrite8)),AND(NOT(AO105),AND(AO$4:AO104))),($J105*$G105-LN(1+Jumpoverwrite8*AQ$2))/$G105,_xll.qlInterpolationInterpolate(AO$3,$F105,TRUE))</f>
        <v>#NUM!</v>
      </c>
      <c r="AQ105" s="34" t="str">
        <f>IF(AND(NOT(AO105),AND(AO$4:AO104)),IF(AP105&gt;$J105,MAX(EXP((AP105-$J105)*$G105),1),MIN(EXP((AP105-$J105)*$G105),1)),"")</f>
        <v/>
      </c>
      <c r="AS105" s="72" t="b">
        <f>IF(AND(NOT(AO105),AND(AO$4:AO104)),TRUE,AO105)</f>
        <v>0</v>
      </c>
      <c r="AT105" s="34" t="e">
        <f>IF(AND(NOT(ISBLANK(Jumpoverwrite9)),AND(NOT(AS105),AND(AS$4:AS104))),($J105*$G105-LN(1+Jumpoverwrite9*AU$2))/$G105,_xll.qlInterpolationInterpolate(AS$3,$F105,TRUE))</f>
        <v>#NUM!</v>
      </c>
      <c r="AU105" s="34" t="str">
        <f>IF(AND(NOT(AS105),AND(AS$4:AS104)),IF(AT105&gt;$J105,MAX(EXP((AT105-$J105)*$G105),1),MIN(EXP((AT105-$J105)*$G105),1)),"")</f>
        <v/>
      </c>
      <c r="AW105" s="72" t="b">
        <f>IF(AND(NOT(AS105),AND(AS$4:AS104)),TRUE,AS105)</f>
        <v>0</v>
      </c>
      <c r="AX105" s="34" t="e">
        <f>IF(AND(NOT(ISBLANK(Jumpoverwrite10)),AND(NOT(AW105),AND(AW$4:AW104))),($J105*$G105-LN(1+Jumpoverwrite10*AY$2))/$G105,_xll.qlInterpolationInterpolate(AW$3,$F105,TRUE))</f>
        <v>#NUM!</v>
      </c>
      <c r="AY105" s="34" t="str">
        <f>IF(AND(NOT(AW105),AND(AW$4:AW104)),IF(AX105&gt;$J105,MAX(EXP((AX105-$J105)*$G105),1),MIN(EXP((AX105-$J105)*$G105),1)),"")</f>
        <v/>
      </c>
      <c r="BA105" s="72" t="b">
        <f>IF(AND(NOT(AW105),AND(AW$4:AW104)),TRUE,AW105)</f>
        <v>0</v>
      </c>
      <c r="BB105" s="34" t="e">
        <f>IF(AND(NOT(ISBLANK(Jumpoverwrite11)),AND(NOT(BA105),AND(BA$4:BA104))),($J105*$G105-LN(1+Jumpoverwrite11*BC$2))/$G105,_xll.qlInterpolationInterpolate(BA$3,$F105,TRUE))</f>
        <v>#NUM!</v>
      </c>
      <c r="BC105" s="34" t="str">
        <f>IF(AND(NOT(BA105),AND(BA$4:BA104)),IF(BB105&gt;$J105,MAX(EXP((BB105-$J105)*$G105),1),MIN(EXP((BB105-$J105)*$G105),1)),"")</f>
        <v/>
      </c>
      <c r="BE105" s="72" t="b">
        <f>IF(AND(NOT(BA105),AND(BA$4:BA104)),TRUE,BA105)</f>
        <v>0</v>
      </c>
      <c r="BF105" s="34" t="e">
        <f>IF(AND(NOT(ISBLANK(Jumpoverwrite12)),AND(NOT(BE105),AND(BE$4:BE104))),($J105*$G105-LN(1+Jumpoverwrite12*BG$2))/$G105,_xll.qlInterpolationInterpolate(BE$3,$F105,TRUE))</f>
        <v>#NUM!</v>
      </c>
      <c r="BG105" s="34" t="str">
        <f>IF(AND(NOT(BE105),AND(BE$4:BE104)),IF(BF105&gt;$J105,MAX(EXP((BF105-$J105)*$G105),1),MIN(EXP((BF105-$J105)*$G105),1)),"")</f>
        <v/>
      </c>
      <c r="BI105" s="72" t="b">
        <f t="shared" si="10"/>
        <v>0</v>
      </c>
      <c r="BJ105" s="34" t="e">
        <f>IF(AND(NOT(ISBLANK(jumpoverwrite13)),AND(NOT(BI105),AND(BI$4:BI104))),($J105*$G105-LN(1+jumpoverwrite13*BK$2))/$G105,_xll.qlInterpolationInterpolate(BI$3,$F105,TRUE))</f>
        <v>#NUM!</v>
      </c>
      <c r="BK105" s="34" t="str">
        <f>IF(AND(NOT(BI105),AND(BI$4:BI104)),IF(BJ105&gt;$J105,MAX(EXP((BJ105-$J105)*$G105),1),MIN(EXP((BJ105-$J105)*$G105),1)),"")</f>
        <v/>
      </c>
      <c r="BM105" s="72" t="b">
        <f>IF(AND(NOT(BI105),AND(BI$4:BI104)),TRUE,BI105)</f>
        <v>0</v>
      </c>
      <c r="BN105" s="175" t="e">
        <f>IF(AND(NOT(ISBLANK(Jumpoverwrite14)),AND(NOT(BM105),AND(BM$4:BM104))),($J105*$G105-LN(1+Jumpoverwrite14*BO$2))/$G105,_xll.qlInterpolationInterpolate(BM$3,$F105,TRUE))</f>
        <v>#NUM!</v>
      </c>
      <c r="BO105" s="34" t="str">
        <f>IF(AND(NOT(BM105),AND(BM$4:BM104)),IF(BM105&gt;$J105,MAX(EXP((BM105-$J105)*$G105),1),MIN(EXP((BM105-$J105)*$G105),1)),"")</f>
        <v/>
      </c>
    </row>
    <row r="106" spans="1:67" x14ac:dyDescent="0.2">
      <c r="A106" s="33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84" t="e">
        <f t="shared" si="9"/>
        <v>#N/A</v>
      </c>
      <c r="G106" s="85" t="e">
        <f>_xll.qlDayCounterYearFraction(DayCounter,D105,D106)</f>
        <v>#NUM!</v>
      </c>
      <c r="I106" s="93" t="b">
        <f t="shared" si="7"/>
        <v>0</v>
      </c>
      <c r="J106" s="37" t="e">
        <v>#N/A</v>
      </c>
      <c r="K106" s="94" t="e">
        <f t="shared" si="8"/>
        <v>#VALUE!</v>
      </c>
      <c r="L106" s="106"/>
      <c r="M106" s="72" t="b">
        <f>IF(AND(NOT(I106),AND(I$4:I105)),TRUE,I106)</f>
        <v>0</v>
      </c>
      <c r="N106" s="34" t="e">
        <f>IF(AND(NOT(ISBLANK(Jumpoverwrite1)),AND(NOT(M106),AND(M$4:M105))),($J106*$G106-LN(1+Jumpoverwrite1*O$2))/$G106,_xll.qlInterpolationInterpolate(M$3,$F106,TRUE))</f>
        <v>#NUM!</v>
      </c>
      <c r="O106" s="34" t="str">
        <f>IF(AND(NOT(M106),AND(M$4:M105)),IF(N106&gt;$J106,MAX(EXP((N106-$J106)*$G106),1),MIN(EXP((N106-$J106)*$G106),1)),"")</f>
        <v/>
      </c>
      <c r="P106" s="108"/>
      <c r="Q106" s="72" t="b">
        <f>IF(AND(NOT(M106),AND(M$4:M105)),TRUE,M106)</f>
        <v>0</v>
      </c>
      <c r="R106" s="34" t="e">
        <f>IF(AND(NOT(ISBLANK(Jumpoverwrite2)),AND(NOT(Q106),AND(Q$4:Q105))),($J106*$G106-LN(1+Jumpoverwrite2*S$2))/$G106,_xll.qlInterpolationInterpolate(Q$3,$F106,TRUE))</f>
        <v>#NUM!</v>
      </c>
      <c r="S106" s="34" t="str">
        <f>IF(AND(NOT(Q106),AND(Q$4:Q105)),IF(R106&gt;$J106,MAX(EXP((R106-$J106)*$G106),1),MIN(EXP((R106-$J106)*$G106),1)),"")</f>
        <v/>
      </c>
      <c r="T106" s="108"/>
      <c r="U106" s="72" t="b">
        <f>IF(AND(NOT(Q106),AND(Q$4:Q105)),TRUE,Q106)</f>
        <v>0</v>
      </c>
      <c r="V106" s="34" t="e">
        <f>IF(AND(NOT(ISBLANK(Jumpoverwrite3)),AND(NOT(U106),AND(U$4:U105))),($J106*$G106-LN(1+Jumpoverwrite3*W$2))/$G106,_xll.qlInterpolationInterpolate(U$3,$F106,TRUE))</f>
        <v>#NUM!</v>
      </c>
      <c r="W106" s="34" t="str">
        <f>IF(AND(NOT(U106),AND(U$4:U105)),IF(V106&gt;$J106,MAX(EXP((V106-$J106)*$G106),1),MIN(EXP((V106-$J106)*$G106),1)),"")</f>
        <v/>
      </c>
      <c r="X106" s="108"/>
      <c r="Y106" s="72" t="b">
        <f>IF(AND(NOT(U106),AND(U$4:U105)),TRUE,U106)</f>
        <v>0</v>
      </c>
      <c r="Z106" s="34" t="e">
        <f>IF(AND(NOT(ISBLANK(Jumpoverwrite4)),AND(NOT(Y106),AND(Y$4:Y105))),($J106*$G106-LN(1+Jumpoverwrite4*AA$2))/$G106,_xll.qlInterpolationInterpolate(Y$3,$F106,TRUE))</f>
        <v>#NUM!</v>
      </c>
      <c r="AA106" s="34" t="str">
        <f>IF(AND(NOT(Y106),AND(Y$4:Y105)),IF(Z106&gt;$J106,MAX(EXP((Z106-$J106)*$G106),1),MIN(EXP((Z106-$J106)*$G106),1)),"")</f>
        <v/>
      </c>
      <c r="AB106" s="108"/>
      <c r="AC106" s="72" t="b">
        <f>IF(AND(NOT(Y106),AND(Y$4:Y105)),TRUE,Y106)</f>
        <v>0</v>
      </c>
      <c r="AD106" s="34" t="e">
        <f>IF(AND(NOT(ISBLANK(Jumpoverwrite5)),AND(NOT(AC106),AND(AC$4:AC105))),($J106*$G106-LN(1+Jumpoverwrite5*AE$2))/$G106,_xll.qlInterpolationInterpolate(AC$3,$F106,TRUE))</f>
        <v>#NUM!</v>
      </c>
      <c r="AE106" s="34" t="str">
        <f>IF(AND(NOT(AC106),AND(AC$4:AC105)),IF(AD106&gt;$J106,MAX(EXP((AD106-$J106)*$G106),1),MIN(EXP((AD106-$J106)*$G106),1)),"")</f>
        <v/>
      </c>
      <c r="AF106" s="108"/>
      <c r="AG106" s="72" t="b">
        <f>IF(AND(NOT(AC106),AND(AC$4:AC105)),TRUE,AC106)</f>
        <v>0</v>
      </c>
      <c r="AH106" s="34" t="e">
        <f>IF(AND(NOT(ISBLANK(Jumpoverwrite6)),AND(NOT(AG106),AND(AG$4:AG105))),($J106*$G106-LN(1+Jumpoverwrite6*AI$2))/$G106,_xll.qlInterpolationInterpolate(AG$3,$F106,TRUE))</f>
        <v>#NUM!</v>
      </c>
      <c r="AI106" s="34" t="str">
        <f>IF(AND(NOT(AG106),AND(AG$4:AG105)),IF(AH106&gt;$J106,MAX(EXP((AH106-$J106)*$G106),1),MIN(EXP((AH106-$J106)*$G106),1)),"")</f>
        <v/>
      </c>
      <c r="AJ106" s="108"/>
      <c r="AK106" s="72" t="b">
        <f>IF(AND(NOT(AG106),AND(AG$4:AG105)),TRUE,AG106)</f>
        <v>0</v>
      </c>
      <c r="AL106" s="34" t="e">
        <f>IF(AND(NOT(ISBLANK(Jumpoverwrite7)),AND(NOT(AK106),AND(AK$4:AK105))),($J106*$G106-LN(1+Jumpoverwrite7*AM$2))/$G106,_xll.qlInterpolationInterpolate(AK$3,$F106,TRUE))</f>
        <v>#NUM!</v>
      </c>
      <c r="AM106" s="34" t="str">
        <f>IF(AND(NOT(AK106),AND(AK$4:AK105)),IF(AL106&gt;$J106,MAX(EXP((AL106-$J106)*$G106),1),MIN(EXP((AL106-$J106)*$G106),1)),"")</f>
        <v/>
      </c>
      <c r="AO106" s="72" t="b">
        <f>IF(AND(NOT(AK106),AND(AK$4:AK105)),TRUE,AK106)</f>
        <v>0</v>
      </c>
      <c r="AP106" s="34" t="e">
        <f>IF(AND(NOT(ISBLANK(Jumpoverwrite8)),AND(NOT(AO106),AND(AO$4:AO105))),($J106*$G106-LN(1+Jumpoverwrite8*AQ$2))/$G106,_xll.qlInterpolationInterpolate(AO$3,$F106,TRUE))</f>
        <v>#NUM!</v>
      </c>
      <c r="AQ106" s="34" t="str">
        <f>IF(AND(NOT(AO106),AND(AO$4:AO105)),IF(AP106&gt;$J106,MAX(EXP((AP106-$J106)*$G106),1),MIN(EXP((AP106-$J106)*$G106),1)),"")</f>
        <v/>
      </c>
      <c r="AS106" s="72" t="b">
        <f>IF(AND(NOT(AO106),AND(AO$4:AO105)),TRUE,AO106)</f>
        <v>0</v>
      </c>
      <c r="AT106" s="34" t="e">
        <f>IF(AND(NOT(ISBLANK(Jumpoverwrite9)),AND(NOT(AS106),AND(AS$4:AS105))),($J106*$G106-LN(1+Jumpoverwrite9*AU$2))/$G106,_xll.qlInterpolationInterpolate(AS$3,$F106,TRUE))</f>
        <v>#NUM!</v>
      </c>
      <c r="AU106" s="34" t="str">
        <f>IF(AND(NOT(AS106),AND(AS$4:AS105)),IF(AT106&gt;$J106,MAX(EXP((AT106-$J106)*$G106),1),MIN(EXP((AT106-$J106)*$G106),1)),"")</f>
        <v/>
      </c>
      <c r="AW106" s="72" t="b">
        <f>IF(AND(NOT(AS106),AND(AS$4:AS105)),TRUE,AS106)</f>
        <v>0</v>
      </c>
      <c r="AX106" s="34" t="e">
        <f>IF(AND(NOT(ISBLANK(Jumpoverwrite10)),AND(NOT(AW106),AND(AW$4:AW105))),($J106*$G106-LN(1+Jumpoverwrite10*AY$2))/$G106,_xll.qlInterpolationInterpolate(AW$3,$F106,TRUE))</f>
        <v>#NUM!</v>
      </c>
      <c r="AY106" s="34" t="str">
        <f>IF(AND(NOT(AW106),AND(AW$4:AW105)),IF(AX106&gt;$J106,MAX(EXP((AX106-$J106)*$G106),1),MIN(EXP((AX106-$J106)*$G106),1)),"")</f>
        <v/>
      </c>
      <c r="BA106" s="72" t="b">
        <f>IF(AND(NOT(AW106),AND(AW$4:AW105)),TRUE,AW106)</f>
        <v>0</v>
      </c>
      <c r="BB106" s="34" t="e">
        <f>IF(AND(NOT(ISBLANK(Jumpoverwrite11)),AND(NOT(BA106),AND(BA$4:BA105))),($J106*$G106-LN(1+Jumpoverwrite11*BC$2))/$G106,_xll.qlInterpolationInterpolate(BA$3,$F106,TRUE))</f>
        <v>#NUM!</v>
      </c>
      <c r="BC106" s="34" t="str">
        <f>IF(AND(NOT(BA106),AND(BA$4:BA105)),IF(BB106&gt;$J106,MAX(EXP((BB106-$J106)*$G106),1),MIN(EXP((BB106-$J106)*$G106),1)),"")</f>
        <v/>
      </c>
      <c r="BE106" s="72" t="b">
        <f>IF(AND(NOT(BA106),AND(BA$4:BA105)),TRUE,BA106)</f>
        <v>0</v>
      </c>
      <c r="BF106" s="34" t="e">
        <f>IF(AND(NOT(ISBLANK(Jumpoverwrite12)),AND(NOT(BE106),AND(BE$4:BE105))),($J106*$G106-LN(1+Jumpoverwrite12*BG$2))/$G106,_xll.qlInterpolationInterpolate(BE$3,$F106,TRUE))</f>
        <v>#NUM!</v>
      </c>
      <c r="BG106" s="34" t="str">
        <f>IF(AND(NOT(BE106),AND(BE$4:BE105)),IF(BF106&gt;$J106,MAX(EXP((BF106-$J106)*$G106),1),MIN(EXP((BF106-$J106)*$G106),1)),"")</f>
        <v/>
      </c>
      <c r="BI106" s="72" t="b">
        <f t="shared" si="10"/>
        <v>0</v>
      </c>
      <c r="BJ106" s="34" t="e">
        <f>IF(AND(NOT(ISBLANK(jumpoverwrite13)),AND(NOT(BI106),AND(BI$4:BI105))),($J106*$G106-LN(1+jumpoverwrite13*BK$2))/$G106,_xll.qlInterpolationInterpolate(BI$3,$F106,TRUE))</f>
        <v>#NUM!</v>
      </c>
      <c r="BK106" s="34" t="str">
        <f>IF(AND(NOT(BI106),AND(BI$4:BI105)),IF(BJ106&gt;$J106,MAX(EXP((BJ106-$J106)*$G106),1),MIN(EXP((BJ106-$J106)*$G106),1)),"")</f>
        <v/>
      </c>
      <c r="BM106" s="72" t="b">
        <f>IF(AND(NOT(BI106),AND(BI$4:BI105)),TRUE,BI106)</f>
        <v>0</v>
      </c>
      <c r="BN106" s="175" t="e">
        <f>IF(AND(NOT(ISBLANK(Jumpoverwrite14)),AND(NOT(BM106),AND(BM$4:BM105))),($J106*$G106-LN(1+Jumpoverwrite14*BO$2))/$G106,_xll.qlInterpolationInterpolate(BM$3,$F106,TRUE))</f>
        <v>#NUM!</v>
      </c>
      <c r="BO106" s="34" t="str">
        <f>IF(AND(NOT(BM106),AND(BM$4:BM105)),IF(BM106&gt;$J106,MAX(EXP((BM106-$J106)*$G106),1),MIN(EXP((BM106-$J106)*$G106),1)),"")</f>
        <v/>
      </c>
    </row>
    <row r="107" spans="1:67" x14ac:dyDescent="0.2">
      <c r="A107" s="33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84" t="e">
        <f t="shared" si="9"/>
        <v>#N/A</v>
      </c>
      <c r="G107" s="85" t="e">
        <f>_xll.qlDayCounterYearFraction(DayCounter,D106,D107)</f>
        <v>#NUM!</v>
      </c>
      <c r="I107" s="93" t="b">
        <f t="shared" si="7"/>
        <v>0</v>
      </c>
      <c r="J107" s="37" t="e">
        <v>#N/A</v>
      </c>
      <c r="K107" s="94" t="e">
        <f t="shared" si="8"/>
        <v>#VALUE!</v>
      </c>
      <c r="L107" s="106"/>
      <c r="M107" s="72" t="b">
        <f>IF(AND(NOT(I107),AND(I$4:I106)),TRUE,I107)</f>
        <v>0</v>
      </c>
      <c r="N107" s="34" t="e">
        <f>IF(AND(NOT(ISBLANK(Jumpoverwrite1)),AND(NOT(M107),AND(M$4:M106))),($J107*$G107-LN(1+Jumpoverwrite1*O$2))/$G107,_xll.qlInterpolationInterpolate(M$3,$F107,TRUE))</f>
        <v>#NUM!</v>
      </c>
      <c r="O107" s="34" t="str">
        <f>IF(AND(NOT(M107),AND(M$4:M106)),IF(N107&gt;$J107,MAX(EXP((N107-$J107)*$G107),1),MIN(EXP((N107-$J107)*$G107),1)),"")</f>
        <v/>
      </c>
      <c r="P107" s="108"/>
      <c r="Q107" s="72" t="b">
        <f>IF(AND(NOT(M107),AND(M$4:M106)),TRUE,M107)</f>
        <v>0</v>
      </c>
      <c r="R107" s="34" t="e">
        <f>IF(AND(NOT(ISBLANK(Jumpoverwrite2)),AND(NOT(Q107),AND(Q$4:Q106))),($J107*$G107-LN(1+Jumpoverwrite2*S$2))/$G107,_xll.qlInterpolationInterpolate(Q$3,$F107,TRUE))</f>
        <v>#NUM!</v>
      </c>
      <c r="S107" s="34" t="str">
        <f>IF(AND(NOT(Q107),AND(Q$4:Q106)),IF(R107&gt;$J107,MAX(EXP((R107-$J107)*$G107),1),MIN(EXP((R107-$J107)*$G107),1)),"")</f>
        <v/>
      </c>
      <c r="T107" s="108"/>
      <c r="U107" s="72" t="b">
        <f>IF(AND(NOT(Q107),AND(Q$4:Q106)),TRUE,Q107)</f>
        <v>0</v>
      </c>
      <c r="V107" s="34" t="e">
        <f>IF(AND(NOT(ISBLANK(Jumpoverwrite3)),AND(NOT(U107),AND(U$4:U106))),($J107*$G107-LN(1+Jumpoverwrite3*W$2))/$G107,_xll.qlInterpolationInterpolate(U$3,$F107,TRUE))</f>
        <v>#NUM!</v>
      </c>
      <c r="W107" s="34" t="str">
        <f>IF(AND(NOT(U107),AND(U$4:U106)),IF(V107&gt;$J107,MAX(EXP((V107-$J107)*$G107),1),MIN(EXP((V107-$J107)*$G107),1)),"")</f>
        <v/>
      </c>
      <c r="X107" s="108"/>
      <c r="Y107" s="72" t="b">
        <f>IF(AND(NOT(U107),AND(U$4:U106)),TRUE,U107)</f>
        <v>0</v>
      </c>
      <c r="Z107" s="34" t="e">
        <f>IF(AND(NOT(ISBLANK(Jumpoverwrite4)),AND(NOT(Y107),AND(Y$4:Y106))),($J107*$G107-LN(1+Jumpoverwrite4*AA$2))/$G107,_xll.qlInterpolationInterpolate(Y$3,$F107,TRUE))</f>
        <v>#NUM!</v>
      </c>
      <c r="AA107" s="34" t="str">
        <f>IF(AND(NOT(Y107),AND(Y$4:Y106)),IF(Z107&gt;$J107,MAX(EXP((Z107-$J107)*$G107),1),MIN(EXP((Z107-$J107)*$G107),1)),"")</f>
        <v/>
      </c>
      <c r="AB107" s="108"/>
      <c r="AC107" s="72" t="b">
        <f>IF(AND(NOT(Y107),AND(Y$4:Y106)),TRUE,Y107)</f>
        <v>0</v>
      </c>
      <c r="AD107" s="34" t="e">
        <f>IF(AND(NOT(ISBLANK(Jumpoverwrite5)),AND(NOT(AC107),AND(AC$4:AC106))),($J107*$G107-LN(1+Jumpoverwrite5*AE$2))/$G107,_xll.qlInterpolationInterpolate(AC$3,$F107,TRUE))</f>
        <v>#NUM!</v>
      </c>
      <c r="AE107" s="34" t="str">
        <f>IF(AND(NOT(AC107),AND(AC$4:AC106)),IF(AD107&gt;$J107,MAX(EXP((AD107-$J107)*$G107),1),MIN(EXP((AD107-$J107)*$G107),1)),"")</f>
        <v/>
      </c>
      <c r="AF107" s="108"/>
      <c r="AG107" s="72" t="b">
        <f>IF(AND(NOT(AC107),AND(AC$4:AC106)),TRUE,AC107)</f>
        <v>0</v>
      </c>
      <c r="AH107" s="34" t="e">
        <f>IF(AND(NOT(ISBLANK(Jumpoverwrite6)),AND(NOT(AG107),AND(AG$4:AG106))),($J107*$G107-LN(1+Jumpoverwrite6*AI$2))/$G107,_xll.qlInterpolationInterpolate(AG$3,$F107,TRUE))</f>
        <v>#NUM!</v>
      </c>
      <c r="AI107" s="34" t="str">
        <f>IF(AND(NOT(AG107),AND(AG$4:AG106)),IF(AH107&gt;$J107,MAX(EXP((AH107-$J107)*$G107),1),MIN(EXP((AH107-$J107)*$G107),1)),"")</f>
        <v/>
      </c>
      <c r="AJ107" s="108"/>
      <c r="AK107" s="72" t="b">
        <f>IF(AND(NOT(AG107),AND(AG$4:AG106)),TRUE,AG107)</f>
        <v>0</v>
      </c>
      <c r="AL107" s="34" t="e">
        <f>IF(AND(NOT(ISBLANK(Jumpoverwrite7)),AND(NOT(AK107),AND(AK$4:AK106))),($J107*$G107-LN(1+Jumpoverwrite7*AM$2))/$G107,_xll.qlInterpolationInterpolate(AK$3,$F107,TRUE))</f>
        <v>#NUM!</v>
      </c>
      <c r="AM107" s="34" t="str">
        <f>IF(AND(NOT(AK107),AND(AK$4:AK106)),IF(AL107&gt;$J107,MAX(EXP((AL107-$J107)*$G107),1),MIN(EXP((AL107-$J107)*$G107),1)),"")</f>
        <v/>
      </c>
      <c r="AO107" s="72" t="b">
        <f>IF(AND(NOT(AK107),AND(AK$4:AK106)),TRUE,AK107)</f>
        <v>0</v>
      </c>
      <c r="AP107" s="34" t="e">
        <f>IF(AND(NOT(ISBLANK(Jumpoverwrite8)),AND(NOT(AO107),AND(AO$4:AO106))),($J107*$G107-LN(1+Jumpoverwrite8*AQ$2))/$G107,_xll.qlInterpolationInterpolate(AO$3,$F107,TRUE))</f>
        <v>#NUM!</v>
      </c>
      <c r="AQ107" s="34" t="str">
        <f>IF(AND(NOT(AO107),AND(AO$4:AO106)),IF(AP107&gt;$J107,MAX(EXP((AP107-$J107)*$G107),1),MIN(EXP((AP107-$J107)*$G107),1)),"")</f>
        <v/>
      </c>
      <c r="AS107" s="72" t="b">
        <f>IF(AND(NOT(AO107),AND(AO$4:AO106)),TRUE,AO107)</f>
        <v>0</v>
      </c>
      <c r="AT107" s="34" t="e">
        <f>IF(AND(NOT(ISBLANK(Jumpoverwrite9)),AND(NOT(AS107),AND(AS$4:AS106))),($J107*$G107-LN(1+Jumpoverwrite9*AU$2))/$G107,_xll.qlInterpolationInterpolate(AS$3,$F107,TRUE))</f>
        <v>#NUM!</v>
      </c>
      <c r="AU107" s="34" t="str">
        <f>IF(AND(NOT(AS107),AND(AS$4:AS106)),IF(AT107&gt;$J107,MAX(EXP((AT107-$J107)*$G107),1),MIN(EXP((AT107-$J107)*$G107),1)),"")</f>
        <v/>
      </c>
      <c r="AW107" s="72" t="b">
        <f>IF(AND(NOT(AS107),AND(AS$4:AS106)),TRUE,AS107)</f>
        <v>0</v>
      </c>
      <c r="AX107" s="34" t="e">
        <f>IF(AND(NOT(ISBLANK(Jumpoverwrite10)),AND(NOT(AW107),AND(AW$4:AW106))),($J107*$G107-LN(1+Jumpoverwrite10*AY$2))/$G107,_xll.qlInterpolationInterpolate(AW$3,$F107,TRUE))</f>
        <v>#NUM!</v>
      </c>
      <c r="AY107" s="34" t="str">
        <f>IF(AND(NOT(AW107),AND(AW$4:AW106)),IF(AX107&gt;$J107,MAX(EXP((AX107-$J107)*$G107),1),MIN(EXP((AX107-$J107)*$G107),1)),"")</f>
        <v/>
      </c>
      <c r="BA107" s="72" t="b">
        <f>IF(AND(NOT(AW107),AND(AW$4:AW106)),TRUE,AW107)</f>
        <v>0</v>
      </c>
      <c r="BB107" s="34" t="e">
        <f>IF(AND(NOT(ISBLANK(Jumpoverwrite11)),AND(NOT(BA107),AND(BA$4:BA106))),($J107*$G107-LN(1+Jumpoverwrite11*BC$2))/$G107,_xll.qlInterpolationInterpolate(BA$3,$F107,TRUE))</f>
        <v>#NUM!</v>
      </c>
      <c r="BC107" s="34" t="str">
        <f>IF(AND(NOT(BA107),AND(BA$4:BA106)),IF(BB107&gt;$J107,MAX(EXP((BB107-$J107)*$G107),1),MIN(EXP((BB107-$J107)*$G107),1)),"")</f>
        <v/>
      </c>
      <c r="BE107" s="72" t="b">
        <f>IF(AND(NOT(BA107),AND(BA$4:BA106)),TRUE,BA107)</f>
        <v>0</v>
      </c>
      <c r="BF107" s="34" t="e">
        <f>IF(AND(NOT(ISBLANK(Jumpoverwrite12)),AND(NOT(BE107),AND(BE$4:BE106))),($J107*$G107-LN(1+Jumpoverwrite12*BG$2))/$G107,_xll.qlInterpolationInterpolate(BE$3,$F107,TRUE))</f>
        <v>#NUM!</v>
      </c>
      <c r="BG107" s="34" t="str">
        <f>IF(AND(NOT(BE107),AND(BE$4:BE106)),IF(BF107&gt;$J107,MAX(EXP((BF107-$J107)*$G107),1),MIN(EXP((BF107-$J107)*$G107),1)),"")</f>
        <v/>
      </c>
      <c r="BI107" s="72" t="b">
        <f t="shared" si="10"/>
        <v>0</v>
      </c>
      <c r="BJ107" s="34" t="e">
        <f>IF(AND(NOT(ISBLANK(jumpoverwrite13)),AND(NOT(BI107),AND(BI$4:BI106))),($J107*$G107-LN(1+jumpoverwrite13*BK$2))/$G107,_xll.qlInterpolationInterpolate(BI$3,$F107,TRUE))</f>
        <v>#NUM!</v>
      </c>
      <c r="BK107" s="34" t="str">
        <f>IF(AND(NOT(BI107),AND(BI$4:BI106)),IF(BJ107&gt;$J107,MAX(EXP((BJ107-$J107)*$G107),1),MIN(EXP((BJ107-$J107)*$G107),1)),"")</f>
        <v/>
      </c>
      <c r="BM107" s="72" t="b">
        <f>IF(AND(NOT(BI107),AND(BI$4:BI106)),TRUE,BI107)</f>
        <v>0</v>
      </c>
      <c r="BN107" s="175" t="e">
        <f>IF(AND(NOT(ISBLANK(Jumpoverwrite14)),AND(NOT(BM107),AND(BM$4:BM106))),($J107*$G107-LN(1+Jumpoverwrite14*BO$2))/$G107,_xll.qlInterpolationInterpolate(BM$3,$F107,TRUE))</f>
        <v>#NUM!</v>
      </c>
      <c r="BO107" s="34" t="str">
        <f>IF(AND(NOT(BM107),AND(BM$4:BM106)),IF(BM107&gt;$J107,MAX(EXP((BM107-$J107)*$G107),1),MIN(EXP((BM107-$J107)*$G107),1)),"")</f>
        <v/>
      </c>
    </row>
    <row r="108" spans="1:67" x14ac:dyDescent="0.2">
      <c r="A108" s="33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84" t="e">
        <f t="shared" si="9"/>
        <v>#N/A</v>
      </c>
      <c r="G108" s="85" t="e">
        <f>_xll.qlDayCounterYearFraction(DayCounter,D107,D108)</f>
        <v>#NUM!</v>
      </c>
      <c r="I108" s="93" t="b">
        <f t="shared" si="7"/>
        <v>0</v>
      </c>
      <c r="J108" s="37" t="e">
        <v>#N/A</v>
      </c>
      <c r="K108" s="94" t="e">
        <f t="shared" si="8"/>
        <v>#VALUE!</v>
      </c>
      <c r="L108" s="106"/>
      <c r="M108" s="72" t="b">
        <f>IF(AND(NOT(I108),AND(I$4:I107)),TRUE,I108)</f>
        <v>0</v>
      </c>
      <c r="N108" s="34" t="e">
        <f>IF(AND(NOT(ISBLANK(Jumpoverwrite1)),AND(NOT(M108),AND(M$4:M107))),($J108*$G108-LN(1+Jumpoverwrite1*O$2))/$G108,_xll.qlInterpolationInterpolate(M$3,$F108,TRUE))</f>
        <v>#NUM!</v>
      </c>
      <c r="O108" s="34" t="str">
        <f>IF(AND(NOT(M108),AND(M$4:M107)),IF(N108&gt;$J108,MAX(EXP((N108-$J108)*$G108),1),MIN(EXP((N108-$J108)*$G108),1)),"")</f>
        <v/>
      </c>
      <c r="P108" s="108"/>
      <c r="Q108" s="72" t="b">
        <f>IF(AND(NOT(M108),AND(M$4:M107)),TRUE,M108)</f>
        <v>0</v>
      </c>
      <c r="R108" s="34" t="e">
        <f>IF(AND(NOT(ISBLANK(Jumpoverwrite2)),AND(NOT(Q108),AND(Q$4:Q107))),($J108*$G108-LN(1+Jumpoverwrite2*S$2))/$G108,_xll.qlInterpolationInterpolate(Q$3,$F108,TRUE))</f>
        <v>#NUM!</v>
      </c>
      <c r="S108" s="34" t="str">
        <f>IF(AND(NOT(Q108),AND(Q$4:Q107)),IF(R108&gt;$J108,MAX(EXP((R108-$J108)*$G108),1),MIN(EXP((R108-$J108)*$G108),1)),"")</f>
        <v/>
      </c>
      <c r="T108" s="108"/>
      <c r="U108" s="72" t="b">
        <f>IF(AND(NOT(Q108),AND(Q$4:Q107)),TRUE,Q108)</f>
        <v>0</v>
      </c>
      <c r="V108" s="34" t="e">
        <f>IF(AND(NOT(ISBLANK(Jumpoverwrite3)),AND(NOT(U108),AND(U$4:U107))),($J108*$G108-LN(1+Jumpoverwrite3*W$2))/$G108,_xll.qlInterpolationInterpolate(U$3,$F108,TRUE))</f>
        <v>#NUM!</v>
      </c>
      <c r="W108" s="34" t="str">
        <f>IF(AND(NOT(U108),AND(U$4:U107)),IF(V108&gt;$J108,MAX(EXP((V108-$J108)*$G108),1),MIN(EXP((V108-$J108)*$G108),1)),"")</f>
        <v/>
      </c>
      <c r="X108" s="108"/>
      <c r="Y108" s="72" t="b">
        <f>IF(AND(NOT(U108),AND(U$4:U107)),TRUE,U108)</f>
        <v>0</v>
      </c>
      <c r="Z108" s="34" t="e">
        <f>IF(AND(NOT(ISBLANK(Jumpoverwrite4)),AND(NOT(Y108),AND(Y$4:Y107))),($J108*$G108-LN(1+Jumpoverwrite4*AA$2))/$G108,_xll.qlInterpolationInterpolate(Y$3,$F108,TRUE))</f>
        <v>#NUM!</v>
      </c>
      <c r="AA108" s="34" t="str">
        <f>IF(AND(NOT(Y108),AND(Y$4:Y107)),IF(Z108&gt;$J108,MAX(EXP((Z108-$J108)*$G108),1),MIN(EXP((Z108-$J108)*$G108),1)),"")</f>
        <v/>
      </c>
      <c r="AB108" s="108"/>
      <c r="AC108" s="72" t="b">
        <f>IF(AND(NOT(Y108),AND(Y$4:Y107)),TRUE,Y108)</f>
        <v>0</v>
      </c>
      <c r="AD108" s="34" t="e">
        <f>IF(AND(NOT(ISBLANK(Jumpoverwrite5)),AND(NOT(AC108),AND(AC$4:AC107))),($J108*$G108-LN(1+Jumpoverwrite5*AE$2))/$G108,_xll.qlInterpolationInterpolate(AC$3,$F108,TRUE))</f>
        <v>#NUM!</v>
      </c>
      <c r="AE108" s="34" t="str">
        <f>IF(AND(NOT(AC108),AND(AC$4:AC107)),IF(AD108&gt;$J108,MAX(EXP((AD108-$J108)*$G108),1),MIN(EXP((AD108-$J108)*$G108),1)),"")</f>
        <v/>
      </c>
      <c r="AF108" s="108"/>
      <c r="AG108" s="72" t="b">
        <f>IF(AND(NOT(AC108),AND(AC$4:AC107)),TRUE,AC108)</f>
        <v>0</v>
      </c>
      <c r="AH108" s="34" t="e">
        <f>IF(AND(NOT(ISBLANK(Jumpoverwrite6)),AND(NOT(AG108),AND(AG$4:AG107))),($J108*$G108-LN(1+Jumpoverwrite6*AI$2))/$G108,_xll.qlInterpolationInterpolate(AG$3,$F108,TRUE))</f>
        <v>#NUM!</v>
      </c>
      <c r="AI108" s="34" t="str">
        <f>IF(AND(NOT(AG108),AND(AG$4:AG107)),IF(AH108&gt;$J108,MAX(EXP((AH108-$J108)*$G108),1),MIN(EXP((AH108-$J108)*$G108),1)),"")</f>
        <v/>
      </c>
      <c r="AJ108" s="108"/>
      <c r="AK108" s="72" t="b">
        <f>IF(AND(NOT(AG108),AND(AG$4:AG107)),TRUE,AG108)</f>
        <v>0</v>
      </c>
      <c r="AL108" s="34" t="e">
        <f>IF(AND(NOT(ISBLANK(Jumpoverwrite7)),AND(NOT(AK108),AND(AK$4:AK107))),($J108*$G108-LN(1+Jumpoverwrite7*AM$2))/$G108,_xll.qlInterpolationInterpolate(AK$3,$F108,TRUE))</f>
        <v>#NUM!</v>
      </c>
      <c r="AM108" s="34" t="str">
        <f>IF(AND(NOT(AK108),AND(AK$4:AK107)),IF(AL108&gt;$J108,MAX(EXP((AL108-$J108)*$G108),1),MIN(EXP((AL108-$J108)*$G108),1)),"")</f>
        <v/>
      </c>
      <c r="AO108" s="72" t="b">
        <f>IF(AND(NOT(AK108),AND(AK$4:AK107)),TRUE,AK108)</f>
        <v>0</v>
      </c>
      <c r="AP108" s="34" t="e">
        <f>IF(AND(NOT(ISBLANK(Jumpoverwrite8)),AND(NOT(AO108),AND(AO$4:AO107))),($J108*$G108-LN(1+Jumpoverwrite8*AQ$2))/$G108,_xll.qlInterpolationInterpolate(AO$3,$F108,TRUE))</f>
        <v>#NUM!</v>
      </c>
      <c r="AQ108" s="34" t="str">
        <f>IF(AND(NOT(AO108),AND(AO$4:AO107)),IF(AP108&gt;$J108,MAX(EXP((AP108-$J108)*$G108),1),MIN(EXP((AP108-$J108)*$G108),1)),"")</f>
        <v/>
      </c>
      <c r="AS108" s="72" t="b">
        <f>IF(AND(NOT(AO108),AND(AO$4:AO107)),TRUE,AO108)</f>
        <v>0</v>
      </c>
      <c r="AT108" s="34" t="e">
        <f>IF(AND(NOT(ISBLANK(Jumpoverwrite9)),AND(NOT(AS108),AND(AS$4:AS107))),($J108*$G108-LN(1+Jumpoverwrite9*AU$2))/$G108,_xll.qlInterpolationInterpolate(AS$3,$F108,TRUE))</f>
        <v>#NUM!</v>
      </c>
      <c r="AU108" s="34" t="str">
        <f>IF(AND(NOT(AS108),AND(AS$4:AS107)),IF(AT108&gt;$J108,MAX(EXP((AT108-$J108)*$G108),1),MIN(EXP((AT108-$J108)*$G108),1)),"")</f>
        <v/>
      </c>
      <c r="AW108" s="72" t="b">
        <f>IF(AND(NOT(AS108),AND(AS$4:AS107)),TRUE,AS108)</f>
        <v>0</v>
      </c>
      <c r="AX108" s="34" t="e">
        <f>IF(AND(NOT(ISBLANK(Jumpoverwrite10)),AND(NOT(AW108),AND(AW$4:AW107))),($J108*$G108-LN(1+Jumpoverwrite10*AY$2))/$G108,_xll.qlInterpolationInterpolate(AW$3,$F108,TRUE))</f>
        <v>#NUM!</v>
      </c>
      <c r="AY108" s="34" t="str">
        <f>IF(AND(NOT(AW108),AND(AW$4:AW107)),IF(AX108&gt;$J108,MAX(EXP((AX108-$J108)*$G108),1),MIN(EXP((AX108-$J108)*$G108),1)),"")</f>
        <v/>
      </c>
      <c r="BA108" s="72" t="b">
        <f>IF(AND(NOT(AW108),AND(AW$4:AW107)),TRUE,AW108)</f>
        <v>0</v>
      </c>
      <c r="BB108" s="34" t="e">
        <f>IF(AND(NOT(ISBLANK(Jumpoverwrite11)),AND(NOT(BA108),AND(BA$4:BA107))),($J108*$G108-LN(1+Jumpoverwrite11*BC$2))/$G108,_xll.qlInterpolationInterpolate(BA$3,$F108,TRUE))</f>
        <v>#NUM!</v>
      </c>
      <c r="BC108" s="34" t="str">
        <f>IF(AND(NOT(BA108),AND(BA$4:BA107)),IF(BB108&gt;$J108,MAX(EXP((BB108-$J108)*$G108),1),MIN(EXP((BB108-$J108)*$G108),1)),"")</f>
        <v/>
      </c>
      <c r="BE108" s="72" t="b">
        <f>IF(AND(NOT(BA108),AND(BA$4:BA107)),TRUE,BA108)</f>
        <v>0</v>
      </c>
      <c r="BF108" s="34" t="e">
        <f>IF(AND(NOT(ISBLANK(Jumpoverwrite12)),AND(NOT(BE108),AND(BE$4:BE107))),($J108*$G108-LN(1+Jumpoverwrite12*BG$2))/$G108,_xll.qlInterpolationInterpolate(BE$3,$F108,TRUE))</f>
        <v>#NUM!</v>
      </c>
      <c r="BG108" s="34" t="str">
        <f>IF(AND(NOT(BE108),AND(BE$4:BE107)),IF(BF108&gt;$J108,MAX(EXP((BF108-$J108)*$G108),1),MIN(EXP((BF108-$J108)*$G108),1)),"")</f>
        <v/>
      </c>
      <c r="BI108" s="72" t="b">
        <f t="shared" si="10"/>
        <v>0</v>
      </c>
      <c r="BJ108" s="34" t="e">
        <f>IF(AND(NOT(ISBLANK(jumpoverwrite13)),AND(NOT(BI108),AND(BI$4:BI107))),($J108*$G108-LN(1+jumpoverwrite13*BK$2))/$G108,_xll.qlInterpolationInterpolate(BI$3,$F108,TRUE))</f>
        <v>#NUM!</v>
      </c>
      <c r="BK108" s="34" t="str">
        <f>IF(AND(NOT(BI108),AND(BI$4:BI107)),IF(BJ108&gt;$J108,MAX(EXP((BJ108-$J108)*$G108),1),MIN(EXP((BJ108-$J108)*$G108),1)),"")</f>
        <v/>
      </c>
      <c r="BM108" s="72" t="b">
        <f>IF(AND(NOT(BI108),AND(BI$4:BI107)),TRUE,BI108)</f>
        <v>0</v>
      </c>
      <c r="BN108" s="175" t="e">
        <f>IF(AND(NOT(ISBLANK(Jumpoverwrite14)),AND(NOT(BM108),AND(BM$4:BM107))),($J108*$G108-LN(1+Jumpoverwrite14*BO$2))/$G108,_xll.qlInterpolationInterpolate(BM$3,$F108,TRUE))</f>
        <v>#NUM!</v>
      </c>
      <c r="BO108" s="34" t="str">
        <f>IF(AND(NOT(BM108),AND(BM$4:BM107)),IF(BM108&gt;$J108,MAX(EXP((BM108-$J108)*$G108),1),MIN(EXP((BM108-$J108)*$G108),1)),"")</f>
        <v/>
      </c>
    </row>
    <row r="109" spans="1:67" x14ac:dyDescent="0.2">
      <c r="A109" s="33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84" t="e">
        <f t="shared" si="9"/>
        <v>#N/A</v>
      </c>
      <c r="G109" s="85" t="e">
        <f>_xll.qlDayCounterYearFraction(DayCounter,D108,D109)</f>
        <v>#NUM!</v>
      </c>
      <c r="I109" s="93" t="b">
        <f t="shared" si="7"/>
        <v>0</v>
      </c>
      <c r="J109" s="37" t="e">
        <v>#N/A</v>
      </c>
      <c r="K109" s="94" t="e">
        <f t="shared" si="8"/>
        <v>#VALUE!</v>
      </c>
      <c r="L109" s="106"/>
      <c r="M109" s="72" t="b">
        <f>IF(AND(NOT(I109),AND(I$4:I108)),TRUE,I109)</f>
        <v>0</v>
      </c>
      <c r="N109" s="34" t="e">
        <f>IF(AND(NOT(ISBLANK(Jumpoverwrite1)),AND(NOT(M109),AND(M$4:M108))),($J109*$G109-LN(1+Jumpoverwrite1*O$2))/$G109,_xll.qlInterpolationInterpolate(M$3,$F109,TRUE))</f>
        <v>#NUM!</v>
      </c>
      <c r="O109" s="34" t="str">
        <f>IF(AND(NOT(M109),AND(M$4:M108)),IF(N109&gt;$J109,MAX(EXP((N109-$J109)*$G109),1),MIN(EXP((N109-$J109)*$G109),1)),"")</f>
        <v/>
      </c>
      <c r="P109" s="108"/>
      <c r="Q109" s="72" t="b">
        <f>IF(AND(NOT(M109),AND(M$4:M108)),TRUE,M109)</f>
        <v>0</v>
      </c>
      <c r="R109" s="34" t="e">
        <f>IF(AND(NOT(ISBLANK(Jumpoverwrite2)),AND(NOT(Q109),AND(Q$4:Q108))),($J109*$G109-LN(1+Jumpoverwrite2*S$2))/$G109,_xll.qlInterpolationInterpolate(Q$3,$F109,TRUE))</f>
        <v>#NUM!</v>
      </c>
      <c r="S109" s="34" t="str">
        <f>IF(AND(NOT(Q109),AND(Q$4:Q108)),IF(R109&gt;$J109,MAX(EXP((R109-$J109)*$G109),1),MIN(EXP((R109-$J109)*$G109),1)),"")</f>
        <v/>
      </c>
      <c r="T109" s="108"/>
      <c r="U109" s="72" t="b">
        <f>IF(AND(NOT(Q109),AND(Q$4:Q108)),TRUE,Q109)</f>
        <v>0</v>
      </c>
      <c r="V109" s="34" t="e">
        <f>IF(AND(NOT(ISBLANK(Jumpoverwrite3)),AND(NOT(U109),AND(U$4:U108))),($J109*$G109-LN(1+Jumpoverwrite3*W$2))/$G109,_xll.qlInterpolationInterpolate(U$3,$F109,TRUE))</f>
        <v>#NUM!</v>
      </c>
      <c r="W109" s="34" t="str">
        <f>IF(AND(NOT(U109),AND(U$4:U108)),IF(V109&gt;$J109,MAX(EXP((V109-$J109)*$G109),1),MIN(EXP((V109-$J109)*$G109),1)),"")</f>
        <v/>
      </c>
      <c r="X109" s="108"/>
      <c r="Y109" s="72" t="b">
        <f>IF(AND(NOT(U109),AND(U$4:U108)),TRUE,U109)</f>
        <v>0</v>
      </c>
      <c r="Z109" s="34" t="e">
        <f>IF(AND(NOT(ISBLANK(Jumpoverwrite4)),AND(NOT(Y109),AND(Y$4:Y108))),($J109*$G109-LN(1+Jumpoverwrite4*AA$2))/$G109,_xll.qlInterpolationInterpolate(Y$3,$F109,TRUE))</f>
        <v>#NUM!</v>
      </c>
      <c r="AA109" s="34" t="str">
        <f>IF(AND(NOT(Y109),AND(Y$4:Y108)),IF(Z109&gt;$J109,MAX(EXP((Z109-$J109)*$G109),1),MIN(EXP((Z109-$J109)*$G109),1)),"")</f>
        <v/>
      </c>
      <c r="AB109" s="108"/>
      <c r="AC109" s="72" t="b">
        <f>IF(AND(NOT(Y109),AND(Y$4:Y108)),TRUE,Y109)</f>
        <v>0</v>
      </c>
      <c r="AD109" s="34" t="e">
        <f>IF(AND(NOT(ISBLANK(Jumpoverwrite5)),AND(NOT(AC109),AND(AC$4:AC108))),($J109*$G109-LN(1+Jumpoverwrite5*AE$2))/$G109,_xll.qlInterpolationInterpolate(AC$3,$F109,TRUE))</f>
        <v>#NUM!</v>
      </c>
      <c r="AE109" s="34" t="str">
        <f>IF(AND(NOT(AC109),AND(AC$4:AC108)),IF(AD109&gt;$J109,MAX(EXP((AD109-$J109)*$G109),1),MIN(EXP((AD109-$J109)*$G109),1)),"")</f>
        <v/>
      </c>
      <c r="AF109" s="108"/>
      <c r="AG109" s="72" t="b">
        <f>IF(AND(NOT(AC109),AND(AC$4:AC108)),TRUE,AC109)</f>
        <v>0</v>
      </c>
      <c r="AH109" s="34" t="e">
        <f>IF(AND(NOT(ISBLANK(Jumpoverwrite6)),AND(NOT(AG109),AND(AG$4:AG108))),($J109*$G109-LN(1+Jumpoverwrite6*AI$2))/$G109,_xll.qlInterpolationInterpolate(AG$3,$F109,TRUE))</f>
        <v>#NUM!</v>
      </c>
      <c r="AI109" s="34" t="str">
        <f>IF(AND(NOT(AG109),AND(AG$4:AG108)),IF(AH109&gt;$J109,MAX(EXP((AH109-$J109)*$G109),1),MIN(EXP((AH109-$J109)*$G109),1)),"")</f>
        <v/>
      </c>
      <c r="AJ109" s="108"/>
      <c r="AK109" s="72" t="b">
        <f>IF(AND(NOT(AG109),AND(AG$4:AG108)),TRUE,AG109)</f>
        <v>0</v>
      </c>
      <c r="AL109" s="34" t="e">
        <f>IF(AND(NOT(ISBLANK(Jumpoverwrite7)),AND(NOT(AK109),AND(AK$4:AK108))),($J109*$G109-LN(1+Jumpoverwrite7*AM$2))/$G109,_xll.qlInterpolationInterpolate(AK$3,$F109,TRUE))</f>
        <v>#NUM!</v>
      </c>
      <c r="AM109" s="34" t="str">
        <f>IF(AND(NOT(AK109),AND(AK$4:AK108)),IF(AL109&gt;$J109,MAX(EXP((AL109-$J109)*$G109),1),MIN(EXP((AL109-$J109)*$G109),1)),"")</f>
        <v/>
      </c>
      <c r="AO109" s="72" t="b">
        <f>IF(AND(NOT(AK109),AND(AK$4:AK108)),TRUE,AK109)</f>
        <v>0</v>
      </c>
      <c r="AP109" s="34" t="e">
        <f>IF(AND(NOT(ISBLANK(Jumpoverwrite8)),AND(NOT(AO109),AND(AO$4:AO108))),($J109*$G109-LN(1+Jumpoverwrite8*AQ$2))/$G109,_xll.qlInterpolationInterpolate(AO$3,$F109,TRUE))</f>
        <v>#NUM!</v>
      </c>
      <c r="AQ109" s="34" t="str">
        <f>IF(AND(NOT(AO109),AND(AO$4:AO108)),IF(AP109&gt;$J109,MAX(EXP((AP109-$J109)*$G109),1),MIN(EXP((AP109-$J109)*$G109),1)),"")</f>
        <v/>
      </c>
      <c r="AS109" s="72" t="b">
        <f>IF(AND(NOT(AO109),AND(AO$4:AO108)),TRUE,AO109)</f>
        <v>0</v>
      </c>
      <c r="AT109" s="34" t="e">
        <f>IF(AND(NOT(ISBLANK(Jumpoverwrite9)),AND(NOT(AS109),AND(AS$4:AS108))),($J109*$G109-LN(1+Jumpoverwrite9*AU$2))/$G109,_xll.qlInterpolationInterpolate(AS$3,$F109,TRUE))</f>
        <v>#NUM!</v>
      </c>
      <c r="AU109" s="34" t="str">
        <f>IF(AND(NOT(AS109),AND(AS$4:AS108)),IF(AT109&gt;$J109,MAX(EXP((AT109-$J109)*$G109),1),MIN(EXP((AT109-$J109)*$G109),1)),"")</f>
        <v/>
      </c>
      <c r="AW109" s="72" t="b">
        <f>IF(AND(NOT(AS109),AND(AS$4:AS108)),TRUE,AS109)</f>
        <v>0</v>
      </c>
      <c r="AX109" s="34" t="e">
        <f>IF(AND(NOT(ISBLANK(Jumpoverwrite10)),AND(NOT(AW109),AND(AW$4:AW108))),($J109*$G109-LN(1+Jumpoverwrite10*AY$2))/$G109,_xll.qlInterpolationInterpolate(AW$3,$F109,TRUE))</f>
        <v>#NUM!</v>
      </c>
      <c r="AY109" s="34" t="str">
        <f>IF(AND(NOT(AW109),AND(AW$4:AW108)),IF(AX109&gt;$J109,MAX(EXP((AX109-$J109)*$G109),1),MIN(EXP((AX109-$J109)*$G109),1)),"")</f>
        <v/>
      </c>
      <c r="BA109" s="72" t="b">
        <f>IF(AND(NOT(AW109),AND(AW$4:AW108)),TRUE,AW109)</f>
        <v>0</v>
      </c>
      <c r="BB109" s="34" t="e">
        <f>IF(AND(NOT(ISBLANK(Jumpoverwrite11)),AND(NOT(BA109),AND(BA$4:BA108))),($J109*$G109-LN(1+Jumpoverwrite11*BC$2))/$G109,_xll.qlInterpolationInterpolate(BA$3,$F109,TRUE))</f>
        <v>#NUM!</v>
      </c>
      <c r="BC109" s="34" t="str">
        <f>IF(AND(NOT(BA109),AND(BA$4:BA108)),IF(BB109&gt;$J109,MAX(EXP((BB109-$J109)*$G109),1),MIN(EXP((BB109-$J109)*$G109),1)),"")</f>
        <v/>
      </c>
      <c r="BE109" s="72" t="b">
        <f>IF(AND(NOT(BA109),AND(BA$4:BA108)),TRUE,BA109)</f>
        <v>0</v>
      </c>
      <c r="BF109" s="34" t="e">
        <f>IF(AND(NOT(ISBLANK(Jumpoverwrite12)),AND(NOT(BE109),AND(BE$4:BE108))),($J109*$G109-LN(1+Jumpoverwrite12*BG$2))/$G109,_xll.qlInterpolationInterpolate(BE$3,$F109,TRUE))</f>
        <v>#NUM!</v>
      </c>
      <c r="BG109" s="34" t="str">
        <f>IF(AND(NOT(BE109),AND(BE$4:BE108)),IF(BF109&gt;$J109,MAX(EXP((BF109-$J109)*$G109),1),MIN(EXP((BF109-$J109)*$G109),1)),"")</f>
        <v/>
      </c>
      <c r="BI109" s="72" t="b">
        <f t="shared" si="10"/>
        <v>0</v>
      </c>
      <c r="BJ109" s="34" t="e">
        <f>IF(AND(NOT(ISBLANK(jumpoverwrite13)),AND(NOT(BI109),AND(BI$4:BI108))),($J109*$G109-LN(1+jumpoverwrite13*BK$2))/$G109,_xll.qlInterpolationInterpolate(BI$3,$F109,TRUE))</f>
        <v>#NUM!</v>
      </c>
      <c r="BK109" s="34" t="str">
        <f>IF(AND(NOT(BI109),AND(BI$4:BI108)),IF(BJ109&gt;$J109,MAX(EXP((BJ109-$J109)*$G109),1),MIN(EXP((BJ109-$J109)*$G109),1)),"")</f>
        <v/>
      </c>
      <c r="BM109" s="72" t="b">
        <f>IF(AND(NOT(BI109),AND(BI$4:BI108)),TRUE,BI109)</f>
        <v>0</v>
      </c>
      <c r="BN109" s="175" t="e">
        <f>IF(AND(NOT(ISBLANK(Jumpoverwrite14)),AND(NOT(BM109),AND(BM$4:BM108))),($J109*$G109-LN(1+Jumpoverwrite14*BO$2))/$G109,_xll.qlInterpolationInterpolate(BM$3,$F109,TRUE))</f>
        <v>#NUM!</v>
      </c>
      <c r="BO109" s="34" t="str">
        <f>IF(AND(NOT(BM109),AND(BM$4:BM108)),IF(BM109&gt;$J109,MAX(EXP((BM109-$J109)*$G109),1),MIN(EXP((BM109-$J109)*$G109),1)),"")</f>
        <v/>
      </c>
    </row>
    <row r="110" spans="1:67" x14ac:dyDescent="0.2">
      <c r="A110" s="33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84" t="e">
        <f t="shared" si="9"/>
        <v>#N/A</v>
      </c>
      <c r="G110" s="85" t="e">
        <f>_xll.qlDayCounterYearFraction(DayCounter,D109,D110)</f>
        <v>#NUM!</v>
      </c>
      <c r="I110" s="93" t="b">
        <f t="shared" si="7"/>
        <v>0</v>
      </c>
      <c r="J110" s="37" t="e">
        <v>#N/A</v>
      </c>
      <c r="K110" s="94" t="e">
        <f t="shared" si="8"/>
        <v>#VALUE!</v>
      </c>
      <c r="L110" s="106"/>
      <c r="M110" s="72" t="b">
        <f>IF(AND(NOT(I110),AND(I$4:I109)),TRUE,I110)</f>
        <v>0</v>
      </c>
      <c r="N110" s="34" t="e">
        <f>IF(AND(NOT(ISBLANK(Jumpoverwrite1)),AND(NOT(M110),AND(M$4:M109))),($J110*$G110-LN(1+Jumpoverwrite1*O$2))/$G110,_xll.qlInterpolationInterpolate(M$3,$F110,TRUE))</f>
        <v>#NUM!</v>
      </c>
      <c r="O110" s="34" t="str">
        <f>IF(AND(NOT(M110),AND(M$4:M109)),IF(N110&gt;$J110,MAX(EXP((N110-$J110)*$G110),1),MIN(EXP((N110-$J110)*$G110),1)),"")</f>
        <v/>
      </c>
      <c r="P110" s="108"/>
      <c r="Q110" s="72" t="b">
        <f>IF(AND(NOT(M110),AND(M$4:M109)),TRUE,M110)</f>
        <v>0</v>
      </c>
      <c r="R110" s="34" t="e">
        <f>IF(AND(NOT(ISBLANK(Jumpoverwrite2)),AND(NOT(Q110),AND(Q$4:Q109))),($J110*$G110-LN(1+Jumpoverwrite2*S$2))/$G110,_xll.qlInterpolationInterpolate(Q$3,$F110,TRUE))</f>
        <v>#NUM!</v>
      </c>
      <c r="S110" s="34" t="str">
        <f>IF(AND(NOT(Q110),AND(Q$4:Q109)),IF(R110&gt;$J110,MAX(EXP((R110-$J110)*$G110),1),MIN(EXP((R110-$J110)*$G110),1)),"")</f>
        <v/>
      </c>
      <c r="T110" s="108"/>
      <c r="U110" s="72" t="b">
        <f>IF(AND(NOT(Q110),AND(Q$4:Q109)),TRUE,Q110)</f>
        <v>0</v>
      </c>
      <c r="V110" s="34" t="e">
        <f>IF(AND(NOT(ISBLANK(Jumpoverwrite3)),AND(NOT(U110),AND(U$4:U109))),($J110*$G110-LN(1+Jumpoverwrite3*W$2))/$G110,_xll.qlInterpolationInterpolate(U$3,$F110,TRUE))</f>
        <v>#NUM!</v>
      </c>
      <c r="W110" s="34" t="str">
        <f>IF(AND(NOT(U110),AND(U$4:U109)),IF(V110&gt;$J110,MAX(EXP((V110-$J110)*$G110),1),MIN(EXP((V110-$J110)*$G110),1)),"")</f>
        <v/>
      </c>
      <c r="X110" s="108"/>
      <c r="Y110" s="72" t="b">
        <f>IF(AND(NOT(U110),AND(U$4:U109)),TRUE,U110)</f>
        <v>0</v>
      </c>
      <c r="Z110" s="34" t="e">
        <f>IF(AND(NOT(ISBLANK(Jumpoverwrite4)),AND(NOT(Y110),AND(Y$4:Y109))),($J110*$G110-LN(1+Jumpoverwrite4*AA$2))/$G110,_xll.qlInterpolationInterpolate(Y$3,$F110,TRUE))</f>
        <v>#NUM!</v>
      </c>
      <c r="AA110" s="34" t="str">
        <f>IF(AND(NOT(Y110),AND(Y$4:Y109)),IF(Z110&gt;$J110,MAX(EXP((Z110-$J110)*$G110),1),MIN(EXP((Z110-$J110)*$G110),1)),"")</f>
        <v/>
      </c>
      <c r="AB110" s="108"/>
      <c r="AC110" s="72" t="b">
        <f>IF(AND(NOT(Y110),AND(Y$4:Y109)),TRUE,Y110)</f>
        <v>0</v>
      </c>
      <c r="AD110" s="34" t="e">
        <f>IF(AND(NOT(ISBLANK(Jumpoverwrite5)),AND(NOT(AC110),AND(AC$4:AC109))),($J110*$G110-LN(1+Jumpoverwrite5*AE$2))/$G110,_xll.qlInterpolationInterpolate(AC$3,$F110,TRUE))</f>
        <v>#NUM!</v>
      </c>
      <c r="AE110" s="34" t="str">
        <f>IF(AND(NOT(AC110),AND(AC$4:AC109)),IF(AD110&gt;$J110,MAX(EXP((AD110-$J110)*$G110),1),MIN(EXP((AD110-$J110)*$G110),1)),"")</f>
        <v/>
      </c>
      <c r="AF110" s="108"/>
      <c r="AG110" s="72" t="b">
        <f>IF(AND(NOT(AC110),AND(AC$4:AC109)),TRUE,AC110)</f>
        <v>0</v>
      </c>
      <c r="AH110" s="34" t="e">
        <f>IF(AND(NOT(ISBLANK(Jumpoverwrite6)),AND(NOT(AG110),AND(AG$4:AG109))),($J110*$G110-LN(1+Jumpoverwrite6*AI$2))/$G110,_xll.qlInterpolationInterpolate(AG$3,$F110,TRUE))</f>
        <v>#NUM!</v>
      </c>
      <c r="AI110" s="34" t="str">
        <f>IF(AND(NOT(AG110),AND(AG$4:AG109)),IF(AH110&gt;$J110,MAX(EXP((AH110-$J110)*$G110),1),MIN(EXP((AH110-$J110)*$G110),1)),"")</f>
        <v/>
      </c>
      <c r="AJ110" s="108"/>
      <c r="AK110" s="72" t="b">
        <f>IF(AND(NOT(AG110),AND(AG$4:AG109)),TRUE,AG110)</f>
        <v>0</v>
      </c>
      <c r="AL110" s="34" t="e">
        <f>IF(AND(NOT(ISBLANK(Jumpoverwrite7)),AND(NOT(AK110),AND(AK$4:AK109))),($J110*$G110-LN(1+Jumpoverwrite7*AM$2))/$G110,_xll.qlInterpolationInterpolate(AK$3,$F110,TRUE))</f>
        <v>#NUM!</v>
      </c>
      <c r="AM110" s="34" t="str">
        <f>IF(AND(NOT(AK110),AND(AK$4:AK109)),IF(AL110&gt;$J110,MAX(EXP((AL110-$J110)*$G110),1),MIN(EXP((AL110-$J110)*$G110),1)),"")</f>
        <v/>
      </c>
      <c r="AO110" s="72" t="b">
        <f>IF(AND(NOT(AK110),AND(AK$4:AK109)),TRUE,AK110)</f>
        <v>0</v>
      </c>
      <c r="AP110" s="34" t="e">
        <f>IF(AND(NOT(ISBLANK(Jumpoverwrite8)),AND(NOT(AO110),AND(AO$4:AO109))),($J110*$G110-LN(1+Jumpoverwrite8*AQ$2))/$G110,_xll.qlInterpolationInterpolate(AO$3,$F110,TRUE))</f>
        <v>#NUM!</v>
      </c>
      <c r="AQ110" s="34" t="str">
        <f>IF(AND(NOT(AO110),AND(AO$4:AO109)),IF(AP110&gt;$J110,MAX(EXP((AP110-$J110)*$G110),1),MIN(EXP((AP110-$J110)*$G110),1)),"")</f>
        <v/>
      </c>
      <c r="AS110" s="72" t="b">
        <f>IF(AND(NOT(AO110),AND(AO$4:AO109)),TRUE,AO110)</f>
        <v>0</v>
      </c>
      <c r="AT110" s="34" t="e">
        <f>IF(AND(NOT(ISBLANK(Jumpoverwrite9)),AND(NOT(AS110),AND(AS$4:AS109))),($J110*$G110-LN(1+Jumpoverwrite9*AU$2))/$G110,_xll.qlInterpolationInterpolate(AS$3,$F110,TRUE))</f>
        <v>#NUM!</v>
      </c>
      <c r="AU110" s="34" t="str">
        <f>IF(AND(NOT(AS110),AND(AS$4:AS109)),IF(AT110&gt;$J110,MAX(EXP((AT110-$J110)*$G110),1),MIN(EXP((AT110-$J110)*$G110),1)),"")</f>
        <v/>
      </c>
      <c r="AW110" s="72" t="b">
        <f>IF(AND(NOT(AS110),AND(AS$4:AS109)),TRUE,AS110)</f>
        <v>0</v>
      </c>
      <c r="AX110" s="34" t="e">
        <f>IF(AND(NOT(ISBLANK(Jumpoverwrite10)),AND(NOT(AW110),AND(AW$4:AW109))),($J110*$G110-LN(1+Jumpoverwrite10*AY$2))/$G110,_xll.qlInterpolationInterpolate(AW$3,$F110,TRUE))</f>
        <v>#NUM!</v>
      </c>
      <c r="AY110" s="34" t="str">
        <f>IF(AND(NOT(AW110),AND(AW$4:AW109)),IF(AX110&gt;$J110,MAX(EXP((AX110-$J110)*$G110),1),MIN(EXP((AX110-$J110)*$G110),1)),"")</f>
        <v/>
      </c>
      <c r="BA110" s="72" t="b">
        <f>IF(AND(NOT(AW110),AND(AW$4:AW109)),TRUE,AW110)</f>
        <v>0</v>
      </c>
      <c r="BB110" s="34" t="e">
        <f>IF(AND(NOT(ISBLANK(Jumpoverwrite11)),AND(NOT(BA110),AND(BA$4:BA109))),($J110*$G110-LN(1+Jumpoverwrite11*BC$2))/$G110,_xll.qlInterpolationInterpolate(BA$3,$F110,TRUE))</f>
        <v>#NUM!</v>
      </c>
      <c r="BC110" s="34" t="str">
        <f>IF(AND(NOT(BA110),AND(BA$4:BA109)),IF(BB110&gt;$J110,MAX(EXP((BB110-$J110)*$G110),1),MIN(EXP((BB110-$J110)*$G110),1)),"")</f>
        <v/>
      </c>
      <c r="BE110" s="72" t="b">
        <f>IF(AND(NOT(BA110),AND(BA$4:BA109)),TRUE,BA110)</f>
        <v>0</v>
      </c>
      <c r="BF110" s="34" t="e">
        <f>IF(AND(NOT(ISBLANK(Jumpoverwrite12)),AND(NOT(BE110),AND(BE$4:BE109))),($J110*$G110-LN(1+Jumpoverwrite12*BG$2))/$G110,_xll.qlInterpolationInterpolate(BE$3,$F110,TRUE))</f>
        <v>#NUM!</v>
      </c>
      <c r="BG110" s="34" t="str">
        <f>IF(AND(NOT(BE110),AND(BE$4:BE109)),IF(BF110&gt;$J110,MAX(EXP((BF110-$J110)*$G110),1),MIN(EXP((BF110-$J110)*$G110),1)),"")</f>
        <v/>
      </c>
      <c r="BI110" s="72" t="b">
        <f t="shared" si="10"/>
        <v>0</v>
      </c>
      <c r="BJ110" s="34" t="e">
        <f>IF(AND(NOT(ISBLANK(jumpoverwrite13)),AND(NOT(BI110),AND(BI$4:BI109))),($J110*$G110-LN(1+jumpoverwrite13*BK$2))/$G110,_xll.qlInterpolationInterpolate(BI$3,$F110,TRUE))</f>
        <v>#NUM!</v>
      </c>
      <c r="BK110" s="34" t="str">
        <f>IF(AND(NOT(BI110),AND(BI$4:BI109)),IF(BJ110&gt;$J110,MAX(EXP((BJ110-$J110)*$G110),1),MIN(EXP((BJ110-$J110)*$G110),1)),"")</f>
        <v/>
      </c>
      <c r="BM110" s="72" t="b">
        <f>IF(AND(NOT(BI110),AND(BI$4:BI109)),TRUE,BI110)</f>
        <v>0</v>
      </c>
      <c r="BN110" s="175" t="e">
        <f>IF(AND(NOT(ISBLANK(Jumpoverwrite14)),AND(NOT(BM110),AND(BM$4:BM109))),($J110*$G110-LN(1+Jumpoverwrite14*BO$2))/$G110,_xll.qlInterpolationInterpolate(BM$3,$F110,TRUE))</f>
        <v>#NUM!</v>
      </c>
      <c r="BO110" s="34" t="str">
        <f>IF(AND(NOT(BM110),AND(BM$4:BM109)),IF(BM110&gt;$J110,MAX(EXP((BM110-$J110)*$G110),1),MIN(EXP((BM110-$J110)*$G110),1)),"")</f>
        <v/>
      </c>
    </row>
    <row r="111" spans="1:67" x14ac:dyDescent="0.2">
      <c r="A111" s="33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84" t="e">
        <f t="shared" si="9"/>
        <v>#N/A</v>
      </c>
      <c r="G111" s="85" t="e">
        <f>_xll.qlDayCounterYearFraction(DayCounter,D110,D111)</f>
        <v>#NUM!</v>
      </c>
      <c r="I111" s="93" t="b">
        <f t="shared" si="7"/>
        <v>0</v>
      </c>
      <c r="J111" s="37" t="e">
        <v>#N/A</v>
      </c>
      <c r="K111" s="94" t="e">
        <f t="shared" si="8"/>
        <v>#VALUE!</v>
      </c>
      <c r="L111" s="106"/>
      <c r="M111" s="72" t="b">
        <f>IF(AND(NOT(I111),AND(I$4:I110)),TRUE,I111)</f>
        <v>0</v>
      </c>
      <c r="N111" s="34" t="e">
        <f>IF(AND(NOT(ISBLANK(Jumpoverwrite1)),AND(NOT(M111),AND(M$4:M110))),($J111*$G111-LN(1+Jumpoverwrite1*O$2))/$G111,_xll.qlInterpolationInterpolate(M$3,$F111,TRUE))</f>
        <v>#NUM!</v>
      </c>
      <c r="O111" s="34" t="str">
        <f>IF(AND(NOT(M111),AND(M$4:M110)),IF(N111&gt;$J111,MAX(EXP((N111-$J111)*$G111),1),MIN(EXP((N111-$J111)*$G111),1)),"")</f>
        <v/>
      </c>
      <c r="P111" s="108"/>
      <c r="Q111" s="72" t="b">
        <f>IF(AND(NOT(M111),AND(M$4:M110)),TRUE,M111)</f>
        <v>0</v>
      </c>
      <c r="R111" s="34" t="e">
        <f>IF(AND(NOT(ISBLANK(Jumpoverwrite2)),AND(NOT(Q111),AND(Q$4:Q110))),($J111*$G111-LN(1+Jumpoverwrite2*S$2))/$G111,_xll.qlInterpolationInterpolate(Q$3,$F111,TRUE))</f>
        <v>#NUM!</v>
      </c>
      <c r="S111" s="34" t="str">
        <f>IF(AND(NOT(Q111),AND(Q$4:Q110)),IF(R111&gt;$J111,MAX(EXP((R111-$J111)*$G111),1),MIN(EXP((R111-$J111)*$G111),1)),"")</f>
        <v/>
      </c>
      <c r="T111" s="108"/>
      <c r="U111" s="72" t="b">
        <f>IF(AND(NOT(Q111),AND(Q$4:Q110)),TRUE,Q111)</f>
        <v>0</v>
      </c>
      <c r="V111" s="34" t="e">
        <f>IF(AND(NOT(ISBLANK(Jumpoverwrite3)),AND(NOT(U111),AND(U$4:U110))),($J111*$G111-LN(1+Jumpoverwrite3*W$2))/$G111,_xll.qlInterpolationInterpolate(U$3,$F111,TRUE))</f>
        <v>#NUM!</v>
      </c>
      <c r="W111" s="34" t="str">
        <f>IF(AND(NOT(U111),AND(U$4:U110)),IF(V111&gt;$J111,MAX(EXP((V111-$J111)*$G111),1),MIN(EXP((V111-$J111)*$G111),1)),"")</f>
        <v/>
      </c>
      <c r="X111" s="108"/>
      <c r="Y111" s="72" t="b">
        <f>IF(AND(NOT(U111),AND(U$4:U110)),TRUE,U111)</f>
        <v>0</v>
      </c>
      <c r="Z111" s="34" t="e">
        <f>IF(AND(NOT(ISBLANK(Jumpoverwrite4)),AND(NOT(Y111),AND(Y$4:Y110))),($J111*$G111-LN(1+Jumpoverwrite4*AA$2))/$G111,_xll.qlInterpolationInterpolate(Y$3,$F111,TRUE))</f>
        <v>#NUM!</v>
      </c>
      <c r="AA111" s="34" t="str">
        <f>IF(AND(NOT(Y111),AND(Y$4:Y110)),IF(Z111&gt;$J111,MAX(EXP((Z111-$J111)*$G111),1),MIN(EXP((Z111-$J111)*$G111),1)),"")</f>
        <v/>
      </c>
      <c r="AB111" s="108"/>
      <c r="AC111" s="72" t="b">
        <f>IF(AND(NOT(Y111),AND(Y$4:Y110)),TRUE,Y111)</f>
        <v>0</v>
      </c>
      <c r="AD111" s="34" t="e">
        <f>IF(AND(NOT(ISBLANK(Jumpoverwrite5)),AND(NOT(AC111),AND(AC$4:AC110))),($J111*$G111-LN(1+Jumpoverwrite5*AE$2))/$G111,_xll.qlInterpolationInterpolate(AC$3,$F111,TRUE))</f>
        <v>#NUM!</v>
      </c>
      <c r="AE111" s="34" t="str">
        <f>IF(AND(NOT(AC111),AND(AC$4:AC110)),IF(AD111&gt;$J111,MAX(EXP((AD111-$J111)*$G111),1),MIN(EXP((AD111-$J111)*$G111),1)),"")</f>
        <v/>
      </c>
      <c r="AF111" s="108"/>
      <c r="AG111" s="72" t="b">
        <f>IF(AND(NOT(AC111),AND(AC$4:AC110)),TRUE,AC111)</f>
        <v>0</v>
      </c>
      <c r="AH111" s="34" t="e">
        <f>IF(AND(NOT(ISBLANK(Jumpoverwrite6)),AND(NOT(AG111),AND(AG$4:AG110))),($J111*$G111-LN(1+Jumpoverwrite6*AI$2))/$G111,_xll.qlInterpolationInterpolate(AG$3,$F111,TRUE))</f>
        <v>#NUM!</v>
      </c>
      <c r="AI111" s="34" t="str">
        <f>IF(AND(NOT(AG111),AND(AG$4:AG110)),IF(AH111&gt;$J111,MAX(EXP((AH111-$J111)*$G111),1),MIN(EXP((AH111-$J111)*$G111),1)),"")</f>
        <v/>
      </c>
      <c r="AJ111" s="108"/>
      <c r="AK111" s="72" t="b">
        <f>IF(AND(NOT(AG111),AND(AG$4:AG110)),TRUE,AG111)</f>
        <v>0</v>
      </c>
      <c r="AL111" s="34" t="e">
        <f>IF(AND(NOT(ISBLANK(Jumpoverwrite7)),AND(NOT(AK111),AND(AK$4:AK110))),($J111*$G111-LN(1+Jumpoverwrite7*AM$2))/$G111,_xll.qlInterpolationInterpolate(AK$3,$F111,TRUE))</f>
        <v>#NUM!</v>
      </c>
      <c r="AM111" s="34" t="str">
        <f>IF(AND(NOT(AK111),AND(AK$4:AK110)),IF(AL111&gt;$J111,MAX(EXP((AL111-$J111)*$G111),1),MIN(EXP((AL111-$J111)*$G111),1)),"")</f>
        <v/>
      </c>
      <c r="AO111" s="72" t="b">
        <f>IF(AND(NOT(AK111),AND(AK$4:AK110)),TRUE,AK111)</f>
        <v>0</v>
      </c>
      <c r="AP111" s="34" t="e">
        <f>IF(AND(NOT(ISBLANK(Jumpoverwrite8)),AND(NOT(AO111),AND(AO$4:AO110))),($J111*$G111-LN(1+Jumpoverwrite8*AQ$2))/$G111,_xll.qlInterpolationInterpolate(AO$3,$F111,TRUE))</f>
        <v>#NUM!</v>
      </c>
      <c r="AQ111" s="34" t="str">
        <f>IF(AND(NOT(AO111),AND(AO$4:AO110)),IF(AP111&gt;$J111,MAX(EXP((AP111-$J111)*$G111),1),MIN(EXP((AP111-$J111)*$G111),1)),"")</f>
        <v/>
      </c>
      <c r="AS111" s="72" t="b">
        <f>IF(AND(NOT(AO111),AND(AO$4:AO110)),TRUE,AO111)</f>
        <v>0</v>
      </c>
      <c r="AT111" s="34" t="e">
        <f>IF(AND(NOT(ISBLANK(Jumpoverwrite9)),AND(NOT(AS111),AND(AS$4:AS110))),($J111*$G111-LN(1+Jumpoverwrite9*AU$2))/$G111,_xll.qlInterpolationInterpolate(AS$3,$F111,TRUE))</f>
        <v>#NUM!</v>
      </c>
      <c r="AU111" s="34" t="str">
        <f>IF(AND(NOT(AS111),AND(AS$4:AS110)),IF(AT111&gt;$J111,MAX(EXP((AT111-$J111)*$G111),1),MIN(EXP((AT111-$J111)*$G111),1)),"")</f>
        <v/>
      </c>
      <c r="AW111" s="72" t="b">
        <f>IF(AND(NOT(AS111),AND(AS$4:AS110)),TRUE,AS111)</f>
        <v>0</v>
      </c>
      <c r="AX111" s="34" t="e">
        <f>IF(AND(NOT(ISBLANK(Jumpoverwrite10)),AND(NOT(AW111),AND(AW$4:AW110))),($J111*$G111-LN(1+Jumpoverwrite10*AY$2))/$G111,_xll.qlInterpolationInterpolate(AW$3,$F111,TRUE))</f>
        <v>#NUM!</v>
      </c>
      <c r="AY111" s="34" t="str">
        <f>IF(AND(NOT(AW111),AND(AW$4:AW110)),IF(AX111&gt;$J111,MAX(EXP((AX111-$J111)*$G111),1),MIN(EXP((AX111-$J111)*$G111),1)),"")</f>
        <v/>
      </c>
      <c r="BA111" s="72" t="b">
        <f>IF(AND(NOT(AW111),AND(AW$4:AW110)),TRUE,AW111)</f>
        <v>0</v>
      </c>
      <c r="BB111" s="34" t="e">
        <f>IF(AND(NOT(ISBLANK(Jumpoverwrite11)),AND(NOT(BA111),AND(BA$4:BA110))),($J111*$G111-LN(1+Jumpoverwrite11*BC$2))/$G111,_xll.qlInterpolationInterpolate(BA$3,$F111,TRUE))</f>
        <v>#NUM!</v>
      </c>
      <c r="BC111" s="34" t="str">
        <f>IF(AND(NOT(BA111),AND(BA$4:BA110)),IF(BB111&gt;$J111,MAX(EXP((BB111-$J111)*$G111),1),MIN(EXP((BB111-$J111)*$G111),1)),"")</f>
        <v/>
      </c>
      <c r="BE111" s="72" t="b">
        <f>IF(AND(NOT(BA111),AND(BA$4:BA110)),TRUE,BA111)</f>
        <v>0</v>
      </c>
      <c r="BF111" s="34" t="e">
        <f>IF(AND(NOT(ISBLANK(Jumpoverwrite12)),AND(NOT(BE111),AND(BE$4:BE110))),($J111*$G111-LN(1+Jumpoverwrite12*BG$2))/$G111,_xll.qlInterpolationInterpolate(BE$3,$F111,TRUE))</f>
        <v>#NUM!</v>
      </c>
      <c r="BG111" s="34" t="str">
        <f>IF(AND(NOT(BE111),AND(BE$4:BE110)),IF(BF111&gt;$J111,MAX(EXP((BF111-$J111)*$G111),1),MIN(EXP((BF111-$J111)*$G111),1)),"")</f>
        <v/>
      </c>
      <c r="BI111" s="72" t="b">
        <f t="shared" si="10"/>
        <v>0</v>
      </c>
      <c r="BJ111" s="34" t="e">
        <f>IF(AND(NOT(ISBLANK(jumpoverwrite13)),AND(NOT(BI111),AND(BI$4:BI110))),($J111*$G111-LN(1+jumpoverwrite13*BK$2))/$G111,_xll.qlInterpolationInterpolate(BI$3,$F111,TRUE))</f>
        <v>#NUM!</v>
      </c>
      <c r="BK111" s="34" t="str">
        <f>IF(AND(NOT(BI111),AND(BI$4:BI110)),IF(BJ111&gt;$J111,MAX(EXP((BJ111-$J111)*$G111),1),MIN(EXP((BJ111-$J111)*$G111),1)),"")</f>
        <v/>
      </c>
      <c r="BM111" s="72" t="b">
        <f>IF(AND(NOT(BI111),AND(BI$4:BI110)),TRUE,BI111)</f>
        <v>0</v>
      </c>
      <c r="BN111" s="175" t="e">
        <f>IF(AND(NOT(ISBLANK(Jumpoverwrite14)),AND(NOT(BM111),AND(BM$4:BM110))),($J111*$G111-LN(1+Jumpoverwrite14*BO$2))/$G111,_xll.qlInterpolationInterpolate(BM$3,$F111,TRUE))</f>
        <v>#NUM!</v>
      </c>
      <c r="BO111" s="34" t="str">
        <f>IF(AND(NOT(BM111),AND(BM$4:BM110)),IF(BM111&gt;$J111,MAX(EXP((BM111-$J111)*$G111),1),MIN(EXP((BM111-$J111)*$G111),1)),"")</f>
        <v/>
      </c>
    </row>
    <row r="112" spans="1:67" x14ac:dyDescent="0.2">
      <c r="A112" s="33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84" t="e">
        <f t="shared" si="9"/>
        <v>#N/A</v>
      </c>
      <c r="G112" s="85" t="e">
        <f>_xll.qlDayCounterYearFraction(DayCounter,D111,D112)</f>
        <v>#NUM!</v>
      </c>
      <c r="I112" s="93" t="b">
        <f t="shared" si="7"/>
        <v>0</v>
      </c>
      <c r="J112" s="37" t="e">
        <v>#N/A</v>
      </c>
      <c r="K112" s="94" t="e">
        <f t="shared" si="8"/>
        <v>#VALUE!</v>
      </c>
      <c r="L112" s="106"/>
      <c r="M112" s="72" t="b">
        <f>IF(AND(NOT(I112),AND(I$4:I111)),TRUE,I112)</f>
        <v>0</v>
      </c>
      <c r="N112" s="34" t="e">
        <f>IF(AND(NOT(ISBLANK(Jumpoverwrite1)),AND(NOT(M112),AND(M$4:M111))),($J112*$G112-LN(1+Jumpoverwrite1*O$2))/$G112,_xll.qlInterpolationInterpolate(M$3,$F112,TRUE))</f>
        <v>#NUM!</v>
      </c>
      <c r="O112" s="34" t="str">
        <f>IF(AND(NOT(M112),AND(M$4:M111)),IF(N112&gt;$J112,MAX(EXP((N112-$J112)*$G112),1),MIN(EXP((N112-$J112)*$G112),1)),"")</f>
        <v/>
      </c>
      <c r="P112" s="108"/>
      <c r="Q112" s="72" t="b">
        <f>IF(AND(NOT(M112),AND(M$4:M111)),TRUE,M112)</f>
        <v>0</v>
      </c>
      <c r="R112" s="34" t="e">
        <f>IF(AND(NOT(ISBLANK(Jumpoverwrite2)),AND(NOT(Q112),AND(Q$4:Q111))),($J112*$G112-LN(1+Jumpoverwrite2*S$2))/$G112,_xll.qlInterpolationInterpolate(Q$3,$F112,TRUE))</f>
        <v>#NUM!</v>
      </c>
      <c r="S112" s="34" t="str">
        <f>IF(AND(NOT(Q112),AND(Q$4:Q111)),IF(R112&gt;$J112,MAX(EXP((R112-$J112)*$G112),1),MIN(EXP((R112-$J112)*$G112),1)),"")</f>
        <v/>
      </c>
      <c r="T112" s="108"/>
      <c r="U112" s="72" t="b">
        <f>IF(AND(NOT(Q112),AND(Q$4:Q111)),TRUE,Q112)</f>
        <v>0</v>
      </c>
      <c r="V112" s="34" t="e">
        <f>IF(AND(NOT(ISBLANK(Jumpoverwrite3)),AND(NOT(U112),AND(U$4:U111))),($J112*$G112-LN(1+Jumpoverwrite3*W$2))/$G112,_xll.qlInterpolationInterpolate(U$3,$F112,TRUE))</f>
        <v>#NUM!</v>
      </c>
      <c r="W112" s="34" t="str">
        <f>IF(AND(NOT(U112),AND(U$4:U111)),IF(V112&gt;$J112,MAX(EXP((V112-$J112)*$G112),1),MIN(EXP((V112-$J112)*$G112),1)),"")</f>
        <v/>
      </c>
      <c r="X112" s="108"/>
      <c r="Y112" s="72" t="b">
        <f>IF(AND(NOT(U112),AND(U$4:U111)),TRUE,U112)</f>
        <v>0</v>
      </c>
      <c r="Z112" s="34" t="e">
        <f>IF(AND(NOT(ISBLANK(Jumpoverwrite4)),AND(NOT(Y112),AND(Y$4:Y111))),($J112*$G112-LN(1+Jumpoverwrite4*AA$2))/$G112,_xll.qlInterpolationInterpolate(Y$3,$F112,TRUE))</f>
        <v>#NUM!</v>
      </c>
      <c r="AA112" s="34" t="str">
        <f>IF(AND(NOT(Y112),AND(Y$4:Y111)),IF(Z112&gt;$J112,MAX(EXP((Z112-$J112)*$G112),1),MIN(EXP((Z112-$J112)*$G112),1)),"")</f>
        <v/>
      </c>
      <c r="AB112" s="108"/>
      <c r="AC112" s="72" t="b">
        <f>IF(AND(NOT(Y112),AND(Y$4:Y111)),TRUE,Y112)</f>
        <v>0</v>
      </c>
      <c r="AD112" s="34" t="e">
        <f>IF(AND(NOT(ISBLANK(Jumpoverwrite5)),AND(NOT(AC112),AND(AC$4:AC111))),($J112*$G112-LN(1+Jumpoverwrite5*AE$2))/$G112,_xll.qlInterpolationInterpolate(AC$3,$F112,TRUE))</f>
        <v>#NUM!</v>
      </c>
      <c r="AE112" s="34" t="str">
        <f>IF(AND(NOT(AC112),AND(AC$4:AC111)),IF(AD112&gt;$J112,MAX(EXP((AD112-$J112)*$G112),1),MIN(EXP((AD112-$J112)*$G112),1)),"")</f>
        <v/>
      </c>
      <c r="AF112" s="108"/>
      <c r="AG112" s="72" t="b">
        <f>IF(AND(NOT(AC112),AND(AC$4:AC111)),TRUE,AC112)</f>
        <v>0</v>
      </c>
      <c r="AH112" s="34" t="e">
        <f>IF(AND(NOT(ISBLANK(Jumpoverwrite6)),AND(NOT(AG112),AND(AG$4:AG111))),($J112*$G112-LN(1+Jumpoverwrite6*AI$2))/$G112,_xll.qlInterpolationInterpolate(AG$3,$F112,TRUE))</f>
        <v>#NUM!</v>
      </c>
      <c r="AI112" s="34" t="str">
        <f>IF(AND(NOT(AG112),AND(AG$4:AG111)),IF(AH112&gt;$J112,MAX(EXP((AH112-$J112)*$G112),1),MIN(EXP((AH112-$J112)*$G112),1)),"")</f>
        <v/>
      </c>
      <c r="AJ112" s="108"/>
      <c r="AK112" s="72" t="b">
        <f>IF(AND(NOT(AG112),AND(AG$4:AG111)),TRUE,AG112)</f>
        <v>0</v>
      </c>
      <c r="AL112" s="34" t="e">
        <f>IF(AND(NOT(ISBLANK(Jumpoverwrite7)),AND(NOT(AK112),AND(AK$4:AK111))),($J112*$G112-LN(1+Jumpoverwrite7*AM$2))/$G112,_xll.qlInterpolationInterpolate(AK$3,$F112,TRUE))</f>
        <v>#NUM!</v>
      </c>
      <c r="AM112" s="34" t="str">
        <f>IF(AND(NOT(AK112),AND(AK$4:AK111)),IF(AL112&gt;$J112,MAX(EXP((AL112-$J112)*$G112),1),MIN(EXP((AL112-$J112)*$G112),1)),"")</f>
        <v/>
      </c>
      <c r="AO112" s="72" t="b">
        <f>IF(AND(NOT(AK112),AND(AK$4:AK111)),TRUE,AK112)</f>
        <v>0</v>
      </c>
      <c r="AP112" s="34" t="e">
        <f>IF(AND(NOT(ISBLANK(Jumpoverwrite8)),AND(NOT(AO112),AND(AO$4:AO111))),($J112*$G112-LN(1+Jumpoverwrite8*AQ$2))/$G112,_xll.qlInterpolationInterpolate(AO$3,$F112,TRUE))</f>
        <v>#NUM!</v>
      </c>
      <c r="AQ112" s="34" t="str">
        <f>IF(AND(NOT(AO112),AND(AO$4:AO111)),IF(AP112&gt;$J112,MAX(EXP((AP112-$J112)*$G112),1),MIN(EXP((AP112-$J112)*$G112),1)),"")</f>
        <v/>
      </c>
      <c r="AS112" s="72" t="b">
        <f>IF(AND(NOT(AO112),AND(AO$4:AO111)),TRUE,AO112)</f>
        <v>0</v>
      </c>
      <c r="AT112" s="34" t="e">
        <f>IF(AND(NOT(ISBLANK(Jumpoverwrite9)),AND(NOT(AS112),AND(AS$4:AS111))),($J112*$G112-LN(1+Jumpoverwrite9*AU$2))/$G112,_xll.qlInterpolationInterpolate(AS$3,$F112,TRUE))</f>
        <v>#NUM!</v>
      </c>
      <c r="AU112" s="34" t="str">
        <f>IF(AND(NOT(AS112),AND(AS$4:AS111)),IF(AT112&gt;$J112,MAX(EXP((AT112-$J112)*$G112),1),MIN(EXP((AT112-$J112)*$G112),1)),"")</f>
        <v/>
      </c>
      <c r="AW112" s="72" t="b">
        <f>IF(AND(NOT(AS112),AND(AS$4:AS111)),TRUE,AS112)</f>
        <v>0</v>
      </c>
      <c r="AX112" s="34" t="e">
        <f>IF(AND(NOT(ISBLANK(Jumpoverwrite10)),AND(NOT(AW112),AND(AW$4:AW111))),($J112*$G112-LN(1+Jumpoverwrite10*AY$2))/$G112,_xll.qlInterpolationInterpolate(AW$3,$F112,TRUE))</f>
        <v>#NUM!</v>
      </c>
      <c r="AY112" s="34" t="str">
        <f>IF(AND(NOT(AW112),AND(AW$4:AW111)),IF(AX112&gt;$J112,MAX(EXP((AX112-$J112)*$G112),1),MIN(EXP((AX112-$J112)*$G112),1)),"")</f>
        <v/>
      </c>
      <c r="BA112" s="72" t="b">
        <f>IF(AND(NOT(AW112),AND(AW$4:AW111)),TRUE,AW112)</f>
        <v>0</v>
      </c>
      <c r="BB112" s="34" t="e">
        <f>IF(AND(NOT(ISBLANK(Jumpoverwrite11)),AND(NOT(BA112),AND(BA$4:BA111))),($J112*$G112-LN(1+Jumpoverwrite11*BC$2))/$G112,_xll.qlInterpolationInterpolate(BA$3,$F112,TRUE))</f>
        <v>#NUM!</v>
      </c>
      <c r="BC112" s="34" t="str">
        <f>IF(AND(NOT(BA112),AND(BA$4:BA111)),IF(BB112&gt;$J112,MAX(EXP((BB112-$J112)*$G112),1),MIN(EXP((BB112-$J112)*$G112),1)),"")</f>
        <v/>
      </c>
      <c r="BE112" s="72" t="b">
        <f>IF(AND(NOT(BA112),AND(BA$4:BA111)),TRUE,BA112)</f>
        <v>0</v>
      </c>
      <c r="BF112" s="34" t="e">
        <f>IF(AND(NOT(ISBLANK(Jumpoverwrite12)),AND(NOT(BE112),AND(BE$4:BE111))),($J112*$G112-LN(1+Jumpoverwrite12*BG$2))/$G112,_xll.qlInterpolationInterpolate(BE$3,$F112,TRUE))</f>
        <v>#NUM!</v>
      </c>
      <c r="BG112" s="34" t="str">
        <f>IF(AND(NOT(BE112),AND(BE$4:BE111)),IF(BF112&gt;$J112,MAX(EXP((BF112-$J112)*$G112),1),MIN(EXP((BF112-$J112)*$G112),1)),"")</f>
        <v/>
      </c>
      <c r="BI112" s="72" t="b">
        <f t="shared" si="10"/>
        <v>0</v>
      </c>
      <c r="BJ112" s="34" t="e">
        <f>IF(AND(NOT(ISBLANK(jumpoverwrite13)),AND(NOT(BI112),AND(BI$4:BI111))),($J112*$G112-LN(1+jumpoverwrite13*BK$2))/$G112,_xll.qlInterpolationInterpolate(BI$3,$F112,TRUE))</f>
        <v>#NUM!</v>
      </c>
      <c r="BK112" s="34" t="str">
        <f>IF(AND(NOT(BI112),AND(BI$4:BI111)),IF(BJ112&gt;$J112,MAX(EXP((BJ112-$J112)*$G112),1),MIN(EXP((BJ112-$J112)*$G112),1)),"")</f>
        <v/>
      </c>
      <c r="BM112" s="72" t="b">
        <f>IF(AND(NOT(BI112),AND(BI$4:BI111)),TRUE,BI112)</f>
        <v>0</v>
      </c>
      <c r="BN112" s="175" t="e">
        <f>IF(AND(NOT(ISBLANK(Jumpoverwrite14)),AND(NOT(BM112),AND(BM$4:BM111))),($J112*$G112-LN(1+Jumpoverwrite14*BO$2))/$G112,_xll.qlInterpolationInterpolate(BM$3,$F112,TRUE))</f>
        <v>#NUM!</v>
      </c>
      <c r="BO112" s="34" t="str">
        <f>IF(AND(NOT(BM112),AND(BM$4:BM111)),IF(BM112&gt;$J112,MAX(EXP((BM112-$J112)*$G112),1),MIN(EXP((BM112-$J112)*$G112),1)),"")</f>
        <v/>
      </c>
    </row>
    <row r="113" spans="1:67" x14ac:dyDescent="0.2">
      <c r="A113" s="33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84" t="e">
        <f t="shared" si="9"/>
        <v>#N/A</v>
      </c>
      <c r="G113" s="85" t="e">
        <f>_xll.qlDayCounterYearFraction(DayCounter,D112,D113)</f>
        <v>#NUM!</v>
      </c>
      <c r="I113" s="93" t="b">
        <f t="shared" si="7"/>
        <v>0</v>
      </c>
      <c r="J113" s="37" t="e">
        <v>#N/A</v>
      </c>
      <c r="K113" s="94" t="e">
        <f t="shared" si="8"/>
        <v>#VALUE!</v>
      </c>
      <c r="L113" s="106"/>
      <c r="M113" s="72" t="b">
        <f>IF(AND(NOT(I113),AND(I$4:I112)),TRUE,I113)</f>
        <v>0</v>
      </c>
      <c r="N113" s="34" t="e">
        <f>IF(AND(NOT(ISBLANK(Jumpoverwrite1)),AND(NOT(M113),AND(M$4:M112))),($J113*$G113-LN(1+Jumpoverwrite1*O$2))/$G113,_xll.qlInterpolationInterpolate(M$3,$F113,TRUE))</f>
        <v>#NUM!</v>
      </c>
      <c r="O113" s="34" t="str">
        <f>IF(AND(NOT(M113),AND(M$4:M112)),IF(N113&gt;$J113,MAX(EXP((N113-$J113)*$G113),1),MIN(EXP((N113-$J113)*$G113),1)),"")</f>
        <v/>
      </c>
      <c r="P113" s="108"/>
      <c r="Q113" s="72" t="b">
        <f>IF(AND(NOT(M113),AND(M$4:M112)),TRUE,M113)</f>
        <v>0</v>
      </c>
      <c r="R113" s="34" t="e">
        <f>IF(AND(NOT(ISBLANK(Jumpoverwrite2)),AND(NOT(Q113),AND(Q$4:Q112))),($J113*$G113-LN(1+Jumpoverwrite2*S$2))/$G113,_xll.qlInterpolationInterpolate(Q$3,$F113,TRUE))</f>
        <v>#NUM!</v>
      </c>
      <c r="S113" s="34" t="str">
        <f>IF(AND(NOT(Q113),AND(Q$4:Q112)),IF(R113&gt;$J113,MAX(EXP((R113-$J113)*$G113),1),MIN(EXP((R113-$J113)*$G113),1)),"")</f>
        <v/>
      </c>
      <c r="T113" s="108"/>
      <c r="U113" s="72" t="b">
        <f>IF(AND(NOT(Q113),AND(Q$4:Q112)),TRUE,Q113)</f>
        <v>0</v>
      </c>
      <c r="V113" s="34" t="e">
        <f>IF(AND(NOT(ISBLANK(Jumpoverwrite3)),AND(NOT(U113),AND(U$4:U112))),($J113*$G113-LN(1+Jumpoverwrite3*W$2))/$G113,_xll.qlInterpolationInterpolate(U$3,$F113,TRUE))</f>
        <v>#NUM!</v>
      </c>
      <c r="W113" s="34" t="str">
        <f>IF(AND(NOT(U113),AND(U$4:U112)),IF(V113&gt;$J113,MAX(EXP((V113-$J113)*$G113),1),MIN(EXP((V113-$J113)*$G113),1)),"")</f>
        <v/>
      </c>
      <c r="X113" s="108"/>
      <c r="Y113" s="72" t="b">
        <f>IF(AND(NOT(U113),AND(U$4:U112)),TRUE,U113)</f>
        <v>0</v>
      </c>
      <c r="Z113" s="34" t="e">
        <f>IF(AND(NOT(ISBLANK(Jumpoverwrite4)),AND(NOT(Y113),AND(Y$4:Y112))),($J113*$G113-LN(1+Jumpoverwrite4*AA$2))/$G113,_xll.qlInterpolationInterpolate(Y$3,$F113,TRUE))</f>
        <v>#NUM!</v>
      </c>
      <c r="AA113" s="34" t="str">
        <f>IF(AND(NOT(Y113),AND(Y$4:Y112)),IF(Z113&gt;$J113,MAX(EXP((Z113-$J113)*$G113),1),MIN(EXP((Z113-$J113)*$G113),1)),"")</f>
        <v/>
      </c>
      <c r="AB113" s="108"/>
      <c r="AC113" s="72" t="b">
        <f>IF(AND(NOT(Y113),AND(Y$4:Y112)),TRUE,Y113)</f>
        <v>0</v>
      </c>
      <c r="AD113" s="34" t="e">
        <f>IF(AND(NOT(ISBLANK(Jumpoverwrite5)),AND(NOT(AC113),AND(AC$4:AC112))),($J113*$G113-LN(1+Jumpoverwrite5*AE$2))/$G113,_xll.qlInterpolationInterpolate(AC$3,$F113,TRUE))</f>
        <v>#NUM!</v>
      </c>
      <c r="AE113" s="34" t="str">
        <f>IF(AND(NOT(AC113),AND(AC$4:AC112)),IF(AD113&gt;$J113,MAX(EXP((AD113-$J113)*$G113),1),MIN(EXP((AD113-$J113)*$G113),1)),"")</f>
        <v/>
      </c>
      <c r="AF113" s="108"/>
      <c r="AG113" s="72" t="b">
        <f>IF(AND(NOT(AC113),AND(AC$4:AC112)),TRUE,AC113)</f>
        <v>0</v>
      </c>
      <c r="AH113" s="34" t="e">
        <f>IF(AND(NOT(ISBLANK(Jumpoverwrite6)),AND(NOT(AG113),AND(AG$4:AG112))),($J113*$G113-LN(1+Jumpoverwrite6*AI$2))/$G113,_xll.qlInterpolationInterpolate(AG$3,$F113,TRUE))</f>
        <v>#NUM!</v>
      </c>
      <c r="AI113" s="34" t="str">
        <f>IF(AND(NOT(AG113),AND(AG$4:AG112)),IF(AH113&gt;$J113,MAX(EXP((AH113-$J113)*$G113),1),MIN(EXP((AH113-$J113)*$G113),1)),"")</f>
        <v/>
      </c>
      <c r="AJ113" s="108"/>
      <c r="AK113" s="72" t="b">
        <f>IF(AND(NOT(AG113),AND(AG$4:AG112)),TRUE,AG113)</f>
        <v>0</v>
      </c>
      <c r="AL113" s="34" t="e">
        <f>IF(AND(NOT(ISBLANK(Jumpoverwrite7)),AND(NOT(AK113),AND(AK$4:AK112))),($J113*$G113-LN(1+Jumpoverwrite7*AM$2))/$G113,_xll.qlInterpolationInterpolate(AK$3,$F113,TRUE))</f>
        <v>#NUM!</v>
      </c>
      <c r="AM113" s="34" t="str">
        <f>IF(AND(NOT(AK113),AND(AK$4:AK112)),IF(AL113&gt;$J113,MAX(EXP((AL113-$J113)*$G113),1),MIN(EXP((AL113-$J113)*$G113),1)),"")</f>
        <v/>
      </c>
      <c r="AO113" s="72" t="b">
        <f>IF(AND(NOT(AK113),AND(AK$4:AK112)),TRUE,AK113)</f>
        <v>0</v>
      </c>
      <c r="AP113" s="34" t="e">
        <f>IF(AND(NOT(ISBLANK(Jumpoverwrite8)),AND(NOT(AO113),AND(AO$4:AO112))),($J113*$G113-LN(1+Jumpoverwrite8*AQ$2))/$G113,_xll.qlInterpolationInterpolate(AO$3,$F113,TRUE))</f>
        <v>#NUM!</v>
      </c>
      <c r="AQ113" s="34" t="str">
        <f>IF(AND(NOT(AO113),AND(AO$4:AO112)),IF(AP113&gt;$J113,MAX(EXP((AP113-$J113)*$G113),1),MIN(EXP((AP113-$J113)*$G113),1)),"")</f>
        <v/>
      </c>
      <c r="AS113" s="72" t="b">
        <f>IF(AND(NOT(AO113),AND(AO$4:AO112)),TRUE,AO113)</f>
        <v>0</v>
      </c>
      <c r="AT113" s="34" t="e">
        <f>IF(AND(NOT(ISBLANK(Jumpoverwrite9)),AND(NOT(AS113),AND(AS$4:AS112))),($J113*$G113-LN(1+Jumpoverwrite9*AU$2))/$G113,_xll.qlInterpolationInterpolate(AS$3,$F113,TRUE))</f>
        <v>#NUM!</v>
      </c>
      <c r="AU113" s="34" t="str">
        <f>IF(AND(NOT(AS113),AND(AS$4:AS112)),IF(AT113&gt;$J113,MAX(EXP((AT113-$J113)*$G113),1),MIN(EXP((AT113-$J113)*$G113),1)),"")</f>
        <v/>
      </c>
      <c r="AW113" s="72" t="b">
        <f>IF(AND(NOT(AS113),AND(AS$4:AS112)),TRUE,AS113)</f>
        <v>0</v>
      </c>
      <c r="AX113" s="34" t="e">
        <f>IF(AND(NOT(ISBLANK(Jumpoverwrite10)),AND(NOT(AW113),AND(AW$4:AW112))),($J113*$G113-LN(1+Jumpoverwrite10*AY$2))/$G113,_xll.qlInterpolationInterpolate(AW$3,$F113,TRUE))</f>
        <v>#NUM!</v>
      </c>
      <c r="AY113" s="34" t="str">
        <f>IF(AND(NOT(AW113),AND(AW$4:AW112)),IF(AX113&gt;$J113,MAX(EXP((AX113-$J113)*$G113),1),MIN(EXP((AX113-$J113)*$G113),1)),"")</f>
        <v/>
      </c>
      <c r="BA113" s="72" t="b">
        <f>IF(AND(NOT(AW113),AND(AW$4:AW112)),TRUE,AW113)</f>
        <v>0</v>
      </c>
      <c r="BB113" s="34" t="e">
        <f>IF(AND(NOT(ISBLANK(Jumpoverwrite11)),AND(NOT(BA113),AND(BA$4:BA112))),($J113*$G113-LN(1+Jumpoverwrite11*BC$2))/$G113,_xll.qlInterpolationInterpolate(BA$3,$F113,TRUE))</f>
        <v>#NUM!</v>
      </c>
      <c r="BC113" s="34" t="str">
        <f>IF(AND(NOT(BA113),AND(BA$4:BA112)),IF(BB113&gt;$J113,MAX(EXP((BB113-$J113)*$G113),1),MIN(EXP((BB113-$J113)*$G113),1)),"")</f>
        <v/>
      </c>
      <c r="BE113" s="72" t="b">
        <f>IF(AND(NOT(BA113),AND(BA$4:BA112)),TRUE,BA113)</f>
        <v>0</v>
      </c>
      <c r="BF113" s="34" t="e">
        <f>IF(AND(NOT(ISBLANK(Jumpoverwrite12)),AND(NOT(BE113),AND(BE$4:BE112))),($J113*$G113-LN(1+Jumpoverwrite12*BG$2))/$G113,_xll.qlInterpolationInterpolate(BE$3,$F113,TRUE))</f>
        <v>#NUM!</v>
      </c>
      <c r="BG113" s="34" t="str">
        <f>IF(AND(NOT(BE113),AND(BE$4:BE112)),IF(BF113&gt;$J113,MAX(EXP((BF113-$J113)*$G113),1),MIN(EXP((BF113-$J113)*$G113),1)),"")</f>
        <v/>
      </c>
      <c r="BI113" s="72" t="b">
        <f t="shared" si="10"/>
        <v>0</v>
      </c>
      <c r="BJ113" s="34" t="e">
        <f>IF(AND(NOT(ISBLANK(jumpoverwrite13)),AND(NOT(BI113),AND(BI$4:BI112))),($J113*$G113-LN(1+jumpoverwrite13*BK$2))/$G113,_xll.qlInterpolationInterpolate(BI$3,$F113,TRUE))</f>
        <v>#NUM!</v>
      </c>
      <c r="BK113" s="34" t="str">
        <f>IF(AND(NOT(BI113),AND(BI$4:BI112)),IF(BJ113&gt;$J113,MAX(EXP((BJ113-$J113)*$G113),1),MIN(EXP((BJ113-$J113)*$G113),1)),"")</f>
        <v/>
      </c>
      <c r="BM113" s="72" t="b">
        <f>IF(AND(NOT(BI113),AND(BI$4:BI112)),TRUE,BI113)</f>
        <v>0</v>
      </c>
      <c r="BN113" s="175" t="e">
        <f>IF(AND(NOT(ISBLANK(Jumpoverwrite14)),AND(NOT(BM113),AND(BM$4:BM112))),($J113*$G113-LN(1+Jumpoverwrite14*BO$2))/$G113,_xll.qlInterpolationInterpolate(BM$3,$F113,TRUE))</f>
        <v>#NUM!</v>
      </c>
      <c r="BO113" s="34" t="str">
        <f>IF(AND(NOT(BM113),AND(BM$4:BM112)),IF(BM113&gt;$J113,MAX(EXP((BM113-$J113)*$G113),1),MIN(EXP((BM113-$J113)*$G113),1)),"")</f>
        <v/>
      </c>
    </row>
    <row r="114" spans="1:67" x14ac:dyDescent="0.2">
      <c r="A114" s="33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84" t="e">
        <f t="shared" si="9"/>
        <v>#N/A</v>
      </c>
      <c r="G114" s="85" t="e">
        <f>_xll.qlDayCounterYearFraction(DayCounter,D113,D114)</f>
        <v>#NUM!</v>
      </c>
      <c r="I114" s="93" t="b">
        <f t="shared" si="7"/>
        <v>0</v>
      </c>
      <c r="J114" s="37" t="e">
        <v>#N/A</v>
      </c>
      <c r="K114" s="94" t="e">
        <f t="shared" si="8"/>
        <v>#VALUE!</v>
      </c>
      <c r="L114" s="106"/>
      <c r="M114" s="72" t="b">
        <f>IF(AND(NOT(I114),AND(I$4:I113)),TRUE,I114)</f>
        <v>0</v>
      </c>
      <c r="N114" s="34" t="e">
        <f>IF(AND(NOT(ISBLANK(Jumpoverwrite1)),AND(NOT(M114),AND(M$4:M113))),($J114*$G114-LN(1+Jumpoverwrite1*O$2))/$G114,_xll.qlInterpolationInterpolate(M$3,$F114,TRUE))</f>
        <v>#NUM!</v>
      </c>
      <c r="O114" s="34" t="str">
        <f>IF(AND(NOT(M114),AND(M$4:M113)),IF(N114&gt;$J114,MAX(EXP((N114-$J114)*$G114),1),MIN(EXP((N114-$J114)*$G114),1)),"")</f>
        <v/>
      </c>
      <c r="P114" s="108"/>
      <c r="Q114" s="72" t="b">
        <f>IF(AND(NOT(M114),AND(M$4:M113)),TRUE,M114)</f>
        <v>0</v>
      </c>
      <c r="R114" s="34" t="e">
        <f>IF(AND(NOT(ISBLANK(Jumpoverwrite2)),AND(NOT(Q114),AND(Q$4:Q113))),($J114*$G114-LN(1+Jumpoverwrite2*S$2))/$G114,_xll.qlInterpolationInterpolate(Q$3,$F114,TRUE))</f>
        <v>#NUM!</v>
      </c>
      <c r="S114" s="34" t="str">
        <f>IF(AND(NOT(Q114),AND(Q$4:Q113)),IF(R114&gt;$J114,MAX(EXP((R114-$J114)*$G114),1),MIN(EXP((R114-$J114)*$G114),1)),"")</f>
        <v/>
      </c>
      <c r="T114" s="108"/>
      <c r="U114" s="72" t="b">
        <f>IF(AND(NOT(Q114),AND(Q$4:Q113)),TRUE,Q114)</f>
        <v>0</v>
      </c>
      <c r="V114" s="34" t="e">
        <f>IF(AND(NOT(ISBLANK(Jumpoverwrite3)),AND(NOT(U114),AND(U$4:U113))),($J114*$G114-LN(1+Jumpoverwrite3*W$2))/$G114,_xll.qlInterpolationInterpolate(U$3,$F114,TRUE))</f>
        <v>#NUM!</v>
      </c>
      <c r="W114" s="34" t="str">
        <f>IF(AND(NOT(U114),AND(U$4:U113)),IF(V114&gt;$J114,MAX(EXP((V114-$J114)*$G114),1),MIN(EXP((V114-$J114)*$G114),1)),"")</f>
        <v/>
      </c>
      <c r="X114" s="108"/>
      <c r="Y114" s="72" t="b">
        <f>IF(AND(NOT(U114),AND(U$4:U113)),TRUE,U114)</f>
        <v>0</v>
      </c>
      <c r="Z114" s="34" t="e">
        <f>IF(AND(NOT(ISBLANK(Jumpoverwrite4)),AND(NOT(Y114),AND(Y$4:Y113))),($J114*$G114-LN(1+Jumpoverwrite4*AA$2))/$G114,_xll.qlInterpolationInterpolate(Y$3,$F114,TRUE))</f>
        <v>#NUM!</v>
      </c>
      <c r="AA114" s="34" t="str">
        <f>IF(AND(NOT(Y114),AND(Y$4:Y113)),IF(Z114&gt;$J114,MAX(EXP((Z114-$J114)*$G114),1),MIN(EXP((Z114-$J114)*$G114),1)),"")</f>
        <v/>
      </c>
      <c r="AB114" s="108"/>
      <c r="AC114" s="72" t="b">
        <f>IF(AND(NOT(Y114),AND(Y$4:Y113)),TRUE,Y114)</f>
        <v>0</v>
      </c>
      <c r="AD114" s="34" t="e">
        <f>IF(AND(NOT(ISBLANK(Jumpoverwrite5)),AND(NOT(AC114),AND(AC$4:AC113))),($J114*$G114-LN(1+Jumpoverwrite5*AE$2))/$G114,_xll.qlInterpolationInterpolate(AC$3,$F114,TRUE))</f>
        <v>#NUM!</v>
      </c>
      <c r="AE114" s="34" t="str">
        <f>IF(AND(NOT(AC114),AND(AC$4:AC113)),IF(AD114&gt;$J114,MAX(EXP((AD114-$J114)*$G114),1),MIN(EXP((AD114-$J114)*$G114),1)),"")</f>
        <v/>
      </c>
      <c r="AF114" s="108"/>
      <c r="AG114" s="72" t="b">
        <f>IF(AND(NOT(AC114),AND(AC$4:AC113)),TRUE,AC114)</f>
        <v>0</v>
      </c>
      <c r="AH114" s="34" t="e">
        <f>IF(AND(NOT(ISBLANK(Jumpoverwrite6)),AND(NOT(AG114),AND(AG$4:AG113))),($J114*$G114-LN(1+Jumpoverwrite6*AI$2))/$G114,_xll.qlInterpolationInterpolate(AG$3,$F114,TRUE))</f>
        <v>#NUM!</v>
      </c>
      <c r="AI114" s="34" t="str">
        <f>IF(AND(NOT(AG114),AND(AG$4:AG113)),IF(AH114&gt;$J114,MAX(EXP((AH114-$J114)*$G114),1),MIN(EXP((AH114-$J114)*$G114),1)),"")</f>
        <v/>
      </c>
      <c r="AJ114" s="108"/>
      <c r="AK114" s="72" t="b">
        <f>IF(AND(NOT(AG114),AND(AG$4:AG113)),TRUE,AG114)</f>
        <v>0</v>
      </c>
      <c r="AL114" s="34" t="e">
        <f>IF(AND(NOT(ISBLANK(Jumpoverwrite7)),AND(NOT(AK114),AND(AK$4:AK113))),($J114*$G114-LN(1+Jumpoverwrite7*AM$2))/$G114,_xll.qlInterpolationInterpolate(AK$3,$F114,TRUE))</f>
        <v>#NUM!</v>
      </c>
      <c r="AM114" s="34" t="str">
        <f>IF(AND(NOT(AK114),AND(AK$4:AK113)),IF(AL114&gt;$J114,MAX(EXP((AL114-$J114)*$G114),1),MIN(EXP((AL114-$J114)*$G114),1)),"")</f>
        <v/>
      </c>
      <c r="AO114" s="72" t="b">
        <f>IF(AND(NOT(AK114),AND(AK$4:AK113)),TRUE,AK114)</f>
        <v>0</v>
      </c>
      <c r="AP114" s="34" t="e">
        <f>IF(AND(NOT(ISBLANK(Jumpoverwrite8)),AND(NOT(AO114),AND(AO$4:AO113))),($J114*$G114-LN(1+Jumpoverwrite8*AQ$2))/$G114,_xll.qlInterpolationInterpolate(AO$3,$F114,TRUE))</f>
        <v>#NUM!</v>
      </c>
      <c r="AQ114" s="34" t="str">
        <f>IF(AND(NOT(AO114),AND(AO$4:AO113)),IF(AP114&gt;$J114,MAX(EXP((AP114-$J114)*$G114),1),MIN(EXP((AP114-$J114)*$G114),1)),"")</f>
        <v/>
      </c>
      <c r="AS114" s="72" t="b">
        <f>IF(AND(NOT(AO114),AND(AO$4:AO113)),TRUE,AO114)</f>
        <v>0</v>
      </c>
      <c r="AT114" s="34" t="e">
        <f>IF(AND(NOT(ISBLANK(Jumpoverwrite9)),AND(NOT(AS114),AND(AS$4:AS113))),($J114*$G114-LN(1+Jumpoverwrite9*AU$2))/$G114,_xll.qlInterpolationInterpolate(AS$3,$F114,TRUE))</f>
        <v>#NUM!</v>
      </c>
      <c r="AU114" s="34" t="str">
        <f>IF(AND(NOT(AS114),AND(AS$4:AS113)),IF(AT114&gt;$J114,MAX(EXP((AT114-$J114)*$G114),1),MIN(EXP((AT114-$J114)*$G114),1)),"")</f>
        <v/>
      </c>
      <c r="AW114" s="72" t="b">
        <f>IF(AND(NOT(AS114),AND(AS$4:AS113)),TRUE,AS114)</f>
        <v>0</v>
      </c>
      <c r="AX114" s="34" t="e">
        <f>IF(AND(NOT(ISBLANK(Jumpoverwrite10)),AND(NOT(AW114),AND(AW$4:AW113))),($J114*$G114-LN(1+Jumpoverwrite10*AY$2))/$G114,_xll.qlInterpolationInterpolate(AW$3,$F114,TRUE))</f>
        <v>#NUM!</v>
      </c>
      <c r="AY114" s="34" t="str">
        <f>IF(AND(NOT(AW114),AND(AW$4:AW113)),IF(AX114&gt;$J114,MAX(EXP((AX114-$J114)*$G114),1),MIN(EXP((AX114-$J114)*$G114),1)),"")</f>
        <v/>
      </c>
      <c r="BA114" s="72" t="b">
        <f>IF(AND(NOT(AW114),AND(AW$4:AW113)),TRUE,AW114)</f>
        <v>0</v>
      </c>
      <c r="BB114" s="34" t="e">
        <f>IF(AND(NOT(ISBLANK(Jumpoverwrite11)),AND(NOT(BA114),AND(BA$4:BA113))),($J114*$G114-LN(1+Jumpoverwrite11*BC$2))/$G114,_xll.qlInterpolationInterpolate(BA$3,$F114,TRUE))</f>
        <v>#NUM!</v>
      </c>
      <c r="BC114" s="34" t="str">
        <f>IF(AND(NOT(BA114),AND(BA$4:BA113)),IF(BB114&gt;$J114,MAX(EXP((BB114-$J114)*$G114),1),MIN(EXP((BB114-$J114)*$G114),1)),"")</f>
        <v/>
      </c>
      <c r="BE114" s="72" t="b">
        <f>IF(AND(NOT(BA114),AND(BA$4:BA113)),TRUE,BA114)</f>
        <v>0</v>
      </c>
      <c r="BF114" s="34" t="e">
        <f>IF(AND(NOT(ISBLANK(Jumpoverwrite12)),AND(NOT(BE114),AND(BE$4:BE113))),($J114*$G114-LN(1+Jumpoverwrite12*BG$2))/$G114,_xll.qlInterpolationInterpolate(BE$3,$F114,TRUE))</f>
        <v>#NUM!</v>
      </c>
      <c r="BG114" s="34" t="str">
        <f>IF(AND(NOT(BE114),AND(BE$4:BE113)),IF(BF114&gt;$J114,MAX(EXP((BF114-$J114)*$G114),1),MIN(EXP((BF114-$J114)*$G114),1)),"")</f>
        <v/>
      </c>
      <c r="BI114" s="72" t="b">
        <f t="shared" si="10"/>
        <v>0</v>
      </c>
      <c r="BJ114" s="34" t="e">
        <f>IF(AND(NOT(ISBLANK(jumpoverwrite13)),AND(NOT(BI114),AND(BI$4:BI113))),($J114*$G114-LN(1+jumpoverwrite13*BK$2))/$G114,_xll.qlInterpolationInterpolate(BI$3,$F114,TRUE))</f>
        <v>#NUM!</v>
      </c>
      <c r="BK114" s="34" t="str">
        <f>IF(AND(NOT(BI114),AND(BI$4:BI113)),IF(BJ114&gt;$J114,MAX(EXP((BJ114-$J114)*$G114),1),MIN(EXP((BJ114-$J114)*$G114),1)),"")</f>
        <v/>
      </c>
      <c r="BM114" s="72" t="b">
        <f>IF(AND(NOT(BI114),AND(BI$4:BI113)),TRUE,BI114)</f>
        <v>0</v>
      </c>
      <c r="BN114" s="175" t="e">
        <f>IF(AND(NOT(ISBLANK(Jumpoverwrite14)),AND(NOT(BM114),AND(BM$4:BM113))),($J114*$G114-LN(1+Jumpoverwrite14*BO$2))/$G114,_xll.qlInterpolationInterpolate(BM$3,$F114,TRUE))</f>
        <v>#NUM!</v>
      </c>
      <c r="BO114" s="34" t="str">
        <f>IF(AND(NOT(BM114),AND(BM$4:BM113)),IF(BM114&gt;$J114,MAX(EXP((BM114-$J114)*$G114),1),MIN(EXP((BM114-$J114)*$G114),1)),"")</f>
        <v/>
      </c>
    </row>
    <row r="115" spans="1:67" x14ac:dyDescent="0.2">
      <c r="A115" s="33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84" t="e">
        <f t="shared" si="9"/>
        <v>#N/A</v>
      </c>
      <c r="G115" s="85" t="e">
        <f>_xll.qlDayCounterYearFraction(DayCounter,D114,D115)</f>
        <v>#NUM!</v>
      </c>
      <c r="I115" s="93" t="b">
        <f t="shared" si="7"/>
        <v>0</v>
      </c>
      <c r="J115" s="37" t="e">
        <v>#N/A</v>
      </c>
      <c r="K115" s="94" t="e">
        <f t="shared" si="8"/>
        <v>#VALUE!</v>
      </c>
      <c r="L115" s="106"/>
      <c r="M115" s="72" t="b">
        <f>IF(AND(NOT(I115),AND(I$4:I114)),TRUE,I115)</f>
        <v>0</v>
      </c>
      <c r="N115" s="34" t="e">
        <f>IF(AND(NOT(ISBLANK(Jumpoverwrite1)),AND(NOT(M115),AND(M$4:M114))),($J115*$G115-LN(1+Jumpoverwrite1*O$2))/$G115,_xll.qlInterpolationInterpolate(M$3,$F115,TRUE))</f>
        <v>#NUM!</v>
      </c>
      <c r="O115" s="34" t="str">
        <f>IF(AND(NOT(M115),AND(M$4:M114)),IF(N115&gt;$J115,MAX(EXP((N115-$J115)*$G115),1),MIN(EXP((N115-$J115)*$G115),1)),"")</f>
        <v/>
      </c>
      <c r="P115" s="108"/>
      <c r="Q115" s="72" t="b">
        <f>IF(AND(NOT(M115),AND(M$4:M114)),TRUE,M115)</f>
        <v>0</v>
      </c>
      <c r="R115" s="34" t="e">
        <f>IF(AND(NOT(ISBLANK(Jumpoverwrite2)),AND(NOT(Q115),AND(Q$4:Q114))),($J115*$G115-LN(1+Jumpoverwrite2*S$2))/$G115,_xll.qlInterpolationInterpolate(Q$3,$F115,TRUE))</f>
        <v>#NUM!</v>
      </c>
      <c r="S115" s="34" t="str">
        <f>IF(AND(NOT(Q115),AND(Q$4:Q114)),IF(R115&gt;$J115,MAX(EXP((R115-$J115)*$G115),1),MIN(EXP((R115-$J115)*$G115),1)),"")</f>
        <v/>
      </c>
      <c r="T115" s="108"/>
      <c r="U115" s="72" t="b">
        <f>IF(AND(NOT(Q115),AND(Q$4:Q114)),TRUE,Q115)</f>
        <v>0</v>
      </c>
      <c r="V115" s="34" t="e">
        <f>IF(AND(NOT(ISBLANK(Jumpoverwrite3)),AND(NOT(U115),AND(U$4:U114))),($J115*$G115-LN(1+Jumpoverwrite3*W$2))/$G115,_xll.qlInterpolationInterpolate(U$3,$F115,TRUE))</f>
        <v>#NUM!</v>
      </c>
      <c r="W115" s="34" t="str">
        <f>IF(AND(NOT(U115),AND(U$4:U114)),IF(V115&gt;$J115,MAX(EXP((V115-$J115)*$G115),1),MIN(EXP((V115-$J115)*$G115),1)),"")</f>
        <v/>
      </c>
      <c r="X115" s="108"/>
      <c r="Y115" s="72" t="b">
        <f>IF(AND(NOT(U115),AND(U$4:U114)),TRUE,U115)</f>
        <v>0</v>
      </c>
      <c r="Z115" s="34" t="e">
        <f>IF(AND(NOT(ISBLANK(Jumpoverwrite4)),AND(NOT(Y115),AND(Y$4:Y114))),($J115*$G115-LN(1+Jumpoverwrite4*AA$2))/$G115,_xll.qlInterpolationInterpolate(Y$3,$F115,TRUE))</f>
        <v>#NUM!</v>
      </c>
      <c r="AA115" s="34" t="str">
        <f>IF(AND(NOT(Y115),AND(Y$4:Y114)),IF(Z115&gt;$J115,MAX(EXP((Z115-$J115)*$G115),1),MIN(EXP((Z115-$J115)*$G115),1)),"")</f>
        <v/>
      </c>
      <c r="AB115" s="108"/>
      <c r="AC115" s="72" t="b">
        <f>IF(AND(NOT(Y115),AND(Y$4:Y114)),TRUE,Y115)</f>
        <v>0</v>
      </c>
      <c r="AD115" s="34" t="e">
        <f>IF(AND(NOT(ISBLANK(Jumpoverwrite5)),AND(NOT(AC115),AND(AC$4:AC114))),($J115*$G115-LN(1+Jumpoverwrite5*AE$2))/$G115,_xll.qlInterpolationInterpolate(AC$3,$F115,TRUE))</f>
        <v>#NUM!</v>
      </c>
      <c r="AE115" s="34" t="str">
        <f>IF(AND(NOT(AC115),AND(AC$4:AC114)),IF(AD115&gt;$J115,MAX(EXP((AD115-$J115)*$G115),1),MIN(EXP((AD115-$J115)*$G115),1)),"")</f>
        <v/>
      </c>
      <c r="AF115" s="108"/>
      <c r="AG115" s="72" t="b">
        <f>IF(AND(NOT(AC115),AND(AC$4:AC114)),TRUE,AC115)</f>
        <v>0</v>
      </c>
      <c r="AH115" s="34" t="e">
        <f>IF(AND(NOT(ISBLANK(Jumpoverwrite6)),AND(NOT(AG115),AND(AG$4:AG114))),($J115*$G115-LN(1+Jumpoverwrite6*AI$2))/$G115,_xll.qlInterpolationInterpolate(AG$3,$F115,TRUE))</f>
        <v>#NUM!</v>
      </c>
      <c r="AI115" s="34" t="str">
        <f>IF(AND(NOT(AG115),AND(AG$4:AG114)),IF(AH115&gt;$J115,MAX(EXP((AH115-$J115)*$G115),1),MIN(EXP((AH115-$J115)*$G115),1)),"")</f>
        <v/>
      </c>
      <c r="AJ115" s="108"/>
      <c r="AK115" s="72" t="b">
        <f>IF(AND(NOT(AG115),AND(AG$4:AG114)),TRUE,AG115)</f>
        <v>0</v>
      </c>
      <c r="AL115" s="34" t="e">
        <f>IF(AND(NOT(ISBLANK(Jumpoverwrite7)),AND(NOT(AK115),AND(AK$4:AK114))),($J115*$G115-LN(1+Jumpoverwrite7*AM$2))/$G115,_xll.qlInterpolationInterpolate(AK$3,$F115,TRUE))</f>
        <v>#NUM!</v>
      </c>
      <c r="AM115" s="34" t="str">
        <f>IF(AND(NOT(AK115),AND(AK$4:AK114)),IF(AL115&gt;$J115,MAX(EXP((AL115-$J115)*$G115),1),MIN(EXP((AL115-$J115)*$G115),1)),"")</f>
        <v/>
      </c>
      <c r="AO115" s="72" t="b">
        <f>IF(AND(NOT(AK115),AND(AK$4:AK114)),TRUE,AK115)</f>
        <v>0</v>
      </c>
      <c r="AP115" s="34" t="e">
        <f>IF(AND(NOT(ISBLANK(Jumpoverwrite8)),AND(NOT(AO115),AND(AO$4:AO114))),($J115*$G115-LN(1+Jumpoverwrite8*AQ$2))/$G115,_xll.qlInterpolationInterpolate(AO$3,$F115,TRUE))</f>
        <v>#NUM!</v>
      </c>
      <c r="AQ115" s="34" t="str">
        <f>IF(AND(NOT(AO115),AND(AO$4:AO114)),IF(AP115&gt;$J115,MAX(EXP((AP115-$J115)*$G115),1),MIN(EXP((AP115-$J115)*$G115),1)),"")</f>
        <v/>
      </c>
      <c r="AS115" s="72" t="b">
        <f>IF(AND(NOT(AO115),AND(AO$4:AO114)),TRUE,AO115)</f>
        <v>0</v>
      </c>
      <c r="AT115" s="34" t="e">
        <f>IF(AND(NOT(ISBLANK(Jumpoverwrite9)),AND(NOT(AS115),AND(AS$4:AS114))),($J115*$G115-LN(1+Jumpoverwrite9*AU$2))/$G115,_xll.qlInterpolationInterpolate(AS$3,$F115,TRUE))</f>
        <v>#NUM!</v>
      </c>
      <c r="AU115" s="34" t="str">
        <f>IF(AND(NOT(AS115),AND(AS$4:AS114)),IF(AT115&gt;$J115,MAX(EXP((AT115-$J115)*$G115),1),MIN(EXP((AT115-$J115)*$G115),1)),"")</f>
        <v/>
      </c>
      <c r="AW115" s="72" t="b">
        <f>IF(AND(NOT(AS115),AND(AS$4:AS114)),TRUE,AS115)</f>
        <v>0</v>
      </c>
      <c r="AX115" s="34" t="e">
        <f>IF(AND(NOT(ISBLANK(Jumpoverwrite10)),AND(NOT(AW115),AND(AW$4:AW114))),($J115*$G115-LN(1+Jumpoverwrite10*AY$2))/$G115,_xll.qlInterpolationInterpolate(AW$3,$F115,TRUE))</f>
        <v>#NUM!</v>
      </c>
      <c r="AY115" s="34" t="str">
        <f>IF(AND(NOT(AW115),AND(AW$4:AW114)),IF(AX115&gt;$J115,MAX(EXP((AX115-$J115)*$G115),1),MIN(EXP((AX115-$J115)*$G115),1)),"")</f>
        <v/>
      </c>
      <c r="BA115" s="72" t="b">
        <f>IF(AND(NOT(AW115),AND(AW$4:AW114)),TRUE,AW115)</f>
        <v>0</v>
      </c>
      <c r="BB115" s="34" t="e">
        <f>IF(AND(NOT(ISBLANK(Jumpoverwrite11)),AND(NOT(BA115),AND(BA$4:BA114))),($J115*$G115-LN(1+Jumpoverwrite11*BC$2))/$G115,_xll.qlInterpolationInterpolate(BA$3,$F115,TRUE))</f>
        <v>#NUM!</v>
      </c>
      <c r="BC115" s="34" t="str">
        <f>IF(AND(NOT(BA115),AND(BA$4:BA114)),IF(BB115&gt;$J115,MAX(EXP((BB115-$J115)*$G115),1),MIN(EXP((BB115-$J115)*$G115),1)),"")</f>
        <v/>
      </c>
      <c r="BE115" s="72" t="b">
        <f>IF(AND(NOT(BA115),AND(BA$4:BA114)),TRUE,BA115)</f>
        <v>0</v>
      </c>
      <c r="BF115" s="34" t="e">
        <f>IF(AND(NOT(ISBLANK(Jumpoverwrite12)),AND(NOT(BE115),AND(BE$4:BE114))),($J115*$G115-LN(1+Jumpoverwrite12*BG$2))/$G115,_xll.qlInterpolationInterpolate(BE$3,$F115,TRUE))</f>
        <v>#NUM!</v>
      </c>
      <c r="BG115" s="34" t="str">
        <f>IF(AND(NOT(BE115),AND(BE$4:BE114)),IF(BF115&gt;$J115,MAX(EXP((BF115-$J115)*$G115),1),MIN(EXP((BF115-$J115)*$G115),1)),"")</f>
        <v/>
      </c>
      <c r="BI115" s="72" t="b">
        <f t="shared" si="10"/>
        <v>0</v>
      </c>
      <c r="BJ115" s="34" t="e">
        <f>IF(AND(NOT(ISBLANK(jumpoverwrite13)),AND(NOT(BI115),AND(BI$4:BI114))),($J115*$G115-LN(1+jumpoverwrite13*BK$2))/$G115,_xll.qlInterpolationInterpolate(BI$3,$F115,TRUE))</f>
        <v>#NUM!</v>
      </c>
      <c r="BK115" s="34" t="str">
        <f>IF(AND(NOT(BI115),AND(BI$4:BI114)),IF(BJ115&gt;$J115,MAX(EXP((BJ115-$J115)*$G115),1),MIN(EXP((BJ115-$J115)*$G115),1)),"")</f>
        <v/>
      </c>
      <c r="BM115" s="72" t="b">
        <f>IF(AND(NOT(BI115),AND(BI$4:BI114)),TRUE,BI115)</f>
        <v>0</v>
      </c>
      <c r="BN115" s="175" t="e">
        <f>IF(AND(NOT(ISBLANK(Jumpoverwrite14)),AND(NOT(BM115),AND(BM$4:BM114))),($J115*$G115-LN(1+Jumpoverwrite14*BO$2))/$G115,_xll.qlInterpolationInterpolate(BM$3,$F115,TRUE))</f>
        <v>#NUM!</v>
      </c>
      <c r="BO115" s="34" t="str">
        <f>IF(AND(NOT(BM115),AND(BM$4:BM114)),IF(BM115&gt;$J115,MAX(EXP((BM115-$J115)*$G115),1),MIN(EXP((BM115-$J115)*$G115),1)),"")</f>
        <v/>
      </c>
    </row>
    <row r="116" spans="1:67" x14ac:dyDescent="0.2">
      <c r="A116" s="33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84" t="e">
        <f t="shared" si="9"/>
        <v>#N/A</v>
      </c>
      <c r="G116" s="85" t="e">
        <f>_xll.qlDayCounterYearFraction(DayCounter,D115,D116)</f>
        <v>#NUM!</v>
      </c>
      <c r="I116" s="93" t="b">
        <f t="shared" si="7"/>
        <v>0</v>
      </c>
      <c r="J116" s="37" t="e">
        <v>#N/A</v>
      </c>
      <c r="K116" s="94" t="e">
        <f t="shared" si="8"/>
        <v>#VALUE!</v>
      </c>
      <c r="L116" s="106"/>
      <c r="M116" s="72" t="b">
        <f>IF(AND(NOT(I116),AND(I$4:I115)),TRUE,I116)</f>
        <v>0</v>
      </c>
      <c r="N116" s="34" t="e">
        <f>IF(AND(NOT(ISBLANK(Jumpoverwrite1)),AND(NOT(M116),AND(M$4:M115))),($J116*$G116-LN(1+Jumpoverwrite1*O$2))/$G116,_xll.qlInterpolationInterpolate(M$3,$F116,TRUE))</f>
        <v>#NUM!</v>
      </c>
      <c r="O116" s="34" t="str">
        <f>IF(AND(NOT(M116),AND(M$4:M115)),IF(N116&gt;$J116,MAX(EXP((N116-$J116)*$G116),1),MIN(EXP((N116-$J116)*$G116),1)),"")</f>
        <v/>
      </c>
      <c r="P116" s="108"/>
      <c r="Q116" s="72" t="b">
        <f>IF(AND(NOT(M116),AND(M$4:M115)),TRUE,M116)</f>
        <v>0</v>
      </c>
      <c r="R116" s="34" t="e">
        <f>IF(AND(NOT(ISBLANK(Jumpoverwrite2)),AND(NOT(Q116),AND(Q$4:Q115))),($J116*$G116-LN(1+Jumpoverwrite2*S$2))/$G116,_xll.qlInterpolationInterpolate(Q$3,$F116,TRUE))</f>
        <v>#NUM!</v>
      </c>
      <c r="S116" s="34" t="str">
        <f>IF(AND(NOT(Q116),AND(Q$4:Q115)),IF(R116&gt;$J116,MAX(EXP((R116-$J116)*$G116),1),MIN(EXP((R116-$J116)*$G116),1)),"")</f>
        <v/>
      </c>
      <c r="T116" s="108"/>
      <c r="U116" s="72" t="b">
        <f>IF(AND(NOT(Q116),AND(Q$4:Q115)),TRUE,Q116)</f>
        <v>0</v>
      </c>
      <c r="V116" s="34" t="e">
        <f>IF(AND(NOT(ISBLANK(Jumpoverwrite3)),AND(NOT(U116),AND(U$4:U115))),($J116*$G116-LN(1+Jumpoverwrite3*W$2))/$G116,_xll.qlInterpolationInterpolate(U$3,$F116,TRUE))</f>
        <v>#NUM!</v>
      </c>
      <c r="W116" s="34" t="str">
        <f>IF(AND(NOT(U116),AND(U$4:U115)),IF(V116&gt;$J116,MAX(EXP((V116-$J116)*$G116),1),MIN(EXP((V116-$J116)*$G116),1)),"")</f>
        <v/>
      </c>
      <c r="X116" s="108"/>
      <c r="Y116" s="72" t="b">
        <f>IF(AND(NOT(U116),AND(U$4:U115)),TRUE,U116)</f>
        <v>0</v>
      </c>
      <c r="Z116" s="34" t="e">
        <f>IF(AND(NOT(ISBLANK(Jumpoverwrite4)),AND(NOT(Y116),AND(Y$4:Y115))),($J116*$G116-LN(1+Jumpoverwrite4*AA$2))/$G116,_xll.qlInterpolationInterpolate(Y$3,$F116,TRUE))</f>
        <v>#NUM!</v>
      </c>
      <c r="AA116" s="34" t="str">
        <f>IF(AND(NOT(Y116),AND(Y$4:Y115)),IF(Z116&gt;$J116,MAX(EXP((Z116-$J116)*$G116),1),MIN(EXP((Z116-$J116)*$G116),1)),"")</f>
        <v/>
      </c>
      <c r="AB116" s="108"/>
      <c r="AC116" s="72" t="b">
        <f>IF(AND(NOT(Y116),AND(Y$4:Y115)),TRUE,Y116)</f>
        <v>0</v>
      </c>
      <c r="AD116" s="34" t="e">
        <f>IF(AND(NOT(ISBLANK(Jumpoverwrite5)),AND(NOT(AC116),AND(AC$4:AC115))),($J116*$G116-LN(1+Jumpoverwrite5*AE$2))/$G116,_xll.qlInterpolationInterpolate(AC$3,$F116,TRUE))</f>
        <v>#NUM!</v>
      </c>
      <c r="AE116" s="34" t="str">
        <f>IF(AND(NOT(AC116),AND(AC$4:AC115)),IF(AD116&gt;$J116,MAX(EXP((AD116-$J116)*$G116),1),MIN(EXP((AD116-$J116)*$G116),1)),"")</f>
        <v/>
      </c>
      <c r="AF116" s="108"/>
      <c r="AG116" s="72" t="b">
        <f>IF(AND(NOT(AC116),AND(AC$4:AC115)),TRUE,AC116)</f>
        <v>0</v>
      </c>
      <c r="AH116" s="34" t="e">
        <f>IF(AND(NOT(ISBLANK(Jumpoverwrite6)),AND(NOT(AG116),AND(AG$4:AG115))),($J116*$G116-LN(1+Jumpoverwrite6*AI$2))/$G116,_xll.qlInterpolationInterpolate(AG$3,$F116,TRUE))</f>
        <v>#NUM!</v>
      </c>
      <c r="AI116" s="34" t="str">
        <f>IF(AND(NOT(AG116),AND(AG$4:AG115)),IF(AH116&gt;$J116,MAX(EXP((AH116-$J116)*$G116),1),MIN(EXP((AH116-$J116)*$G116),1)),"")</f>
        <v/>
      </c>
      <c r="AJ116" s="108"/>
      <c r="AK116" s="72" t="b">
        <f>IF(AND(NOT(AG116),AND(AG$4:AG115)),TRUE,AG116)</f>
        <v>0</v>
      </c>
      <c r="AL116" s="34" t="e">
        <f>IF(AND(NOT(ISBLANK(Jumpoverwrite7)),AND(NOT(AK116),AND(AK$4:AK115))),($J116*$G116-LN(1+Jumpoverwrite7*AM$2))/$G116,_xll.qlInterpolationInterpolate(AK$3,$F116,TRUE))</f>
        <v>#NUM!</v>
      </c>
      <c r="AM116" s="34" t="str">
        <f>IF(AND(NOT(AK116),AND(AK$4:AK115)),IF(AL116&gt;$J116,MAX(EXP((AL116-$J116)*$G116),1),MIN(EXP((AL116-$J116)*$G116),1)),"")</f>
        <v/>
      </c>
      <c r="AO116" s="72" t="b">
        <f>IF(AND(NOT(AK116),AND(AK$4:AK115)),TRUE,AK116)</f>
        <v>0</v>
      </c>
      <c r="AP116" s="34" t="e">
        <f>IF(AND(NOT(ISBLANK(Jumpoverwrite8)),AND(NOT(AO116),AND(AO$4:AO115))),($J116*$G116-LN(1+Jumpoverwrite8*AQ$2))/$G116,_xll.qlInterpolationInterpolate(AO$3,$F116,TRUE))</f>
        <v>#NUM!</v>
      </c>
      <c r="AQ116" s="34" t="str">
        <f>IF(AND(NOT(AO116),AND(AO$4:AO115)),IF(AP116&gt;$J116,MAX(EXP((AP116-$J116)*$G116),1),MIN(EXP((AP116-$J116)*$G116),1)),"")</f>
        <v/>
      </c>
      <c r="AS116" s="72" t="b">
        <f>IF(AND(NOT(AO116),AND(AO$4:AO115)),TRUE,AO116)</f>
        <v>0</v>
      </c>
      <c r="AT116" s="34" t="e">
        <f>IF(AND(NOT(ISBLANK(Jumpoverwrite9)),AND(NOT(AS116),AND(AS$4:AS115))),($J116*$G116-LN(1+Jumpoverwrite9*AU$2))/$G116,_xll.qlInterpolationInterpolate(AS$3,$F116,TRUE))</f>
        <v>#NUM!</v>
      </c>
      <c r="AU116" s="34" t="str">
        <f>IF(AND(NOT(AS116),AND(AS$4:AS115)),IF(AT116&gt;$J116,MAX(EXP((AT116-$J116)*$G116),1),MIN(EXP((AT116-$J116)*$G116),1)),"")</f>
        <v/>
      </c>
      <c r="AW116" s="72" t="b">
        <f>IF(AND(NOT(AS116),AND(AS$4:AS115)),TRUE,AS116)</f>
        <v>0</v>
      </c>
      <c r="AX116" s="34" t="e">
        <f>IF(AND(NOT(ISBLANK(Jumpoverwrite10)),AND(NOT(AW116),AND(AW$4:AW115))),($J116*$G116-LN(1+Jumpoverwrite10*AY$2))/$G116,_xll.qlInterpolationInterpolate(AW$3,$F116,TRUE))</f>
        <v>#NUM!</v>
      </c>
      <c r="AY116" s="34" t="str">
        <f>IF(AND(NOT(AW116),AND(AW$4:AW115)),IF(AX116&gt;$J116,MAX(EXP((AX116-$J116)*$G116),1),MIN(EXP((AX116-$J116)*$G116),1)),"")</f>
        <v/>
      </c>
      <c r="BA116" s="72" t="b">
        <f>IF(AND(NOT(AW116),AND(AW$4:AW115)),TRUE,AW116)</f>
        <v>0</v>
      </c>
      <c r="BB116" s="34" t="e">
        <f>IF(AND(NOT(ISBLANK(Jumpoverwrite11)),AND(NOT(BA116),AND(BA$4:BA115))),($J116*$G116-LN(1+Jumpoverwrite11*BC$2))/$G116,_xll.qlInterpolationInterpolate(BA$3,$F116,TRUE))</f>
        <v>#NUM!</v>
      </c>
      <c r="BC116" s="34" t="str">
        <f>IF(AND(NOT(BA116),AND(BA$4:BA115)),IF(BB116&gt;$J116,MAX(EXP((BB116-$J116)*$G116),1),MIN(EXP((BB116-$J116)*$G116),1)),"")</f>
        <v/>
      </c>
      <c r="BE116" s="72" t="b">
        <f>IF(AND(NOT(BA116),AND(BA$4:BA115)),TRUE,BA116)</f>
        <v>0</v>
      </c>
      <c r="BF116" s="34" t="e">
        <f>IF(AND(NOT(ISBLANK(Jumpoverwrite12)),AND(NOT(BE116),AND(BE$4:BE115))),($J116*$G116-LN(1+Jumpoverwrite12*BG$2))/$G116,_xll.qlInterpolationInterpolate(BE$3,$F116,TRUE))</f>
        <v>#NUM!</v>
      </c>
      <c r="BG116" s="34" t="str">
        <f>IF(AND(NOT(BE116),AND(BE$4:BE115)),IF(BF116&gt;$J116,MAX(EXP((BF116-$J116)*$G116),1),MIN(EXP((BF116-$J116)*$G116),1)),"")</f>
        <v/>
      </c>
      <c r="BI116" s="72" t="b">
        <f t="shared" si="10"/>
        <v>0</v>
      </c>
      <c r="BJ116" s="34" t="e">
        <f>IF(AND(NOT(ISBLANK(jumpoverwrite13)),AND(NOT(BI116),AND(BI$4:BI115))),($J116*$G116-LN(1+jumpoverwrite13*BK$2))/$G116,_xll.qlInterpolationInterpolate(BI$3,$F116,TRUE))</f>
        <v>#NUM!</v>
      </c>
      <c r="BK116" s="34" t="str">
        <f>IF(AND(NOT(BI116),AND(BI$4:BI115)),IF(BJ116&gt;$J116,MAX(EXP((BJ116-$J116)*$G116),1),MIN(EXP((BJ116-$J116)*$G116),1)),"")</f>
        <v/>
      </c>
      <c r="BM116" s="72" t="b">
        <f>IF(AND(NOT(BI116),AND(BI$4:BI115)),TRUE,BI116)</f>
        <v>0</v>
      </c>
      <c r="BN116" s="175" t="e">
        <f>IF(AND(NOT(ISBLANK(Jumpoverwrite14)),AND(NOT(BM116),AND(BM$4:BM115))),($J116*$G116-LN(1+Jumpoverwrite14*BO$2))/$G116,_xll.qlInterpolationInterpolate(BM$3,$F116,TRUE))</f>
        <v>#NUM!</v>
      </c>
      <c r="BO116" s="34" t="str">
        <f>IF(AND(NOT(BM116),AND(BM$4:BM115)),IF(BM116&gt;$J116,MAX(EXP((BM116-$J116)*$G116),1),MIN(EXP((BM116-$J116)*$G116),1)),"")</f>
        <v/>
      </c>
    </row>
    <row r="117" spans="1:67" x14ac:dyDescent="0.2">
      <c r="A117" s="33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84" t="e">
        <f t="shared" si="9"/>
        <v>#N/A</v>
      </c>
      <c r="G117" s="85" t="e">
        <f>_xll.qlDayCounterYearFraction(DayCounter,D116,D117)</f>
        <v>#NUM!</v>
      </c>
      <c r="I117" s="93" t="b">
        <f t="shared" si="7"/>
        <v>0</v>
      </c>
      <c r="J117" s="37" t="e">
        <v>#N/A</v>
      </c>
      <c r="K117" s="94" t="e">
        <f t="shared" si="8"/>
        <v>#VALUE!</v>
      </c>
      <c r="L117" s="106"/>
      <c r="M117" s="72" t="b">
        <f>IF(AND(NOT(I117),AND(I$4:I116)),TRUE,I117)</f>
        <v>0</v>
      </c>
      <c r="N117" s="34" t="e">
        <f>IF(AND(NOT(ISBLANK(Jumpoverwrite1)),AND(NOT(M117),AND(M$4:M116))),($J117*$G117-LN(1+Jumpoverwrite1*O$2))/$G117,_xll.qlInterpolationInterpolate(M$3,$F117,TRUE))</f>
        <v>#NUM!</v>
      </c>
      <c r="O117" s="34" t="str">
        <f>IF(AND(NOT(M117),AND(M$4:M116)),IF(N117&gt;$J117,MAX(EXP((N117-$J117)*$G117),1),MIN(EXP((N117-$J117)*$G117),1)),"")</f>
        <v/>
      </c>
      <c r="P117" s="108"/>
      <c r="Q117" s="72" t="b">
        <f>IF(AND(NOT(M117),AND(M$4:M116)),TRUE,M117)</f>
        <v>0</v>
      </c>
      <c r="R117" s="34" t="e">
        <f>IF(AND(NOT(ISBLANK(Jumpoverwrite2)),AND(NOT(Q117),AND(Q$4:Q116))),($J117*$G117-LN(1+Jumpoverwrite2*S$2))/$G117,_xll.qlInterpolationInterpolate(Q$3,$F117,TRUE))</f>
        <v>#NUM!</v>
      </c>
      <c r="S117" s="34" t="str">
        <f>IF(AND(NOT(Q117),AND(Q$4:Q116)),IF(R117&gt;$J117,MAX(EXP((R117-$J117)*$G117),1),MIN(EXP((R117-$J117)*$G117),1)),"")</f>
        <v/>
      </c>
      <c r="T117" s="108"/>
      <c r="U117" s="72" t="b">
        <f>IF(AND(NOT(Q117),AND(Q$4:Q116)),TRUE,Q117)</f>
        <v>0</v>
      </c>
      <c r="V117" s="34" t="e">
        <f>IF(AND(NOT(ISBLANK(Jumpoverwrite3)),AND(NOT(U117),AND(U$4:U116))),($J117*$G117-LN(1+Jumpoverwrite3*W$2))/$G117,_xll.qlInterpolationInterpolate(U$3,$F117,TRUE))</f>
        <v>#NUM!</v>
      </c>
      <c r="W117" s="34" t="str">
        <f>IF(AND(NOT(U117),AND(U$4:U116)),IF(V117&gt;$J117,MAX(EXP((V117-$J117)*$G117),1),MIN(EXP((V117-$J117)*$G117),1)),"")</f>
        <v/>
      </c>
      <c r="X117" s="108"/>
      <c r="Y117" s="72" t="b">
        <f>IF(AND(NOT(U117),AND(U$4:U116)),TRUE,U117)</f>
        <v>0</v>
      </c>
      <c r="Z117" s="34" t="e">
        <f>IF(AND(NOT(ISBLANK(Jumpoverwrite4)),AND(NOT(Y117),AND(Y$4:Y116))),($J117*$G117-LN(1+Jumpoverwrite4*AA$2))/$G117,_xll.qlInterpolationInterpolate(Y$3,$F117,TRUE))</f>
        <v>#NUM!</v>
      </c>
      <c r="AA117" s="34" t="str">
        <f>IF(AND(NOT(Y117),AND(Y$4:Y116)),IF(Z117&gt;$J117,MAX(EXP((Z117-$J117)*$G117),1),MIN(EXP((Z117-$J117)*$G117),1)),"")</f>
        <v/>
      </c>
      <c r="AB117" s="108"/>
      <c r="AC117" s="72" t="b">
        <f>IF(AND(NOT(Y117),AND(Y$4:Y116)),TRUE,Y117)</f>
        <v>0</v>
      </c>
      <c r="AD117" s="34" t="e">
        <f>IF(AND(NOT(ISBLANK(Jumpoverwrite5)),AND(NOT(AC117),AND(AC$4:AC116))),($J117*$G117-LN(1+Jumpoverwrite5*AE$2))/$G117,_xll.qlInterpolationInterpolate(AC$3,$F117,TRUE))</f>
        <v>#NUM!</v>
      </c>
      <c r="AE117" s="34" t="str">
        <f>IF(AND(NOT(AC117),AND(AC$4:AC116)),IF(AD117&gt;$J117,MAX(EXP((AD117-$J117)*$G117),1),MIN(EXP((AD117-$J117)*$G117),1)),"")</f>
        <v/>
      </c>
      <c r="AF117" s="108"/>
      <c r="AG117" s="72" t="b">
        <f>IF(AND(NOT(AC117),AND(AC$4:AC116)),TRUE,AC117)</f>
        <v>0</v>
      </c>
      <c r="AH117" s="34" t="e">
        <f>IF(AND(NOT(ISBLANK(Jumpoverwrite6)),AND(NOT(AG117),AND(AG$4:AG116))),($J117*$G117-LN(1+Jumpoverwrite6*AI$2))/$G117,_xll.qlInterpolationInterpolate(AG$3,$F117,TRUE))</f>
        <v>#NUM!</v>
      </c>
      <c r="AI117" s="34" t="str">
        <f>IF(AND(NOT(AG117),AND(AG$4:AG116)),IF(AH117&gt;$J117,MAX(EXP((AH117-$J117)*$G117),1),MIN(EXP((AH117-$J117)*$G117),1)),"")</f>
        <v/>
      </c>
      <c r="AJ117" s="108"/>
      <c r="AK117" s="72" t="b">
        <f>IF(AND(NOT(AG117),AND(AG$4:AG116)),TRUE,AG117)</f>
        <v>0</v>
      </c>
      <c r="AL117" s="34" t="e">
        <f>IF(AND(NOT(ISBLANK(Jumpoverwrite7)),AND(NOT(AK117),AND(AK$4:AK116))),($J117*$G117-LN(1+Jumpoverwrite7*AM$2))/$G117,_xll.qlInterpolationInterpolate(AK$3,$F117,TRUE))</f>
        <v>#NUM!</v>
      </c>
      <c r="AM117" s="34" t="str">
        <f>IF(AND(NOT(AK117),AND(AK$4:AK116)),IF(AL117&gt;$J117,MAX(EXP((AL117-$J117)*$G117),1),MIN(EXP((AL117-$J117)*$G117),1)),"")</f>
        <v/>
      </c>
      <c r="AO117" s="72" t="b">
        <f>IF(AND(NOT(AK117),AND(AK$4:AK116)),TRUE,AK117)</f>
        <v>0</v>
      </c>
      <c r="AP117" s="34" t="e">
        <f>IF(AND(NOT(ISBLANK(Jumpoverwrite8)),AND(NOT(AO117),AND(AO$4:AO116))),($J117*$G117-LN(1+Jumpoverwrite8*AQ$2))/$G117,_xll.qlInterpolationInterpolate(AO$3,$F117,TRUE))</f>
        <v>#NUM!</v>
      </c>
      <c r="AQ117" s="34" t="str">
        <f>IF(AND(NOT(AO117),AND(AO$4:AO116)),IF(AP117&gt;$J117,MAX(EXP((AP117-$J117)*$G117),1),MIN(EXP((AP117-$J117)*$G117),1)),"")</f>
        <v/>
      </c>
      <c r="AS117" s="72" t="b">
        <f>IF(AND(NOT(AO117),AND(AO$4:AO116)),TRUE,AO117)</f>
        <v>0</v>
      </c>
      <c r="AT117" s="34" t="e">
        <f>IF(AND(NOT(ISBLANK(Jumpoverwrite9)),AND(NOT(AS117),AND(AS$4:AS116))),($J117*$G117-LN(1+Jumpoverwrite9*AU$2))/$G117,_xll.qlInterpolationInterpolate(AS$3,$F117,TRUE))</f>
        <v>#NUM!</v>
      </c>
      <c r="AU117" s="34" t="str">
        <f>IF(AND(NOT(AS117),AND(AS$4:AS116)),IF(AT117&gt;$J117,MAX(EXP((AT117-$J117)*$G117),1),MIN(EXP((AT117-$J117)*$G117),1)),"")</f>
        <v/>
      </c>
      <c r="AW117" s="72" t="b">
        <f>IF(AND(NOT(AS117),AND(AS$4:AS116)),TRUE,AS117)</f>
        <v>0</v>
      </c>
      <c r="AX117" s="34" t="e">
        <f>IF(AND(NOT(ISBLANK(Jumpoverwrite10)),AND(NOT(AW117),AND(AW$4:AW116))),($J117*$G117-LN(1+Jumpoverwrite10*AY$2))/$G117,_xll.qlInterpolationInterpolate(AW$3,$F117,TRUE))</f>
        <v>#NUM!</v>
      </c>
      <c r="AY117" s="34" t="str">
        <f>IF(AND(NOT(AW117),AND(AW$4:AW116)),IF(AX117&gt;$J117,MAX(EXP((AX117-$J117)*$G117),1),MIN(EXP((AX117-$J117)*$G117),1)),"")</f>
        <v/>
      </c>
      <c r="BA117" s="72" t="b">
        <f>IF(AND(NOT(AW117),AND(AW$4:AW116)),TRUE,AW117)</f>
        <v>0</v>
      </c>
      <c r="BB117" s="34" t="e">
        <f>IF(AND(NOT(ISBLANK(Jumpoverwrite11)),AND(NOT(BA117),AND(BA$4:BA116))),($J117*$G117-LN(1+Jumpoverwrite11*BC$2))/$G117,_xll.qlInterpolationInterpolate(BA$3,$F117,TRUE))</f>
        <v>#NUM!</v>
      </c>
      <c r="BC117" s="34" t="str">
        <f>IF(AND(NOT(BA117),AND(BA$4:BA116)),IF(BB117&gt;$J117,MAX(EXP((BB117-$J117)*$G117),1),MIN(EXP((BB117-$J117)*$G117),1)),"")</f>
        <v/>
      </c>
      <c r="BE117" s="72" t="b">
        <f>IF(AND(NOT(BA117),AND(BA$4:BA116)),TRUE,BA117)</f>
        <v>0</v>
      </c>
      <c r="BF117" s="34" t="e">
        <f>IF(AND(NOT(ISBLANK(Jumpoverwrite12)),AND(NOT(BE117),AND(BE$4:BE116))),($J117*$G117-LN(1+Jumpoverwrite12*BG$2))/$G117,_xll.qlInterpolationInterpolate(BE$3,$F117,TRUE))</f>
        <v>#NUM!</v>
      </c>
      <c r="BG117" s="34" t="str">
        <f>IF(AND(NOT(BE117),AND(BE$4:BE116)),IF(BF117&gt;$J117,MAX(EXP((BF117-$J117)*$G117),1),MIN(EXP((BF117-$J117)*$G117),1)),"")</f>
        <v/>
      </c>
      <c r="BI117" s="72" t="b">
        <f t="shared" si="10"/>
        <v>0</v>
      </c>
      <c r="BJ117" s="34" t="e">
        <f>IF(AND(NOT(ISBLANK(jumpoverwrite13)),AND(NOT(BI117),AND(BI$4:BI116))),($J117*$G117-LN(1+jumpoverwrite13*BK$2))/$G117,_xll.qlInterpolationInterpolate(BI$3,$F117,TRUE))</f>
        <v>#NUM!</v>
      </c>
      <c r="BK117" s="34" t="str">
        <f>IF(AND(NOT(BI117),AND(BI$4:BI116)),IF(BJ117&gt;$J117,MAX(EXP((BJ117-$J117)*$G117),1),MIN(EXP((BJ117-$J117)*$G117),1)),"")</f>
        <v/>
      </c>
      <c r="BM117" s="72" t="b">
        <f>IF(AND(NOT(BI117),AND(BI$4:BI116)),TRUE,BI117)</f>
        <v>0</v>
      </c>
      <c r="BN117" s="175" t="e">
        <f>IF(AND(NOT(ISBLANK(Jumpoverwrite14)),AND(NOT(BM117),AND(BM$4:BM116))),($J117*$G117-LN(1+Jumpoverwrite14*BO$2))/$G117,_xll.qlInterpolationInterpolate(BM$3,$F117,TRUE))</f>
        <v>#NUM!</v>
      </c>
      <c r="BO117" s="34" t="str">
        <f>IF(AND(NOT(BM117),AND(BM$4:BM116)),IF(BM117&gt;$J117,MAX(EXP((BM117-$J117)*$G117),1),MIN(EXP((BM117-$J117)*$G117),1)),"")</f>
        <v/>
      </c>
    </row>
    <row r="118" spans="1:67" x14ac:dyDescent="0.2">
      <c r="A118" s="33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84" t="e">
        <f t="shared" si="9"/>
        <v>#N/A</v>
      </c>
      <c r="G118" s="85" t="e">
        <f>_xll.qlDayCounterYearFraction(DayCounter,D117,D118)</f>
        <v>#NUM!</v>
      </c>
      <c r="I118" s="93" t="b">
        <f t="shared" si="7"/>
        <v>0</v>
      </c>
      <c r="J118" s="37" t="e">
        <v>#N/A</v>
      </c>
      <c r="K118" s="94" t="e">
        <f t="shared" si="8"/>
        <v>#VALUE!</v>
      </c>
      <c r="L118" s="106"/>
      <c r="M118" s="72" t="b">
        <f>IF(AND(NOT(I118),AND(I$4:I117)),TRUE,I118)</f>
        <v>0</v>
      </c>
      <c r="N118" s="34" t="e">
        <f>IF(AND(NOT(ISBLANK(Jumpoverwrite1)),AND(NOT(M118),AND(M$4:M117))),($J118*$G118-LN(1+Jumpoverwrite1*O$2))/$G118,_xll.qlInterpolationInterpolate(M$3,$F118,TRUE))</f>
        <v>#NUM!</v>
      </c>
      <c r="O118" s="34" t="str">
        <f>IF(AND(NOT(M118),AND(M$4:M117)),IF(N118&gt;$J118,MAX(EXP((N118-$J118)*$G118),1),MIN(EXP((N118-$J118)*$G118),1)),"")</f>
        <v/>
      </c>
      <c r="P118" s="108"/>
      <c r="Q118" s="72" t="b">
        <f>IF(AND(NOT(M118),AND(M$4:M117)),TRUE,M118)</f>
        <v>0</v>
      </c>
      <c r="R118" s="34" t="e">
        <f>IF(AND(NOT(ISBLANK(Jumpoverwrite2)),AND(NOT(Q118),AND(Q$4:Q117))),($J118*$G118-LN(1+Jumpoverwrite2*S$2))/$G118,_xll.qlInterpolationInterpolate(Q$3,$F118,TRUE))</f>
        <v>#NUM!</v>
      </c>
      <c r="S118" s="34" t="str">
        <f>IF(AND(NOT(Q118),AND(Q$4:Q117)),IF(R118&gt;$J118,MAX(EXP((R118-$J118)*$G118),1),MIN(EXP((R118-$J118)*$G118),1)),"")</f>
        <v/>
      </c>
      <c r="T118" s="108"/>
      <c r="U118" s="72" t="b">
        <f>IF(AND(NOT(Q118),AND(Q$4:Q117)),TRUE,Q118)</f>
        <v>0</v>
      </c>
      <c r="V118" s="34" t="e">
        <f>IF(AND(NOT(ISBLANK(Jumpoverwrite3)),AND(NOT(U118),AND(U$4:U117))),($J118*$G118-LN(1+Jumpoverwrite3*W$2))/$G118,_xll.qlInterpolationInterpolate(U$3,$F118,TRUE))</f>
        <v>#NUM!</v>
      </c>
      <c r="W118" s="34" t="str">
        <f>IF(AND(NOT(U118),AND(U$4:U117)),IF(V118&gt;$J118,MAX(EXP((V118-$J118)*$G118),1),MIN(EXP((V118-$J118)*$G118),1)),"")</f>
        <v/>
      </c>
      <c r="X118" s="108"/>
      <c r="Y118" s="72" t="b">
        <f>IF(AND(NOT(U118),AND(U$4:U117)),TRUE,U118)</f>
        <v>0</v>
      </c>
      <c r="Z118" s="34" t="e">
        <f>IF(AND(NOT(ISBLANK(Jumpoverwrite4)),AND(NOT(Y118),AND(Y$4:Y117))),($J118*$G118-LN(1+Jumpoverwrite4*AA$2))/$G118,_xll.qlInterpolationInterpolate(Y$3,$F118,TRUE))</f>
        <v>#NUM!</v>
      </c>
      <c r="AA118" s="34" t="str">
        <f>IF(AND(NOT(Y118),AND(Y$4:Y117)),IF(Z118&gt;$J118,MAX(EXP((Z118-$J118)*$G118),1),MIN(EXP((Z118-$J118)*$G118),1)),"")</f>
        <v/>
      </c>
      <c r="AB118" s="108"/>
      <c r="AC118" s="72" t="b">
        <f>IF(AND(NOT(Y118),AND(Y$4:Y117)),TRUE,Y118)</f>
        <v>0</v>
      </c>
      <c r="AD118" s="34" t="e">
        <f>IF(AND(NOT(ISBLANK(Jumpoverwrite5)),AND(NOT(AC118),AND(AC$4:AC117))),($J118*$G118-LN(1+Jumpoverwrite5*AE$2))/$G118,_xll.qlInterpolationInterpolate(AC$3,$F118,TRUE))</f>
        <v>#NUM!</v>
      </c>
      <c r="AE118" s="34" t="str">
        <f>IF(AND(NOT(AC118),AND(AC$4:AC117)),IF(AD118&gt;$J118,MAX(EXP((AD118-$J118)*$G118),1),MIN(EXP((AD118-$J118)*$G118),1)),"")</f>
        <v/>
      </c>
      <c r="AF118" s="108"/>
      <c r="AG118" s="72" t="b">
        <f>IF(AND(NOT(AC118),AND(AC$4:AC117)),TRUE,AC118)</f>
        <v>0</v>
      </c>
      <c r="AH118" s="34" t="e">
        <f>IF(AND(NOT(ISBLANK(Jumpoverwrite6)),AND(NOT(AG118),AND(AG$4:AG117))),($J118*$G118-LN(1+Jumpoverwrite6*AI$2))/$G118,_xll.qlInterpolationInterpolate(AG$3,$F118,TRUE))</f>
        <v>#NUM!</v>
      </c>
      <c r="AI118" s="34" t="str">
        <f>IF(AND(NOT(AG118),AND(AG$4:AG117)),IF(AH118&gt;$J118,MAX(EXP((AH118-$J118)*$G118),1),MIN(EXP((AH118-$J118)*$G118),1)),"")</f>
        <v/>
      </c>
      <c r="AJ118" s="108"/>
      <c r="AK118" s="72" t="b">
        <f>IF(AND(NOT(AG118),AND(AG$4:AG117)),TRUE,AG118)</f>
        <v>0</v>
      </c>
      <c r="AL118" s="34" t="e">
        <f>IF(AND(NOT(ISBLANK(Jumpoverwrite7)),AND(NOT(AK118),AND(AK$4:AK117))),($J118*$G118-LN(1+Jumpoverwrite7*AM$2))/$G118,_xll.qlInterpolationInterpolate(AK$3,$F118,TRUE))</f>
        <v>#NUM!</v>
      </c>
      <c r="AM118" s="34" t="str">
        <f>IF(AND(NOT(AK118),AND(AK$4:AK117)),IF(AL118&gt;$J118,MAX(EXP((AL118-$J118)*$G118),1),MIN(EXP((AL118-$J118)*$G118),1)),"")</f>
        <v/>
      </c>
      <c r="AO118" s="72" t="b">
        <f>IF(AND(NOT(AK118),AND(AK$4:AK117)),TRUE,AK118)</f>
        <v>0</v>
      </c>
      <c r="AP118" s="34" t="e">
        <f>IF(AND(NOT(ISBLANK(Jumpoverwrite8)),AND(NOT(AO118),AND(AO$4:AO117))),($J118*$G118-LN(1+Jumpoverwrite8*AQ$2))/$G118,_xll.qlInterpolationInterpolate(AO$3,$F118,TRUE))</f>
        <v>#NUM!</v>
      </c>
      <c r="AQ118" s="34" t="str">
        <f>IF(AND(NOT(AO118),AND(AO$4:AO117)),IF(AP118&gt;$J118,MAX(EXP((AP118-$J118)*$G118),1),MIN(EXP((AP118-$J118)*$G118),1)),"")</f>
        <v/>
      </c>
      <c r="AS118" s="72" t="b">
        <f>IF(AND(NOT(AO118),AND(AO$4:AO117)),TRUE,AO118)</f>
        <v>0</v>
      </c>
      <c r="AT118" s="34" t="e">
        <f>IF(AND(NOT(ISBLANK(Jumpoverwrite9)),AND(NOT(AS118),AND(AS$4:AS117))),($J118*$G118-LN(1+Jumpoverwrite9*AU$2))/$G118,_xll.qlInterpolationInterpolate(AS$3,$F118,TRUE))</f>
        <v>#NUM!</v>
      </c>
      <c r="AU118" s="34" t="str">
        <f>IF(AND(NOT(AS118),AND(AS$4:AS117)),IF(AT118&gt;$J118,MAX(EXP((AT118-$J118)*$G118),1),MIN(EXP((AT118-$J118)*$G118),1)),"")</f>
        <v/>
      </c>
      <c r="AW118" s="72" t="b">
        <f>IF(AND(NOT(AS118),AND(AS$4:AS117)),TRUE,AS118)</f>
        <v>0</v>
      </c>
      <c r="AX118" s="34" t="e">
        <f>IF(AND(NOT(ISBLANK(Jumpoverwrite10)),AND(NOT(AW118),AND(AW$4:AW117))),($J118*$G118-LN(1+Jumpoverwrite10*AY$2))/$G118,_xll.qlInterpolationInterpolate(AW$3,$F118,TRUE))</f>
        <v>#NUM!</v>
      </c>
      <c r="AY118" s="34" t="str">
        <f>IF(AND(NOT(AW118),AND(AW$4:AW117)),IF(AX118&gt;$J118,MAX(EXP((AX118-$J118)*$G118),1),MIN(EXP((AX118-$J118)*$G118),1)),"")</f>
        <v/>
      </c>
      <c r="BA118" s="72" t="b">
        <f>IF(AND(NOT(AW118),AND(AW$4:AW117)),TRUE,AW118)</f>
        <v>0</v>
      </c>
      <c r="BB118" s="34" t="e">
        <f>IF(AND(NOT(ISBLANK(Jumpoverwrite11)),AND(NOT(BA118),AND(BA$4:BA117))),($J118*$G118-LN(1+Jumpoverwrite11*BC$2))/$G118,_xll.qlInterpolationInterpolate(BA$3,$F118,TRUE))</f>
        <v>#NUM!</v>
      </c>
      <c r="BC118" s="34" t="str">
        <f>IF(AND(NOT(BA118),AND(BA$4:BA117)),IF(BB118&gt;$J118,MAX(EXP((BB118-$J118)*$G118),1),MIN(EXP((BB118-$J118)*$G118),1)),"")</f>
        <v/>
      </c>
      <c r="BE118" s="72" t="b">
        <f>IF(AND(NOT(BA118),AND(BA$4:BA117)),TRUE,BA118)</f>
        <v>0</v>
      </c>
      <c r="BF118" s="34" t="e">
        <f>IF(AND(NOT(ISBLANK(Jumpoverwrite12)),AND(NOT(BE118),AND(BE$4:BE117))),($J118*$G118-LN(1+Jumpoverwrite12*BG$2))/$G118,_xll.qlInterpolationInterpolate(BE$3,$F118,TRUE))</f>
        <v>#NUM!</v>
      </c>
      <c r="BG118" s="34" t="str">
        <f>IF(AND(NOT(BE118),AND(BE$4:BE117)),IF(BF118&gt;$J118,MAX(EXP((BF118-$J118)*$G118),1),MIN(EXP((BF118-$J118)*$G118),1)),"")</f>
        <v/>
      </c>
      <c r="BI118" s="72" t="b">
        <f t="shared" si="10"/>
        <v>0</v>
      </c>
      <c r="BJ118" s="34" t="e">
        <f>IF(AND(NOT(ISBLANK(jumpoverwrite13)),AND(NOT(BI118),AND(BI$4:BI117))),($J118*$G118-LN(1+jumpoverwrite13*BK$2))/$G118,_xll.qlInterpolationInterpolate(BI$3,$F118,TRUE))</f>
        <v>#NUM!</v>
      </c>
      <c r="BK118" s="34" t="str">
        <f>IF(AND(NOT(BI118),AND(BI$4:BI117)),IF(BJ118&gt;$J118,MAX(EXP((BJ118-$J118)*$G118),1),MIN(EXP((BJ118-$J118)*$G118),1)),"")</f>
        <v/>
      </c>
      <c r="BM118" s="72" t="b">
        <f>IF(AND(NOT(BI118),AND(BI$4:BI117)),TRUE,BI118)</f>
        <v>0</v>
      </c>
      <c r="BN118" s="175" t="e">
        <f>IF(AND(NOT(ISBLANK(Jumpoverwrite14)),AND(NOT(BM118),AND(BM$4:BM117))),($J118*$G118-LN(1+Jumpoverwrite14*BO$2))/$G118,_xll.qlInterpolationInterpolate(BM$3,$F118,TRUE))</f>
        <v>#NUM!</v>
      </c>
      <c r="BO118" s="34" t="str">
        <f>IF(AND(NOT(BM118),AND(BM$4:BM117)),IF(BM118&gt;$J118,MAX(EXP((BM118-$J118)*$G118),1),MIN(EXP((BM118-$J118)*$G118),1)),"")</f>
        <v/>
      </c>
    </row>
    <row r="119" spans="1:67" x14ac:dyDescent="0.2">
      <c r="A119" s="33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84" t="e">
        <f t="shared" si="9"/>
        <v>#N/A</v>
      </c>
      <c r="G119" s="85" t="e">
        <f>_xll.qlDayCounterYearFraction(DayCounter,D118,D119)</f>
        <v>#NUM!</v>
      </c>
      <c r="I119" s="93" t="b">
        <f t="shared" si="7"/>
        <v>0</v>
      </c>
      <c r="J119" s="37" t="e">
        <v>#N/A</v>
      </c>
      <c r="K119" s="94" t="e">
        <f t="shared" si="8"/>
        <v>#VALUE!</v>
      </c>
      <c r="L119" s="106"/>
      <c r="M119" s="72" t="b">
        <f>IF(AND(NOT(I119),AND(I$4:I118)),TRUE,I119)</f>
        <v>0</v>
      </c>
      <c r="N119" s="34" t="e">
        <f>IF(AND(NOT(ISBLANK(Jumpoverwrite1)),AND(NOT(M119),AND(M$4:M118))),($J119*$G119-LN(1+Jumpoverwrite1*O$2))/$G119,_xll.qlInterpolationInterpolate(M$3,$F119,TRUE))</f>
        <v>#NUM!</v>
      </c>
      <c r="O119" s="34" t="str">
        <f>IF(AND(NOT(M119),AND(M$4:M118)),IF(N119&gt;$J119,MAX(EXP((N119-$J119)*$G119),1),MIN(EXP((N119-$J119)*$G119),1)),"")</f>
        <v/>
      </c>
      <c r="P119" s="108"/>
      <c r="Q119" s="72" t="b">
        <f>IF(AND(NOT(M119),AND(M$4:M118)),TRUE,M119)</f>
        <v>0</v>
      </c>
      <c r="R119" s="34" t="e">
        <f>IF(AND(NOT(ISBLANK(Jumpoverwrite2)),AND(NOT(Q119),AND(Q$4:Q118))),($J119*$G119-LN(1+Jumpoverwrite2*S$2))/$G119,_xll.qlInterpolationInterpolate(Q$3,$F119,TRUE))</f>
        <v>#NUM!</v>
      </c>
      <c r="S119" s="34" t="str">
        <f>IF(AND(NOT(Q119),AND(Q$4:Q118)),IF(R119&gt;$J119,MAX(EXP((R119-$J119)*$G119),1),MIN(EXP((R119-$J119)*$G119),1)),"")</f>
        <v/>
      </c>
      <c r="T119" s="108"/>
      <c r="U119" s="72" t="b">
        <f>IF(AND(NOT(Q119),AND(Q$4:Q118)),TRUE,Q119)</f>
        <v>0</v>
      </c>
      <c r="V119" s="34" t="e">
        <f>IF(AND(NOT(ISBLANK(Jumpoverwrite3)),AND(NOT(U119),AND(U$4:U118))),($J119*$G119-LN(1+Jumpoverwrite3*W$2))/$G119,_xll.qlInterpolationInterpolate(U$3,$F119,TRUE))</f>
        <v>#NUM!</v>
      </c>
      <c r="W119" s="34" t="str">
        <f>IF(AND(NOT(U119),AND(U$4:U118)),IF(V119&gt;$J119,MAX(EXP((V119-$J119)*$G119),1),MIN(EXP((V119-$J119)*$G119),1)),"")</f>
        <v/>
      </c>
      <c r="X119" s="108"/>
      <c r="Y119" s="72" t="b">
        <f>IF(AND(NOT(U119),AND(U$4:U118)),TRUE,U119)</f>
        <v>0</v>
      </c>
      <c r="Z119" s="34" t="e">
        <f>IF(AND(NOT(ISBLANK(Jumpoverwrite4)),AND(NOT(Y119),AND(Y$4:Y118))),($J119*$G119-LN(1+Jumpoverwrite4*AA$2))/$G119,_xll.qlInterpolationInterpolate(Y$3,$F119,TRUE))</f>
        <v>#NUM!</v>
      </c>
      <c r="AA119" s="34" t="str">
        <f>IF(AND(NOT(Y119),AND(Y$4:Y118)),IF(Z119&gt;$J119,MAX(EXP((Z119-$J119)*$G119),1),MIN(EXP((Z119-$J119)*$G119),1)),"")</f>
        <v/>
      </c>
      <c r="AB119" s="108"/>
      <c r="AC119" s="72" t="b">
        <f>IF(AND(NOT(Y119),AND(Y$4:Y118)),TRUE,Y119)</f>
        <v>0</v>
      </c>
      <c r="AD119" s="34" t="e">
        <f>IF(AND(NOT(ISBLANK(Jumpoverwrite5)),AND(NOT(AC119),AND(AC$4:AC118))),($J119*$G119-LN(1+Jumpoverwrite5*AE$2))/$G119,_xll.qlInterpolationInterpolate(AC$3,$F119,TRUE))</f>
        <v>#NUM!</v>
      </c>
      <c r="AE119" s="34" t="str">
        <f>IF(AND(NOT(AC119),AND(AC$4:AC118)),IF(AD119&gt;$J119,MAX(EXP((AD119-$J119)*$G119),1),MIN(EXP((AD119-$J119)*$G119),1)),"")</f>
        <v/>
      </c>
      <c r="AF119" s="108"/>
      <c r="AG119" s="72" t="b">
        <f>IF(AND(NOT(AC119),AND(AC$4:AC118)),TRUE,AC119)</f>
        <v>0</v>
      </c>
      <c r="AH119" s="34" t="e">
        <f>IF(AND(NOT(ISBLANK(Jumpoverwrite6)),AND(NOT(AG119),AND(AG$4:AG118))),($J119*$G119-LN(1+Jumpoverwrite6*AI$2))/$G119,_xll.qlInterpolationInterpolate(AG$3,$F119,TRUE))</f>
        <v>#NUM!</v>
      </c>
      <c r="AI119" s="34" t="str">
        <f>IF(AND(NOT(AG119),AND(AG$4:AG118)),IF(AH119&gt;$J119,MAX(EXP((AH119-$J119)*$G119),1),MIN(EXP((AH119-$J119)*$G119),1)),"")</f>
        <v/>
      </c>
      <c r="AJ119" s="108"/>
      <c r="AK119" s="72" t="b">
        <f>IF(AND(NOT(AG119),AND(AG$4:AG118)),TRUE,AG119)</f>
        <v>0</v>
      </c>
      <c r="AL119" s="34" t="e">
        <f>IF(AND(NOT(ISBLANK(Jumpoverwrite7)),AND(NOT(AK119),AND(AK$4:AK118))),($J119*$G119-LN(1+Jumpoverwrite7*AM$2))/$G119,_xll.qlInterpolationInterpolate(AK$3,$F119,TRUE))</f>
        <v>#NUM!</v>
      </c>
      <c r="AM119" s="34" t="str">
        <f>IF(AND(NOT(AK119),AND(AK$4:AK118)),IF(AL119&gt;$J119,MAX(EXP((AL119-$J119)*$G119),1),MIN(EXP((AL119-$J119)*$G119),1)),"")</f>
        <v/>
      </c>
      <c r="AO119" s="72" t="b">
        <f>IF(AND(NOT(AK119),AND(AK$4:AK118)),TRUE,AK119)</f>
        <v>0</v>
      </c>
      <c r="AP119" s="34" t="e">
        <f>IF(AND(NOT(ISBLANK(Jumpoverwrite8)),AND(NOT(AO119),AND(AO$4:AO118))),($J119*$G119-LN(1+Jumpoverwrite8*AQ$2))/$G119,_xll.qlInterpolationInterpolate(AO$3,$F119,TRUE))</f>
        <v>#NUM!</v>
      </c>
      <c r="AQ119" s="34" t="str">
        <f>IF(AND(NOT(AO119),AND(AO$4:AO118)),IF(AP119&gt;$J119,MAX(EXP((AP119-$J119)*$G119),1),MIN(EXP((AP119-$J119)*$G119),1)),"")</f>
        <v/>
      </c>
      <c r="AS119" s="72" t="b">
        <f>IF(AND(NOT(AO119),AND(AO$4:AO118)),TRUE,AO119)</f>
        <v>0</v>
      </c>
      <c r="AT119" s="34" t="e">
        <f>IF(AND(NOT(ISBLANK(Jumpoverwrite9)),AND(NOT(AS119),AND(AS$4:AS118))),($J119*$G119-LN(1+Jumpoverwrite9*AU$2))/$G119,_xll.qlInterpolationInterpolate(AS$3,$F119,TRUE))</f>
        <v>#NUM!</v>
      </c>
      <c r="AU119" s="34" t="str">
        <f>IF(AND(NOT(AS119),AND(AS$4:AS118)),IF(AT119&gt;$J119,MAX(EXP((AT119-$J119)*$G119),1),MIN(EXP((AT119-$J119)*$G119),1)),"")</f>
        <v/>
      </c>
      <c r="AW119" s="72" t="b">
        <f>IF(AND(NOT(AS119),AND(AS$4:AS118)),TRUE,AS119)</f>
        <v>0</v>
      </c>
      <c r="AX119" s="34" t="e">
        <f>IF(AND(NOT(ISBLANK(Jumpoverwrite10)),AND(NOT(AW119),AND(AW$4:AW118))),($J119*$G119-LN(1+Jumpoverwrite10*AY$2))/$G119,_xll.qlInterpolationInterpolate(AW$3,$F119,TRUE))</f>
        <v>#NUM!</v>
      </c>
      <c r="AY119" s="34" t="str">
        <f>IF(AND(NOT(AW119),AND(AW$4:AW118)),IF(AX119&gt;$J119,MAX(EXP((AX119-$J119)*$G119),1),MIN(EXP((AX119-$J119)*$G119),1)),"")</f>
        <v/>
      </c>
      <c r="BA119" s="72" t="b">
        <f>IF(AND(NOT(AW119),AND(AW$4:AW118)),TRUE,AW119)</f>
        <v>0</v>
      </c>
      <c r="BB119" s="34" t="e">
        <f>IF(AND(NOT(ISBLANK(Jumpoverwrite11)),AND(NOT(BA119),AND(BA$4:BA118))),($J119*$G119-LN(1+Jumpoverwrite11*BC$2))/$G119,_xll.qlInterpolationInterpolate(BA$3,$F119,TRUE))</f>
        <v>#NUM!</v>
      </c>
      <c r="BC119" s="34" t="str">
        <f>IF(AND(NOT(BA119),AND(BA$4:BA118)),IF(BB119&gt;$J119,MAX(EXP((BB119-$J119)*$G119),1),MIN(EXP((BB119-$J119)*$G119),1)),"")</f>
        <v/>
      </c>
      <c r="BE119" s="72" t="b">
        <f>IF(AND(NOT(BA119),AND(BA$4:BA118)),TRUE,BA119)</f>
        <v>0</v>
      </c>
      <c r="BF119" s="34" t="e">
        <f>IF(AND(NOT(ISBLANK(Jumpoverwrite12)),AND(NOT(BE119),AND(BE$4:BE118))),($J119*$G119-LN(1+Jumpoverwrite12*BG$2))/$G119,_xll.qlInterpolationInterpolate(BE$3,$F119,TRUE))</f>
        <v>#NUM!</v>
      </c>
      <c r="BG119" s="34" t="str">
        <f>IF(AND(NOT(BE119),AND(BE$4:BE118)),IF(BF119&gt;$J119,MAX(EXP((BF119-$J119)*$G119),1),MIN(EXP((BF119-$J119)*$G119),1)),"")</f>
        <v/>
      </c>
      <c r="BI119" s="72" t="b">
        <f t="shared" si="10"/>
        <v>0</v>
      </c>
      <c r="BJ119" s="34" t="e">
        <f>IF(AND(NOT(ISBLANK(jumpoverwrite13)),AND(NOT(BI119),AND(BI$4:BI118))),($J119*$G119-LN(1+jumpoverwrite13*BK$2))/$G119,_xll.qlInterpolationInterpolate(BI$3,$F119,TRUE))</f>
        <v>#NUM!</v>
      </c>
      <c r="BK119" s="34" t="str">
        <f>IF(AND(NOT(BI119),AND(BI$4:BI118)),IF(BJ119&gt;$J119,MAX(EXP((BJ119-$J119)*$G119),1),MIN(EXP((BJ119-$J119)*$G119),1)),"")</f>
        <v/>
      </c>
      <c r="BM119" s="72" t="b">
        <f>IF(AND(NOT(BI119),AND(BI$4:BI118)),TRUE,BI119)</f>
        <v>0</v>
      </c>
      <c r="BN119" s="175" t="e">
        <f>IF(AND(NOT(ISBLANK(Jumpoverwrite14)),AND(NOT(BM119),AND(BM$4:BM118))),($J119*$G119-LN(1+Jumpoverwrite14*BO$2))/$G119,_xll.qlInterpolationInterpolate(BM$3,$F119,TRUE))</f>
        <v>#NUM!</v>
      </c>
      <c r="BO119" s="34" t="str">
        <f>IF(AND(NOT(BM119),AND(BM$4:BM118)),IF(BM119&gt;$J119,MAX(EXP((BM119-$J119)*$G119),1),MIN(EXP((BM119-$J119)*$G119),1)),"")</f>
        <v/>
      </c>
    </row>
    <row r="120" spans="1:67" x14ac:dyDescent="0.2">
      <c r="A120" s="33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84" t="e">
        <f t="shared" si="9"/>
        <v>#N/A</v>
      </c>
      <c r="G120" s="85" t="e">
        <f>_xll.qlDayCounterYearFraction(DayCounter,D119,D120)</f>
        <v>#NUM!</v>
      </c>
      <c r="I120" s="93" t="b">
        <f t="shared" si="7"/>
        <v>0</v>
      </c>
      <c r="J120" s="37" t="e">
        <v>#N/A</v>
      </c>
      <c r="K120" s="94" t="e">
        <f t="shared" si="8"/>
        <v>#VALUE!</v>
      </c>
      <c r="L120" s="106"/>
      <c r="M120" s="72" t="b">
        <f>IF(AND(NOT(I120),AND(I$4:I119)),TRUE,I120)</f>
        <v>0</v>
      </c>
      <c r="N120" s="34" t="e">
        <f>IF(AND(NOT(ISBLANK(Jumpoverwrite1)),AND(NOT(M120),AND(M$4:M119))),($J120*$G120-LN(1+Jumpoverwrite1*O$2))/$G120,_xll.qlInterpolationInterpolate(M$3,$F120,TRUE))</f>
        <v>#NUM!</v>
      </c>
      <c r="O120" s="34" t="str">
        <f>IF(AND(NOT(M120),AND(M$4:M119)),IF(N120&gt;$J120,MAX(EXP((N120-$J120)*$G120),1),MIN(EXP((N120-$J120)*$G120),1)),"")</f>
        <v/>
      </c>
      <c r="P120" s="108"/>
      <c r="Q120" s="72" t="b">
        <f>IF(AND(NOT(M120),AND(M$4:M119)),TRUE,M120)</f>
        <v>0</v>
      </c>
      <c r="R120" s="34" t="e">
        <f>IF(AND(NOT(ISBLANK(Jumpoverwrite2)),AND(NOT(Q120),AND(Q$4:Q119))),($J120*$G120-LN(1+Jumpoverwrite2*S$2))/$G120,_xll.qlInterpolationInterpolate(Q$3,$F120,TRUE))</f>
        <v>#NUM!</v>
      </c>
      <c r="S120" s="34" t="str">
        <f>IF(AND(NOT(Q120),AND(Q$4:Q119)),IF(R120&gt;$J120,MAX(EXP((R120-$J120)*$G120),1),MIN(EXP((R120-$J120)*$G120),1)),"")</f>
        <v/>
      </c>
      <c r="T120" s="108"/>
      <c r="U120" s="72" t="b">
        <f>IF(AND(NOT(Q120),AND(Q$4:Q119)),TRUE,Q120)</f>
        <v>0</v>
      </c>
      <c r="V120" s="34" t="e">
        <f>IF(AND(NOT(ISBLANK(Jumpoverwrite3)),AND(NOT(U120),AND(U$4:U119))),($J120*$G120-LN(1+Jumpoverwrite3*W$2))/$G120,_xll.qlInterpolationInterpolate(U$3,$F120,TRUE))</f>
        <v>#NUM!</v>
      </c>
      <c r="W120" s="34" t="str">
        <f>IF(AND(NOT(U120),AND(U$4:U119)),IF(V120&gt;$J120,MAX(EXP((V120-$J120)*$G120),1),MIN(EXP((V120-$J120)*$G120),1)),"")</f>
        <v/>
      </c>
      <c r="X120" s="108"/>
      <c r="Y120" s="72" t="b">
        <f>IF(AND(NOT(U120),AND(U$4:U119)),TRUE,U120)</f>
        <v>0</v>
      </c>
      <c r="Z120" s="34" t="e">
        <f>IF(AND(NOT(ISBLANK(Jumpoverwrite4)),AND(NOT(Y120),AND(Y$4:Y119))),($J120*$G120-LN(1+Jumpoverwrite4*AA$2))/$G120,_xll.qlInterpolationInterpolate(Y$3,$F120,TRUE))</f>
        <v>#NUM!</v>
      </c>
      <c r="AA120" s="34" t="str">
        <f>IF(AND(NOT(Y120),AND(Y$4:Y119)),IF(Z120&gt;$J120,MAX(EXP((Z120-$J120)*$G120),1),MIN(EXP((Z120-$J120)*$G120),1)),"")</f>
        <v/>
      </c>
      <c r="AB120" s="108"/>
      <c r="AC120" s="72" t="b">
        <f>IF(AND(NOT(Y120),AND(Y$4:Y119)),TRUE,Y120)</f>
        <v>0</v>
      </c>
      <c r="AD120" s="34" t="e">
        <f>IF(AND(NOT(ISBLANK(Jumpoverwrite5)),AND(NOT(AC120),AND(AC$4:AC119))),($J120*$G120-LN(1+Jumpoverwrite5*AE$2))/$G120,_xll.qlInterpolationInterpolate(AC$3,$F120,TRUE))</f>
        <v>#NUM!</v>
      </c>
      <c r="AE120" s="34" t="str">
        <f>IF(AND(NOT(AC120),AND(AC$4:AC119)),IF(AD120&gt;$J120,MAX(EXP((AD120-$J120)*$G120),1),MIN(EXP((AD120-$J120)*$G120),1)),"")</f>
        <v/>
      </c>
      <c r="AF120" s="108"/>
      <c r="AG120" s="72" t="b">
        <f>IF(AND(NOT(AC120),AND(AC$4:AC119)),TRUE,AC120)</f>
        <v>0</v>
      </c>
      <c r="AH120" s="34" t="e">
        <f>IF(AND(NOT(ISBLANK(Jumpoverwrite6)),AND(NOT(AG120),AND(AG$4:AG119))),($J120*$G120-LN(1+Jumpoverwrite6*AI$2))/$G120,_xll.qlInterpolationInterpolate(AG$3,$F120,TRUE))</f>
        <v>#NUM!</v>
      </c>
      <c r="AI120" s="34" t="str">
        <f>IF(AND(NOT(AG120),AND(AG$4:AG119)),IF(AH120&gt;$J120,MAX(EXP((AH120-$J120)*$G120),1),MIN(EXP((AH120-$J120)*$G120),1)),"")</f>
        <v/>
      </c>
      <c r="AJ120" s="108"/>
      <c r="AK120" s="72" t="b">
        <f>IF(AND(NOT(AG120),AND(AG$4:AG119)),TRUE,AG120)</f>
        <v>0</v>
      </c>
      <c r="AL120" s="34" t="e">
        <f>IF(AND(NOT(ISBLANK(Jumpoverwrite7)),AND(NOT(AK120),AND(AK$4:AK119))),($J120*$G120-LN(1+Jumpoverwrite7*AM$2))/$G120,_xll.qlInterpolationInterpolate(AK$3,$F120,TRUE))</f>
        <v>#NUM!</v>
      </c>
      <c r="AM120" s="34" t="str">
        <f>IF(AND(NOT(AK120),AND(AK$4:AK119)),IF(AL120&gt;$J120,MAX(EXP((AL120-$J120)*$G120),1),MIN(EXP((AL120-$J120)*$G120),1)),"")</f>
        <v/>
      </c>
      <c r="AO120" s="72" t="b">
        <f>IF(AND(NOT(AK120),AND(AK$4:AK119)),TRUE,AK120)</f>
        <v>0</v>
      </c>
      <c r="AP120" s="34" t="e">
        <f>IF(AND(NOT(ISBLANK(Jumpoverwrite8)),AND(NOT(AO120),AND(AO$4:AO119))),($J120*$G120-LN(1+Jumpoverwrite8*AQ$2))/$G120,_xll.qlInterpolationInterpolate(AO$3,$F120,TRUE))</f>
        <v>#NUM!</v>
      </c>
      <c r="AQ120" s="34" t="str">
        <f>IF(AND(NOT(AO120),AND(AO$4:AO119)),IF(AP120&gt;$J120,MAX(EXP((AP120-$J120)*$G120),1),MIN(EXP((AP120-$J120)*$G120),1)),"")</f>
        <v/>
      </c>
      <c r="AS120" s="72" t="b">
        <f>IF(AND(NOT(AO120),AND(AO$4:AO119)),TRUE,AO120)</f>
        <v>0</v>
      </c>
      <c r="AT120" s="34" t="e">
        <f>IF(AND(NOT(ISBLANK(Jumpoverwrite9)),AND(NOT(AS120),AND(AS$4:AS119))),($J120*$G120-LN(1+Jumpoverwrite9*AU$2))/$G120,_xll.qlInterpolationInterpolate(AS$3,$F120,TRUE))</f>
        <v>#NUM!</v>
      </c>
      <c r="AU120" s="34" t="str">
        <f>IF(AND(NOT(AS120),AND(AS$4:AS119)),IF(AT120&gt;$J120,MAX(EXP((AT120-$J120)*$G120),1),MIN(EXP((AT120-$J120)*$G120),1)),"")</f>
        <v/>
      </c>
      <c r="AW120" s="72" t="b">
        <f>IF(AND(NOT(AS120),AND(AS$4:AS119)),TRUE,AS120)</f>
        <v>0</v>
      </c>
      <c r="AX120" s="34" t="e">
        <f>IF(AND(NOT(ISBLANK(Jumpoverwrite10)),AND(NOT(AW120),AND(AW$4:AW119))),($J120*$G120-LN(1+Jumpoverwrite10*AY$2))/$G120,_xll.qlInterpolationInterpolate(AW$3,$F120,TRUE))</f>
        <v>#NUM!</v>
      </c>
      <c r="AY120" s="34" t="str">
        <f>IF(AND(NOT(AW120),AND(AW$4:AW119)),IF(AX120&gt;$J120,MAX(EXP((AX120-$J120)*$G120),1),MIN(EXP((AX120-$J120)*$G120),1)),"")</f>
        <v/>
      </c>
      <c r="BA120" s="72" t="b">
        <f>IF(AND(NOT(AW120),AND(AW$4:AW119)),TRUE,AW120)</f>
        <v>0</v>
      </c>
      <c r="BB120" s="34" t="e">
        <f>IF(AND(NOT(ISBLANK(Jumpoverwrite11)),AND(NOT(BA120),AND(BA$4:BA119))),($J120*$G120-LN(1+Jumpoverwrite11*BC$2))/$G120,_xll.qlInterpolationInterpolate(BA$3,$F120,TRUE))</f>
        <v>#NUM!</v>
      </c>
      <c r="BC120" s="34" t="str">
        <f>IF(AND(NOT(BA120),AND(BA$4:BA119)),IF(BB120&gt;$J120,MAX(EXP((BB120-$J120)*$G120),1),MIN(EXP((BB120-$J120)*$G120),1)),"")</f>
        <v/>
      </c>
      <c r="BE120" s="72" t="b">
        <f>IF(AND(NOT(BA120),AND(BA$4:BA119)),TRUE,BA120)</f>
        <v>0</v>
      </c>
      <c r="BF120" s="34" t="e">
        <f>IF(AND(NOT(ISBLANK(Jumpoverwrite12)),AND(NOT(BE120),AND(BE$4:BE119))),($J120*$G120-LN(1+Jumpoverwrite12*BG$2))/$G120,_xll.qlInterpolationInterpolate(BE$3,$F120,TRUE))</f>
        <v>#NUM!</v>
      </c>
      <c r="BG120" s="34" t="str">
        <f>IF(AND(NOT(BE120),AND(BE$4:BE119)),IF(BF120&gt;$J120,MAX(EXP((BF120-$J120)*$G120),1),MIN(EXP((BF120-$J120)*$G120),1)),"")</f>
        <v/>
      </c>
      <c r="BI120" s="72" t="b">
        <f t="shared" si="10"/>
        <v>0</v>
      </c>
      <c r="BJ120" s="34" t="e">
        <f>IF(AND(NOT(ISBLANK(jumpoverwrite13)),AND(NOT(BI120),AND(BI$4:BI119))),($J120*$G120-LN(1+jumpoverwrite13*BK$2))/$G120,_xll.qlInterpolationInterpolate(BI$3,$F120,TRUE))</f>
        <v>#NUM!</v>
      </c>
      <c r="BK120" s="34" t="str">
        <f>IF(AND(NOT(BI120),AND(BI$4:BI119)),IF(BJ120&gt;$J120,MAX(EXP((BJ120-$J120)*$G120),1),MIN(EXP((BJ120-$J120)*$G120),1)),"")</f>
        <v/>
      </c>
      <c r="BM120" s="72" t="b">
        <f>IF(AND(NOT(BI120),AND(BI$4:BI119)),TRUE,BI120)</f>
        <v>0</v>
      </c>
      <c r="BN120" s="175" t="e">
        <f>IF(AND(NOT(ISBLANK(Jumpoverwrite14)),AND(NOT(BM120),AND(BM$4:BM119))),($J120*$G120-LN(1+Jumpoverwrite14*BO$2))/$G120,_xll.qlInterpolationInterpolate(BM$3,$F120,TRUE))</f>
        <v>#NUM!</v>
      </c>
      <c r="BO120" s="34" t="str">
        <f>IF(AND(NOT(BM120),AND(BM$4:BM119)),IF(BM120&gt;$J120,MAX(EXP((BM120-$J120)*$G120),1),MIN(EXP((BM120-$J120)*$G120),1)),"")</f>
        <v/>
      </c>
    </row>
    <row r="121" spans="1:67" x14ac:dyDescent="0.2">
      <c r="A121" s="33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84" t="e">
        <f t="shared" si="9"/>
        <v>#N/A</v>
      </c>
      <c r="G121" s="85" t="e">
        <f>_xll.qlDayCounterYearFraction(DayCounter,D120,D121)</f>
        <v>#NUM!</v>
      </c>
      <c r="I121" s="93" t="b">
        <f t="shared" si="7"/>
        <v>0</v>
      </c>
      <c r="J121" s="37" t="e">
        <v>#N/A</v>
      </c>
      <c r="K121" s="94" t="e">
        <f t="shared" si="8"/>
        <v>#VALUE!</v>
      </c>
      <c r="L121" s="106"/>
      <c r="M121" s="72" t="b">
        <f>IF(AND(NOT(I121),AND(I$4:I120)),TRUE,I121)</f>
        <v>0</v>
      </c>
      <c r="N121" s="34" t="e">
        <f>IF(AND(NOT(ISBLANK(Jumpoverwrite1)),AND(NOT(M121),AND(M$4:M120))),($J121*$G121-LN(1+Jumpoverwrite1*O$2))/$G121,_xll.qlInterpolationInterpolate(M$3,$F121,TRUE))</f>
        <v>#NUM!</v>
      </c>
      <c r="O121" s="34" t="str">
        <f>IF(AND(NOT(M121),AND(M$4:M120)),IF(N121&gt;$J121,MAX(EXP((N121-$J121)*$G121),1),MIN(EXP((N121-$J121)*$G121),1)),"")</f>
        <v/>
      </c>
      <c r="P121" s="108"/>
      <c r="Q121" s="72" t="b">
        <f>IF(AND(NOT(M121),AND(M$4:M120)),TRUE,M121)</f>
        <v>0</v>
      </c>
      <c r="R121" s="34" t="e">
        <f>IF(AND(NOT(ISBLANK(Jumpoverwrite2)),AND(NOT(Q121),AND(Q$4:Q120))),($J121*$G121-LN(1+Jumpoverwrite2*S$2))/$G121,_xll.qlInterpolationInterpolate(Q$3,$F121,TRUE))</f>
        <v>#NUM!</v>
      </c>
      <c r="S121" s="34" t="str">
        <f>IF(AND(NOT(Q121),AND(Q$4:Q120)),IF(R121&gt;$J121,MAX(EXP((R121-$J121)*$G121),1),MIN(EXP((R121-$J121)*$G121),1)),"")</f>
        <v/>
      </c>
      <c r="T121" s="108"/>
      <c r="U121" s="72" t="b">
        <f>IF(AND(NOT(Q121),AND(Q$4:Q120)),TRUE,Q121)</f>
        <v>0</v>
      </c>
      <c r="V121" s="34" t="e">
        <f>IF(AND(NOT(ISBLANK(Jumpoverwrite3)),AND(NOT(U121),AND(U$4:U120))),($J121*$G121-LN(1+Jumpoverwrite3*W$2))/$G121,_xll.qlInterpolationInterpolate(U$3,$F121,TRUE))</f>
        <v>#NUM!</v>
      </c>
      <c r="W121" s="34" t="str">
        <f>IF(AND(NOT(U121),AND(U$4:U120)),IF(V121&gt;$J121,MAX(EXP((V121-$J121)*$G121),1),MIN(EXP((V121-$J121)*$G121),1)),"")</f>
        <v/>
      </c>
      <c r="X121" s="108"/>
      <c r="Y121" s="72" t="b">
        <f>IF(AND(NOT(U121),AND(U$4:U120)),TRUE,U121)</f>
        <v>0</v>
      </c>
      <c r="Z121" s="34" t="e">
        <f>IF(AND(NOT(ISBLANK(Jumpoverwrite4)),AND(NOT(Y121),AND(Y$4:Y120))),($J121*$G121-LN(1+Jumpoverwrite4*AA$2))/$G121,_xll.qlInterpolationInterpolate(Y$3,$F121,TRUE))</f>
        <v>#NUM!</v>
      </c>
      <c r="AA121" s="34" t="str">
        <f>IF(AND(NOT(Y121),AND(Y$4:Y120)),IF(Z121&gt;$J121,MAX(EXP((Z121-$J121)*$G121),1),MIN(EXP((Z121-$J121)*$G121),1)),"")</f>
        <v/>
      </c>
      <c r="AB121" s="108"/>
      <c r="AC121" s="72" t="b">
        <f>IF(AND(NOT(Y121),AND(Y$4:Y120)),TRUE,Y121)</f>
        <v>0</v>
      </c>
      <c r="AD121" s="34" t="e">
        <f>IF(AND(NOT(ISBLANK(Jumpoverwrite5)),AND(NOT(AC121),AND(AC$4:AC120))),($J121*$G121-LN(1+Jumpoverwrite5*AE$2))/$G121,_xll.qlInterpolationInterpolate(AC$3,$F121,TRUE))</f>
        <v>#NUM!</v>
      </c>
      <c r="AE121" s="34" t="str">
        <f>IF(AND(NOT(AC121),AND(AC$4:AC120)),IF(AD121&gt;$J121,MAX(EXP((AD121-$J121)*$G121),1),MIN(EXP((AD121-$J121)*$G121),1)),"")</f>
        <v/>
      </c>
      <c r="AF121" s="108"/>
      <c r="AG121" s="72" t="b">
        <f>IF(AND(NOT(AC121),AND(AC$4:AC120)),TRUE,AC121)</f>
        <v>0</v>
      </c>
      <c r="AH121" s="34" t="e">
        <f>IF(AND(NOT(ISBLANK(Jumpoverwrite6)),AND(NOT(AG121),AND(AG$4:AG120))),($J121*$G121-LN(1+Jumpoverwrite6*AI$2))/$G121,_xll.qlInterpolationInterpolate(AG$3,$F121,TRUE))</f>
        <v>#NUM!</v>
      </c>
      <c r="AI121" s="34" t="str">
        <f>IF(AND(NOT(AG121),AND(AG$4:AG120)),IF(AH121&gt;$J121,MAX(EXP((AH121-$J121)*$G121),1),MIN(EXP((AH121-$J121)*$G121),1)),"")</f>
        <v/>
      </c>
      <c r="AJ121" s="108"/>
      <c r="AK121" s="72" t="b">
        <f>IF(AND(NOT(AG121),AND(AG$4:AG120)),TRUE,AG121)</f>
        <v>0</v>
      </c>
      <c r="AL121" s="34" t="e">
        <f>IF(AND(NOT(ISBLANK(Jumpoverwrite7)),AND(NOT(AK121),AND(AK$4:AK120))),($J121*$G121-LN(1+Jumpoverwrite7*AM$2))/$G121,_xll.qlInterpolationInterpolate(AK$3,$F121,TRUE))</f>
        <v>#NUM!</v>
      </c>
      <c r="AM121" s="34" t="str">
        <f>IF(AND(NOT(AK121),AND(AK$4:AK120)),IF(AL121&gt;$J121,MAX(EXP((AL121-$J121)*$G121),1),MIN(EXP((AL121-$J121)*$G121),1)),"")</f>
        <v/>
      </c>
      <c r="AO121" s="72" t="b">
        <f>IF(AND(NOT(AK121),AND(AK$4:AK120)),TRUE,AK121)</f>
        <v>0</v>
      </c>
      <c r="AP121" s="34" t="e">
        <f>IF(AND(NOT(ISBLANK(Jumpoverwrite8)),AND(NOT(AO121),AND(AO$4:AO120))),($J121*$G121-LN(1+Jumpoverwrite8*AQ$2))/$G121,_xll.qlInterpolationInterpolate(AO$3,$F121,TRUE))</f>
        <v>#NUM!</v>
      </c>
      <c r="AQ121" s="34" t="str">
        <f>IF(AND(NOT(AO121),AND(AO$4:AO120)),IF(AP121&gt;$J121,MAX(EXP((AP121-$J121)*$G121),1),MIN(EXP((AP121-$J121)*$G121),1)),"")</f>
        <v/>
      </c>
      <c r="AS121" s="72" t="b">
        <f>IF(AND(NOT(AO121),AND(AO$4:AO120)),TRUE,AO121)</f>
        <v>0</v>
      </c>
      <c r="AT121" s="34" t="e">
        <f>IF(AND(NOT(ISBLANK(Jumpoverwrite9)),AND(NOT(AS121),AND(AS$4:AS120))),($J121*$G121-LN(1+Jumpoverwrite9*AU$2))/$G121,_xll.qlInterpolationInterpolate(AS$3,$F121,TRUE))</f>
        <v>#NUM!</v>
      </c>
      <c r="AU121" s="34" t="str">
        <f>IF(AND(NOT(AS121),AND(AS$4:AS120)),IF(AT121&gt;$J121,MAX(EXP((AT121-$J121)*$G121),1),MIN(EXP((AT121-$J121)*$G121),1)),"")</f>
        <v/>
      </c>
      <c r="AW121" s="72" t="b">
        <f>IF(AND(NOT(AS121),AND(AS$4:AS120)),TRUE,AS121)</f>
        <v>0</v>
      </c>
      <c r="AX121" s="34" t="e">
        <f>IF(AND(NOT(ISBLANK(Jumpoverwrite10)),AND(NOT(AW121),AND(AW$4:AW120))),($J121*$G121-LN(1+Jumpoverwrite10*AY$2))/$G121,_xll.qlInterpolationInterpolate(AW$3,$F121,TRUE))</f>
        <v>#NUM!</v>
      </c>
      <c r="AY121" s="34" t="str">
        <f>IF(AND(NOT(AW121),AND(AW$4:AW120)),IF(AX121&gt;$J121,MAX(EXP((AX121-$J121)*$G121),1),MIN(EXP((AX121-$J121)*$G121),1)),"")</f>
        <v/>
      </c>
      <c r="BA121" s="72" t="b">
        <f>IF(AND(NOT(AW121),AND(AW$4:AW120)),TRUE,AW121)</f>
        <v>0</v>
      </c>
      <c r="BB121" s="34" t="e">
        <f>IF(AND(NOT(ISBLANK(Jumpoverwrite11)),AND(NOT(BA121),AND(BA$4:BA120))),($J121*$G121-LN(1+Jumpoverwrite11*BC$2))/$G121,_xll.qlInterpolationInterpolate(BA$3,$F121,TRUE))</f>
        <v>#NUM!</v>
      </c>
      <c r="BC121" s="34" t="str">
        <f>IF(AND(NOT(BA121),AND(BA$4:BA120)),IF(BB121&gt;$J121,MAX(EXP((BB121-$J121)*$G121),1),MIN(EXP((BB121-$J121)*$G121),1)),"")</f>
        <v/>
      </c>
      <c r="BE121" s="72" t="b">
        <f>IF(AND(NOT(BA121),AND(BA$4:BA120)),TRUE,BA121)</f>
        <v>0</v>
      </c>
      <c r="BF121" s="34" t="e">
        <f>IF(AND(NOT(ISBLANK(Jumpoverwrite12)),AND(NOT(BE121),AND(BE$4:BE120))),($J121*$G121-LN(1+Jumpoverwrite12*BG$2))/$G121,_xll.qlInterpolationInterpolate(BE$3,$F121,TRUE))</f>
        <v>#NUM!</v>
      </c>
      <c r="BG121" s="34" t="str">
        <f>IF(AND(NOT(BE121),AND(BE$4:BE120)),IF(BF121&gt;$J121,MAX(EXP((BF121-$J121)*$G121),1),MIN(EXP((BF121-$J121)*$G121),1)),"")</f>
        <v/>
      </c>
      <c r="BI121" s="72" t="b">
        <f t="shared" si="10"/>
        <v>0</v>
      </c>
      <c r="BJ121" s="34" t="e">
        <f>IF(AND(NOT(ISBLANK(jumpoverwrite13)),AND(NOT(BI121),AND(BI$4:BI120))),($J121*$G121-LN(1+jumpoverwrite13*BK$2))/$G121,_xll.qlInterpolationInterpolate(BI$3,$F121,TRUE))</f>
        <v>#NUM!</v>
      </c>
      <c r="BK121" s="34" t="str">
        <f>IF(AND(NOT(BI121),AND(BI$4:BI120)),IF(BJ121&gt;$J121,MAX(EXP((BJ121-$J121)*$G121),1),MIN(EXP((BJ121-$J121)*$G121),1)),"")</f>
        <v/>
      </c>
      <c r="BM121" s="72" t="b">
        <f>IF(AND(NOT(BI121),AND(BI$4:BI120)),TRUE,BI121)</f>
        <v>0</v>
      </c>
      <c r="BN121" s="175" t="e">
        <f>IF(AND(NOT(ISBLANK(Jumpoverwrite14)),AND(NOT(BM121),AND(BM$4:BM120))),($J121*$G121-LN(1+Jumpoverwrite14*BO$2))/$G121,_xll.qlInterpolationInterpolate(BM$3,$F121,TRUE))</f>
        <v>#NUM!</v>
      </c>
      <c r="BO121" s="34" t="str">
        <f>IF(AND(NOT(BM121),AND(BM$4:BM120)),IF(BM121&gt;$J121,MAX(EXP((BM121-$J121)*$G121),1),MIN(EXP((BM121-$J121)*$G121),1)),"")</f>
        <v/>
      </c>
    </row>
    <row r="122" spans="1:67" x14ac:dyDescent="0.2">
      <c r="A122" s="33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84" t="e">
        <f t="shared" si="9"/>
        <v>#N/A</v>
      </c>
      <c r="G122" s="85" t="e">
        <f>_xll.qlDayCounterYearFraction(DayCounter,D121,D122)</f>
        <v>#NUM!</v>
      </c>
      <c r="I122" s="93" t="b">
        <f t="shared" si="7"/>
        <v>0</v>
      </c>
      <c r="J122" s="37" t="e">
        <v>#N/A</v>
      </c>
      <c r="K122" s="94" t="e">
        <f t="shared" si="8"/>
        <v>#VALUE!</v>
      </c>
      <c r="L122" s="106"/>
      <c r="M122" s="72" t="b">
        <f>IF(AND(NOT(I122),AND(I$4:I121)),TRUE,I122)</f>
        <v>0</v>
      </c>
      <c r="N122" s="34" t="e">
        <f>IF(AND(NOT(ISBLANK(Jumpoverwrite1)),AND(NOT(M122),AND(M$4:M121))),($J122*$G122-LN(1+Jumpoverwrite1*O$2))/$G122,_xll.qlInterpolationInterpolate(M$3,$F122,TRUE))</f>
        <v>#NUM!</v>
      </c>
      <c r="O122" s="34" t="str">
        <f>IF(AND(NOT(M122),AND(M$4:M121)),IF(N122&gt;$J122,MAX(EXP((N122-$J122)*$G122),1),MIN(EXP((N122-$J122)*$G122),1)),"")</f>
        <v/>
      </c>
      <c r="P122" s="108"/>
      <c r="Q122" s="72" t="b">
        <f>IF(AND(NOT(M122),AND(M$4:M121)),TRUE,M122)</f>
        <v>0</v>
      </c>
      <c r="R122" s="34" t="e">
        <f>IF(AND(NOT(ISBLANK(Jumpoverwrite2)),AND(NOT(Q122),AND(Q$4:Q121))),($J122*$G122-LN(1+Jumpoverwrite2*S$2))/$G122,_xll.qlInterpolationInterpolate(Q$3,$F122,TRUE))</f>
        <v>#NUM!</v>
      </c>
      <c r="S122" s="34" t="str">
        <f>IF(AND(NOT(Q122),AND(Q$4:Q121)),IF(R122&gt;$J122,MAX(EXP((R122-$J122)*$G122),1),MIN(EXP((R122-$J122)*$G122),1)),"")</f>
        <v/>
      </c>
      <c r="T122" s="108"/>
      <c r="U122" s="72" t="b">
        <f>IF(AND(NOT(Q122),AND(Q$4:Q121)),TRUE,Q122)</f>
        <v>0</v>
      </c>
      <c r="V122" s="34" t="e">
        <f>IF(AND(NOT(ISBLANK(Jumpoverwrite3)),AND(NOT(U122),AND(U$4:U121))),($J122*$G122-LN(1+Jumpoverwrite3*W$2))/$G122,_xll.qlInterpolationInterpolate(U$3,$F122,TRUE))</f>
        <v>#NUM!</v>
      </c>
      <c r="W122" s="34" t="str">
        <f>IF(AND(NOT(U122),AND(U$4:U121)),IF(V122&gt;$J122,MAX(EXP((V122-$J122)*$G122),1),MIN(EXP((V122-$J122)*$G122),1)),"")</f>
        <v/>
      </c>
      <c r="X122" s="108"/>
      <c r="Y122" s="72" t="b">
        <f>IF(AND(NOT(U122),AND(U$4:U121)),TRUE,U122)</f>
        <v>0</v>
      </c>
      <c r="Z122" s="34" t="e">
        <f>IF(AND(NOT(ISBLANK(Jumpoverwrite4)),AND(NOT(Y122),AND(Y$4:Y121))),($J122*$G122-LN(1+Jumpoverwrite4*AA$2))/$G122,_xll.qlInterpolationInterpolate(Y$3,$F122,TRUE))</f>
        <v>#NUM!</v>
      </c>
      <c r="AA122" s="34" t="str">
        <f>IF(AND(NOT(Y122),AND(Y$4:Y121)),IF(Z122&gt;$J122,MAX(EXP((Z122-$J122)*$G122),1),MIN(EXP((Z122-$J122)*$G122),1)),"")</f>
        <v/>
      </c>
      <c r="AB122" s="108"/>
      <c r="AC122" s="72" t="b">
        <f>IF(AND(NOT(Y122),AND(Y$4:Y121)),TRUE,Y122)</f>
        <v>0</v>
      </c>
      <c r="AD122" s="34" t="e">
        <f>IF(AND(NOT(ISBLANK(Jumpoverwrite5)),AND(NOT(AC122),AND(AC$4:AC121))),($J122*$G122-LN(1+Jumpoverwrite5*AE$2))/$G122,_xll.qlInterpolationInterpolate(AC$3,$F122,TRUE))</f>
        <v>#NUM!</v>
      </c>
      <c r="AE122" s="34" t="str">
        <f>IF(AND(NOT(AC122),AND(AC$4:AC121)),IF(AD122&gt;$J122,MAX(EXP((AD122-$J122)*$G122),1),MIN(EXP((AD122-$J122)*$G122),1)),"")</f>
        <v/>
      </c>
      <c r="AF122" s="108"/>
      <c r="AG122" s="72" t="b">
        <f>IF(AND(NOT(AC122),AND(AC$4:AC121)),TRUE,AC122)</f>
        <v>0</v>
      </c>
      <c r="AH122" s="34" t="e">
        <f>IF(AND(NOT(ISBLANK(Jumpoverwrite6)),AND(NOT(AG122),AND(AG$4:AG121))),($J122*$G122-LN(1+Jumpoverwrite6*AI$2))/$G122,_xll.qlInterpolationInterpolate(AG$3,$F122,TRUE))</f>
        <v>#NUM!</v>
      </c>
      <c r="AI122" s="34" t="str">
        <f>IF(AND(NOT(AG122),AND(AG$4:AG121)),IF(AH122&gt;$J122,MAX(EXP((AH122-$J122)*$G122),1),MIN(EXP((AH122-$J122)*$G122),1)),"")</f>
        <v/>
      </c>
      <c r="AJ122" s="108"/>
      <c r="AK122" s="72" t="b">
        <f>IF(AND(NOT(AG122),AND(AG$4:AG121)),TRUE,AG122)</f>
        <v>0</v>
      </c>
      <c r="AL122" s="34" t="e">
        <f>IF(AND(NOT(ISBLANK(Jumpoverwrite7)),AND(NOT(AK122),AND(AK$4:AK121))),($J122*$G122-LN(1+Jumpoverwrite7*AM$2))/$G122,_xll.qlInterpolationInterpolate(AK$3,$F122,TRUE))</f>
        <v>#NUM!</v>
      </c>
      <c r="AM122" s="34" t="str">
        <f>IF(AND(NOT(AK122),AND(AK$4:AK121)),IF(AL122&gt;$J122,MAX(EXP((AL122-$J122)*$G122),1),MIN(EXP((AL122-$J122)*$G122),1)),"")</f>
        <v/>
      </c>
      <c r="AO122" s="72" t="b">
        <f>IF(AND(NOT(AK122),AND(AK$4:AK121)),TRUE,AK122)</f>
        <v>0</v>
      </c>
      <c r="AP122" s="34" t="e">
        <f>IF(AND(NOT(ISBLANK(Jumpoverwrite8)),AND(NOT(AO122),AND(AO$4:AO121))),($J122*$G122-LN(1+Jumpoverwrite8*AQ$2))/$G122,_xll.qlInterpolationInterpolate(AO$3,$F122,TRUE))</f>
        <v>#NUM!</v>
      </c>
      <c r="AQ122" s="34" t="str">
        <f>IF(AND(NOT(AO122),AND(AO$4:AO121)),IF(AP122&gt;$J122,MAX(EXP((AP122-$J122)*$G122),1),MIN(EXP((AP122-$J122)*$G122),1)),"")</f>
        <v/>
      </c>
      <c r="AS122" s="72" t="b">
        <f>IF(AND(NOT(AO122),AND(AO$4:AO121)),TRUE,AO122)</f>
        <v>0</v>
      </c>
      <c r="AT122" s="34" t="e">
        <f>IF(AND(NOT(ISBLANK(Jumpoverwrite9)),AND(NOT(AS122),AND(AS$4:AS121))),($J122*$G122-LN(1+Jumpoverwrite9*AU$2))/$G122,_xll.qlInterpolationInterpolate(AS$3,$F122,TRUE))</f>
        <v>#NUM!</v>
      </c>
      <c r="AU122" s="34" t="str">
        <f>IF(AND(NOT(AS122),AND(AS$4:AS121)),IF(AT122&gt;$J122,MAX(EXP((AT122-$J122)*$G122),1),MIN(EXP((AT122-$J122)*$G122),1)),"")</f>
        <v/>
      </c>
      <c r="AW122" s="72" t="b">
        <f>IF(AND(NOT(AS122),AND(AS$4:AS121)),TRUE,AS122)</f>
        <v>0</v>
      </c>
      <c r="AX122" s="34" t="e">
        <f>IF(AND(NOT(ISBLANK(Jumpoverwrite10)),AND(NOT(AW122),AND(AW$4:AW121))),($J122*$G122-LN(1+Jumpoverwrite10*AY$2))/$G122,_xll.qlInterpolationInterpolate(AW$3,$F122,TRUE))</f>
        <v>#NUM!</v>
      </c>
      <c r="AY122" s="34" t="str">
        <f>IF(AND(NOT(AW122),AND(AW$4:AW121)),IF(AX122&gt;$J122,MAX(EXP((AX122-$J122)*$G122),1),MIN(EXP((AX122-$J122)*$G122),1)),"")</f>
        <v/>
      </c>
      <c r="BA122" s="72" t="b">
        <f>IF(AND(NOT(AW122),AND(AW$4:AW121)),TRUE,AW122)</f>
        <v>0</v>
      </c>
      <c r="BB122" s="34" t="e">
        <f>IF(AND(NOT(ISBLANK(Jumpoverwrite11)),AND(NOT(BA122),AND(BA$4:BA121))),($J122*$G122-LN(1+Jumpoverwrite11*BC$2))/$G122,_xll.qlInterpolationInterpolate(BA$3,$F122,TRUE))</f>
        <v>#NUM!</v>
      </c>
      <c r="BC122" s="34" t="str">
        <f>IF(AND(NOT(BA122),AND(BA$4:BA121)),IF(BB122&gt;$J122,MAX(EXP((BB122-$J122)*$G122),1),MIN(EXP((BB122-$J122)*$G122),1)),"")</f>
        <v/>
      </c>
      <c r="BE122" s="72" t="b">
        <f>IF(AND(NOT(BA122),AND(BA$4:BA121)),TRUE,BA122)</f>
        <v>0</v>
      </c>
      <c r="BF122" s="34" t="e">
        <f>IF(AND(NOT(ISBLANK(Jumpoverwrite12)),AND(NOT(BE122),AND(BE$4:BE121))),($J122*$G122-LN(1+Jumpoverwrite12*BG$2))/$G122,_xll.qlInterpolationInterpolate(BE$3,$F122,TRUE))</f>
        <v>#NUM!</v>
      </c>
      <c r="BG122" s="34" t="str">
        <f>IF(AND(NOT(BE122),AND(BE$4:BE121)),IF(BF122&gt;$J122,MAX(EXP((BF122-$J122)*$G122),1),MIN(EXP((BF122-$J122)*$G122),1)),"")</f>
        <v/>
      </c>
      <c r="BI122" s="72" t="b">
        <f t="shared" si="10"/>
        <v>0</v>
      </c>
      <c r="BJ122" s="34" t="e">
        <f>IF(AND(NOT(ISBLANK(jumpoverwrite13)),AND(NOT(BI122),AND(BI$4:BI121))),($J122*$G122-LN(1+jumpoverwrite13*BK$2))/$G122,_xll.qlInterpolationInterpolate(BI$3,$F122,TRUE))</f>
        <v>#NUM!</v>
      </c>
      <c r="BK122" s="34" t="str">
        <f>IF(AND(NOT(BI122),AND(BI$4:BI121)),IF(BJ122&gt;$J122,MAX(EXP((BJ122-$J122)*$G122),1),MIN(EXP((BJ122-$J122)*$G122),1)),"")</f>
        <v/>
      </c>
      <c r="BM122" s="72" t="b">
        <f>IF(AND(NOT(BI122),AND(BI$4:BI121)),TRUE,BI122)</f>
        <v>0</v>
      </c>
      <c r="BN122" s="175" t="e">
        <f>IF(AND(NOT(ISBLANK(Jumpoverwrite14)),AND(NOT(BM122),AND(BM$4:BM121))),($J122*$G122-LN(1+Jumpoverwrite14*BO$2))/$G122,_xll.qlInterpolationInterpolate(BM$3,$F122,TRUE))</f>
        <v>#NUM!</v>
      </c>
      <c r="BO122" s="34" t="str">
        <f>IF(AND(NOT(BM122),AND(BM$4:BM121)),IF(BM122&gt;$J122,MAX(EXP((BM122-$J122)*$G122),1),MIN(EXP((BM122-$J122)*$G122),1)),"")</f>
        <v/>
      </c>
    </row>
    <row r="123" spans="1:67" x14ac:dyDescent="0.2">
      <c r="A123" s="33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84" t="e">
        <f t="shared" si="9"/>
        <v>#N/A</v>
      </c>
      <c r="G123" s="85" t="e">
        <f>_xll.qlDayCounterYearFraction(DayCounter,D122,D123)</f>
        <v>#NUM!</v>
      </c>
      <c r="I123" s="93" t="b">
        <f t="shared" si="7"/>
        <v>0</v>
      </c>
      <c r="J123" s="37" t="e">
        <v>#N/A</v>
      </c>
      <c r="K123" s="94" t="e">
        <f t="shared" si="8"/>
        <v>#VALUE!</v>
      </c>
      <c r="L123" s="106"/>
      <c r="M123" s="72" t="b">
        <f>IF(AND(NOT(I123),AND(I$4:I122)),TRUE,I123)</f>
        <v>0</v>
      </c>
      <c r="N123" s="34" t="e">
        <f>IF(AND(NOT(ISBLANK(Jumpoverwrite1)),AND(NOT(M123),AND(M$4:M122))),($J123*$G123-LN(1+Jumpoverwrite1*O$2))/$G123,_xll.qlInterpolationInterpolate(M$3,$F123,TRUE))</f>
        <v>#NUM!</v>
      </c>
      <c r="O123" s="34" t="str">
        <f>IF(AND(NOT(M123),AND(M$4:M122)),IF(N123&gt;$J123,MAX(EXP((N123-$J123)*$G123),1),MIN(EXP((N123-$J123)*$G123),1)),"")</f>
        <v/>
      </c>
      <c r="P123" s="108"/>
      <c r="Q123" s="72" t="b">
        <f>IF(AND(NOT(M123),AND(M$4:M122)),TRUE,M123)</f>
        <v>0</v>
      </c>
      <c r="R123" s="34" t="e">
        <f>IF(AND(NOT(ISBLANK(Jumpoverwrite2)),AND(NOT(Q123),AND(Q$4:Q122))),($J123*$G123-LN(1+Jumpoverwrite2*S$2))/$G123,_xll.qlInterpolationInterpolate(Q$3,$F123,TRUE))</f>
        <v>#NUM!</v>
      </c>
      <c r="S123" s="34" t="str">
        <f>IF(AND(NOT(Q123),AND(Q$4:Q122)),IF(R123&gt;$J123,MAX(EXP((R123-$J123)*$G123),1),MIN(EXP((R123-$J123)*$G123),1)),"")</f>
        <v/>
      </c>
      <c r="T123" s="108"/>
      <c r="U123" s="72" t="b">
        <f>IF(AND(NOT(Q123),AND(Q$4:Q122)),TRUE,Q123)</f>
        <v>0</v>
      </c>
      <c r="V123" s="34" t="e">
        <f>IF(AND(NOT(ISBLANK(Jumpoverwrite3)),AND(NOT(U123),AND(U$4:U122))),($J123*$G123-LN(1+Jumpoverwrite3*W$2))/$G123,_xll.qlInterpolationInterpolate(U$3,$F123,TRUE))</f>
        <v>#NUM!</v>
      </c>
      <c r="W123" s="34" t="str">
        <f>IF(AND(NOT(U123),AND(U$4:U122)),IF(V123&gt;$J123,MAX(EXP((V123-$J123)*$G123),1),MIN(EXP((V123-$J123)*$G123),1)),"")</f>
        <v/>
      </c>
      <c r="X123" s="108"/>
      <c r="Y123" s="72" t="b">
        <f>IF(AND(NOT(U123),AND(U$4:U122)),TRUE,U123)</f>
        <v>0</v>
      </c>
      <c r="Z123" s="34" t="e">
        <f>IF(AND(NOT(ISBLANK(Jumpoverwrite4)),AND(NOT(Y123),AND(Y$4:Y122))),($J123*$G123-LN(1+Jumpoverwrite4*AA$2))/$G123,_xll.qlInterpolationInterpolate(Y$3,$F123,TRUE))</f>
        <v>#NUM!</v>
      </c>
      <c r="AA123" s="34" t="str">
        <f>IF(AND(NOT(Y123),AND(Y$4:Y122)),IF(Z123&gt;$J123,MAX(EXP((Z123-$J123)*$G123),1),MIN(EXP((Z123-$J123)*$G123),1)),"")</f>
        <v/>
      </c>
      <c r="AB123" s="108"/>
      <c r="AC123" s="72" t="b">
        <f>IF(AND(NOT(Y123),AND(Y$4:Y122)),TRUE,Y123)</f>
        <v>0</v>
      </c>
      <c r="AD123" s="34" t="e">
        <f>IF(AND(NOT(ISBLANK(Jumpoverwrite5)),AND(NOT(AC123),AND(AC$4:AC122))),($J123*$G123-LN(1+Jumpoverwrite5*AE$2))/$G123,_xll.qlInterpolationInterpolate(AC$3,$F123,TRUE))</f>
        <v>#NUM!</v>
      </c>
      <c r="AE123" s="34" t="str">
        <f>IF(AND(NOT(AC123),AND(AC$4:AC122)),IF(AD123&gt;$J123,MAX(EXP((AD123-$J123)*$G123),1),MIN(EXP((AD123-$J123)*$G123),1)),"")</f>
        <v/>
      </c>
      <c r="AF123" s="108"/>
      <c r="AG123" s="72" t="b">
        <f>IF(AND(NOT(AC123),AND(AC$4:AC122)),TRUE,AC123)</f>
        <v>0</v>
      </c>
      <c r="AH123" s="34" t="e">
        <f>IF(AND(NOT(ISBLANK(Jumpoverwrite6)),AND(NOT(AG123),AND(AG$4:AG122))),($J123*$G123-LN(1+Jumpoverwrite6*AI$2))/$G123,_xll.qlInterpolationInterpolate(AG$3,$F123,TRUE))</f>
        <v>#NUM!</v>
      </c>
      <c r="AI123" s="34" t="str">
        <f>IF(AND(NOT(AG123),AND(AG$4:AG122)),IF(AH123&gt;$J123,MAX(EXP((AH123-$J123)*$G123),1),MIN(EXP((AH123-$J123)*$G123),1)),"")</f>
        <v/>
      </c>
      <c r="AJ123" s="108"/>
      <c r="AK123" s="72" t="b">
        <f>IF(AND(NOT(AG123),AND(AG$4:AG122)),TRUE,AG123)</f>
        <v>0</v>
      </c>
      <c r="AL123" s="34" t="e">
        <f>IF(AND(NOT(ISBLANK(Jumpoverwrite7)),AND(NOT(AK123),AND(AK$4:AK122))),($J123*$G123-LN(1+Jumpoverwrite7*AM$2))/$G123,_xll.qlInterpolationInterpolate(AK$3,$F123,TRUE))</f>
        <v>#NUM!</v>
      </c>
      <c r="AM123" s="34" t="str">
        <f>IF(AND(NOT(AK123),AND(AK$4:AK122)),IF(AL123&gt;$J123,MAX(EXP((AL123-$J123)*$G123),1),MIN(EXP((AL123-$J123)*$G123),1)),"")</f>
        <v/>
      </c>
      <c r="AO123" s="72" t="b">
        <f>IF(AND(NOT(AK123),AND(AK$4:AK122)),TRUE,AK123)</f>
        <v>0</v>
      </c>
      <c r="AP123" s="34" t="e">
        <f>IF(AND(NOT(ISBLANK(Jumpoverwrite8)),AND(NOT(AO123),AND(AO$4:AO122))),($J123*$G123-LN(1+Jumpoverwrite8*AQ$2))/$G123,_xll.qlInterpolationInterpolate(AO$3,$F123,TRUE))</f>
        <v>#NUM!</v>
      </c>
      <c r="AQ123" s="34" t="str">
        <f>IF(AND(NOT(AO123),AND(AO$4:AO122)),IF(AP123&gt;$J123,MAX(EXP((AP123-$J123)*$G123),1),MIN(EXP((AP123-$J123)*$G123),1)),"")</f>
        <v/>
      </c>
      <c r="AS123" s="72" t="b">
        <f>IF(AND(NOT(AO123),AND(AO$4:AO122)),TRUE,AO123)</f>
        <v>0</v>
      </c>
      <c r="AT123" s="34" t="e">
        <f>IF(AND(NOT(ISBLANK(Jumpoverwrite9)),AND(NOT(AS123),AND(AS$4:AS122))),($J123*$G123-LN(1+Jumpoverwrite9*AU$2))/$G123,_xll.qlInterpolationInterpolate(AS$3,$F123,TRUE))</f>
        <v>#NUM!</v>
      </c>
      <c r="AU123" s="34" t="str">
        <f>IF(AND(NOT(AS123),AND(AS$4:AS122)),IF(AT123&gt;$J123,MAX(EXP((AT123-$J123)*$G123),1),MIN(EXP((AT123-$J123)*$G123),1)),"")</f>
        <v/>
      </c>
      <c r="AW123" s="72" t="b">
        <f>IF(AND(NOT(AS123),AND(AS$4:AS122)),TRUE,AS123)</f>
        <v>0</v>
      </c>
      <c r="AX123" s="34" t="e">
        <f>IF(AND(NOT(ISBLANK(Jumpoverwrite10)),AND(NOT(AW123),AND(AW$4:AW122))),($J123*$G123-LN(1+Jumpoverwrite10*AY$2))/$G123,_xll.qlInterpolationInterpolate(AW$3,$F123,TRUE))</f>
        <v>#NUM!</v>
      </c>
      <c r="AY123" s="34" t="str">
        <f>IF(AND(NOT(AW123),AND(AW$4:AW122)),IF(AX123&gt;$J123,MAX(EXP((AX123-$J123)*$G123),1),MIN(EXP((AX123-$J123)*$G123),1)),"")</f>
        <v/>
      </c>
      <c r="BA123" s="72" t="b">
        <f>IF(AND(NOT(AW123),AND(AW$4:AW122)),TRUE,AW123)</f>
        <v>0</v>
      </c>
      <c r="BB123" s="34" t="e">
        <f>IF(AND(NOT(ISBLANK(Jumpoverwrite11)),AND(NOT(BA123),AND(BA$4:BA122))),($J123*$G123-LN(1+Jumpoverwrite11*BC$2))/$G123,_xll.qlInterpolationInterpolate(BA$3,$F123,TRUE))</f>
        <v>#NUM!</v>
      </c>
      <c r="BC123" s="34" t="str">
        <f>IF(AND(NOT(BA123),AND(BA$4:BA122)),IF(BB123&gt;$J123,MAX(EXP((BB123-$J123)*$G123),1),MIN(EXP((BB123-$J123)*$G123),1)),"")</f>
        <v/>
      </c>
      <c r="BE123" s="72" t="b">
        <f>IF(AND(NOT(BA123),AND(BA$4:BA122)),TRUE,BA123)</f>
        <v>0</v>
      </c>
      <c r="BF123" s="34" t="e">
        <f>IF(AND(NOT(ISBLANK(Jumpoverwrite12)),AND(NOT(BE123),AND(BE$4:BE122))),($J123*$G123-LN(1+Jumpoverwrite12*BG$2))/$G123,_xll.qlInterpolationInterpolate(BE$3,$F123,TRUE))</f>
        <v>#NUM!</v>
      </c>
      <c r="BG123" s="34" t="str">
        <f>IF(AND(NOT(BE123),AND(BE$4:BE122)),IF(BF123&gt;$J123,MAX(EXP((BF123-$J123)*$G123),1),MIN(EXP((BF123-$J123)*$G123),1)),"")</f>
        <v/>
      </c>
      <c r="BI123" s="72" t="b">
        <f t="shared" si="10"/>
        <v>0</v>
      </c>
      <c r="BJ123" s="34" t="e">
        <f>IF(AND(NOT(ISBLANK(jumpoverwrite13)),AND(NOT(BI123),AND(BI$4:BI122))),($J123*$G123-LN(1+jumpoverwrite13*BK$2))/$G123,_xll.qlInterpolationInterpolate(BI$3,$F123,TRUE))</f>
        <v>#NUM!</v>
      </c>
      <c r="BK123" s="34" t="str">
        <f>IF(AND(NOT(BI123),AND(BI$4:BI122)),IF(BJ123&gt;$J123,MAX(EXP((BJ123-$J123)*$G123),1),MIN(EXP((BJ123-$J123)*$G123),1)),"")</f>
        <v/>
      </c>
      <c r="BM123" s="72" t="b">
        <f>IF(AND(NOT(BI123),AND(BI$4:BI122)),TRUE,BI123)</f>
        <v>0</v>
      </c>
      <c r="BN123" s="175" t="e">
        <f>IF(AND(NOT(ISBLANK(Jumpoverwrite14)),AND(NOT(BM123),AND(BM$4:BM122))),($J123*$G123-LN(1+Jumpoverwrite14*BO$2))/$G123,_xll.qlInterpolationInterpolate(BM$3,$F123,TRUE))</f>
        <v>#NUM!</v>
      </c>
      <c r="BO123" s="34" t="str">
        <f>IF(AND(NOT(BM123),AND(BM$4:BM122)),IF(BM123&gt;$J123,MAX(EXP((BM123-$J123)*$G123),1),MIN(EXP((BM123-$J123)*$G123),1)),"")</f>
        <v/>
      </c>
    </row>
    <row r="124" spans="1:67" x14ac:dyDescent="0.2">
      <c r="A124" s="33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84" t="e">
        <f t="shared" si="9"/>
        <v>#N/A</v>
      </c>
      <c r="G124" s="85" t="e">
        <f>_xll.qlDayCounterYearFraction(DayCounter,D123,D124)</f>
        <v>#NUM!</v>
      </c>
      <c r="I124" s="93" t="b">
        <f t="shared" si="7"/>
        <v>0</v>
      </c>
      <c r="J124" s="37" t="e">
        <v>#N/A</v>
      </c>
      <c r="K124" s="94" t="e">
        <f t="shared" si="8"/>
        <v>#VALUE!</v>
      </c>
      <c r="L124" s="106"/>
      <c r="M124" s="72" t="b">
        <f>IF(AND(NOT(I124),AND(I$4:I123)),TRUE,I124)</f>
        <v>0</v>
      </c>
      <c r="N124" s="34" t="e">
        <f>IF(AND(NOT(ISBLANK(Jumpoverwrite1)),AND(NOT(M124),AND(M$4:M123))),($J124*$G124-LN(1+Jumpoverwrite1*O$2))/$G124,_xll.qlInterpolationInterpolate(M$3,$F124,TRUE))</f>
        <v>#NUM!</v>
      </c>
      <c r="O124" s="34" t="str">
        <f>IF(AND(NOT(M124),AND(M$4:M123)),IF(N124&gt;$J124,MAX(EXP((N124-$J124)*$G124),1),MIN(EXP((N124-$J124)*$G124),1)),"")</f>
        <v/>
      </c>
      <c r="P124" s="108"/>
      <c r="Q124" s="72" t="b">
        <f>IF(AND(NOT(M124),AND(M$4:M123)),TRUE,M124)</f>
        <v>0</v>
      </c>
      <c r="R124" s="34" t="e">
        <f>IF(AND(NOT(ISBLANK(Jumpoverwrite2)),AND(NOT(Q124),AND(Q$4:Q123))),($J124*$G124-LN(1+Jumpoverwrite2*S$2))/$G124,_xll.qlInterpolationInterpolate(Q$3,$F124,TRUE))</f>
        <v>#NUM!</v>
      </c>
      <c r="S124" s="34" t="str">
        <f>IF(AND(NOT(Q124),AND(Q$4:Q123)),IF(R124&gt;$J124,MAX(EXP((R124-$J124)*$G124),1),MIN(EXP((R124-$J124)*$G124),1)),"")</f>
        <v/>
      </c>
      <c r="T124" s="108"/>
      <c r="U124" s="72" t="b">
        <f>IF(AND(NOT(Q124),AND(Q$4:Q123)),TRUE,Q124)</f>
        <v>0</v>
      </c>
      <c r="V124" s="34" t="e">
        <f>IF(AND(NOT(ISBLANK(Jumpoverwrite3)),AND(NOT(U124),AND(U$4:U123))),($J124*$G124-LN(1+Jumpoverwrite3*W$2))/$G124,_xll.qlInterpolationInterpolate(U$3,$F124,TRUE))</f>
        <v>#NUM!</v>
      </c>
      <c r="W124" s="34" t="str">
        <f>IF(AND(NOT(U124),AND(U$4:U123)),IF(V124&gt;$J124,MAX(EXP((V124-$J124)*$G124),1),MIN(EXP((V124-$J124)*$G124),1)),"")</f>
        <v/>
      </c>
      <c r="X124" s="108"/>
      <c r="Y124" s="72" t="b">
        <f>IF(AND(NOT(U124),AND(U$4:U123)),TRUE,U124)</f>
        <v>0</v>
      </c>
      <c r="Z124" s="34" t="e">
        <f>IF(AND(NOT(ISBLANK(Jumpoverwrite4)),AND(NOT(Y124),AND(Y$4:Y123))),($J124*$G124-LN(1+Jumpoverwrite4*AA$2))/$G124,_xll.qlInterpolationInterpolate(Y$3,$F124,TRUE))</f>
        <v>#NUM!</v>
      </c>
      <c r="AA124" s="34" t="str">
        <f>IF(AND(NOT(Y124),AND(Y$4:Y123)),IF(Z124&gt;$J124,MAX(EXP((Z124-$J124)*$G124),1),MIN(EXP((Z124-$J124)*$G124),1)),"")</f>
        <v/>
      </c>
      <c r="AB124" s="108"/>
      <c r="AC124" s="72" t="b">
        <f>IF(AND(NOT(Y124),AND(Y$4:Y123)),TRUE,Y124)</f>
        <v>0</v>
      </c>
      <c r="AD124" s="34" t="e">
        <f>IF(AND(NOT(ISBLANK(Jumpoverwrite5)),AND(NOT(AC124),AND(AC$4:AC123))),($J124*$G124-LN(1+Jumpoverwrite5*AE$2))/$G124,_xll.qlInterpolationInterpolate(AC$3,$F124,TRUE))</f>
        <v>#NUM!</v>
      </c>
      <c r="AE124" s="34" t="str">
        <f>IF(AND(NOT(AC124),AND(AC$4:AC123)),IF(AD124&gt;$J124,MAX(EXP((AD124-$J124)*$G124),1),MIN(EXP((AD124-$J124)*$G124),1)),"")</f>
        <v/>
      </c>
      <c r="AF124" s="108"/>
      <c r="AG124" s="72" t="b">
        <f>IF(AND(NOT(AC124),AND(AC$4:AC123)),TRUE,AC124)</f>
        <v>0</v>
      </c>
      <c r="AH124" s="34" t="e">
        <f>IF(AND(NOT(ISBLANK(Jumpoverwrite6)),AND(NOT(AG124),AND(AG$4:AG123))),($J124*$G124-LN(1+Jumpoverwrite6*AI$2))/$G124,_xll.qlInterpolationInterpolate(AG$3,$F124,TRUE))</f>
        <v>#NUM!</v>
      </c>
      <c r="AI124" s="34" t="str">
        <f>IF(AND(NOT(AG124),AND(AG$4:AG123)),IF(AH124&gt;$J124,MAX(EXP((AH124-$J124)*$G124),1),MIN(EXP((AH124-$J124)*$G124),1)),"")</f>
        <v/>
      </c>
      <c r="AJ124" s="108"/>
      <c r="AK124" s="72" t="b">
        <f>IF(AND(NOT(AG124),AND(AG$4:AG123)),TRUE,AG124)</f>
        <v>0</v>
      </c>
      <c r="AL124" s="34" t="e">
        <f>IF(AND(NOT(ISBLANK(Jumpoverwrite7)),AND(NOT(AK124),AND(AK$4:AK123))),($J124*$G124-LN(1+Jumpoverwrite7*AM$2))/$G124,_xll.qlInterpolationInterpolate(AK$3,$F124,TRUE))</f>
        <v>#NUM!</v>
      </c>
      <c r="AM124" s="34" t="str">
        <f>IF(AND(NOT(AK124),AND(AK$4:AK123)),IF(AL124&gt;$J124,MAX(EXP((AL124-$J124)*$G124),1),MIN(EXP((AL124-$J124)*$G124),1)),"")</f>
        <v/>
      </c>
      <c r="AO124" s="72" t="b">
        <f>IF(AND(NOT(AK124),AND(AK$4:AK123)),TRUE,AK124)</f>
        <v>0</v>
      </c>
      <c r="AP124" s="34" t="e">
        <f>IF(AND(NOT(ISBLANK(Jumpoverwrite8)),AND(NOT(AO124),AND(AO$4:AO123))),($J124*$G124-LN(1+Jumpoverwrite8*AQ$2))/$G124,_xll.qlInterpolationInterpolate(AO$3,$F124,TRUE))</f>
        <v>#NUM!</v>
      </c>
      <c r="AQ124" s="34" t="str">
        <f>IF(AND(NOT(AO124),AND(AO$4:AO123)),IF(AP124&gt;$J124,MAX(EXP((AP124-$J124)*$G124),1),MIN(EXP((AP124-$J124)*$G124),1)),"")</f>
        <v/>
      </c>
      <c r="AS124" s="72" t="b">
        <f>IF(AND(NOT(AO124),AND(AO$4:AO123)),TRUE,AO124)</f>
        <v>0</v>
      </c>
      <c r="AT124" s="34" t="e">
        <f>IF(AND(NOT(ISBLANK(Jumpoverwrite9)),AND(NOT(AS124),AND(AS$4:AS123))),($J124*$G124-LN(1+Jumpoverwrite9*AU$2))/$G124,_xll.qlInterpolationInterpolate(AS$3,$F124,TRUE))</f>
        <v>#NUM!</v>
      </c>
      <c r="AU124" s="34" t="str">
        <f>IF(AND(NOT(AS124),AND(AS$4:AS123)),IF(AT124&gt;$J124,MAX(EXP((AT124-$J124)*$G124),1),MIN(EXP((AT124-$J124)*$G124),1)),"")</f>
        <v/>
      </c>
      <c r="AW124" s="72" t="b">
        <f>IF(AND(NOT(AS124),AND(AS$4:AS123)),TRUE,AS124)</f>
        <v>0</v>
      </c>
      <c r="AX124" s="34" t="e">
        <f>IF(AND(NOT(ISBLANK(Jumpoverwrite10)),AND(NOT(AW124),AND(AW$4:AW123))),($J124*$G124-LN(1+Jumpoverwrite10*AY$2))/$G124,_xll.qlInterpolationInterpolate(AW$3,$F124,TRUE))</f>
        <v>#NUM!</v>
      </c>
      <c r="AY124" s="34" t="str">
        <f>IF(AND(NOT(AW124),AND(AW$4:AW123)),IF(AX124&gt;$J124,MAX(EXP((AX124-$J124)*$G124),1),MIN(EXP((AX124-$J124)*$G124),1)),"")</f>
        <v/>
      </c>
      <c r="BA124" s="72" t="b">
        <f>IF(AND(NOT(AW124),AND(AW$4:AW123)),TRUE,AW124)</f>
        <v>0</v>
      </c>
      <c r="BB124" s="34" t="e">
        <f>IF(AND(NOT(ISBLANK(Jumpoverwrite11)),AND(NOT(BA124),AND(BA$4:BA123))),($J124*$G124-LN(1+Jumpoverwrite11*BC$2))/$G124,_xll.qlInterpolationInterpolate(BA$3,$F124,TRUE))</f>
        <v>#NUM!</v>
      </c>
      <c r="BC124" s="34" t="str">
        <f>IF(AND(NOT(BA124),AND(BA$4:BA123)),IF(BB124&gt;$J124,MAX(EXP((BB124-$J124)*$G124),1),MIN(EXP((BB124-$J124)*$G124),1)),"")</f>
        <v/>
      </c>
      <c r="BE124" s="72" t="b">
        <f>IF(AND(NOT(BA124),AND(BA$4:BA123)),TRUE,BA124)</f>
        <v>0</v>
      </c>
      <c r="BF124" s="34" t="e">
        <f>IF(AND(NOT(ISBLANK(Jumpoverwrite12)),AND(NOT(BE124),AND(BE$4:BE123))),($J124*$G124-LN(1+Jumpoverwrite12*BG$2))/$G124,_xll.qlInterpolationInterpolate(BE$3,$F124,TRUE))</f>
        <v>#NUM!</v>
      </c>
      <c r="BG124" s="34" t="str">
        <f>IF(AND(NOT(BE124),AND(BE$4:BE123)),IF(BF124&gt;$J124,MAX(EXP((BF124-$J124)*$G124),1),MIN(EXP((BF124-$J124)*$G124),1)),"")</f>
        <v/>
      </c>
      <c r="BI124" s="72" t="b">
        <f t="shared" si="10"/>
        <v>0</v>
      </c>
      <c r="BJ124" s="34" t="e">
        <f>IF(AND(NOT(ISBLANK(jumpoverwrite13)),AND(NOT(BI124),AND(BI$4:BI123))),($J124*$G124-LN(1+jumpoverwrite13*BK$2))/$G124,_xll.qlInterpolationInterpolate(BI$3,$F124,TRUE))</f>
        <v>#NUM!</v>
      </c>
      <c r="BK124" s="34" t="str">
        <f>IF(AND(NOT(BI124),AND(BI$4:BI123)),IF(BJ124&gt;$J124,MAX(EXP((BJ124-$J124)*$G124),1),MIN(EXP((BJ124-$J124)*$G124),1)),"")</f>
        <v/>
      </c>
      <c r="BM124" s="72" t="b">
        <f>IF(AND(NOT(BI124),AND(BI$4:BI123)),TRUE,BI124)</f>
        <v>0</v>
      </c>
      <c r="BN124" s="175" t="e">
        <f>IF(AND(NOT(ISBLANK(Jumpoverwrite14)),AND(NOT(BM124),AND(BM$4:BM123))),($J124*$G124-LN(1+Jumpoverwrite14*BO$2))/$G124,_xll.qlInterpolationInterpolate(BM$3,$F124,TRUE))</f>
        <v>#NUM!</v>
      </c>
      <c r="BO124" s="34" t="str">
        <f>IF(AND(NOT(BM124),AND(BM$4:BM123)),IF(BM124&gt;$J124,MAX(EXP((BM124-$J124)*$G124),1),MIN(EXP((BM124-$J124)*$G124),1)),"")</f>
        <v/>
      </c>
    </row>
    <row r="125" spans="1:67" x14ac:dyDescent="0.2">
      <c r="A125" s="33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84" t="e">
        <f t="shared" si="9"/>
        <v>#N/A</v>
      </c>
      <c r="G125" s="85" t="e">
        <f>_xll.qlDayCounterYearFraction(DayCounter,D124,D125)</f>
        <v>#NUM!</v>
      </c>
      <c r="I125" s="93" t="b">
        <f t="shared" si="7"/>
        <v>0</v>
      </c>
      <c r="J125" s="37" t="e">
        <v>#N/A</v>
      </c>
      <c r="K125" s="94" t="e">
        <f t="shared" si="8"/>
        <v>#VALUE!</v>
      </c>
      <c r="L125" s="106"/>
      <c r="M125" s="72" t="b">
        <f>IF(AND(NOT(I125),AND(I$4:I124)),TRUE,I125)</f>
        <v>0</v>
      </c>
      <c r="N125" s="34" t="e">
        <f>IF(AND(NOT(ISBLANK(Jumpoverwrite1)),AND(NOT(M125),AND(M$4:M124))),($J125*$G125-LN(1+Jumpoverwrite1*O$2))/$G125,_xll.qlInterpolationInterpolate(M$3,$F125,TRUE))</f>
        <v>#NUM!</v>
      </c>
      <c r="O125" s="34" t="str">
        <f>IF(AND(NOT(M125),AND(M$4:M124)),IF(N125&gt;$J125,MAX(EXP((N125-$J125)*$G125),1),MIN(EXP((N125-$J125)*$G125),1)),"")</f>
        <v/>
      </c>
      <c r="P125" s="108"/>
      <c r="Q125" s="72" t="b">
        <f>IF(AND(NOT(M125),AND(M$4:M124)),TRUE,M125)</f>
        <v>0</v>
      </c>
      <c r="R125" s="34" t="e">
        <f>IF(AND(NOT(ISBLANK(Jumpoverwrite2)),AND(NOT(Q125),AND(Q$4:Q124))),($J125*$G125-LN(1+Jumpoverwrite2*S$2))/$G125,_xll.qlInterpolationInterpolate(Q$3,$F125,TRUE))</f>
        <v>#NUM!</v>
      </c>
      <c r="S125" s="34" t="str">
        <f>IF(AND(NOT(Q125),AND(Q$4:Q124)),IF(R125&gt;$J125,MAX(EXP((R125-$J125)*$G125),1),MIN(EXP((R125-$J125)*$G125),1)),"")</f>
        <v/>
      </c>
      <c r="T125" s="108"/>
      <c r="U125" s="72" t="b">
        <f>IF(AND(NOT(Q125),AND(Q$4:Q124)),TRUE,Q125)</f>
        <v>0</v>
      </c>
      <c r="V125" s="34" t="e">
        <f>IF(AND(NOT(ISBLANK(Jumpoverwrite3)),AND(NOT(U125),AND(U$4:U124))),($J125*$G125-LN(1+Jumpoverwrite3*W$2))/$G125,_xll.qlInterpolationInterpolate(U$3,$F125,TRUE))</f>
        <v>#NUM!</v>
      </c>
      <c r="W125" s="34" t="str">
        <f>IF(AND(NOT(U125),AND(U$4:U124)),IF(V125&gt;$J125,MAX(EXP((V125-$J125)*$G125),1),MIN(EXP((V125-$J125)*$G125),1)),"")</f>
        <v/>
      </c>
      <c r="X125" s="108"/>
      <c r="Y125" s="72" t="b">
        <f>IF(AND(NOT(U125),AND(U$4:U124)),TRUE,U125)</f>
        <v>0</v>
      </c>
      <c r="Z125" s="34" t="e">
        <f>IF(AND(NOT(ISBLANK(Jumpoverwrite4)),AND(NOT(Y125),AND(Y$4:Y124))),($J125*$G125-LN(1+Jumpoverwrite4*AA$2))/$G125,_xll.qlInterpolationInterpolate(Y$3,$F125,TRUE))</f>
        <v>#NUM!</v>
      </c>
      <c r="AA125" s="34" t="str">
        <f>IF(AND(NOT(Y125),AND(Y$4:Y124)),IF(Z125&gt;$J125,MAX(EXP((Z125-$J125)*$G125),1),MIN(EXP((Z125-$J125)*$G125),1)),"")</f>
        <v/>
      </c>
      <c r="AB125" s="108"/>
      <c r="AC125" s="72" t="b">
        <f>IF(AND(NOT(Y125),AND(Y$4:Y124)),TRUE,Y125)</f>
        <v>0</v>
      </c>
      <c r="AD125" s="34" t="e">
        <f>IF(AND(NOT(ISBLANK(Jumpoverwrite5)),AND(NOT(AC125),AND(AC$4:AC124))),($J125*$G125-LN(1+Jumpoverwrite5*AE$2))/$G125,_xll.qlInterpolationInterpolate(AC$3,$F125,TRUE))</f>
        <v>#NUM!</v>
      </c>
      <c r="AE125" s="34" t="str">
        <f>IF(AND(NOT(AC125),AND(AC$4:AC124)),IF(AD125&gt;$J125,MAX(EXP((AD125-$J125)*$G125),1),MIN(EXP((AD125-$J125)*$G125),1)),"")</f>
        <v/>
      </c>
      <c r="AF125" s="108"/>
      <c r="AG125" s="72" t="b">
        <f>IF(AND(NOT(AC125),AND(AC$4:AC124)),TRUE,AC125)</f>
        <v>0</v>
      </c>
      <c r="AH125" s="34" t="e">
        <f>IF(AND(NOT(ISBLANK(Jumpoverwrite6)),AND(NOT(AG125),AND(AG$4:AG124))),($J125*$G125-LN(1+Jumpoverwrite6*AI$2))/$G125,_xll.qlInterpolationInterpolate(AG$3,$F125,TRUE))</f>
        <v>#NUM!</v>
      </c>
      <c r="AI125" s="34" t="str">
        <f>IF(AND(NOT(AG125),AND(AG$4:AG124)),IF(AH125&gt;$J125,MAX(EXP((AH125-$J125)*$G125),1),MIN(EXP((AH125-$J125)*$G125),1)),"")</f>
        <v/>
      </c>
      <c r="AJ125" s="108"/>
      <c r="AK125" s="72" t="b">
        <f>IF(AND(NOT(AG125),AND(AG$4:AG124)),TRUE,AG125)</f>
        <v>0</v>
      </c>
      <c r="AL125" s="34" t="e">
        <f>IF(AND(NOT(ISBLANK(Jumpoverwrite7)),AND(NOT(AK125),AND(AK$4:AK124))),($J125*$G125-LN(1+Jumpoverwrite7*AM$2))/$G125,_xll.qlInterpolationInterpolate(AK$3,$F125,TRUE))</f>
        <v>#NUM!</v>
      </c>
      <c r="AM125" s="34" t="str">
        <f>IF(AND(NOT(AK125),AND(AK$4:AK124)),IF(AL125&gt;$J125,MAX(EXP((AL125-$J125)*$G125),1),MIN(EXP((AL125-$J125)*$G125),1)),"")</f>
        <v/>
      </c>
      <c r="AO125" s="72" t="b">
        <f>IF(AND(NOT(AK125),AND(AK$4:AK124)),TRUE,AK125)</f>
        <v>0</v>
      </c>
      <c r="AP125" s="34" t="e">
        <f>IF(AND(NOT(ISBLANK(Jumpoverwrite8)),AND(NOT(AO125),AND(AO$4:AO124))),($J125*$G125-LN(1+Jumpoverwrite8*AQ$2))/$G125,_xll.qlInterpolationInterpolate(AO$3,$F125,TRUE))</f>
        <v>#NUM!</v>
      </c>
      <c r="AQ125" s="34" t="str">
        <f>IF(AND(NOT(AO125),AND(AO$4:AO124)),IF(AP125&gt;$J125,MAX(EXP((AP125-$J125)*$G125),1),MIN(EXP((AP125-$J125)*$G125),1)),"")</f>
        <v/>
      </c>
      <c r="AS125" s="72" t="b">
        <f>IF(AND(NOT(AO125),AND(AO$4:AO124)),TRUE,AO125)</f>
        <v>0</v>
      </c>
      <c r="AT125" s="34" t="e">
        <f>IF(AND(NOT(ISBLANK(Jumpoverwrite9)),AND(NOT(AS125),AND(AS$4:AS124))),($J125*$G125-LN(1+Jumpoverwrite9*AU$2))/$G125,_xll.qlInterpolationInterpolate(AS$3,$F125,TRUE))</f>
        <v>#NUM!</v>
      </c>
      <c r="AU125" s="34" t="str">
        <f>IF(AND(NOT(AS125),AND(AS$4:AS124)),IF(AT125&gt;$J125,MAX(EXP((AT125-$J125)*$G125),1),MIN(EXP((AT125-$J125)*$G125),1)),"")</f>
        <v/>
      </c>
      <c r="AW125" s="72" t="b">
        <f>IF(AND(NOT(AS125),AND(AS$4:AS124)),TRUE,AS125)</f>
        <v>0</v>
      </c>
      <c r="AX125" s="34" t="e">
        <f>IF(AND(NOT(ISBLANK(Jumpoverwrite10)),AND(NOT(AW125),AND(AW$4:AW124))),($J125*$G125-LN(1+Jumpoverwrite10*AY$2))/$G125,_xll.qlInterpolationInterpolate(AW$3,$F125,TRUE))</f>
        <v>#NUM!</v>
      </c>
      <c r="AY125" s="34" t="str">
        <f>IF(AND(NOT(AW125),AND(AW$4:AW124)),IF(AX125&gt;$J125,MAX(EXP((AX125-$J125)*$G125),1),MIN(EXP((AX125-$J125)*$G125),1)),"")</f>
        <v/>
      </c>
      <c r="BA125" s="72" t="b">
        <f>IF(AND(NOT(AW125),AND(AW$4:AW124)),TRUE,AW125)</f>
        <v>0</v>
      </c>
      <c r="BB125" s="34" t="e">
        <f>IF(AND(NOT(ISBLANK(Jumpoverwrite11)),AND(NOT(BA125),AND(BA$4:BA124))),($J125*$G125-LN(1+Jumpoverwrite11*BC$2))/$G125,_xll.qlInterpolationInterpolate(BA$3,$F125,TRUE))</f>
        <v>#NUM!</v>
      </c>
      <c r="BC125" s="34" t="str">
        <f>IF(AND(NOT(BA125),AND(BA$4:BA124)),IF(BB125&gt;$J125,MAX(EXP((BB125-$J125)*$G125),1),MIN(EXP((BB125-$J125)*$G125),1)),"")</f>
        <v/>
      </c>
      <c r="BE125" s="72" t="b">
        <f>IF(AND(NOT(BA125),AND(BA$4:BA124)),TRUE,BA125)</f>
        <v>0</v>
      </c>
      <c r="BF125" s="34" t="e">
        <f>IF(AND(NOT(ISBLANK(Jumpoverwrite12)),AND(NOT(BE125),AND(BE$4:BE124))),($J125*$G125-LN(1+Jumpoverwrite12*BG$2))/$G125,_xll.qlInterpolationInterpolate(BE$3,$F125,TRUE))</f>
        <v>#NUM!</v>
      </c>
      <c r="BG125" s="34" t="str">
        <f>IF(AND(NOT(BE125),AND(BE$4:BE124)),IF(BF125&gt;$J125,MAX(EXP((BF125-$J125)*$G125),1),MIN(EXP((BF125-$J125)*$G125),1)),"")</f>
        <v/>
      </c>
      <c r="BI125" s="72" t="b">
        <f t="shared" si="10"/>
        <v>0</v>
      </c>
      <c r="BJ125" s="34" t="e">
        <f>IF(AND(NOT(ISBLANK(jumpoverwrite13)),AND(NOT(BI125),AND(BI$4:BI124))),($J125*$G125-LN(1+jumpoverwrite13*BK$2))/$G125,_xll.qlInterpolationInterpolate(BI$3,$F125,TRUE))</f>
        <v>#NUM!</v>
      </c>
      <c r="BK125" s="34" t="str">
        <f>IF(AND(NOT(BI125),AND(BI$4:BI124)),IF(BJ125&gt;$J125,MAX(EXP((BJ125-$J125)*$G125),1),MIN(EXP((BJ125-$J125)*$G125),1)),"")</f>
        <v/>
      </c>
      <c r="BM125" s="72" t="b">
        <f>IF(AND(NOT(BI125),AND(BI$4:BI124)),TRUE,BI125)</f>
        <v>0</v>
      </c>
      <c r="BN125" s="175" t="e">
        <f>IF(AND(NOT(ISBLANK(Jumpoverwrite14)),AND(NOT(BM125),AND(BM$4:BM124))),($J125*$G125-LN(1+Jumpoverwrite14*BO$2))/$G125,_xll.qlInterpolationInterpolate(BM$3,$F125,TRUE))</f>
        <v>#NUM!</v>
      </c>
      <c r="BO125" s="34" t="str">
        <f>IF(AND(NOT(BM125),AND(BM$4:BM124)),IF(BM125&gt;$J125,MAX(EXP((BM125-$J125)*$G125),1),MIN(EXP((BM125-$J125)*$G125),1)),"")</f>
        <v/>
      </c>
    </row>
    <row r="126" spans="1:67" x14ac:dyDescent="0.2">
      <c r="A126" s="33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84" t="e">
        <f t="shared" si="9"/>
        <v>#N/A</v>
      </c>
      <c r="G126" s="85" t="e">
        <f>_xll.qlDayCounterYearFraction(DayCounter,D125,D126)</f>
        <v>#NUM!</v>
      </c>
      <c r="I126" s="93" t="b">
        <f t="shared" si="7"/>
        <v>0</v>
      </c>
      <c r="J126" s="37" t="e">
        <v>#N/A</v>
      </c>
      <c r="K126" s="94" t="e">
        <f t="shared" si="8"/>
        <v>#VALUE!</v>
      </c>
      <c r="L126" s="106"/>
      <c r="M126" s="72" t="b">
        <f>IF(AND(NOT(I126),AND(I$4:I125)),TRUE,I126)</f>
        <v>0</v>
      </c>
      <c r="N126" s="34" t="e">
        <f>IF(AND(NOT(ISBLANK(Jumpoverwrite1)),AND(NOT(M126),AND(M$4:M125))),($J126*$G126-LN(1+Jumpoverwrite1*O$2))/$G126,_xll.qlInterpolationInterpolate(M$3,$F126,TRUE))</f>
        <v>#NUM!</v>
      </c>
      <c r="O126" s="34" t="str">
        <f>IF(AND(NOT(M126),AND(M$4:M125)),IF(N126&gt;$J126,MAX(EXP((N126-$J126)*$G126),1),MIN(EXP((N126-$J126)*$G126),1)),"")</f>
        <v/>
      </c>
      <c r="P126" s="108"/>
      <c r="Q126" s="72" t="b">
        <f>IF(AND(NOT(M126),AND(M$4:M125)),TRUE,M126)</f>
        <v>0</v>
      </c>
      <c r="R126" s="34" t="e">
        <f>IF(AND(NOT(ISBLANK(Jumpoverwrite2)),AND(NOT(Q126),AND(Q$4:Q125))),($J126*$G126-LN(1+Jumpoverwrite2*S$2))/$G126,_xll.qlInterpolationInterpolate(Q$3,$F126,TRUE))</f>
        <v>#NUM!</v>
      </c>
      <c r="S126" s="34" t="str">
        <f>IF(AND(NOT(Q126),AND(Q$4:Q125)),IF(R126&gt;$J126,MAX(EXP((R126-$J126)*$G126),1),MIN(EXP((R126-$J126)*$G126),1)),"")</f>
        <v/>
      </c>
      <c r="T126" s="108"/>
      <c r="U126" s="72" t="b">
        <f>IF(AND(NOT(Q126),AND(Q$4:Q125)),TRUE,Q126)</f>
        <v>0</v>
      </c>
      <c r="V126" s="34" t="e">
        <f>IF(AND(NOT(ISBLANK(Jumpoverwrite3)),AND(NOT(U126),AND(U$4:U125))),($J126*$G126-LN(1+Jumpoverwrite3*W$2))/$G126,_xll.qlInterpolationInterpolate(U$3,$F126,TRUE))</f>
        <v>#NUM!</v>
      </c>
      <c r="W126" s="34" t="str">
        <f>IF(AND(NOT(U126),AND(U$4:U125)),IF(V126&gt;$J126,MAX(EXP((V126-$J126)*$G126),1),MIN(EXP((V126-$J126)*$G126),1)),"")</f>
        <v/>
      </c>
      <c r="X126" s="108"/>
      <c r="Y126" s="72" t="b">
        <f>IF(AND(NOT(U126),AND(U$4:U125)),TRUE,U126)</f>
        <v>0</v>
      </c>
      <c r="Z126" s="34" t="e">
        <f>IF(AND(NOT(ISBLANK(Jumpoverwrite4)),AND(NOT(Y126),AND(Y$4:Y125))),($J126*$G126-LN(1+Jumpoverwrite4*AA$2))/$G126,_xll.qlInterpolationInterpolate(Y$3,$F126,TRUE))</f>
        <v>#NUM!</v>
      </c>
      <c r="AA126" s="34" t="str">
        <f>IF(AND(NOT(Y126),AND(Y$4:Y125)),IF(Z126&gt;$J126,MAX(EXP((Z126-$J126)*$G126),1),MIN(EXP((Z126-$J126)*$G126),1)),"")</f>
        <v/>
      </c>
      <c r="AB126" s="108"/>
      <c r="AC126" s="72" t="b">
        <f>IF(AND(NOT(Y126),AND(Y$4:Y125)),TRUE,Y126)</f>
        <v>0</v>
      </c>
      <c r="AD126" s="34" t="e">
        <f>IF(AND(NOT(ISBLANK(Jumpoverwrite5)),AND(NOT(AC126),AND(AC$4:AC125))),($J126*$G126-LN(1+Jumpoverwrite5*AE$2))/$G126,_xll.qlInterpolationInterpolate(AC$3,$F126,TRUE))</f>
        <v>#NUM!</v>
      </c>
      <c r="AE126" s="34" t="str">
        <f>IF(AND(NOT(AC126),AND(AC$4:AC125)),IF(AD126&gt;$J126,MAX(EXP((AD126-$J126)*$G126),1),MIN(EXP((AD126-$J126)*$G126),1)),"")</f>
        <v/>
      </c>
      <c r="AF126" s="108"/>
      <c r="AG126" s="72" t="b">
        <f>IF(AND(NOT(AC126),AND(AC$4:AC125)),TRUE,AC126)</f>
        <v>0</v>
      </c>
      <c r="AH126" s="34" t="e">
        <f>IF(AND(NOT(ISBLANK(Jumpoverwrite6)),AND(NOT(AG126),AND(AG$4:AG125))),($J126*$G126-LN(1+Jumpoverwrite6*AI$2))/$G126,_xll.qlInterpolationInterpolate(AG$3,$F126,TRUE))</f>
        <v>#NUM!</v>
      </c>
      <c r="AI126" s="34" t="str">
        <f>IF(AND(NOT(AG126),AND(AG$4:AG125)),IF(AH126&gt;$J126,MAX(EXP((AH126-$J126)*$G126),1),MIN(EXP((AH126-$J126)*$G126),1)),"")</f>
        <v/>
      </c>
      <c r="AJ126" s="108"/>
      <c r="AK126" s="72" t="b">
        <f>IF(AND(NOT(AG126),AND(AG$4:AG125)),TRUE,AG126)</f>
        <v>0</v>
      </c>
      <c r="AL126" s="34" t="e">
        <f>IF(AND(NOT(ISBLANK(Jumpoverwrite7)),AND(NOT(AK126),AND(AK$4:AK125))),($J126*$G126-LN(1+Jumpoverwrite7*AM$2))/$G126,_xll.qlInterpolationInterpolate(AK$3,$F126,TRUE))</f>
        <v>#NUM!</v>
      </c>
      <c r="AM126" s="34" t="str">
        <f>IF(AND(NOT(AK126),AND(AK$4:AK125)),IF(AL126&gt;$J126,MAX(EXP((AL126-$J126)*$G126),1),MIN(EXP((AL126-$J126)*$G126),1)),"")</f>
        <v/>
      </c>
      <c r="AO126" s="72" t="b">
        <f>IF(AND(NOT(AK126),AND(AK$4:AK125)),TRUE,AK126)</f>
        <v>0</v>
      </c>
      <c r="AP126" s="34" t="e">
        <f>IF(AND(NOT(ISBLANK(Jumpoverwrite8)),AND(NOT(AO126),AND(AO$4:AO125))),($J126*$G126-LN(1+Jumpoverwrite8*AQ$2))/$G126,_xll.qlInterpolationInterpolate(AO$3,$F126,TRUE))</f>
        <v>#NUM!</v>
      </c>
      <c r="AQ126" s="34" t="str">
        <f>IF(AND(NOT(AO126),AND(AO$4:AO125)),IF(AP126&gt;$J126,MAX(EXP((AP126-$J126)*$G126),1),MIN(EXP((AP126-$J126)*$G126),1)),"")</f>
        <v/>
      </c>
      <c r="AS126" s="72" t="b">
        <f>IF(AND(NOT(AO126),AND(AO$4:AO125)),TRUE,AO126)</f>
        <v>0</v>
      </c>
      <c r="AT126" s="34" t="e">
        <f>IF(AND(NOT(ISBLANK(Jumpoverwrite9)),AND(NOT(AS126),AND(AS$4:AS125))),($J126*$G126-LN(1+Jumpoverwrite9*AU$2))/$G126,_xll.qlInterpolationInterpolate(AS$3,$F126,TRUE))</f>
        <v>#NUM!</v>
      </c>
      <c r="AU126" s="34" t="str">
        <f>IF(AND(NOT(AS126),AND(AS$4:AS125)),IF(AT126&gt;$J126,MAX(EXP((AT126-$J126)*$G126),1),MIN(EXP((AT126-$J126)*$G126),1)),"")</f>
        <v/>
      </c>
      <c r="AW126" s="72" t="b">
        <f>IF(AND(NOT(AS126),AND(AS$4:AS125)),TRUE,AS126)</f>
        <v>0</v>
      </c>
      <c r="AX126" s="34" t="e">
        <f>IF(AND(NOT(ISBLANK(Jumpoverwrite10)),AND(NOT(AW126),AND(AW$4:AW125))),($J126*$G126-LN(1+Jumpoverwrite10*AY$2))/$G126,_xll.qlInterpolationInterpolate(AW$3,$F126,TRUE))</f>
        <v>#NUM!</v>
      </c>
      <c r="AY126" s="34" t="str">
        <f>IF(AND(NOT(AW126),AND(AW$4:AW125)),IF(AX126&gt;$J126,MAX(EXP((AX126-$J126)*$G126),1),MIN(EXP((AX126-$J126)*$G126),1)),"")</f>
        <v/>
      </c>
      <c r="BA126" s="72" t="b">
        <f>IF(AND(NOT(AW126),AND(AW$4:AW125)),TRUE,AW126)</f>
        <v>0</v>
      </c>
      <c r="BB126" s="34" t="e">
        <f>IF(AND(NOT(ISBLANK(Jumpoverwrite11)),AND(NOT(BA126),AND(BA$4:BA125))),($J126*$G126-LN(1+Jumpoverwrite11*BC$2))/$G126,_xll.qlInterpolationInterpolate(BA$3,$F126,TRUE))</f>
        <v>#NUM!</v>
      </c>
      <c r="BC126" s="34" t="str">
        <f>IF(AND(NOT(BA126),AND(BA$4:BA125)),IF(BB126&gt;$J126,MAX(EXP((BB126-$J126)*$G126),1),MIN(EXP((BB126-$J126)*$G126),1)),"")</f>
        <v/>
      </c>
      <c r="BE126" s="72" t="b">
        <f>IF(AND(NOT(BA126),AND(BA$4:BA125)),TRUE,BA126)</f>
        <v>0</v>
      </c>
      <c r="BF126" s="34" t="e">
        <f>IF(AND(NOT(ISBLANK(Jumpoverwrite12)),AND(NOT(BE126),AND(BE$4:BE125))),($J126*$G126-LN(1+Jumpoverwrite12*BG$2))/$G126,_xll.qlInterpolationInterpolate(BE$3,$F126,TRUE))</f>
        <v>#NUM!</v>
      </c>
      <c r="BG126" s="34" t="str">
        <f>IF(AND(NOT(BE126),AND(BE$4:BE125)),IF(BF126&gt;$J126,MAX(EXP((BF126-$J126)*$G126),1),MIN(EXP((BF126-$J126)*$G126),1)),"")</f>
        <v/>
      </c>
      <c r="BI126" s="72" t="b">
        <f t="shared" si="10"/>
        <v>0</v>
      </c>
      <c r="BJ126" s="34" t="e">
        <f>IF(AND(NOT(ISBLANK(jumpoverwrite13)),AND(NOT(BI126),AND(BI$4:BI125))),($J126*$G126-LN(1+jumpoverwrite13*BK$2))/$G126,_xll.qlInterpolationInterpolate(BI$3,$F126,TRUE))</f>
        <v>#NUM!</v>
      </c>
      <c r="BK126" s="34" t="str">
        <f>IF(AND(NOT(BI126),AND(BI$4:BI125)),IF(BJ126&gt;$J126,MAX(EXP((BJ126-$J126)*$G126),1),MIN(EXP((BJ126-$J126)*$G126),1)),"")</f>
        <v/>
      </c>
      <c r="BM126" s="72" t="b">
        <f>IF(AND(NOT(BI126),AND(BI$4:BI125)),TRUE,BI126)</f>
        <v>0</v>
      </c>
      <c r="BN126" s="175" t="e">
        <f>IF(AND(NOT(ISBLANK(Jumpoverwrite14)),AND(NOT(BM126),AND(BM$4:BM125))),($J126*$G126-LN(1+Jumpoverwrite14*BO$2))/$G126,_xll.qlInterpolationInterpolate(BM$3,$F126,TRUE))</f>
        <v>#NUM!</v>
      </c>
      <c r="BO126" s="34" t="str">
        <f>IF(AND(NOT(BM126),AND(BM$4:BM125)),IF(BM126&gt;$J126,MAX(EXP((BM126-$J126)*$G126),1),MIN(EXP((BM126-$J126)*$G126),1)),"")</f>
        <v/>
      </c>
    </row>
    <row r="127" spans="1:67" x14ac:dyDescent="0.2">
      <c r="A127" s="33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84" t="e">
        <f t="shared" si="9"/>
        <v>#N/A</v>
      </c>
      <c r="G127" s="85" t="e">
        <f>_xll.qlDayCounterYearFraction(DayCounter,D126,D127)</f>
        <v>#NUM!</v>
      </c>
      <c r="I127" s="93" t="b">
        <f t="shared" si="7"/>
        <v>0</v>
      </c>
      <c r="J127" s="37" t="e">
        <v>#N/A</v>
      </c>
      <c r="K127" s="94" t="e">
        <f t="shared" si="8"/>
        <v>#VALUE!</v>
      </c>
      <c r="L127" s="106"/>
      <c r="M127" s="72" t="b">
        <f>IF(AND(NOT(I127),AND(I$4:I126)),TRUE,I127)</f>
        <v>0</v>
      </c>
      <c r="N127" s="34" t="e">
        <f>IF(AND(NOT(ISBLANK(Jumpoverwrite1)),AND(NOT(M127),AND(M$4:M126))),($J127*$G127-LN(1+Jumpoverwrite1*O$2))/$G127,_xll.qlInterpolationInterpolate(M$3,$F127,TRUE))</f>
        <v>#NUM!</v>
      </c>
      <c r="O127" s="34" t="str">
        <f>IF(AND(NOT(M127),AND(M$4:M126)),IF(N127&gt;$J127,MAX(EXP((N127-$J127)*$G127),1),MIN(EXP((N127-$J127)*$G127),1)),"")</f>
        <v/>
      </c>
      <c r="P127" s="108"/>
      <c r="Q127" s="72" t="b">
        <f>IF(AND(NOT(M127),AND(M$4:M126)),TRUE,M127)</f>
        <v>0</v>
      </c>
      <c r="R127" s="34" t="e">
        <f>IF(AND(NOT(ISBLANK(Jumpoverwrite2)),AND(NOT(Q127),AND(Q$4:Q126))),($J127*$G127-LN(1+Jumpoverwrite2*S$2))/$G127,_xll.qlInterpolationInterpolate(Q$3,$F127,TRUE))</f>
        <v>#NUM!</v>
      </c>
      <c r="S127" s="34" t="str">
        <f>IF(AND(NOT(Q127),AND(Q$4:Q126)),IF(R127&gt;$J127,MAX(EXP((R127-$J127)*$G127),1),MIN(EXP((R127-$J127)*$G127),1)),"")</f>
        <v/>
      </c>
      <c r="T127" s="108"/>
      <c r="U127" s="72" t="b">
        <f>IF(AND(NOT(Q127),AND(Q$4:Q126)),TRUE,Q127)</f>
        <v>0</v>
      </c>
      <c r="V127" s="34" t="e">
        <f>IF(AND(NOT(ISBLANK(Jumpoverwrite3)),AND(NOT(U127),AND(U$4:U126))),($J127*$G127-LN(1+Jumpoverwrite3*W$2))/$G127,_xll.qlInterpolationInterpolate(U$3,$F127,TRUE))</f>
        <v>#NUM!</v>
      </c>
      <c r="W127" s="34" t="str">
        <f>IF(AND(NOT(U127),AND(U$4:U126)),IF(V127&gt;$J127,MAX(EXP((V127-$J127)*$G127),1),MIN(EXP((V127-$J127)*$G127),1)),"")</f>
        <v/>
      </c>
      <c r="X127" s="108"/>
      <c r="Y127" s="72" t="b">
        <f>IF(AND(NOT(U127),AND(U$4:U126)),TRUE,U127)</f>
        <v>0</v>
      </c>
      <c r="Z127" s="34" t="e">
        <f>IF(AND(NOT(ISBLANK(Jumpoverwrite4)),AND(NOT(Y127),AND(Y$4:Y126))),($J127*$G127-LN(1+Jumpoverwrite4*AA$2))/$G127,_xll.qlInterpolationInterpolate(Y$3,$F127,TRUE))</f>
        <v>#NUM!</v>
      </c>
      <c r="AA127" s="34" t="str">
        <f>IF(AND(NOT(Y127),AND(Y$4:Y126)),IF(Z127&gt;$J127,MAX(EXP((Z127-$J127)*$G127),1),MIN(EXP((Z127-$J127)*$G127),1)),"")</f>
        <v/>
      </c>
      <c r="AB127" s="108"/>
      <c r="AC127" s="72" t="b">
        <f>IF(AND(NOT(Y127),AND(Y$4:Y126)),TRUE,Y127)</f>
        <v>0</v>
      </c>
      <c r="AD127" s="34" t="e">
        <f>IF(AND(NOT(ISBLANK(Jumpoverwrite5)),AND(NOT(AC127),AND(AC$4:AC126))),($J127*$G127-LN(1+Jumpoverwrite5*AE$2))/$G127,_xll.qlInterpolationInterpolate(AC$3,$F127,TRUE))</f>
        <v>#NUM!</v>
      </c>
      <c r="AE127" s="34" t="str">
        <f>IF(AND(NOT(AC127),AND(AC$4:AC126)),IF(AD127&gt;$J127,MAX(EXP((AD127-$J127)*$G127),1),MIN(EXP((AD127-$J127)*$G127),1)),"")</f>
        <v/>
      </c>
      <c r="AF127" s="108"/>
      <c r="AG127" s="72" t="b">
        <f>IF(AND(NOT(AC127),AND(AC$4:AC126)),TRUE,AC127)</f>
        <v>0</v>
      </c>
      <c r="AH127" s="34" t="e">
        <f>IF(AND(NOT(ISBLANK(Jumpoverwrite6)),AND(NOT(AG127),AND(AG$4:AG126))),($J127*$G127-LN(1+Jumpoverwrite6*AI$2))/$G127,_xll.qlInterpolationInterpolate(AG$3,$F127,TRUE))</f>
        <v>#NUM!</v>
      </c>
      <c r="AI127" s="34" t="str">
        <f>IF(AND(NOT(AG127),AND(AG$4:AG126)),IF(AH127&gt;$J127,MAX(EXP((AH127-$J127)*$G127),1),MIN(EXP((AH127-$J127)*$G127),1)),"")</f>
        <v/>
      </c>
      <c r="AJ127" s="108"/>
      <c r="AK127" s="72" t="b">
        <f>IF(AND(NOT(AG127),AND(AG$4:AG126)),TRUE,AG127)</f>
        <v>0</v>
      </c>
      <c r="AL127" s="34" t="e">
        <f>IF(AND(NOT(ISBLANK(Jumpoverwrite7)),AND(NOT(AK127),AND(AK$4:AK126))),($J127*$G127-LN(1+Jumpoverwrite7*AM$2))/$G127,_xll.qlInterpolationInterpolate(AK$3,$F127,TRUE))</f>
        <v>#NUM!</v>
      </c>
      <c r="AM127" s="34" t="str">
        <f>IF(AND(NOT(AK127),AND(AK$4:AK126)),IF(AL127&gt;$J127,MAX(EXP((AL127-$J127)*$G127),1),MIN(EXP((AL127-$J127)*$G127),1)),"")</f>
        <v/>
      </c>
      <c r="AO127" s="72" t="b">
        <f>IF(AND(NOT(AK127),AND(AK$4:AK126)),TRUE,AK127)</f>
        <v>0</v>
      </c>
      <c r="AP127" s="34" t="e">
        <f>IF(AND(NOT(ISBLANK(Jumpoverwrite8)),AND(NOT(AO127),AND(AO$4:AO126))),($J127*$G127-LN(1+Jumpoverwrite8*AQ$2))/$G127,_xll.qlInterpolationInterpolate(AO$3,$F127,TRUE))</f>
        <v>#NUM!</v>
      </c>
      <c r="AQ127" s="34" t="str">
        <f>IF(AND(NOT(AO127),AND(AO$4:AO126)),IF(AP127&gt;$J127,MAX(EXP((AP127-$J127)*$G127),1),MIN(EXP((AP127-$J127)*$G127),1)),"")</f>
        <v/>
      </c>
      <c r="AS127" s="72" t="b">
        <f>IF(AND(NOT(AO127),AND(AO$4:AO126)),TRUE,AO127)</f>
        <v>0</v>
      </c>
      <c r="AT127" s="34" t="e">
        <f>IF(AND(NOT(ISBLANK(Jumpoverwrite9)),AND(NOT(AS127),AND(AS$4:AS126))),($J127*$G127-LN(1+Jumpoverwrite9*AU$2))/$G127,_xll.qlInterpolationInterpolate(AS$3,$F127,TRUE))</f>
        <v>#NUM!</v>
      </c>
      <c r="AU127" s="34" t="str">
        <f>IF(AND(NOT(AS127),AND(AS$4:AS126)),IF(AT127&gt;$J127,MAX(EXP((AT127-$J127)*$G127),1),MIN(EXP((AT127-$J127)*$G127),1)),"")</f>
        <v/>
      </c>
      <c r="AW127" s="72" t="b">
        <f>IF(AND(NOT(AS127),AND(AS$4:AS126)),TRUE,AS127)</f>
        <v>0</v>
      </c>
      <c r="AX127" s="34" t="e">
        <f>IF(AND(NOT(ISBLANK(Jumpoverwrite10)),AND(NOT(AW127),AND(AW$4:AW126))),($J127*$G127-LN(1+Jumpoverwrite10*AY$2))/$G127,_xll.qlInterpolationInterpolate(AW$3,$F127,TRUE))</f>
        <v>#NUM!</v>
      </c>
      <c r="AY127" s="34" t="str">
        <f>IF(AND(NOT(AW127),AND(AW$4:AW126)),IF(AX127&gt;$J127,MAX(EXP((AX127-$J127)*$G127),1),MIN(EXP((AX127-$J127)*$G127),1)),"")</f>
        <v/>
      </c>
      <c r="BA127" s="72" t="b">
        <f>IF(AND(NOT(AW127),AND(AW$4:AW126)),TRUE,AW127)</f>
        <v>0</v>
      </c>
      <c r="BB127" s="34" t="e">
        <f>IF(AND(NOT(ISBLANK(Jumpoverwrite11)),AND(NOT(BA127),AND(BA$4:BA126))),($J127*$G127-LN(1+Jumpoverwrite11*BC$2))/$G127,_xll.qlInterpolationInterpolate(BA$3,$F127,TRUE))</f>
        <v>#NUM!</v>
      </c>
      <c r="BC127" s="34" t="str">
        <f>IF(AND(NOT(BA127),AND(BA$4:BA126)),IF(BB127&gt;$J127,MAX(EXP((BB127-$J127)*$G127),1),MIN(EXP((BB127-$J127)*$G127),1)),"")</f>
        <v/>
      </c>
      <c r="BE127" s="72" t="b">
        <f>IF(AND(NOT(BA127),AND(BA$4:BA126)),TRUE,BA127)</f>
        <v>0</v>
      </c>
      <c r="BF127" s="34" t="e">
        <f>IF(AND(NOT(ISBLANK(Jumpoverwrite12)),AND(NOT(BE127),AND(BE$4:BE126))),($J127*$G127-LN(1+Jumpoverwrite12*BG$2))/$G127,_xll.qlInterpolationInterpolate(BE$3,$F127,TRUE))</f>
        <v>#NUM!</v>
      </c>
      <c r="BG127" s="34" t="str">
        <f>IF(AND(NOT(BE127),AND(BE$4:BE126)),IF(BF127&gt;$J127,MAX(EXP((BF127-$J127)*$G127),1),MIN(EXP((BF127-$J127)*$G127),1)),"")</f>
        <v/>
      </c>
      <c r="BI127" s="72" t="b">
        <f t="shared" si="10"/>
        <v>0</v>
      </c>
      <c r="BJ127" s="34" t="e">
        <f>IF(AND(NOT(ISBLANK(jumpoverwrite13)),AND(NOT(BI127),AND(BI$4:BI126))),($J127*$G127-LN(1+jumpoverwrite13*BK$2))/$G127,_xll.qlInterpolationInterpolate(BI$3,$F127,TRUE))</f>
        <v>#NUM!</v>
      </c>
      <c r="BK127" s="34" t="str">
        <f>IF(AND(NOT(BI127),AND(BI$4:BI126)),IF(BJ127&gt;$J127,MAX(EXP((BJ127-$J127)*$G127),1),MIN(EXP((BJ127-$J127)*$G127),1)),"")</f>
        <v/>
      </c>
      <c r="BM127" s="72" t="b">
        <f>IF(AND(NOT(BI127),AND(BI$4:BI126)),TRUE,BI127)</f>
        <v>0</v>
      </c>
      <c r="BN127" s="175" t="e">
        <f>IF(AND(NOT(ISBLANK(Jumpoverwrite14)),AND(NOT(BM127),AND(BM$4:BM126))),($J127*$G127-LN(1+Jumpoverwrite14*BO$2))/$G127,_xll.qlInterpolationInterpolate(BM$3,$F127,TRUE))</f>
        <v>#NUM!</v>
      </c>
      <c r="BO127" s="34" t="str">
        <f>IF(AND(NOT(BM127),AND(BM$4:BM126)),IF(BM127&gt;$J127,MAX(EXP((BM127-$J127)*$G127),1),MIN(EXP((BM127-$J127)*$G127),1)),"")</f>
        <v/>
      </c>
    </row>
    <row r="128" spans="1:67" x14ac:dyDescent="0.2">
      <c r="A128" s="33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84" t="e">
        <f t="shared" si="9"/>
        <v>#N/A</v>
      </c>
      <c r="G128" s="85" t="e">
        <f>_xll.qlDayCounterYearFraction(DayCounter,D127,D128)</f>
        <v>#NUM!</v>
      </c>
      <c r="I128" s="93" t="b">
        <f t="shared" si="7"/>
        <v>0</v>
      </c>
      <c r="J128" s="37" t="e">
        <v>#N/A</v>
      </c>
      <c r="K128" s="94" t="e">
        <f t="shared" si="8"/>
        <v>#VALUE!</v>
      </c>
      <c r="L128" s="106"/>
      <c r="M128" s="72" t="b">
        <f>IF(AND(NOT(I128),AND(I$4:I127)),TRUE,I128)</f>
        <v>0</v>
      </c>
      <c r="N128" s="34" t="e">
        <f>IF(AND(NOT(ISBLANK(Jumpoverwrite1)),AND(NOT(M128),AND(M$4:M127))),($J128*$G128-LN(1+Jumpoverwrite1*O$2))/$G128,_xll.qlInterpolationInterpolate(M$3,$F128,TRUE))</f>
        <v>#NUM!</v>
      </c>
      <c r="O128" s="34" t="str">
        <f>IF(AND(NOT(M128),AND(M$4:M127)),IF(N128&gt;$J128,MAX(EXP((N128-$J128)*$G128),1),MIN(EXP((N128-$J128)*$G128),1)),"")</f>
        <v/>
      </c>
      <c r="P128" s="108"/>
      <c r="Q128" s="72" t="b">
        <f>IF(AND(NOT(M128),AND(M$4:M127)),TRUE,M128)</f>
        <v>0</v>
      </c>
      <c r="R128" s="34" t="e">
        <f>IF(AND(NOT(ISBLANK(Jumpoverwrite2)),AND(NOT(Q128),AND(Q$4:Q127))),($J128*$G128-LN(1+Jumpoverwrite2*S$2))/$G128,_xll.qlInterpolationInterpolate(Q$3,$F128,TRUE))</f>
        <v>#NUM!</v>
      </c>
      <c r="S128" s="34" t="str">
        <f>IF(AND(NOT(Q128),AND(Q$4:Q127)),IF(R128&gt;$J128,MAX(EXP((R128-$J128)*$G128),1),MIN(EXP((R128-$J128)*$G128),1)),"")</f>
        <v/>
      </c>
      <c r="T128" s="108"/>
      <c r="U128" s="72" t="b">
        <f>IF(AND(NOT(Q128),AND(Q$4:Q127)),TRUE,Q128)</f>
        <v>0</v>
      </c>
      <c r="V128" s="34" t="e">
        <f>IF(AND(NOT(ISBLANK(Jumpoverwrite3)),AND(NOT(U128),AND(U$4:U127))),($J128*$G128-LN(1+Jumpoverwrite3*W$2))/$G128,_xll.qlInterpolationInterpolate(U$3,$F128,TRUE))</f>
        <v>#NUM!</v>
      </c>
      <c r="W128" s="34" t="str">
        <f>IF(AND(NOT(U128),AND(U$4:U127)),IF(V128&gt;$J128,MAX(EXP((V128-$J128)*$G128),1),MIN(EXP((V128-$J128)*$G128),1)),"")</f>
        <v/>
      </c>
      <c r="X128" s="108"/>
      <c r="Y128" s="72" t="b">
        <f>IF(AND(NOT(U128),AND(U$4:U127)),TRUE,U128)</f>
        <v>0</v>
      </c>
      <c r="Z128" s="34" t="e">
        <f>IF(AND(NOT(ISBLANK(Jumpoverwrite4)),AND(NOT(Y128),AND(Y$4:Y127))),($J128*$G128-LN(1+Jumpoverwrite4*AA$2))/$G128,_xll.qlInterpolationInterpolate(Y$3,$F128,TRUE))</f>
        <v>#NUM!</v>
      </c>
      <c r="AA128" s="34" t="str">
        <f>IF(AND(NOT(Y128),AND(Y$4:Y127)),IF(Z128&gt;$J128,MAX(EXP((Z128-$J128)*$G128),1),MIN(EXP((Z128-$J128)*$G128),1)),"")</f>
        <v/>
      </c>
      <c r="AB128" s="108"/>
      <c r="AC128" s="72" t="b">
        <f>IF(AND(NOT(Y128),AND(Y$4:Y127)),TRUE,Y128)</f>
        <v>0</v>
      </c>
      <c r="AD128" s="34" t="e">
        <f>IF(AND(NOT(ISBLANK(Jumpoverwrite5)),AND(NOT(AC128),AND(AC$4:AC127))),($J128*$G128-LN(1+Jumpoverwrite5*AE$2))/$G128,_xll.qlInterpolationInterpolate(AC$3,$F128,TRUE))</f>
        <v>#NUM!</v>
      </c>
      <c r="AE128" s="34" t="str">
        <f>IF(AND(NOT(AC128),AND(AC$4:AC127)),IF(AD128&gt;$J128,MAX(EXP((AD128-$J128)*$G128),1),MIN(EXP((AD128-$J128)*$G128),1)),"")</f>
        <v/>
      </c>
      <c r="AF128" s="108"/>
      <c r="AG128" s="72" t="b">
        <f>IF(AND(NOT(AC128),AND(AC$4:AC127)),TRUE,AC128)</f>
        <v>0</v>
      </c>
      <c r="AH128" s="34" t="e">
        <f>IF(AND(NOT(ISBLANK(Jumpoverwrite6)),AND(NOT(AG128),AND(AG$4:AG127))),($J128*$G128-LN(1+Jumpoverwrite6*AI$2))/$G128,_xll.qlInterpolationInterpolate(AG$3,$F128,TRUE))</f>
        <v>#NUM!</v>
      </c>
      <c r="AI128" s="34" t="str">
        <f>IF(AND(NOT(AG128),AND(AG$4:AG127)),IF(AH128&gt;$J128,MAX(EXP((AH128-$J128)*$G128),1),MIN(EXP((AH128-$J128)*$G128),1)),"")</f>
        <v/>
      </c>
      <c r="AJ128" s="108"/>
      <c r="AK128" s="72" t="b">
        <f>IF(AND(NOT(AG128),AND(AG$4:AG127)),TRUE,AG128)</f>
        <v>0</v>
      </c>
      <c r="AL128" s="34" t="e">
        <f>IF(AND(NOT(ISBLANK(Jumpoverwrite7)),AND(NOT(AK128),AND(AK$4:AK127))),($J128*$G128-LN(1+Jumpoverwrite7*AM$2))/$G128,_xll.qlInterpolationInterpolate(AK$3,$F128,TRUE))</f>
        <v>#NUM!</v>
      </c>
      <c r="AM128" s="34" t="str">
        <f>IF(AND(NOT(AK128),AND(AK$4:AK127)),IF(AL128&gt;$J128,MAX(EXP((AL128-$J128)*$G128),1),MIN(EXP((AL128-$J128)*$G128),1)),"")</f>
        <v/>
      </c>
      <c r="AO128" s="72" t="b">
        <f>IF(AND(NOT(AK128),AND(AK$4:AK127)),TRUE,AK128)</f>
        <v>0</v>
      </c>
      <c r="AP128" s="34" t="e">
        <f>IF(AND(NOT(ISBLANK(Jumpoverwrite8)),AND(NOT(AO128),AND(AO$4:AO127))),($J128*$G128-LN(1+Jumpoverwrite8*AQ$2))/$G128,_xll.qlInterpolationInterpolate(AO$3,$F128,TRUE))</f>
        <v>#NUM!</v>
      </c>
      <c r="AQ128" s="34" t="str">
        <f>IF(AND(NOT(AO128),AND(AO$4:AO127)),IF(AP128&gt;$J128,MAX(EXP((AP128-$J128)*$G128),1),MIN(EXP((AP128-$J128)*$G128),1)),"")</f>
        <v/>
      </c>
      <c r="AS128" s="72" t="b">
        <f>IF(AND(NOT(AO128),AND(AO$4:AO127)),TRUE,AO128)</f>
        <v>0</v>
      </c>
      <c r="AT128" s="34" t="e">
        <f>IF(AND(NOT(ISBLANK(Jumpoverwrite9)),AND(NOT(AS128),AND(AS$4:AS127))),($J128*$G128-LN(1+Jumpoverwrite9*AU$2))/$G128,_xll.qlInterpolationInterpolate(AS$3,$F128,TRUE))</f>
        <v>#NUM!</v>
      </c>
      <c r="AU128" s="34" t="str">
        <f>IF(AND(NOT(AS128),AND(AS$4:AS127)),IF(AT128&gt;$J128,MAX(EXP((AT128-$J128)*$G128),1),MIN(EXP((AT128-$J128)*$G128),1)),"")</f>
        <v/>
      </c>
      <c r="AW128" s="72" t="b">
        <f>IF(AND(NOT(AS128),AND(AS$4:AS127)),TRUE,AS128)</f>
        <v>0</v>
      </c>
      <c r="AX128" s="34" t="e">
        <f>IF(AND(NOT(ISBLANK(Jumpoverwrite10)),AND(NOT(AW128),AND(AW$4:AW127))),($J128*$G128-LN(1+Jumpoverwrite10*AY$2))/$G128,_xll.qlInterpolationInterpolate(AW$3,$F128,TRUE))</f>
        <v>#NUM!</v>
      </c>
      <c r="AY128" s="34" t="str">
        <f>IF(AND(NOT(AW128),AND(AW$4:AW127)),IF(AX128&gt;$J128,MAX(EXP((AX128-$J128)*$G128),1),MIN(EXP((AX128-$J128)*$G128),1)),"")</f>
        <v/>
      </c>
      <c r="BA128" s="72" t="b">
        <f>IF(AND(NOT(AW128),AND(AW$4:AW127)),TRUE,AW128)</f>
        <v>0</v>
      </c>
      <c r="BB128" s="34" t="e">
        <f>IF(AND(NOT(ISBLANK(Jumpoverwrite11)),AND(NOT(BA128),AND(BA$4:BA127))),($J128*$G128-LN(1+Jumpoverwrite11*BC$2))/$G128,_xll.qlInterpolationInterpolate(BA$3,$F128,TRUE))</f>
        <v>#NUM!</v>
      </c>
      <c r="BC128" s="34" t="str">
        <f>IF(AND(NOT(BA128),AND(BA$4:BA127)),IF(BB128&gt;$J128,MAX(EXP((BB128-$J128)*$G128),1),MIN(EXP((BB128-$J128)*$G128),1)),"")</f>
        <v/>
      </c>
      <c r="BE128" s="72" t="b">
        <f>IF(AND(NOT(BA128),AND(BA$4:BA127)),TRUE,BA128)</f>
        <v>0</v>
      </c>
      <c r="BF128" s="34" t="e">
        <f>IF(AND(NOT(ISBLANK(Jumpoverwrite12)),AND(NOT(BE128),AND(BE$4:BE127))),($J128*$G128-LN(1+Jumpoverwrite12*BG$2))/$G128,_xll.qlInterpolationInterpolate(BE$3,$F128,TRUE))</f>
        <v>#NUM!</v>
      </c>
      <c r="BG128" s="34" t="str">
        <f>IF(AND(NOT(BE128),AND(BE$4:BE127)),IF(BF128&gt;$J128,MAX(EXP((BF128-$J128)*$G128),1),MIN(EXP((BF128-$J128)*$G128),1)),"")</f>
        <v/>
      </c>
      <c r="BI128" s="72" t="b">
        <f t="shared" si="10"/>
        <v>0</v>
      </c>
      <c r="BJ128" s="34" t="e">
        <f>IF(AND(NOT(ISBLANK(jumpoverwrite13)),AND(NOT(BI128),AND(BI$4:BI127))),($J128*$G128-LN(1+jumpoverwrite13*BK$2))/$G128,_xll.qlInterpolationInterpolate(BI$3,$F128,TRUE))</f>
        <v>#NUM!</v>
      </c>
      <c r="BK128" s="34" t="str">
        <f>IF(AND(NOT(BI128),AND(BI$4:BI127)),IF(BJ128&gt;$J128,MAX(EXP((BJ128-$J128)*$G128),1),MIN(EXP((BJ128-$J128)*$G128),1)),"")</f>
        <v/>
      </c>
      <c r="BM128" s="72" t="b">
        <f>IF(AND(NOT(BI128),AND(BI$4:BI127)),TRUE,BI128)</f>
        <v>0</v>
      </c>
      <c r="BN128" s="175" t="e">
        <f>IF(AND(NOT(ISBLANK(Jumpoverwrite14)),AND(NOT(BM128),AND(BM$4:BM127))),($J128*$G128-LN(1+Jumpoverwrite14*BO$2))/$G128,_xll.qlInterpolationInterpolate(BM$3,$F128,TRUE))</f>
        <v>#NUM!</v>
      </c>
      <c r="BO128" s="34" t="str">
        <f>IF(AND(NOT(BM128),AND(BM$4:BM127)),IF(BM128&gt;$J128,MAX(EXP((BM128-$J128)*$G128),1),MIN(EXP((BM128-$J128)*$G128),1)),"")</f>
        <v/>
      </c>
    </row>
    <row r="129" spans="1:67" ht="12" thickBot="1" x14ac:dyDescent="0.25">
      <c r="A129" s="33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86" t="e">
        <f t="shared" si="9"/>
        <v>#N/A</v>
      </c>
      <c r="G129" s="87" t="e">
        <f>_xll.qlDayCounterYearFraction(DayCounter,D128,D129)</f>
        <v>#NUM!</v>
      </c>
      <c r="I129" s="95" t="b">
        <f t="shared" si="7"/>
        <v>0</v>
      </c>
      <c r="J129" s="96" t="e">
        <v>#N/A</v>
      </c>
      <c r="K129" s="97" t="e">
        <f t="shared" si="8"/>
        <v>#VALUE!</v>
      </c>
      <c r="L129" s="106"/>
      <c r="M129" s="73" t="b">
        <f>IF(AND(NOT(I129),AND(I$4:I128)),TRUE,I129)</f>
        <v>0</v>
      </c>
      <c r="N129" s="103" t="e">
        <f>IF(AND(NOT(ISBLANK(Jumpoverwrite1)),AND(NOT(M129),AND(M$4:M128))),($J129*$G129-LN(1+Jumpoverwrite1*O$2))/$G129,_xll.qlInterpolationInterpolate(M$3,$F129,TRUE))</f>
        <v>#NUM!</v>
      </c>
      <c r="O129" s="103" t="str">
        <f>IF(AND(NOT(M129),AND(M$4:M128)),IF(N129&gt;$J129,MAX(EXP((N129-$J129)*$G129),1),MIN(EXP((N129-$J129)*$G129),1)),"")</f>
        <v/>
      </c>
      <c r="P129" s="110"/>
      <c r="Q129" s="73" t="b">
        <f>IF(AND(NOT(M129),AND(M$4:M128)),TRUE,M129)</f>
        <v>0</v>
      </c>
      <c r="R129" s="103" t="e">
        <f>IF(AND(NOT(ISBLANK(Jumpoverwrite2)),AND(NOT(Q129),AND(Q$4:Q128))),($J129*$G129-LN(1+Jumpoverwrite2*S$2))/$G129,_xll.qlInterpolationInterpolate(Q$3,$F129,TRUE))</f>
        <v>#NUM!</v>
      </c>
      <c r="S129" s="103" t="str">
        <f>IF(AND(NOT(Q129),AND(Q$4:Q128)),IF(R129&gt;$J129,MAX(EXP((R129-$J129)*$G129),1),MIN(EXP((R129-$J129)*$G129),1)),"")</f>
        <v/>
      </c>
      <c r="T129" s="108"/>
      <c r="U129" s="73" t="b">
        <f>IF(AND(NOT(Q129),AND(Q$4:Q128)),TRUE,Q129)</f>
        <v>0</v>
      </c>
      <c r="V129" s="103" t="e">
        <f>IF(AND(NOT(ISBLANK(Jumpoverwrite3)),AND(NOT(U129),AND(U$4:U128))),($J129*$G129-LN(1+Jumpoverwrite3*W$2))/$G129,_xll.qlInterpolationInterpolate(U$3,$F129,TRUE))</f>
        <v>#NUM!</v>
      </c>
      <c r="W129" s="103" t="str">
        <f>IF(AND(NOT(U129),AND(U$4:U128)),IF(V129&gt;$J129,MAX(EXP((V129-$J129)*$G129),1),MIN(EXP((V129-$J129)*$G129),1)),"")</f>
        <v/>
      </c>
      <c r="X129" s="110"/>
      <c r="Y129" s="73" t="b">
        <f>IF(AND(NOT(U129),AND(U$4:U128)),TRUE,U129)</f>
        <v>0</v>
      </c>
      <c r="Z129" s="103" t="e">
        <f>IF(AND(NOT(ISBLANK(Jumpoverwrite4)),AND(NOT(Y129),AND(Y$4:Y128))),($J129*$G129-LN(1+Jumpoverwrite4*AA$2))/$G129,_xll.qlInterpolationInterpolate(Y$3,$F129,TRUE))</f>
        <v>#NUM!</v>
      </c>
      <c r="AA129" s="103" t="str">
        <f>IF(AND(NOT(Y129),AND(Y$4:Y128)),IF(Z129&gt;$J129,MAX(EXP((Z129-$J129)*$G129),1),MIN(EXP((Z129-$J129)*$G129),1)),"")</f>
        <v/>
      </c>
      <c r="AB129" s="110"/>
      <c r="AC129" s="73" t="b">
        <f>IF(AND(NOT(Y129),AND(Y$4:Y128)),TRUE,Y129)</f>
        <v>0</v>
      </c>
      <c r="AD129" s="103" t="e">
        <f>IF(AND(NOT(ISBLANK(Jumpoverwrite5)),AND(NOT(AC129),AND(AC$4:AC128))),($J129*$G129-LN(1+Jumpoverwrite5*AE$2))/$G129,_xll.qlInterpolationInterpolate(AC$3,$F129,TRUE))</f>
        <v>#NUM!</v>
      </c>
      <c r="AE129" s="103" t="str">
        <f>IF(AND(NOT(AC129),AND(AC$4:AC128)),IF(AD129&gt;$J129,MAX(EXP((AD129-$J129)*$G129),1),MIN(EXP((AD129-$J129)*$G129),1)),"")</f>
        <v/>
      </c>
      <c r="AF129" s="110"/>
      <c r="AG129" s="73" t="b">
        <f>IF(AND(NOT(AC129),AND(AC$4:AC128)),TRUE,AC129)</f>
        <v>0</v>
      </c>
      <c r="AH129" s="103" t="e">
        <f>IF(AND(NOT(ISBLANK(Jumpoverwrite6)),AND(NOT(AG129),AND(AG$4:AG128))),($J129*$G129-LN(1+Jumpoverwrite6*AI$2))/$G129,_xll.qlInterpolationInterpolate(AG$3,$F129,TRUE))</f>
        <v>#NUM!</v>
      </c>
      <c r="AI129" s="103" t="str">
        <f>IF(AND(NOT(AG129),AND(AG$4:AG128)),IF(AH129&gt;$J129,MAX(EXP((AH129-$J129)*$G129),1),MIN(EXP((AH129-$J129)*$G129),1)),"")</f>
        <v/>
      </c>
      <c r="AJ129" s="110"/>
      <c r="AK129" s="73" t="b">
        <f>IF(AND(NOT(AG129),AND(AG$4:AG128)),TRUE,AG129)</f>
        <v>0</v>
      </c>
      <c r="AL129" s="103" t="e">
        <f>IF(AND(NOT(ISBLANK(Jumpoverwrite7)),AND(NOT(AK129),AND(AK$4:AK128))),($J129*$G129-LN(1+Jumpoverwrite7*AM$2))/$G129,_xll.qlInterpolationInterpolate(AK$3,$F129,TRUE))</f>
        <v>#NUM!</v>
      </c>
      <c r="AM129" s="103" t="str">
        <f>IF(AND(NOT(AK129),AND(AK$4:AK128)),IF(AL129&gt;$J129,MAX(EXP((AL129-$J129)*$G129),1),MIN(EXP((AL129-$J129)*$G129),1)),"")</f>
        <v/>
      </c>
      <c r="AO129" s="73" t="b">
        <f>IF(AND(NOT(AK129),AND(AK$4:AK128)),TRUE,AK129)</f>
        <v>0</v>
      </c>
      <c r="AP129" s="103" t="e">
        <f>IF(AND(NOT(ISBLANK(Jumpoverwrite8)),AND(NOT(AO129),AND(AO$4:AO128))),($J129*$G129-LN(1+Jumpoverwrite8*AQ$2))/$G129,_xll.qlInterpolationInterpolate(AO$3,$F129,TRUE))</f>
        <v>#NUM!</v>
      </c>
      <c r="AQ129" s="103" t="str">
        <f>IF(AND(NOT(AO129),AND(AO$4:AO128)),IF(AP129&gt;$J129,MAX(EXP((AP129-$J129)*$G129),1),MIN(EXP((AP129-$J129)*$G129),1)),"")</f>
        <v/>
      </c>
      <c r="AS129" s="73" t="b">
        <f>IF(AND(NOT(AO129),AND(AO$4:AO128)),TRUE,AO129)</f>
        <v>0</v>
      </c>
      <c r="AT129" s="103" t="e">
        <f>IF(AND(NOT(ISBLANK(Jumpoverwrite9)),AND(NOT(AS129),AND(AS$4:AS128))),($J129*$G129-LN(1+Jumpoverwrite9*AU$2))/$G129,_xll.qlInterpolationInterpolate(AS$3,$F129,TRUE))</f>
        <v>#NUM!</v>
      </c>
      <c r="AU129" s="103" t="str">
        <f>IF(AND(NOT(AS129),AND(AS$4:AS128)),IF(AT129&gt;$J129,MAX(EXP((AT129-$J129)*$G129),1),MIN(EXP((AT129-$J129)*$G129),1)),"")</f>
        <v/>
      </c>
      <c r="AW129" s="73" t="b">
        <f>IF(AND(NOT(AS129),AND(AS$4:AS128)),TRUE,AS129)</f>
        <v>0</v>
      </c>
      <c r="AX129" s="103" t="e">
        <f>IF(AND(NOT(ISBLANK(Jumpoverwrite10)),AND(NOT(AW129),AND(AW$4:AW128))),($J129*$G129-LN(1+Jumpoverwrite10*AY$2))/$G129,_xll.qlInterpolationInterpolate(AW$3,$F129,TRUE))</f>
        <v>#NUM!</v>
      </c>
      <c r="AY129" s="103" t="str">
        <f>IF(AND(NOT(AW129),AND(AW$4:AW128)),IF(AX129&gt;$J129,MAX(EXP((AX129-$J129)*$G129),1),MIN(EXP((AX129-$J129)*$G129),1)),"")</f>
        <v/>
      </c>
      <c r="BA129" s="73" t="b">
        <f>IF(AND(NOT(AW129),AND(AW$4:AW128)),TRUE,AW129)</f>
        <v>0</v>
      </c>
      <c r="BB129" s="103" t="e">
        <f>IF(AND(NOT(ISBLANK(Jumpoverwrite11)),AND(NOT(BA129),AND(BA$4:BA128))),($J129*$G129-LN(1+Jumpoverwrite11*BC$2))/$G129,_xll.qlInterpolationInterpolate(BA$3,$F129,TRUE))</f>
        <v>#NUM!</v>
      </c>
      <c r="BC129" s="103" t="str">
        <f>IF(AND(NOT(BA129),AND(BA$4:BA128)),IF(BB129&gt;$J129,MAX(EXP((BB129-$J129)*$G129),1),MIN(EXP((BB129-$J129)*$G129),1)),"")</f>
        <v/>
      </c>
      <c r="BE129" s="73" t="b">
        <f>IF(AND(NOT(BA129),AND(BA$4:BA128)),TRUE,BA129)</f>
        <v>0</v>
      </c>
      <c r="BF129" s="103" t="e">
        <f>IF(AND(NOT(ISBLANK(Jumpoverwrite12)),AND(NOT(BE129),AND(BE$4:BE128))),($J129*$G129-LN(1+Jumpoverwrite12*BG$2))/$G129,_xll.qlInterpolationInterpolate(BE$3,$F129,TRUE))</f>
        <v>#NUM!</v>
      </c>
      <c r="BG129" s="103" t="str">
        <f>IF(AND(NOT(BE129),AND(BE$4:BE128)),IF(BF129&gt;$J129,MAX(EXP((BF129-$J129)*$G129),1),MIN(EXP((BF129-$J129)*$G129),1)),"")</f>
        <v/>
      </c>
      <c r="BI129" s="73" t="b">
        <f t="shared" si="10"/>
        <v>0</v>
      </c>
      <c r="BJ129" s="103" t="e">
        <f>IF(AND(NOT(ISBLANK(jumpoverwrite13)),AND(NOT(BI129),AND(BI$4:BI128))),($J129*$G129-LN(1+jumpoverwrite13*BK$2))/$G129,_xll.qlInterpolationInterpolate(BI$3,$F129,TRUE))</f>
        <v>#NUM!</v>
      </c>
      <c r="BK129" s="103" t="str">
        <f>IF(AND(NOT(BI129),AND(BI$4:BI128)),IF(BJ129&gt;$J129,MAX(EXP((BJ129-$J129)*$G129),1),MIN(EXP((BJ129-$J129)*$G129),1)),"")</f>
        <v/>
      </c>
      <c r="BM129" s="72" t="b">
        <f>IF(AND(NOT(BI129),AND(BI$4:BI128)),TRUE,BI129)</f>
        <v>0</v>
      </c>
      <c r="BN129" s="175" t="e">
        <f>IF(AND(NOT(ISBLANK(Jumpoverwrite14)),AND(NOT(BM129),AND(BM$4:BM128))),($J129*$G129-LN(1+Jumpoverwrite14*BO$2))/$G129,_xll.qlInterpolationInterpolate(BM$3,$F129,TRUE))</f>
        <v>#NUM!</v>
      </c>
      <c r="BO129" s="103" t="str">
        <f>IF(AND(NOT(BM129),AND(BM$4:BM128)),IF(BM129&gt;$J129,MAX(EXP((BM129-$J129)*$G129),1),MIN(EXP((BM129-$J129)*$G129),1)),"")</f>
        <v/>
      </c>
    </row>
    <row r="130" spans="1:67" x14ac:dyDescent="0.2">
      <c r="A130" s="77"/>
      <c r="B130" s="77"/>
      <c r="C130" s="77"/>
      <c r="D130" s="77"/>
      <c r="BM130" s="78"/>
      <c r="BN130" s="78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05"/>
  <sheetViews>
    <sheetView showGridLines="0" workbookViewId="0">
      <selection activeCell="L2" sqref="L2"/>
    </sheetView>
  </sheetViews>
  <sheetFormatPr defaultRowHeight="11.25" x14ac:dyDescent="0.2"/>
  <cols>
    <col min="1" max="1" width="2.7109375" style="131" customWidth="1"/>
    <col min="2" max="2" width="7" style="131" bestFit="1" customWidth="1"/>
    <col min="3" max="3" width="17.28515625" style="131" bestFit="1" customWidth="1"/>
    <col min="4" max="4" width="11" style="131" bestFit="1" customWidth="1"/>
    <col min="5" max="5" width="8" style="131" bestFit="1" customWidth="1"/>
    <col min="6" max="6" width="10" style="131" bestFit="1" customWidth="1"/>
    <col min="7" max="7" width="2.7109375" style="131" customWidth="1"/>
    <col min="8" max="8" width="11" style="131" bestFit="1" customWidth="1"/>
    <col min="9" max="9" width="2.7109375" style="131" customWidth="1"/>
    <col min="10" max="10" width="24.42578125" style="131" bestFit="1" customWidth="1"/>
    <col min="11" max="11" width="29.7109375" style="131" bestFit="1" customWidth="1"/>
    <col min="12" max="12" width="10" style="131" bestFit="1" customWidth="1"/>
    <col min="13" max="13" width="9" style="131" bestFit="1" customWidth="1"/>
    <col min="14" max="15" width="2.7109375" style="131" customWidth="1"/>
    <col min="16" max="16" width="10" style="131" customWidth="1"/>
    <col min="17" max="17" width="17.28515625" style="131" customWidth="1"/>
    <col min="18" max="18" width="9" style="131" customWidth="1"/>
    <col min="19" max="25" width="8.7109375" style="131" customWidth="1"/>
    <col min="26" max="16384" width="9.140625" style="131"/>
  </cols>
  <sheetData>
    <row r="1" spans="1:18" ht="11.25" customHeight="1" x14ac:dyDescent="0.25">
      <c r="A1" s="169"/>
      <c r="B1" s="170"/>
      <c r="C1" s="170"/>
      <c r="D1" s="171"/>
      <c r="E1" s="171"/>
      <c r="F1" s="171"/>
      <c r="G1" s="172"/>
      <c r="H1" s="171"/>
      <c r="I1" s="171"/>
      <c r="J1" s="170"/>
      <c r="K1" s="170"/>
      <c r="L1" s="170"/>
      <c r="M1" s="173">
        <f>_xll.ohTrigger(M3:M4)</f>
        <v>36</v>
      </c>
      <c r="N1" s="174"/>
      <c r="Q1" s="131">
        <v>4</v>
      </c>
    </row>
    <row r="2" spans="1:18" ht="22.5" x14ac:dyDescent="0.25">
      <c r="A2" s="126"/>
      <c r="B2" s="112"/>
      <c r="C2" s="113" t="s">
        <v>76</v>
      </c>
      <c r="D2" s="113" t="s">
        <v>77</v>
      </c>
      <c r="E2" s="114" t="s">
        <v>80</v>
      </c>
      <c r="F2" s="114" t="s">
        <v>81</v>
      </c>
      <c r="G2" s="124"/>
      <c r="H2" s="112" t="s">
        <v>46</v>
      </c>
      <c r="I2" s="21"/>
      <c r="J2" s="112" t="s">
        <v>78</v>
      </c>
      <c r="K2" s="112"/>
      <c r="L2" s="112" t="s">
        <v>47</v>
      </c>
      <c r="M2" s="112" t="s">
        <v>48</v>
      </c>
      <c r="N2" s="125"/>
      <c r="P2" s="140" t="s">
        <v>85</v>
      </c>
      <c r="Q2" s="140" t="s">
        <v>86</v>
      </c>
      <c r="R2" s="140" t="s">
        <v>87</v>
      </c>
    </row>
    <row r="3" spans="1:18" ht="11.25" customHeight="1" x14ac:dyDescent="0.25">
      <c r="A3" s="126"/>
      <c r="B3" s="115" t="s">
        <v>63</v>
      </c>
      <c r="C3" s="116">
        <f>JumpDate1</f>
        <v>42613</v>
      </c>
      <c r="D3" s="137">
        <f>JumpValue1</f>
        <v>1</v>
      </c>
      <c r="E3" s="134">
        <f>JumpSize1</f>
        <v>0</v>
      </c>
      <c r="F3" s="117"/>
      <c r="G3" s="124"/>
      <c r="H3" s="132">
        <v>1</v>
      </c>
      <c r="I3" s="21"/>
      <c r="J3" s="36" t="str">
        <f t="shared" ref="J3:J15" si="0">Currency&amp;$B3&amp;QuoteSuffix</f>
        <v>USDJump1_Quote</v>
      </c>
      <c r="K3" s="36" t="str">
        <f>_xll.qlSimpleQuote(J3,,,TRUE,Trigger)</f>
        <v>USDJump1_Quote#0012</v>
      </c>
      <c r="L3" s="36">
        <f t="array" ref="L3:L16">Live</f>
        <v>1</v>
      </c>
      <c r="M3" s="36" t="e">
        <f>_xll.qlSimpleQuoteSetValue($K3,ROUND($L3,7),EvaluationDate)</f>
        <v>#N/A</v>
      </c>
      <c r="N3" s="125"/>
      <c r="P3" s="141" t="s">
        <v>88</v>
      </c>
      <c r="Q3" s="142">
        <f>SettlementDate</f>
        <v>42594</v>
      </c>
      <c r="R3" s="143">
        <f>IF((ISERR(_xll.qlIndexFixing(Index,Q3,,InterestRatesTrigger))),_xll.qlIndexFixing(Index,Q3-$Q$1,,InterestRatesTrigger),_xll.qlIndexFixing(Index,Q3,,InterestRatesTrigger))</f>
        <v>4.2461666666604447E-3</v>
      </c>
    </row>
    <row r="4" spans="1:18" ht="11.25" customHeight="1" x14ac:dyDescent="0.25">
      <c r="A4" s="126"/>
      <c r="B4" s="118" t="s">
        <v>64</v>
      </c>
      <c r="C4" s="119">
        <f>JumpDate2</f>
        <v>42643</v>
      </c>
      <c r="D4" s="132">
        <f>JumpValue2</f>
        <v>1</v>
      </c>
      <c r="E4" s="135">
        <f>JumpSize2</f>
        <v>0</v>
      </c>
      <c r="F4" s="120">
        <v>0</v>
      </c>
      <c r="G4" s="124"/>
      <c r="H4" s="132">
        <v>1</v>
      </c>
      <c r="I4" s="21"/>
      <c r="J4" s="122" t="str">
        <f t="shared" si="0"/>
        <v>USDJump2_Quote</v>
      </c>
      <c r="K4" s="122" t="str">
        <f>_xll.qlSimpleQuote(J4,,,TRUE,Trigger)</f>
        <v>USDJump2_Quote#0012</v>
      </c>
      <c r="L4" s="122">
        <v>1</v>
      </c>
      <c r="M4" s="122" t="e">
        <f>_xll.qlSimpleQuoteSetValue($K4,ROUND($L4,7),EvaluationDate)</f>
        <v>#N/A</v>
      </c>
      <c r="N4" s="125"/>
      <c r="P4" s="141" t="s">
        <v>88</v>
      </c>
      <c r="Q4" s="142">
        <f>_xll.qlCalendarAdvance(Calendar,Q3,P4,"f")</f>
        <v>42597</v>
      </c>
      <c r="R4" s="143">
        <f>IF((ISERR(_xll.qlIndexFixing(Index,Q4,,InterestRatesTrigger))),_xll.qlIndexFixing(Index,Q4-$Q$1,,InterestRatesTrigger),_xll.qlIndexFixing(Index,Q4,,InterestRatesTrigger))</f>
        <v>4.0007256434715366E-3</v>
      </c>
    </row>
    <row r="5" spans="1:18" ht="11.25" customHeight="1" x14ac:dyDescent="0.25">
      <c r="A5" s="126"/>
      <c r="B5" s="118" t="s">
        <v>65</v>
      </c>
      <c r="C5" s="119">
        <f>JumpDate3</f>
        <v>42674</v>
      </c>
      <c r="D5" s="132">
        <f>JumpValue3</f>
        <v>1</v>
      </c>
      <c r="E5" s="135">
        <f>JumpSize3</f>
        <v>0</v>
      </c>
      <c r="F5" s="120">
        <v>0</v>
      </c>
      <c r="G5" s="124"/>
      <c r="H5" s="132">
        <v>1</v>
      </c>
      <c r="I5" s="124"/>
      <c r="J5" s="122" t="str">
        <f t="shared" si="0"/>
        <v>USDJump3_Quote</v>
      </c>
      <c r="K5" s="122" t="str">
        <f>_xll.qlSimpleQuote(J5,,,TRUE,Trigger)</f>
        <v>USDJump3_Quote#0012</v>
      </c>
      <c r="L5" s="122">
        <v>1</v>
      </c>
      <c r="M5" s="122" t="e">
        <f>_xll.qlSimpleQuoteSetValue($K5,ROUND($L5,7),EvaluationDate)</f>
        <v>#N/A</v>
      </c>
      <c r="N5" s="125"/>
      <c r="P5" s="141" t="s">
        <v>88</v>
      </c>
      <c r="Q5" s="142">
        <f>_xll.qlCalendarAdvance(Calendar,Q4,P5,"f")</f>
        <v>42598</v>
      </c>
      <c r="R5" s="143">
        <f>IF((ISERR(_xll.qlIndexFixing(Index,Q5,,InterestRatesTrigger))),_xll.qlIndexFixing(Index,Q5-$Q$1,,InterestRatesTrigger),_xll.qlIndexFixing(Index,Q5,,InterestRatesTrigger))</f>
        <v>4.0007256434715366E-3</v>
      </c>
    </row>
    <row r="6" spans="1:18" ht="11.25" customHeight="1" x14ac:dyDescent="0.25">
      <c r="A6" s="126"/>
      <c r="B6" s="118" t="s">
        <v>66</v>
      </c>
      <c r="C6" s="119">
        <f>JumpDate4</f>
        <v>42704</v>
      </c>
      <c r="D6" s="132">
        <f>JumpValue4</f>
        <v>1</v>
      </c>
      <c r="E6" s="135">
        <f>JumpSize4</f>
        <v>0</v>
      </c>
      <c r="F6" s="120">
        <v>0</v>
      </c>
      <c r="G6" s="124"/>
      <c r="H6" s="132">
        <v>1</v>
      </c>
      <c r="I6" s="124"/>
      <c r="J6" s="122" t="str">
        <f t="shared" si="0"/>
        <v>USDJump4_Quote</v>
      </c>
      <c r="K6" s="122" t="str">
        <f>_xll.qlSimpleQuote(J6,,,TRUE,Trigger)</f>
        <v>USDJump4_Quote#0012</v>
      </c>
      <c r="L6" s="122">
        <v>1</v>
      </c>
      <c r="M6" s="122" t="e">
        <f>_xll.qlSimpleQuoteSetValue($K6,ROUND($L6,7),EvaluationDate)</f>
        <v>#N/A</v>
      </c>
      <c r="N6" s="125"/>
      <c r="P6" s="141" t="s">
        <v>88</v>
      </c>
      <c r="Q6" s="142">
        <f>_xll.qlCalendarAdvance(Calendar,Q5,P6,"f")</f>
        <v>42599</v>
      </c>
      <c r="R6" s="143">
        <f>IF((ISERR(_xll.qlIndexFixing(Index,Q6,,InterestRatesTrigger))),_xll.qlIndexFixing(Index,Q6-$Q$1,,InterestRatesTrigger),_xll.qlIndexFixing(Index,Q6,,InterestRatesTrigger))</f>
        <v>4.0007256434715366E-3</v>
      </c>
    </row>
    <row r="7" spans="1:18" ht="11.25" customHeight="1" x14ac:dyDescent="0.25">
      <c r="A7" s="126"/>
      <c r="B7" s="118" t="s">
        <v>67</v>
      </c>
      <c r="C7" s="119">
        <f>JumpDate5</f>
        <v>42734</v>
      </c>
      <c r="D7" s="132">
        <f>JumpValue5</f>
        <v>1</v>
      </c>
      <c r="E7" s="135">
        <f>JumpSize5</f>
        <v>0</v>
      </c>
      <c r="F7" s="120">
        <v>0</v>
      </c>
      <c r="G7" s="124"/>
      <c r="H7" s="132">
        <v>1</v>
      </c>
      <c r="I7" s="124"/>
      <c r="J7" s="122" t="str">
        <f t="shared" si="0"/>
        <v>USDJump5_Quote</v>
      </c>
      <c r="K7" s="122" t="str">
        <f>_xll.qlSimpleQuote(J7,,,TRUE,Trigger)</f>
        <v>USDJump5_Quote#0012</v>
      </c>
      <c r="L7" s="122">
        <v>1</v>
      </c>
      <c r="M7" s="122" t="e">
        <f>_xll.qlSimpleQuoteSetValue($K7,ROUND($L7,7),EvaluationDate)</f>
        <v>#N/A</v>
      </c>
      <c r="N7" s="125"/>
      <c r="P7" s="141" t="s">
        <v>88</v>
      </c>
      <c r="Q7" s="142">
        <f>_xll.qlCalendarAdvance(Calendar,Q6,P7,"f")</f>
        <v>42600</v>
      </c>
      <c r="R7" s="143">
        <f>IF((ISERR(_xll.qlIndexFixing(Index,Q7,,InterestRatesTrigger))),_xll.qlIndexFixing(Index,Q7-$Q$1,,InterestRatesTrigger),_xll.qlIndexFixing(Index,Q7,,InterestRatesTrigger))</f>
        <v>4.0007256434715366E-3</v>
      </c>
    </row>
    <row r="8" spans="1:18" ht="11.25" customHeight="1" x14ac:dyDescent="0.25">
      <c r="A8" s="126"/>
      <c r="B8" s="118" t="s">
        <v>68</v>
      </c>
      <c r="C8" s="119">
        <f>JumpDate6</f>
        <v>42766</v>
      </c>
      <c r="D8" s="132">
        <f>JumpValue6</f>
        <v>1</v>
      </c>
      <c r="E8" s="135">
        <f>JumpSize6</f>
        <v>0</v>
      </c>
      <c r="F8" s="120">
        <v>0</v>
      </c>
      <c r="G8" s="124"/>
      <c r="H8" s="132">
        <v>1</v>
      </c>
      <c r="I8" s="124"/>
      <c r="J8" s="122" t="str">
        <f t="shared" si="0"/>
        <v>USDJump6_Quote</v>
      </c>
      <c r="K8" s="122" t="str">
        <f>_xll.qlSimpleQuote(J8,,,TRUE,Trigger)</f>
        <v>USDJump6_Quote#0012</v>
      </c>
      <c r="L8" s="122">
        <v>1</v>
      </c>
      <c r="M8" s="122" t="e">
        <f>_xll.qlSimpleQuoteSetValue($K8,ROUND($L8,7),EvaluationDate)</f>
        <v>#N/A</v>
      </c>
      <c r="N8" s="125"/>
      <c r="P8" s="141" t="s">
        <v>88</v>
      </c>
      <c r="Q8" s="142">
        <f>_xll.qlCalendarAdvance(Calendar,Q7,P8,"f")</f>
        <v>42601</v>
      </c>
      <c r="R8" s="143">
        <f>IF((ISERR(_xll.qlIndexFixing(Index,Q8,,InterestRatesTrigger))),_xll.qlIndexFixing(Index,Q8-$Q$1,,InterestRatesTrigger),_xll.qlIndexFixing(Index,Q8,,InterestRatesTrigger))</f>
        <v>4.0007694951826878E-3</v>
      </c>
    </row>
    <row r="9" spans="1:18" ht="11.25" customHeight="1" x14ac:dyDescent="0.25">
      <c r="A9" s="126"/>
      <c r="B9" s="118" t="s">
        <v>69</v>
      </c>
      <c r="C9" s="119">
        <f>JumpDate7</f>
        <v>42794</v>
      </c>
      <c r="D9" s="132">
        <f>JumpValue7</f>
        <v>0.99999777778271604</v>
      </c>
      <c r="E9" s="135">
        <f>JumpSize7</f>
        <v>7.9999911111357117E-4</v>
      </c>
      <c r="F9" s="120">
        <v>8.0000000000000004E-4</v>
      </c>
      <c r="G9" s="124"/>
      <c r="H9" s="132">
        <v>0.99999777778271604</v>
      </c>
      <c r="I9" s="124"/>
      <c r="J9" s="122" t="str">
        <f t="shared" si="0"/>
        <v>USDJump7_Quote</v>
      </c>
      <c r="K9" s="122" t="str">
        <f>_xll.qlSimpleQuote(J9,,,TRUE,Trigger)</f>
        <v>USDJump7_Quote#0012</v>
      </c>
      <c r="L9" s="122">
        <v>0.99999777778271604</v>
      </c>
      <c r="M9" s="122" t="e">
        <f>_xll.qlSimpleQuoteSetValue($K9,ROUND($L9,7),EvaluationDate)</f>
        <v>#N/A</v>
      </c>
      <c r="N9" s="125"/>
      <c r="P9" s="141" t="s">
        <v>88</v>
      </c>
      <c r="Q9" s="142">
        <f>_xll.qlCalendarAdvance(Calendar,Q8,P9,"f")</f>
        <v>42604</v>
      </c>
      <c r="R9" s="143">
        <f>IF((ISERR(_xll.qlIndexFixing(Index,Q9,,InterestRatesTrigger))),_xll.qlIndexFixing(Index,Q9-$Q$1,,InterestRatesTrigger),_xll.qlIndexFixing(Index,Q9,,InterestRatesTrigger))</f>
        <v>4.0007256434715366E-3</v>
      </c>
    </row>
    <row r="10" spans="1:18" ht="11.25" customHeight="1" x14ac:dyDescent="0.25">
      <c r="A10" s="126"/>
      <c r="B10" s="118" t="s">
        <v>70</v>
      </c>
      <c r="C10" s="119">
        <f>JumpDate8</f>
        <v>42825</v>
      </c>
      <c r="D10" s="132">
        <f>JumpValue8</f>
        <v>1</v>
      </c>
      <c r="E10" s="135">
        <f>JumpSize8</f>
        <v>0</v>
      </c>
      <c r="F10" s="120">
        <v>0</v>
      </c>
      <c r="G10" s="124"/>
      <c r="H10" s="132">
        <v>1</v>
      </c>
      <c r="I10" s="124"/>
      <c r="J10" s="122" t="str">
        <f t="shared" si="0"/>
        <v>USDJump8_Quote</v>
      </c>
      <c r="K10" s="122" t="str">
        <f>_xll.qlSimpleQuote(J10,,,TRUE,Trigger)</f>
        <v>USDJump8_Quote#0012</v>
      </c>
      <c r="L10" s="122">
        <v>1</v>
      </c>
      <c r="M10" s="122" t="e">
        <f>_xll.qlSimpleQuoteSetValue($K10,ROUND($L10,7),EvaluationDate)</f>
        <v>#N/A</v>
      </c>
      <c r="N10" s="125"/>
      <c r="P10" s="141" t="s">
        <v>88</v>
      </c>
      <c r="Q10" s="142">
        <f>_xll.qlCalendarAdvance(Calendar,Q9,P10,"f")</f>
        <v>42605</v>
      </c>
      <c r="R10" s="143">
        <f>IF((ISERR(_xll.qlIndexFixing(Index,Q10,,InterestRatesTrigger))),_xll.qlIndexFixing(Index,Q10-$Q$1,,InterestRatesTrigger),_xll.qlIndexFixing(Index,Q10,,InterestRatesTrigger))</f>
        <v>4.0007256434715366E-3</v>
      </c>
    </row>
    <row r="11" spans="1:18" ht="11.25" customHeight="1" x14ac:dyDescent="0.25">
      <c r="A11" s="126"/>
      <c r="B11" s="118" t="s">
        <v>71</v>
      </c>
      <c r="C11" s="119">
        <f>JumpDate9</f>
        <v>42853</v>
      </c>
      <c r="D11" s="132">
        <f>JumpValue9</f>
        <v>1</v>
      </c>
      <c r="E11" s="135">
        <f>JumpSize9</f>
        <v>0</v>
      </c>
      <c r="F11" s="120">
        <v>0</v>
      </c>
      <c r="G11" s="124"/>
      <c r="H11" s="132">
        <v>1</v>
      </c>
      <c r="I11" s="124"/>
      <c r="J11" s="122" t="str">
        <f t="shared" si="0"/>
        <v>USDJump9_Quote</v>
      </c>
      <c r="K11" s="122" t="str">
        <f>_xll.qlSimpleQuote(J11,,,TRUE,Trigger)</f>
        <v>USDJump9_Quote#0012</v>
      </c>
      <c r="L11" s="122">
        <v>1</v>
      </c>
      <c r="M11" s="122" t="e">
        <f>_xll.qlSimpleQuoteSetValue($K11,ROUND($L11,7),EvaluationDate)</f>
        <v>#N/A</v>
      </c>
      <c r="N11" s="125"/>
      <c r="P11" s="141" t="s">
        <v>88</v>
      </c>
      <c r="Q11" s="142">
        <f>_xll.qlCalendarAdvance(Calendar,Q10,P11,"f")</f>
        <v>42606</v>
      </c>
      <c r="R11" s="143">
        <f>IF((ISERR(_xll.qlIndexFixing(Index,Q11,,InterestRatesTrigger))),_xll.qlIndexFixing(Index,Q11-$Q$1,,InterestRatesTrigger),_xll.qlIndexFixing(Index,Q11,,InterestRatesTrigger))</f>
        <v>4.0007256434715366E-3</v>
      </c>
    </row>
    <row r="12" spans="1:18" ht="11.25" customHeight="1" x14ac:dyDescent="0.25">
      <c r="A12" s="126"/>
      <c r="B12" s="118" t="s">
        <v>72</v>
      </c>
      <c r="C12" s="119">
        <f>JumpDate10</f>
        <v>42886</v>
      </c>
      <c r="D12" s="132">
        <f>JumpValue10</f>
        <v>1</v>
      </c>
      <c r="E12" s="135">
        <f>JumpSize10</f>
        <v>0</v>
      </c>
      <c r="F12" s="120">
        <v>0</v>
      </c>
      <c r="G12" s="124"/>
      <c r="H12" s="132">
        <v>1</v>
      </c>
      <c r="I12" s="124"/>
      <c r="J12" s="122" t="str">
        <f t="shared" si="0"/>
        <v>USDJump10_Quote</v>
      </c>
      <c r="K12" s="122" t="str">
        <f>_xll.qlSimpleQuote(J12,,,TRUE,Trigger)</f>
        <v>USDJump10_Quote#0012</v>
      </c>
      <c r="L12" s="122">
        <v>1</v>
      </c>
      <c r="M12" s="122" t="e">
        <f>_xll.qlSimpleQuoteSetValue($K12,ROUND($L12,7),EvaluationDate)</f>
        <v>#N/A</v>
      </c>
      <c r="N12" s="125"/>
      <c r="P12" s="141" t="s">
        <v>88</v>
      </c>
      <c r="Q12" s="142">
        <f>_xll.qlCalendarAdvance(Calendar,Q11,P12,"f")</f>
        <v>42607</v>
      </c>
      <c r="R12" s="143">
        <f>IF((ISERR(_xll.qlIndexFixing(Index,Q12,,InterestRatesTrigger))),_xll.qlIndexFixing(Index,Q12-$Q$1,,InterestRatesTrigger),_xll.qlIndexFixing(Index,Q12,,InterestRatesTrigger))</f>
        <v>4.0007256434715366E-3</v>
      </c>
    </row>
    <row r="13" spans="1:18" ht="11.25" customHeight="1" x14ac:dyDescent="0.25">
      <c r="A13" s="126"/>
      <c r="B13" s="118" t="s">
        <v>73</v>
      </c>
      <c r="C13" s="119">
        <f>JumpDate11</f>
        <v>42916</v>
      </c>
      <c r="D13" s="132">
        <f>JumpValue11</f>
        <v>1</v>
      </c>
      <c r="E13" s="135">
        <f>JumpSize11</f>
        <v>0</v>
      </c>
      <c r="F13" s="120">
        <v>0</v>
      </c>
      <c r="G13" s="124"/>
      <c r="H13" s="132">
        <v>1</v>
      </c>
      <c r="I13" s="124"/>
      <c r="J13" s="122" t="str">
        <f t="shared" si="0"/>
        <v>USDJump11_Quote</v>
      </c>
      <c r="K13" s="122" t="str">
        <f>_xll.qlSimpleQuote(J13,,,TRUE,Trigger)</f>
        <v>USDJump11_Quote#0012</v>
      </c>
      <c r="L13" s="122">
        <v>1</v>
      </c>
      <c r="M13" s="122" t="e">
        <f>_xll.qlSimpleQuoteSetValue($K13,ROUND($L13,7),EvaluationDate)</f>
        <v>#N/A</v>
      </c>
      <c r="N13" s="125"/>
      <c r="P13" s="141" t="s">
        <v>88</v>
      </c>
      <c r="Q13" s="142">
        <f>_xll.qlCalendarAdvance(Calendar,Q12,P13,"f")</f>
        <v>42608</v>
      </c>
      <c r="R13" s="143">
        <f>IF((ISERR(_xll.qlIndexFixing(Index,Q13,,InterestRatesTrigger))),_xll.qlIndexFixing(Index,Q13-$Q$1,,InterestRatesTrigger),_xll.qlIndexFixing(Index,Q13,,InterestRatesTrigger))</f>
        <v>4.0007914212611406E-3</v>
      </c>
    </row>
    <row r="14" spans="1:18" ht="11.25" customHeight="1" x14ac:dyDescent="0.25">
      <c r="A14" s="126"/>
      <c r="B14" s="118" t="s">
        <v>74</v>
      </c>
      <c r="C14" s="119">
        <f>JumpDate12</f>
        <v>42947</v>
      </c>
      <c r="D14" s="132">
        <f>JumpValue12</f>
        <v>1</v>
      </c>
      <c r="E14" s="135">
        <f>JumpSize12</f>
        <v>0</v>
      </c>
      <c r="F14" s="120">
        <v>0</v>
      </c>
      <c r="G14" s="124"/>
      <c r="H14" s="132">
        <v>1</v>
      </c>
      <c r="I14" s="124"/>
      <c r="J14" s="122" t="str">
        <f t="shared" si="0"/>
        <v>USDJump12_Quote</v>
      </c>
      <c r="K14" s="122" t="str">
        <f>_xll.qlSimpleQuote(J14,,,TRUE,Trigger)</f>
        <v>USDJump12_Quote#0012</v>
      </c>
      <c r="L14" s="122">
        <v>1</v>
      </c>
      <c r="M14" s="122" t="e">
        <f>_xll.qlSimpleQuoteSetValue($K14,ROUND($L14,7),EvaluationDate)</f>
        <v>#N/A</v>
      </c>
      <c r="N14" s="125"/>
      <c r="P14" s="141" t="s">
        <v>88</v>
      </c>
      <c r="Q14" s="142">
        <f>_xll.qlCalendarAdvance(Calendar,Q13,P14,"f")</f>
        <v>42611</v>
      </c>
      <c r="R14" s="143">
        <f>IF((ISERR(_xll.qlIndexFixing(Index,Q14,,InterestRatesTrigger))),_xll.qlIndexFixing(Index,Q14-$Q$1,,InterestRatesTrigger),_xll.qlIndexFixing(Index,Q14,,InterestRatesTrigger))</f>
        <v>4.0007256434715366E-3</v>
      </c>
    </row>
    <row r="15" spans="1:18" ht="11.25" customHeight="1" x14ac:dyDescent="0.25">
      <c r="A15" s="126"/>
      <c r="B15" s="118" t="s">
        <v>75</v>
      </c>
      <c r="C15" s="119">
        <f>JumpDate13</f>
        <v>43098</v>
      </c>
      <c r="D15" s="132">
        <f>JumpValue13</f>
        <v>1</v>
      </c>
      <c r="E15" s="135">
        <f>JumpSize13</f>
        <v>0</v>
      </c>
      <c r="F15" s="120">
        <v>0</v>
      </c>
      <c r="G15" s="124"/>
      <c r="H15" s="132">
        <v>1</v>
      </c>
      <c r="I15" s="124"/>
      <c r="J15" s="122" t="str">
        <f t="shared" si="0"/>
        <v>USDJump13_Quote</v>
      </c>
      <c r="K15" s="122" t="str">
        <f>_xll.qlSimpleQuote(J15,,,TRUE,Trigger)</f>
        <v>USDJump13_Quote#0012</v>
      </c>
      <c r="L15" s="122">
        <v>1</v>
      </c>
      <c r="M15" s="122" t="e">
        <f>_xll.qlSimpleQuoteSetValue($K15,ROUND($L15,7),EvaluationDate)</f>
        <v>#N/A</v>
      </c>
      <c r="N15" s="125"/>
      <c r="P15" s="141" t="s">
        <v>88</v>
      </c>
      <c r="Q15" s="142">
        <f>_xll.qlCalendarAdvance(Calendar,Q14,P15,"f")</f>
        <v>42612</v>
      </c>
      <c r="R15" s="143">
        <f>IF((ISERR(_xll.qlIndexFixing(Index,Q15,,InterestRatesTrigger))),_xll.qlIndexFixing(Index,Q15-$Q$1,,InterestRatesTrigger),_xll.qlIndexFixing(Index,Q15,,InterestRatesTrigger))</f>
        <v>4.0007256434715366E-3</v>
      </c>
    </row>
    <row r="16" spans="1:18" ht="11.25" customHeight="1" x14ac:dyDescent="0.25">
      <c r="A16" s="126"/>
      <c r="B16" s="121" t="s">
        <v>106</v>
      </c>
      <c r="C16" s="35">
        <f>JumpDate14</f>
        <v>43131</v>
      </c>
      <c r="D16" s="133">
        <f>JumpValue14</f>
        <v>1</v>
      </c>
      <c r="E16" s="136">
        <f>JumpSize14</f>
        <v>0</v>
      </c>
      <c r="F16" s="38">
        <v>0</v>
      </c>
      <c r="G16" s="124"/>
      <c r="H16" s="133">
        <v>1</v>
      </c>
      <c r="I16" s="124"/>
      <c r="J16" s="123" t="str">
        <f>Currency&amp;$B16&amp;QuoteSuffix</f>
        <v>USDJump14_Quote</v>
      </c>
      <c r="K16" s="123" t="str">
        <f>_xll.qlSimpleQuote(J16,,,TRUE,Trigger)</f>
        <v>USDJump14_Quote#0013</v>
      </c>
      <c r="L16" s="123">
        <v>1</v>
      </c>
      <c r="M16" s="123" t="e">
        <f>_xll.qlSimpleQuoteSetValue($K16,ROUND($L16,7),EvaluationDate)</f>
        <v>#N/A</v>
      </c>
      <c r="N16" s="125"/>
      <c r="P16" s="141" t="s">
        <v>88</v>
      </c>
      <c r="Q16" s="142">
        <f>_xll.qlCalendarAdvance(Calendar,Q15,P16,"f")</f>
        <v>42613</v>
      </c>
      <c r="R16" s="143">
        <f>IF((ISERR(_xll.qlIndexFixing(Index,Q16,,InterestRatesTrigger))),_xll.qlIndexFixing(Index,Q16-$Q$1,,InterestRatesTrigger),_xll.qlIndexFixing(Index,Q16,,InterestRatesTrigger))</f>
        <v>4.0007256434715366E-3</v>
      </c>
    </row>
    <row r="17" spans="1:18" ht="13.5" x14ac:dyDescent="0.25">
      <c r="A17" s="127"/>
      <c r="B17" s="128"/>
      <c r="C17" s="129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30"/>
      <c r="P17" s="141" t="s">
        <v>88</v>
      </c>
      <c r="Q17" s="142">
        <f>_xll.qlCalendarAdvance(Calendar,Q16,P17,"f")</f>
        <v>42614</v>
      </c>
      <c r="R17" s="143">
        <f>IF((ISERR(_xll.qlIndexFixing(Index,Q17,,InterestRatesTrigger))),_xll.qlIndexFixing(Index,Q17-$Q$1,,InterestRatesTrigger),_xll.qlIndexFixing(Index,Q17,,InterestRatesTrigger))</f>
        <v>4.0007256435525829E-3</v>
      </c>
    </row>
    <row r="18" spans="1:18" x14ac:dyDescent="0.2">
      <c r="P18" s="141" t="s">
        <v>88</v>
      </c>
      <c r="Q18" s="142">
        <f>_xll.qlCalendarAdvance(Calendar,Q17,P18,"f")</f>
        <v>42615</v>
      </c>
      <c r="R18" s="143">
        <f>IF((ISERR(_xll.qlIndexFixing(Index,Q18,,InterestRatesTrigger))),_xll.qlIndexFixing(Index,Q18-$Q$1,,InterestRatesTrigger),_xll.qlIndexFixing(Index,Q18,,InterestRatesTrigger))</f>
        <v>4.0007694951556729E-3</v>
      </c>
    </row>
    <row r="19" spans="1:18" x14ac:dyDescent="0.2">
      <c r="P19" s="141" t="s">
        <v>88</v>
      </c>
      <c r="Q19" s="142">
        <f>_xll.qlCalendarAdvance(Calendar,Q18,P19,"f")</f>
        <v>42619</v>
      </c>
      <c r="R19" s="143">
        <f>IF((ISERR(_xll.qlIndexFixing(Index,Q19,,InterestRatesTrigger))),_xll.qlIndexFixing(Index,Q19-$Q$1,,InterestRatesTrigger),_xll.qlIndexFixing(Index,Q19,,InterestRatesTrigger))</f>
        <v>4.0007256434715366E-3</v>
      </c>
    </row>
    <row r="20" spans="1:18" x14ac:dyDescent="0.2">
      <c r="P20" s="141" t="s">
        <v>88</v>
      </c>
      <c r="Q20" s="142">
        <f>_xll.qlCalendarAdvance(Calendar,Q19,P20,"f")</f>
        <v>42620</v>
      </c>
      <c r="R20" s="143">
        <f>IF((ISERR(_xll.qlIndexFixing(Index,Q20,,InterestRatesTrigger))),_xll.qlIndexFixing(Index,Q20-$Q$1,,InterestRatesTrigger),_xll.qlIndexFixing(Index,Q20,,InterestRatesTrigger))</f>
        <v>4.0007256434715366E-3</v>
      </c>
    </row>
    <row r="21" spans="1:18" x14ac:dyDescent="0.2">
      <c r="P21" s="141" t="s">
        <v>88</v>
      </c>
      <c r="Q21" s="142">
        <f>_xll.qlCalendarAdvance(Calendar,Q20,P21,"f")</f>
        <v>42621</v>
      </c>
      <c r="R21" s="143">
        <f>IF((ISERR(_xll.qlIndexFixing(Index,Q21,,InterestRatesTrigger))),_xll.qlIndexFixing(Index,Q21-$Q$1,,InterestRatesTrigger),_xll.qlIndexFixing(Index,Q21,,InterestRatesTrigger))</f>
        <v>4.0007256435525829E-3</v>
      </c>
    </row>
    <row r="22" spans="1:18" x14ac:dyDescent="0.2">
      <c r="P22" s="141" t="s">
        <v>88</v>
      </c>
      <c r="Q22" s="142">
        <f>_xll.qlCalendarAdvance(Calendar,Q21,P22,"f")</f>
        <v>42622</v>
      </c>
      <c r="R22" s="143">
        <f>IF((ISERR(_xll.qlIndexFixing(Index,Q22,,InterestRatesTrigger))),_xll.qlIndexFixing(Index,Q22-$Q$1,,InterestRatesTrigger),_xll.qlIndexFixing(Index,Q22,,InterestRatesTrigger))</f>
        <v>4.0007694951556729E-3</v>
      </c>
    </row>
    <row r="23" spans="1:18" x14ac:dyDescent="0.2">
      <c r="P23" s="141" t="s">
        <v>88</v>
      </c>
      <c r="Q23" s="142">
        <f>_xll.qlCalendarAdvance(Calendar,Q22,P23,"f")</f>
        <v>42625</v>
      </c>
      <c r="R23" s="143">
        <f>IF((ISERR(_xll.qlIndexFixing(Index,Q23,,InterestRatesTrigger))),_xll.qlIndexFixing(Index,Q23-$Q$1,,InterestRatesTrigger),_xll.qlIndexFixing(Index,Q23,,InterestRatesTrigger))</f>
        <v>4.2497414283770851E-3</v>
      </c>
    </row>
    <row r="24" spans="1:18" x14ac:dyDescent="0.2">
      <c r="P24" s="141" t="s">
        <v>88</v>
      </c>
      <c r="Q24" s="142">
        <f>_xll.qlCalendarAdvance(Calendar,Q23,P24,"f")</f>
        <v>42626</v>
      </c>
      <c r="R24" s="143">
        <f>IF((ISERR(_xll.qlIndexFixing(Index,Q24,,InterestRatesTrigger))),_xll.qlIndexFixing(Index,Q24-$Q$1,,InterestRatesTrigger),_xll.qlIndexFixing(Index,Q24,,InterestRatesTrigger))</f>
        <v>4.2497414283770851E-3</v>
      </c>
    </row>
    <row r="25" spans="1:18" x14ac:dyDescent="0.2">
      <c r="P25" s="141" t="s">
        <v>88</v>
      </c>
      <c r="Q25" s="142">
        <f>_xll.qlCalendarAdvance(Calendar,Q24,P25,"f")</f>
        <v>42627</v>
      </c>
      <c r="R25" s="143">
        <f>IF((ISERR(_xll.qlIndexFixing(Index,Q25,,InterestRatesTrigger))),_xll.qlIndexFixing(Index,Q25-$Q$1,,InterestRatesTrigger),_xll.qlIndexFixing(Index,Q25,,InterestRatesTrigger))</f>
        <v>4.2497414283770851E-3</v>
      </c>
    </row>
    <row r="26" spans="1:18" x14ac:dyDescent="0.2">
      <c r="P26" s="141" t="s">
        <v>88</v>
      </c>
      <c r="Q26" s="142">
        <f>_xll.qlCalendarAdvance(Calendar,Q25,P26,"f")</f>
        <v>42628</v>
      </c>
      <c r="R26" s="143">
        <f>IF((ISERR(_xll.qlIndexFixing(Index,Q26,,InterestRatesTrigger))),_xll.qlIndexFixing(Index,Q26-$Q$1,,InterestRatesTrigger),_xll.qlIndexFixing(Index,Q26,,InterestRatesTrigger))</f>
        <v>4.2497414283770851E-3</v>
      </c>
    </row>
    <row r="27" spans="1:18" x14ac:dyDescent="0.2">
      <c r="P27" s="141" t="s">
        <v>88</v>
      </c>
      <c r="Q27" s="142">
        <f>_xll.qlCalendarAdvance(Calendar,Q26,P27,"f")</f>
        <v>42629</v>
      </c>
      <c r="R27" s="143">
        <f>IF((ISERR(_xll.qlIndexFixing(Index,Q27,,InterestRatesTrigger))),_xll.qlIndexFixing(Index,Q27-$Q$1,,InterestRatesTrigger),_xll.qlIndexFixing(Index,Q27,,InterestRatesTrigger))</f>
        <v>4.2497909088604997E-3</v>
      </c>
    </row>
    <row r="28" spans="1:18" x14ac:dyDescent="0.2">
      <c r="P28" s="141" t="s">
        <v>88</v>
      </c>
      <c r="Q28" s="142">
        <f>_xll.qlCalendarAdvance(Calendar,Q27,P28,"f")</f>
        <v>42632</v>
      </c>
      <c r="R28" s="143">
        <f>IF((ISERR(_xll.qlIndexFixing(Index,Q28,,InterestRatesTrigger))),_xll.qlIndexFixing(Index,Q28-$Q$1,,InterestRatesTrigger),_xll.qlIndexFixing(Index,Q28,,InterestRatesTrigger))</f>
        <v>4.2497414283770851E-3</v>
      </c>
    </row>
    <row r="29" spans="1:18" x14ac:dyDescent="0.2">
      <c r="P29" s="141" t="s">
        <v>88</v>
      </c>
      <c r="Q29" s="142">
        <f>_xll.qlCalendarAdvance(Calendar,Q28,P29,"f")</f>
        <v>42633</v>
      </c>
      <c r="R29" s="143">
        <f>IF((ISERR(_xll.qlIndexFixing(Index,Q29,,InterestRatesTrigger))),_xll.qlIndexFixing(Index,Q29-$Q$1,,InterestRatesTrigger),_xll.qlIndexFixing(Index,Q29,,InterestRatesTrigger))</f>
        <v>4.2497414283770851E-3</v>
      </c>
    </row>
    <row r="30" spans="1:18" x14ac:dyDescent="0.2">
      <c r="P30" s="141" t="s">
        <v>88</v>
      </c>
      <c r="Q30" s="142">
        <f>_xll.qlCalendarAdvance(Calendar,Q29,P30,"f")</f>
        <v>42634</v>
      </c>
      <c r="R30" s="143">
        <f>IF((ISERR(_xll.qlIndexFixing(Index,Q30,,InterestRatesTrigger))),_xll.qlIndexFixing(Index,Q30-$Q$1,,InterestRatesTrigger),_xll.qlIndexFixing(Index,Q30,,InterestRatesTrigger))</f>
        <v>4.2497414283770851E-3</v>
      </c>
    </row>
    <row r="31" spans="1:18" x14ac:dyDescent="0.2">
      <c r="P31" s="141" t="s">
        <v>88</v>
      </c>
      <c r="Q31" s="142">
        <f>_xll.qlCalendarAdvance(Calendar,Q30,P31,"f")</f>
        <v>42635</v>
      </c>
      <c r="R31" s="143">
        <f>IF((ISERR(_xll.qlIndexFixing(Index,Q31,,InterestRatesTrigger))),_xll.qlIndexFixing(Index,Q31-$Q$1,,InterestRatesTrigger),_xll.qlIndexFixing(Index,Q31,,InterestRatesTrigger))</f>
        <v>4.2497414283770851E-3</v>
      </c>
    </row>
    <row r="32" spans="1:18" x14ac:dyDescent="0.2">
      <c r="P32" s="141" t="s">
        <v>88</v>
      </c>
      <c r="Q32" s="142">
        <f>_xll.qlCalendarAdvance(Calendar,Q31,P32,"f")</f>
        <v>42636</v>
      </c>
      <c r="R32" s="143">
        <f>IF((ISERR(_xll.qlIndexFixing(Index,Q32,,InterestRatesTrigger))),_xll.qlIndexFixing(Index,Q32-$Q$1,,InterestRatesTrigger),_xll.qlIndexFixing(Index,Q32,,InterestRatesTrigger))</f>
        <v>4.2497909088604997E-3</v>
      </c>
    </row>
    <row r="33" spans="16:18" x14ac:dyDescent="0.2">
      <c r="P33" s="141" t="s">
        <v>88</v>
      </c>
      <c r="Q33" s="142">
        <f>_xll.qlCalendarAdvance(Calendar,Q32,P33,"f")</f>
        <v>42639</v>
      </c>
      <c r="R33" s="143">
        <f>IF((ISERR(_xll.qlIndexFixing(Index,Q33,,InterestRatesTrigger))),_xll.qlIndexFixing(Index,Q33-$Q$1,,InterestRatesTrigger),_xll.qlIndexFixing(Index,Q33,,InterestRatesTrigger))</f>
        <v>4.2497414283770851E-3</v>
      </c>
    </row>
    <row r="34" spans="16:18" x14ac:dyDescent="0.2">
      <c r="P34" s="141" t="s">
        <v>88</v>
      </c>
      <c r="Q34" s="142">
        <f>_xll.qlCalendarAdvance(Calendar,Q33,P34,"f")</f>
        <v>42640</v>
      </c>
      <c r="R34" s="143">
        <f>IF((ISERR(_xll.qlIndexFixing(Index,Q34,,InterestRatesTrigger))),_xll.qlIndexFixing(Index,Q34-$Q$1,,InterestRatesTrigger),_xll.qlIndexFixing(Index,Q34,,InterestRatesTrigger))</f>
        <v>4.2497414283770851E-3</v>
      </c>
    </row>
    <row r="35" spans="16:18" x14ac:dyDescent="0.2">
      <c r="P35" s="141" t="s">
        <v>88</v>
      </c>
      <c r="Q35" s="142">
        <f>_xll.qlCalendarAdvance(Calendar,Q34,P35,"f")</f>
        <v>42641</v>
      </c>
      <c r="R35" s="143">
        <f>IF((ISERR(_xll.qlIndexFixing(Index,Q35,,InterestRatesTrigger))),_xll.qlIndexFixing(Index,Q35-$Q$1,,InterestRatesTrigger),_xll.qlIndexFixing(Index,Q35,,InterestRatesTrigger))</f>
        <v>4.2497414283770851E-3</v>
      </c>
    </row>
    <row r="36" spans="16:18" x14ac:dyDescent="0.2">
      <c r="P36" s="141" t="s">
        <v>88</v>
      </c>
      <c r="Q36" s="142">
        <f>_xll.qlCalendarAdvance(Calendar,Q35,P36,"f")</f>
        <v>42642</v>
      </c>
      <c r="R36" s="143">
        <f>IF((ISERR(_xll.qlIndexFixing(Index,Q36,,InterestRatesTrigger))),_xll.qlIndexFixing(Index,Q36-$Q$1,,InterestRatesTrigger),_xll.qlIndexFixing(Index,Q36,,InterestRatesTrigger))</f>
        <v>4.2497414283770851E-3</v>
      </c>
    </row>
    <row r="37" spans="16:18" x14ac:dyDescent="0.2">
      <c r="P37" s="141" t="s">
        <v>88</v>
      </c>
      <c r="Q37" s="142">
        <f>_xll.qlCalendarAdvance(Calendar,Q36,P37,"f")</f>
        <v>42643</v>
      </c>
      <c r="R37" s="143">
        <f>IF((ISERR(_xll.qlIndexFixing(Index,Q37,,InterestRatesTrigger))),_xll.qlIndexFixing(Index,Q37-$Q$1,,InterestRatesTrigger),_xll.qlIndexFixing(Index,Q37,,InterestRatesTrigger))</f>
        <v>4.2497909088604997E-3</v>
      </c>
    </row>
    <row r="38" spans="16:18" x14ac:dyDescent="0.2">
      <c r="P38" s="141" t="s">
        <v>88</v>
      </c>
      <c r="Q38" s="142">
        <f>_xll.qlCalendarAdvance(Calendar,Q37,P38,"f")</f>
        <v>42646</v>
      </c>
      <c r="R38" s="143">
        <f>IF((ISERR(_xll.qlIndexFixing(Index,Q38,,InterestRatesTrigger))),_xll.qlIndexFixing(Index,Q38-$Q$1,,InterestRatesTrigger),_xll.qlIndexFixing(Index,Q38,,InterestRatesTrigger))</f>
        <v>4.2497414283770851E-3</v>
      </c>
    </row>
    <row r="39" spans="16:18" x14ac:dyDescent="0.2">
      <c r="P39" s="141" t="s">
        <v>88</v>
      </c>
      <c r="Q39" s="142">
        <f>_xll.qlCalendarAdvance(Calendar,Q38,P39,"f")</f>
        <v>42647</v>
      </c>
      <c r="R39" s="143">
        <f>IF((ISERR(_xll.qlIndexFixing(Index,Q39,,InterestRatesTrigger))),_xll.qlIndexFixing(Index,Q39-$Q$1,,InterestRatesTrigger),_xll.qlIndexFixing(Index,Q39,,InterestRatesTrigger))</f>
        <v>4.2497414283770851E-3</v>
      </c>
    </row>
    <row r="40" spans="16:18" x14ac:dyDescent="0.2">
      <c r="P40" s="141" t="s">
        <v>88</v>
      </c>
      <c r="Q40" s="142">
        <f>_xll.qlCalendarAdvance(Calendar,Q39,P40,"f")</f>
        <v>42648</v>
      </c>
      <c r="R40" s="143">
        <f>IF((ISERR(_xll.qlIndexFixing(Index,Q40,,InterestRatesTrigger))),_xll.qlIndexFixing(Index,Q40-$Q$1,,InterestRatesTrigger),_xll.qlIndexFixing(Index,Q40,,InterestRatesTrigger))</f>
        <v>4.2497414283770851E-3</v>
      </c>
    </row>
    <row r="41" spans="16:18" x14ac:dyDescent="0.2">
      <c r="P41" s="141" t="s">
        <v>88</v>
      </c>
      <c r="Q41" s="142">
        <f>_xll.qlCalendarAdvance(Calendar,Q40,P41,"f")</f>
        <v>42649</v>
      </c>
      <c r="R41" s="143">
        <f>IF((ISERR(_xll.qlIndexFixing(Index,Q41,,InterestRatesTrigger))),_xll.qlIndexFixing(Index,Q41-$Q$1,,InterestRatesTrigger),_xll.qlIndexFixing(Index,Q41,,InterestRatesTrigger))</f>
        <v>4.2497414283770851E-3</v>
      </c>
    </row>
    <row r="42" spans="16:18" x14ac:dyDescent="0.2">
      <c r="P42" s="141" t="s">
        <v>88</v>
      </c>
      <c r="Q42" s="142">
        <f>_xll.qlCalendarAdvance(Calendar,Q41,P42,"f")</f>
        <v>42650</v>
      </c>
      <c r="R42" s="143">
        <f>IF((ISERR(_xll.qlIndexFixing(Index,Q42,,InterestRatesTrigger))),_xll.qlIndexFixing(Index,Q42-$Q$1,,InterestRatesTrigger),_xll.qlIndexFixing(Index,Q42,,InterestRatesTrigger))</f>
        <v>4.2497909088604997E-3</v>
      </c>
    </row>
    <row r="43" spans="16:18" x14ac:dyDescent="0.2">
      <c r="P43" s="141" t="s">
        <v>88</v>
      </c>
      <c r="Q43" s="142">
        <f>_xll.qlCalendarAdvance(Calendar,Q42,P43,"f")</f>
        <v>42654</v>
      </c>
      <c r="R43" s="143">
        <f>IF((ISERR(_xll.qlIndexFixing(Index,Q43,,InterestRatesTrigger))),_xll.qlIndexFixing(Index,Q43-$Q$1,,InterestRatesTrigger),_xll.qlIndexFixing(Index,Q43,,InterestRatesTrigger))</f>
        <v>4.2497414283770851E-3</v>
      </c>
    </row>
    <row r="44" spans="16:18" x14ac:dyDescent="0.2">
      <c r="P44" s="141" t="s">
        <v>88</v>
      </c>
      <c r="Q44" s="142">
        <f>_xll.qlCalendarAdvance(Calendar,Q43,P44,"f")</f>
        <v>42655</v>
      </c>
      <c r="R44" s="143">
        <f>IF((ISERR(_xll.qlIndexFixing(Index,Q44,,InterestRatesTrigger))),_xll.qlIndexFixing(Index,Q44-$Q$1,,InterestRatesTrigger),_xll.qlIndexFixing(Index,Q44,,InterestRatesTrigger))</f>
        <v>4.3638581038807356E-3</v>
      </c>
    </row>
    <row r="45" spans="16:18" x14ac:dyDescent="0.2">
      <c r="P45" s="141" t="s">
        <v>88</v>
      </c>
      <c r="Q45" s="142">
        <f>_xll.qlCalendarAdvance(Calendar,Q44,P45,"f")</f>
        <v>42656</v>
      </c>
      <c r="R45" s="143">
        <f>IF((ISERR(_xll.qlIndexFixing(Index,Q45,,InterestRatesTrigger))),_xll.qlIndexFixing(Index,Q45-$Q$1,,InterestRatesTrigger),_xll.qlIndexFixing(Index,Q45,,InterestRatesTrigger))</f>
        <v>4.3638581039617819E-3</v>
      </c>
    </row>
    <row r="46" spans="16:18" x14ac:dyDescent="0.2">
      <c r="P46" s="141" t="s">
        <v>88</v>
      </c>
      <c r="Q46" s="142">
        <f>_xll.qlCalendarAdvance(Calendar,Q45,P46,"f")</f>
        <v>42657</v>
      </c>
      <c r="R46" s="143">
        <f>IF((ISERR(_xll.qlIndexFixing(Index,Q46,,InterestRatesTrigger))),_xll.qlIndexFixing(Index,Q46-$Q$1,,InterestRatesTrigger),_xll.qlIndexFixing(Index,Q46,,InterestRatesTrigger))</f>
        <v>4.3639102773969842E-3</v>
      </c>
    </row>
    <row r="47" spans="16:18" x14ac:dyDescent="0.2">
      <c r="P47" s="141" t="s">
        <v>88</v>
      </c>
      <c r="Q47" s="142">
        <f>_xll.qlCalendarAdvance(Calendar,Q46,P47,"f")</f>
        <v>42660</v>
      </c>
      <c r="R47" s="143">
        <f>IF((ISERR(_xll.qlIndexFixing(Index,Q47,,InterestRatesTrigger))),_xll.qlIndexFixing(Index,Q47-$Q$1,,InterestRatesTrigger),_xll.qlIndexFixing(Index,Q47,,InterestRatesTrigger))</f>
        <v>4.3638581038807356E-3</v>
      </c>
    </row>
    <row r="48" spans="16:18" x14ac:dyDescent="0.2">
      <c r="P48" s="141" t="s">
        <v>88</v>
      </c>
      <c r="Q48" s="142">
        <f>_xll.qlCalendarAdvance(Calendar,Q47,P48,"f")</f>
        <v>42661</v>
      </c>
      <c r="R48" s="143">
        <f>IF((ISERR(_xll.qlIndexFixing(Index,Q48,,InterestRatesTrigger))),_xll.qlIndexFixing(Index,Q48-$Q$1,,InterestRatesTrigger),_xll.qlIndexFixing(Index,Q48,,InterestRatesTrigger))</f>
        <v>4.3638581038807356E-3</v>
      </c>
    </row>
    <row r="49" spans="16:18" x14ac:dyDescent="0.2">
      <c r="P49" s="141" t="s">
        <v>88</v>
      </c>
      <c r="Q49" s="142">
        <f>_xll.qlCalendarAdvance(Calendar,Q48,P49,"f")</f>
        <v>42662</v>
      </c>
      <c r="R49" s="143">
        <f>IF((ISERR(_xll.qlIndexFixing(Index,Q49,,InterestRatesTrigger))),_xll.qlIndexFixing(Index,Q49-$Q$1,,InterestRatesTrigger),_xll.qlIndexFixing(Index,Q49,,InterestRatesTrigger))</f>
        <v>4.3638581038807356E-3</v>
      </c>
    </row>
    <row r="50" spans="16:18" x14ac:dyDescent="0.2">
      <c r="P50" s="141" t="s">
        <v>88</v>
      </c>
      <c r="Q50" s="142">
        <f>_xll.qlCalendarAdvance(Calendar,Q49,P50,"f")</f>
        <v>42663</v>
      </c>
      <c r="R50" s="143">
        <f>IF((ISERR(_xll.qlIndexFixing(Index,Q50,,InterestRatesTrigger))),_xll.qlIndexFixing(Index,Q50-$Q$1,,InterestRatesTrigger),_xll.qlIndexFixing(Index,Q50,,InterestRatesTrigger))</f>
        <v>4.3638581039617819E-3</v>
      </c>
    </row>
    <row r="51" spans="16:18" x14ac:dyDescent="0.2">
      <c r="P51" s="141" t="s">
        <v>88</v>
      </c>
      <c r="Q51" s="142">
        <f>_xll.qlCalendarAdvance(Calendar,Q50,P51,"f")</f>
        <v>42664</v>
      </c>
      <c r="R51" s="143">
        <f>IF((ISERR(_xll.qlIndexFixing(Index,Q51,,InterestRatesTrigger))),_xll.qlIndexFixing(Index,Q51-$Q$1,,InterestRatesTrigger),_xll.qlIndexFixing(Index,Q51,,InterestRatesTrigger))</f>
        <v>4.3639102773969842E-3</v>
      </c>
    </row>
    <row r="52" spans="16:18" x14ac:dyDescent="0.2">
      <c r="P52" s="141" t="s">
        <v>88</v>
      </c>
      <c r="Q52" s="142">
        <f>_xll.qlCalendarAdvance(Calendar,Q51,P52,"f")</f>
        <v>42667</v>
      </c>
      <c r="R52" s="143">
        <f>IF((ISERR(_xll.qlIndexFixing(Index,Q52,,InterestRatesTrigger))),_xll.qlIndexFixing(Index,Q52-$Q$1,,InterestRatesTrigger),_xll.qlIndexFixing(Index,Q52,,InterestRatesTrigger))</f>
        <v>4.3638581038807356E-3</v>
      </c>
    </row>
    <row r="53" spans="16:18" x14ac:dyDescent="0.2">
      <c r="P53" s="141" t="s">
        <v>88</v>
      </c>
      <c r="Q53" s="142">
        <f>_xll.qlCalendarAdvance(Calendar,Q52,P53,"f")</f>
        <v>42668</v>
      </c>
      <c r="R53" s="143">
        <f>IF((ISERR(_xll.qlIndexFixing(Index,Q53,,InterestRatesTrigger))),_xll.qlIndexFixing(Index,Q53-$Q$1,,InterestRatesTrigger),_xll.qlIndexFixing(Index,Q53,,InterestRatesTrigger))</f>
        <v>4.3638581038807356E-3</v>
      </c>
    </row>
    <row r="54" spans="16:18" x14ac:dyDescent="0.2">
      <c r="P54" s="141" t="s">
        <v>88</v>
      </c>
      <c r="Q54" s="142">
        <f>_xll.qlCalendarAdvance(Calendar,Q53,P54,"f")</f>
        <v>42669</v>
      </c>
      <c r="R54" s="143">
        <f>IF((ISERR(_xll.qlIndexFixing(Index,Q54,,InterestRatesTrigger))),_xll.qlIndexFixing(Index,Q54-$Q$1,,InterestRatesTrigger),_xll.qlIndexFixing(Index,Q54,,InterestRatesTrigger))</f>
        <v>4.3638581038807356E-3</v>
      </c>
    </row>
    <row r="55" spans="16:18" x14ac:dyDescent="0.2">
      <c r="P55" s="141" t="s">
        <v>88</v>
      </c>
      <c r="Q55" s="142">
        <f>_xll.qlCalendarAdvance(Calendar,Q54,P55,"f")</f>
        <v>42670</v>
      </c>
      <c r="R55" s="143">
        <f>IF((ISERR(_xll.qlIndexFixing(Index,Q55,,InterestRatesTrigger))),_xll.qlIndexFixing(Index,Q55-$Q$1,,InterestRatesTrigger),_xll.qlIndexFixing(Index,Q55,,InterestRatesTrigger))</f>
        <v>4.3638581038807356E-3</v>
      </c>
    </row>
    <row r="56" spans="16:18" x14ac:dyDescent="0.2">
      <c r="P56" s="141" t="s">
        <v>88</v>
      </c>
      <c r="Q56" s="142">
        <f>_xll.qlCalendarAdvance(Calendar,Q55,P56,"f")</f>
        <v>42671</v>
      </c>
      <c r="R56" s="143">
        <f>IF((ISERR(_xll.qlIndexFixing(Index,Q56,,InterestRatesTrigger))),_xll.qlIndexFixing(Index,Q56-$Q$1,,InterestRatesTrigger),_xll.qlIndexFixing(Index,Q56,,InterestRatesTrigger))</f>
        <v>4.3639102773969842E-3</v>
      </c>
    </row>
    <row r="57" spans="16:18" x14ac:dyDescent="0.2">
      <c r="P57" s="141" t="s">
        <v>88</v>
      </c>
      <c r="Q57" s="142">
        <f>_xll.qlCalendarAdvance(Calendar,Q56,P57,"f")</f>
        <v>42674</v>
      </c>
      <c r="R57" s="143">
        <f>IF((ISERR(_xll.qlIndexFixing(Index,Q57,,InterestRatesTrigger))),_xll.qlIndexFixing(Index,Q57-$Q$1,,InterestRatesTrigger),_xll.qlIndexFixing(Index,Q57,,InterestRatesTrigger))</f>
        <v>4.3638581038807356E-3</v>
      </c>
    </row>
    <row r="58" spans="16:18" x14ac:dyDescent="0.2">
      <c r="P58" s="141" t="s">
        <v>88</v>
      </c>
      <c r="Q58" s="142">
        <f>_xll.qlCalendarAdvance(Calendar,Q57,P58,"f")</f>
        <v>42675</v>
      </c>
      <c r="R58" s="143">
        <f>IF((ISERR(_xll.qlIndexFixing(Index,Q58,,InterestRatesTrigger))),_xll.qlIndexFixing(Index,Q58-$Q$1,,InterestRatesTrigger),_xll.qlIndexFixing(Index,Q58,,InterestRatesTrigger))</f>
        <v>4.3638581038807356E-3</v>
      </c>
    </row>
    <row r="59" spans="16:18" x14ac:dyDescent="0.2">
      <c r="P59" s="141" t="s">
        <v>88</v>
      </c>
      <c r="Q59" s="142">
        <f>_xll.qlCalendarAdvance(Calendar,Q58,P59,"f")</f>
        <v>42676</v>
      </c>
      <c r="R59" s="143">
        <f>IF((ISERR(_xll.qlIndexFixing(Index,Q59,,InterestRatesTrigger))),_xll.qlIndexFixing(Index,Q59-$Q$1,,InterestRatesTrigger),_xll.qlIndexFixing(Index,Q59,,InterestRatesTrigger))</f>
        <v>4.3638581038807356E-3</v>
      </c>
    </row>
    <row r="60" spans="16:18" x14ac:dyDescent="0.2">
      <c r="P60" s="141" t="s">
        <v>88</v>
      </c>
      <c r="Q60" s="142">
        <f>_xll.qlCalendarAdvance(Calendar,Q59,P60,"f")</f>
        <v>42677</v>
      </c>
      <c r="R60" s="143">
        <f>IF((ISERR(_xll.qlIndexFixing(Index,Q60,,InterestRatesTrigger))),_xll.qlIndexFixing(Index,Q60-$Q$1,,InterestRatesTrigger),_xll.qlIndexFixing(Index,Q60,,InterestRatesTrigger))</f>
        <v>4.3638581038807356E-3</v>
      </c>
    </row>
    <row r="61" spans="16:18" x14ac:dyDescent="0.2">
      <c r="P61" s="141" t="s">
        <v>88</v>
      </c>
      <c r="Q61" s="142">
        <f>_xll.qlCalendarAdvance(Calendar,Q60,P61,"f")</f>
        <v>42678</v>
      </c>
      <c r="R61" s="143">
        <f>IF((ISERR(_xll.qlIndexFixing(Index,Q61,,InterestRatesTrigger))),_xll.qlIndexFixing(Index,Q61-$Q$1,,InterestRatesTrigger),_xll.qlIndexFixing(Index,Q61,,InterestRatesTrigger))</f>
        <v>4.3639102773969842E-3</v>
      </c>
    </row>
    <row r="62" spans="16:18" x14ac:dyDescent="0.2">
      <c r="P62" s="141" t="s">
        <v>88</v>
      </c>
      <c r="Q62" s="142">
        <f>_xll.qlCalendarAdvance(Calendar,Q61,P62,"f")</f>
        <v>42681</v>
      </c>
      <c r="R62" s="143">
        <f>IF((ISERR(_xll.qlIndexFixing(Index,Q62,,InterestRatesTrigger))),_xll.qlIndexFixing(Index,Q62-$Q$1,,InterestRatesTrigger),_xll.qlIndexFixing(Index,Q62,,InterestRatesTrigger))</f>
        <v>4.3638581038807356E-3</v>
      </c>
    </row>
    <row r="63" spans="16:18" x14ac:dyDescent="0.2">
      <c r="P63" s="141" t="s">
        <v>88</v>
      </c>
      <c r="Q63" s="142">
        <f>_xll.qlCalendarAdvance(Calendar,Q62,P63,"f")</f>
        <v>42682</v>
      </c>
      <c r="R63" s="143">
        <f>IF((ISERR(_xll.qlIndexFixing(Index,Q63,,InterestRatesTrigger))),_xll.qlIndexFixing(Index,Q63-$Q$1,,InterestRatesTrigger),_xll.qlIndexFixing(Index,Q63,,InterestRatesTrigger))</f>
        <v>4.3638581038807356E-3</v>
      </c>
    </row>
    <row r="64" spans="16:18" x14ac:dyDescent="0.2">
      <c r="P64" s="141" t="s">
        <v>88</v>
      </c>
      <c r="Q64" s="142">
        <f>_xll.qlCalendarAdvance(Calendar,Q63,P64,"f")</f>
        <v>42683</v>
      </c>
      <c r="R64" s="143">
        <f>IF((ISERR(_xll.qlIndexFixing(Index,Q64,,InterestRatesTrigger))),_xll.qlIndexFixing(Index,Q64-$Q$1,,InterestRatesTrigger),_xll.qlIndexFixing(Index,Q64,,InterestRatesTrigger))</f>
        <v>4.3638581038807356E-3</v>
      </c>
    </row>
    <row r="65" spans="16:18" x14ac:dyDescent="0.2">
      <c r="P65" s="141" t="s">
        <v>88</v>
      </c>
      <c r="Q65" s="142">
        <f>_xll.qlCalendarAdvance(Calendar,Q64,P65,"f")</f>
        <v>42684</v>
      </c>
      <c r="R65" s="143">
        <f>IF((ISERR(_xll.qlIndexFixing(Index,Q65,,InterestRatesTrigger))),_xll.qlIndexFixing(Index,Q65-$Q$1,,InterestRatesTrigger),_xll.qlIndexFixing(Index,Q65,,InterestRatesTrigger))</f>
        <v>4.3638581038807356E-3</v>
      </c>
    </row>
    <row r="66" spans="16:18" x14ac:dyDescent="0.2">
      <c r="P66" s="141" t="s">
        <v>88</v>
      </c>
      <c r="Q66" s="142">
        <f>_xll.qlCalendarAdvance(Calendar,Q65,P66,"f")</f>
        <v>42688</v>
      </c>
      <c r="R66" s="143">
        <f>IF((ISERR(_xll.qlIndexFixing(Index,Q66,,InterestRatesTrigger))),_xll.qlIndexFixing(Index,Q66-$Q$1,,InterestRatesTrigger),_xll.qlIndexFixing(Index,Q66,,InterestRatesTrigger))</f>
        <v>4.3448889646191535E-3</v>
      </c>
    </row>
    <row r="67" spans="16:18" x14ac:dyDescent="0.2">
      <c r="P67" s="141" t="s">
        <v>88</v>
      </c>
      <c r="Q67" s="142">
        <f>_xll.qlCalendarAdvance(Calendar,Q66,P67,"f")</f>
        <v>42689</v>
      </c>
      <c r="R67" s="143">
        <f>IF((ISERR(_xll.qlIndexFixing(Index,Q67,,InterestRatesTrigger))),_xll.qlIndexFixing(Index,Q67-$Q$1,,InterestRatesTrigger),_xll.qlIndexFixing(Index,Q67,,InterestRatesTrigger))</f>
        <v>4.3448889645381072E-3</v>
      </c>
    </row>
    <row r="68" spans="16:18" x14ac:dyDescent="0.2">
      <c r="P68" s="141" t="s">
        <v>88</v>
      </c>
      <c r="Q68" s="142">
        <f>_xll.qlCalendarAdvance(Calendar,Q67,P68,"f")</f>
        <v>42690</v>
      </c>
      <c r="R68" s="143">
        <f>IF((ISERR(_xll.qlIndexFixing(Index,Q68,,InterestRatesTrigger))),_xll.qlIndexFixing(Index,Q68-$Q$1,,InterestRatesTrigger),_xll.qlIndexFixing(Index,Q68,,InterestRatesTrigger))</f>
        <v>4.3448889645381072E-3</v>
      </c>
    </row>
    <row r="69" spans="16:18" x14ac:dyDescent="0.2">
      <c r="P69" s="141" t="s">
        <v>88</v>
      </c>
      <c r="Q69" s="142">
        <f>_xll.qlCalendarAdvance(Calendar,Q68,P69,"f")</f>
        <v>42691</v>
      </c>
      <c r="R69" s="143">
        <f>IF((ISERR(_xll.qlIndexFixing(Index,Q69,,InterestRatesTrigger))),_xll.qlIndexFixing(Index,Q69-$Q$1,,InterestRatesTrigger),_xll.qlIndexFixing(Index,Q69,,InterestRatesTrigger))</f>
        <v>4.3448889646191535E-3</v>
      </c>
    </row>
    <row r="70" spans="16:18" x14ac:dyDescent="0.2">
      <c r="P70" s="141" t="s">
        <v>88</v>
      </c>
      <c r="Q70" s="142">
        <f>_xll.qlCalendarAdvance(Calendar,Q69,P70,"f")</f>
        <v>42692</v>
      </c>
      <c r="R70" s="143">
        <f>IF((ISERR(_xll.qlIndexFixing(Index,Q70,,InterestRatesTrigger))),_xll.qlIndexFixing(Index,Q70-$Q$1,,InterestRatesTrigger),_xll.qlIndexFixing(Index,Q70,,InterestRatesTrigger))</f>
        <v>4.3449406854919239E-3</v>
      </c>
    </row>
    <row r="71" spans="16:18" x14ac:dyDescent="0.2">
      <c r="P71" s="141" t="s">
        <v>88</v>
      </c>
      <c r="Q71" s="142">
        <f>_xll.qlCalendarAdvance(Calendar,Q70,P71,"f")</f>
        <v>42695</v>
      </c>
      <c r="R71" s="143">
        <f>IF((ISERR(_xll.qlIndexFixing(Index,Q71,,InterestRatesTrigger))),_xll.qlIndexFixing(Index,Q71-$Q$1,,InterestRatesTrigger),_xll.qlIndexFixing(Index,Q71,,InterestRatesTrigger))</f>
        <v>4.3448889645381072E-3</v>
      </c>
    </row>
    <row r="72" spans="16:18" x14ac:dyDescent="0.2">
      <c r="P72" s="141" t="s">
        <v>88</v>
      </c>
      <c r="Q72" s="142">
        <f>_xll.qlCalendarAdvance(Calendar,Q71,P72,"f")</f>
        <v>42696</v>
      </c>
      <c r="R72" s="143">
        <f>IF((ISERR(_xll.qlIndexFixing(Index,Q72,,InterestRatesTrigger))),_xll.qlIndexFixing(Index,Q72-$Q$1,,InterestRatesTrigger),_xll.qlIndexFixing(Index,Q72,,InterestRatesTrigger))</f>
        <v>4.3448889645381072E-3</v>
      </c>
    </row>
    <row r="73" spans="16:18" x14ac:dyDescent="0.2">
      <c r="P73" s="141" t="s">
        <v>88</v>
      </c>
      <c r="Q73" s="142">
        <f>_xll.qlCalendarAdvance(Calendar,Q72,P73,"f")</f>
        <v>42697</v>
      </c>
      <c r="R73" s="143">
        <f>IF((ISERR(_xll.qlIndexFixing(Index,Q73,,InterestRatesTrigger))),_xll.qlIndexFixing(Index,Q73-$Q$1,,InterestRatesTrigger),_xll.qlIndexFixing(Index,Q73,,InterestRatesTrigger))</f>
        <v>4.3448889645381072E-3</v>
      </c>
    </row>
    <row r="74" spans="16:18" x14ac:dyDescent="0.2">
      <c r="P74" s="141" t="s">
        <v>88</v>
      </c>
      <c r="Q74" s="142">
        <f>_xll.qlCalendarAdvance(Calendar,Q73,P74,"f")</f>
        <v>42699</v>
      </c>
      <c r="R74" s="143">
        <f>IF((ISERR(_xll.qlIndexFixing(Index,Q74,,InterestRatesTrigger))),_xll.qlIndexFixing(Index,Q74-$Q$1,,InterestRatesTrigger),_xll.qlIndexFixing(Index,Q74,,InterestRatesTrigger))</f>
        <v>4.3449406854919239E-3</v>
      </c>
    </row>
    <row r="75" spans="16:18" x14ac:dyDescent="0.2">
      <c r="P75" s="141" t="s">
        <v>88</v>
      </c>
      <c r="Q75" s="142">
        <f>_xll.qlCalendarAdvance(Calendar,Q74,P75,"f")</f>
        <v>42702</v>
      </c>
      <c r="R75" s="143">
        <f>IF((ISERR(_xll.qlIndexFixing(Index,Q75,,InterestRatesTrigger))),_xll.qlIndexFixing(Index,Q75-$Q$1,,InterestRatesTrigger),_xll.qlIndexFixing(Index,Q75,,InterestRatesTrigger))</f>
        <v>4.3448889645381072E-3</v>
      </c>
    </row>
    <row r="76" spans="16:18" x14ac:dyDescent="0.2">
      <c r="P76" s="141" t="s">
        <v>88</v>
      </c>
      <c r="Q76" s="142">
        <f>_xll.qlCalendarAdvance(Calendar,Q75,P76,"f")</f>
        <v>42703</v>
      </c>
      <c r="R76" s="143">
        <f>IF((ISERR(_xll.qlIndexFixing(Index,Q76,,InterestRatesTrigger))),_xll.qlIndexFixing(Index,Q76-$Q$1,,InterestRatesTrigger),_xll.qlIndexFixing(Index,Q76,,InterestRatesTrigger))</f>
        <v>4.3448889646191535E-3</v>
      </c>
    </row>
    <row r="77" spans="16:18" x14ac:dyDescent="0.2">
      <c r="P77" s="141" t="s">
        <v>88</v>
      </c>
      <c r="Q77" s="142">
        <f>_xll.qlCalendarAdvance(Calendar,Q76,P77,"f")</f>
        <v>42704</v>
      </c>
      <c r="R77" s="143">
        <f>IF((ISERR(_xll.qlIndexFixing(Index,Q77,,InterestRatesTrigger))),_xll.qlIndexFixing(Index,Q77-$Q$1,,InterestRatesTrigger),_xll.qlIndexFixing(Index,Q77,,InterestRatesTrigger))</f>
        <v>4.3448889645381072E-3</v>
      </c>
    </row>
    <row r="78" spans="16:18" x14ac:dyDescent="0.2">
      <c r="P78" s="141" t="s">
        <v>88</v>
      </c>
      <c r="Q78" s="142">
        <f>_xll.qlCalendarAdvance(Calendar,Q77,P78,"f")</f>
        <v>42705</v>
      </c>
      <c r="R78" s="143">
        <f>IF((ISERR(_xll.qlIndexFixing(Index,Q78,,InterestRatesTrigger))),_xll.qlIndexFixing(Index,Q78-$Q$1,,InterestRatesTrigger),_xll.qlIndexFixing(Index,Q78,,InterestRatesTrigger))</f>
        <v>4.3448889645381072E-3</v>
      </c>
    </row>
    <row r="79" spans="16:18" x14ac:dyDescent="0.2">
      <c r="P79" s="141" t="s">
        <v>88</v>
      </c>
      <c r="Q79" s="142">
        <f>_xll.qlCalendarAdvance(Calendar,Q78,P79,"f")</f>
        <v>42706</v>
      </c>
      <c r="R79" s="143">
        <f>IF((ISERR(_xll.qlIndexFixing(Index,Q79,,InterestRatesTrigger))),_xll.qlIndexFixing(Index,Q79-$Q$1,,InterestRatesTrigger),_xll.qlIndexFixing(Index,Q79,,InterestRatesTrigger))</f>
        <v>4.3449406854919239E-3</v>
      </c>
    </row>
    <row r="80" spans="16:18" x14ac:dyDescent="0.2">
      <c r="P80" s="141" t="s">
        <v>88</v>
      </c>
      <c r="Q80" s="142">
        <f>_xll.qlCalendarAdvance(Calendar,Q79,P80,"f")</f>
        <v>42709</v>
      </c>
      <c r="R80" s="143">
        <f>IF((ISERR(_xll.qlIndexFixing(Index,Q80,,InterestRatesTrigger))),_xll.qlIndexFixing(Index,Q80-$Q$1,,InterestRatesTrigger),_xll.qlIndexFixing(Index,Q80,,InterestRatesTrigger))</f>
        <v>4.3448889645381072E-3</v>
      </c>
    </row>
    <row r="81" spans="16:18" x14ac:dyDescent="0.2">
      <c r="P81" s="141" t="s">
        <v>88</v>
      </c>
      <c r="Q81" s="142">
        <f>_xll.qlCalendarAdvance(Calendar,Q80,P81,"f")</f>
        <v>42710</v>
      </c>
      <c r="R81" s="143">
        <f>IF((ISERR(_xll.qlIndexFixing(Index,Q81,,InterestRatesTrigger))),_xll.qlIndexFixing(Index,Q81-$Q$1,,InterestRatesTrigger),_xll.qlIndexFixing(Index,Q81,,InterestRatesTrigger))</f>
        <v>4.3448889646191535E-3</v>
      </c>
    </row>
    <row r="82" spans="16:18" x14ac:dyDescent="0.2">
      <c r="P82" s="141" t="s">
        <v>88</v>
      </c>
      <c r="Q82" s="142">
        <f>_xll.qlCalendarAdvance(Calendar,Q81,P82,"f")</f>
        <v>42711</v>
      </c>
      <c r="R82" s="143">
        <f>IF((ISERR(_xll.qlIndexFixing(Index,Q82,,InterestRatesTrigger))),_xll.qlIndexFixing(Index,Q82-$Q$1,,InterestRatesTrigger),_xll.qlIndexFixing(Index,Q82,,InterestRatesTrigger))</f>
        <v>4.3448889645381072E-3</v>
      </c>
    </row>
    <row r="83" spans="16:18" x14ac:dyDescent="0.2">
      <c r="P83" s="141" t="s">
        <v>88</v>
      </c>
      <c r="Q83" s="142">
        <f>_xll.qlCalendarAdvance(Calendar,Q82,P83,"f")</f>
        <v>42712</v>
      </c>
      <c r="R83" s="143">
        <f>IF((ISERR(_xll.qlIndexFixing(Index,Q83,,InterestRatesTrigger))),_xll.qlIndexFixing(Index,Q83-$Q$1,,InterestRatesTrigger),_xll.qlIndexFixing(Index,Q83,,InterestRatesTrigger))</f>
        <v>4.3448889645381072E-3</v>
      </c>
    </row>
    <row r="84" spans="16:18" x14ac:dyDescent="0.2">
      <c r="P84" s="141" t="s">
        <v>88</v>
      </c>
      <c r="Q84" s="142">
        <f>_xll.qlCalendarAdvance(Calendar,Q83,P84,"f")</f>
        <v>42713</v>
      </c>
      <c r="R84" s="143">
        <f>IF((ISERR(_xll.qlIndexFixing(Index,Q84,,InterestRatesTrigger))),_xll.qlIndexFixing(Index,Q84-$Q$1,,InterestRatesTrigger),_xll.qlIndexFixing(Index,Q84,,InterestRatesTrigger))</f>
        <v>4.3449406854649082E-3</v>
      </c>
    </row>
    <row r="85" spans="16:18" x14ac:dyDescent="0.2">
      <c r="P85" s="141" t="s">
        <v>88</v>
      </c>
      <c r="Q85" s="142">
        <f>_xll.qlCalendarAdvance(Calendar,Q84,P85,"f")</f>
        <v>42716</v>
      </c>
      <c r="R85" s="143">
        <f>IF((ISERR(_xll.qlIndexFixing(Index,Q85,,InterestRatesTrigger))),_xll.qlIndexFixing(Index,Q85-$Q$1,,InterestRatesTrigger),_xll.qlIndexFixing(Index,Q85,,InterestRatesTrigger))</f>
        <v>4.7908904764748517E-3</v>
      </c>
    </row>
    <row r="86" spans="16:18" x14ac:dyDescent="0.2">
      <c r="P86" s="141" t="s">
        <v>88</v>
      </c>
      <c r="Q86" s="142">
        <f>_xll.qlCalendarAdvance(Calendar,Q85,P86,"f")</f>
        <v>42717</v>
      </c>
      <c r="R86" s="143">
        <f>IF((ISERR(_xll.qlIndexFixing(Index,Q86,,InterestRatesTrigger))),_xll.qlIndexFixing(Index,Q86-$Q$1,,InterestRatesTrigger),_xll.qlIndexFixing(Index,Q86,,InterestRatesTrigger))</f>
        <v>4.7908904764748517E-3</v>
      </c>
    </row>
    <row r="87" spans="16:18" x14ac:dyDescent="0.2">
      <c r="P87" s="141" t="s">
        <v>88</v>
      </c>
      <c r="Q87" s="142">
        <f>_xll.qlCalendarAdvance(Calendar,Q86,P87,"f")</f>
        <v>42718</v>
      </c>
      <c r="R87" s="143">
        <f>IF((ISERR(_xll.qlIndexFixing(Index,Q87,,InterestRatesTrigger))),_xll.qlIndexFixing(Index,Q87-$Q$1,,InterestRatesTrigger),_xll.qlIndexFixing(Index,Q87,,InterestRatesTrigger))</f>
        <v>4.7908904764748517E-3</v>
      </c>
    </row>
    <row r="88" spans="16:18" x14ac:dyDescent="0.2">
      <c r="P88" s="141" t="s">
        <v>88</v>
      </c>
      <c r="Q88" s="142">
        <f>_xll.qlCalendarAdvance(Calendar,Q87,P88,"f")</f>
        <v>42719</v>
      </c>
      <c r="R88" s="143">
        <f>IF((ISERR(_xll.qlIndexFixing(Index,Q88,,InterestRatesTrigger))),_xll.qlIndexFixing(Index,Q88-$Q$1,,InterestRatesTrigger),_xll.qlIndexFixing(Index,Q88,,InterestRatesTrigger))</f>
        <v>4.7908904763938054E-3</v>
      </c>
    </row>
    <row r="89" spans="16:18" x14ac:dyDescent="0.2">
      <c r="P89" s="141" t="s">
        <v>88</v>
      </c>
      <c r="Q89" s="142">
        <f>_xll.qlCalendarAdvance(Calendar,Q88,P89,"f")</f>
        <v>42720</v>
      </c>
      <c r="R89" s="143">
        <f>IF((ISERR(_xll.qlIndexFixing(Index,Q89,,InterestRatesTrigger))),_xll.qlIndexFixing(Index,Q89-$Q$1,,InterestRatesTrigger),_xll.qlIndexFixing(Index,Q89,,InterestRatesTrigger))</f>
        <v>4.7909533606623391E-3</v>
      </c>
    </row>
    <row r="90" spans="16:18" x14ac:dyDescent="0.2">
      <c r="P90" s="141" t="s">
        <v>88</v>
      </c>
      <c r="Q90" s="142">
        <f>_xll.qlCalendarAdvance(Calendar,Q89,P90,"f")</f>
        <v>42723</v>
      </c>
      <c r="R90" s="143">
        <f>IF((ISERR(_xll.qlIndexFixing(Index,Q90,,InterestRatesTrigger))),_xll.qlIndexFixing(Index,Q90-$Q$1,,InterestRatesTrigger),_xll.qlIndexFixing(Index,Q90,,InterestRatesTrigger))</f>
        <v>4.7908904764748517E-3</v>
      </c>
    </row>
    <row r="91" spans="16:18" x14ac:dyDescent="0.2">
      <c r="P91" s="141" t="s">
        <v>88</v>
      </c>
      <c r="Q91" s="142">
        <f>_xll.qlCalendarAdvance(Calendar,Q90,P91,"f")</f>
        <v>42724</v>
      </c>
      <c r="R91" s="143">
        <f>IF((ISERR(_xll.qlIndexFixing(Index,Q91,,InterestRatesTrigger))),_xll.qlIndexFixing(Index,Q91-$Q$1,,InterestRatesTrigger),_xll.qlIndexFixing(Index,Q91,,InterestRatesTrigger))</f>
        <v>4.7908904764748517E-3</v>
      </c>
    </row>
    <row r="92" spans="16:18" x14ac:dyDescent="0.2">
      <c r="P92" s="141" t="s">
        <v>88</v>
      </c>
      <c r="Q92" s="142">
        <f>_xll.qlCalendarAdvance(Calendar,Q91,P92,"f")</f>
        <v>42725</v>
      </c>
      <c r="R92" s="143">
        <f>IF((ISERR(_xll.qlIndexFixing(Index,Q92,,InterestRatesTrigger))),_xll.qlIndexFixing(Index,Q92-$Q$1,,InterestRatesTrigger),_xll.qlIndexFixing(Index,Q92,,InterestRatesTrigger))</f>
        <v>4.7908904764748517E-3</v>
      </c>
    </row>
    <row r="93" spans="16:18" x14ac:dyDescent="0.2">
      <c r="P93" s="141" t="s">
        <v>88</v>
      </c>
      <c r="Q93" s="142">
        <f>_xll.qlCalendarAdvance(Calendar,Q92,P93,"f")</f>
        <v>42726</v>
      </c>
      <c r="R93" s="143">
        <f>IF((ISERR(_xll.qlIndexFixing(Index,Q93,,InterestRatesTrigger))),_xll.qlIndexFixing(Index,Q93-$Q$1,,InterestRatesTrigger),_xll.qlIndexFixing(Index,Q93,,InterestRatesTrigger))</f>
        <v>4.7908904764748517E-3</v>
      </c>
    </row>
    <row r="94" spans="16:18" x14ac:dyDescent="0.2">
      <c r="P94" s="141" t="s">
        <v>88</v>
      </c>
      <c r="Q94" s="142">
        <f>_xll.qlCalendarAdvance(Calendar,Q93,P94,"f")</f>
        <v>42727</v>
      </c>
      <c r="R94" s="143">
        <f>IF((ISERR(_xll.qlIndexFixing(Index,Q94,,InterestRatesTrigger))),_xll.qlIndexFixing(Index,Q94-$Q$1,,InterestRatesTrigger),_xll.qlIndexFixing(Index,Q94,,InterestRatesTrigger))</f>
        <v>4.7910162459412486E-3</v>
      </c>
    </row>
    <row r="95" spans="16:18" x14ac:dyDescent="0.2">
      <c r="P95" s="141" t="s">
        <v>88</v>
      </c>
      <c r="Q95" s="142">
        <f>_xll.qlCalendarAdvance(Calendar,Q94,P95,"f")</f>
        <v>42731</v>
      </c>
      <c r="R95" s="143">
        <f>IF((ISERR(_xll.qlIndexFixing(Index,Q95,,InterestRatesTrigger))),_xll.qlIndexFixing(Index,Q95-$Q$1,,InterestRatesTrigger),_xll.qlIndexFixing(Index,Q95,,InterestRatesTrigger))</f>
        <v>4.7910162459412486E-3</v>
      </c>
    </row>
    <row r="96" spans="16:18" x14ac:dyDescent="0.2">
      <c r="P96" s="141" t="s">
        <v>88</v>
      </c>
      <c r="Q96" s="142">
        <f>_xll.qlCalendarAdvance(Calendar,Q95,P96,"f")</f>
        <v>42732</v>
      </c>
      <c r="R96" s="143">
        <f>IF((ISERR(_xll.qlIndexFixing(Index,Q96,,InterestRatesTrigger))),_xll.qlIndexFixing(Index,Q96-$Q$1,,InterestRatesTrigger),_xll.qlIndexFixing(Index,Q96,,InterestRatesTrigger))</f>
        <v>4.7908904764748517E-3</v>
      </c>
    </row>
    <row r="97" spans="16:18" x14ac:dyDescent="0.2">
      <c r="P97" s="141" t="s">
        <v>88</v>
      </c>
      <c r="Q97" s="142">
        <f>_xll.qlCalendarAdvance(Calendar,Q96,P97,"f")</f>
        <v>42733</v>
      </c>
      <c r="R97" s="143">
        <f>IF((ISERR(_xll.qlIndexFixing(Index,Q97,,InterestRatesTrigger))),_xll.qlIndexFixing(Index,Q97-$Q$1,,InterestRatesTrigger),_xll.qlIndexFixing(Index,Q97,,InterestRatesTrigger))</f>
        <v>4.7908904764748517E-3</v>
      </c>
    </row>
    <row r="98" spans="16:18" x14ac:dyDescent="0.2">
      <c r="P98" s="141" t="s">
        <v>88</v>
      </c>
      <c r="Q98" s="142">
        <f>_xll.qlCalendarAdvance(Calendar,Q97,P98,"f")</f>
        <v>42734</v>
      </c>
      <c r="R98" s="143">
        <f>IF((ISERR(_xll.qlIndexFixing(Index,Q98,,InterestRatesTrigger))),_xll.qlIndexFixing(Index,Q98-$Q$1,,InterestRatesTrigger),_xll.qlIndexFixing(Index,Q98,,InterestRatesTrigger))</f>
        <v>4.7909848031613134E-3</v>
      </c>
    </row>
    <row r="99" spans="16:18" x14ac:dyDescent="0.2">
      <c r="P99" s="141" t="s">
        <v>88</v>
      </c>
      <c r="Q99" s="142">
        <f>_xll.qlCalendarAdvance(Calendar,Q98,P99,"f")</f>
        <v>42738</v>
      </c>
      <c r="R99" s="143">
        <f>IF((ISERR(_xll.qlIndexFixing(Index,Q99,,InterestRatesTrigger))),_xll.qlIndexFixing(Index,Q99-$Q$1,,InterestRatesTrigger),_xll.qlIndexFixing(Index,Q99,,InterestRatesTrigger))</f>
        <v>4.7908904764748517E-3</v>
      </c>
    </row>
    <row r="100" spans="16:18" x14ac:dyDescent="0.2">
      <c r="P100" s="141" t="s">
        <v>88</v>
      </c>
      <c r="Q100" s="142">
        <f>_xll.qlCalendarAdvance(Calendar,Q99,P100,"f")</f>
        <v>42739</v>
      </c>
      <c r="R100" s="143">
        <f>IF((ISERR(_xll.qlIndexFixing(Index,Q100,,InterestRatesTrigger))),_xll.qlIndexFixing(Index,Q100-$Q$1,,InterestRatesTrigger),_xll.qlIndexFixing(Index,Q100,,InterestRatesTrigger))</f>
        <v>4.7908904763938054E-3</v>
      </c>
    </row>
    <row r="101" spans="16:18" x14ac:dyDescent="0.2">
      <c r="P101" s="141" t="s">
        <v>88</v>
      </c>
      <c r="Q101" s="142">
        <f>_xll.qlCalendarAdvance(Calendar,Q100,P101,"f")</f>
        <v>42740</v>
      </c>
      <c r="R101" s="143">
        <f>IF((ISERR(_xll.qlIndexFixing(Index,Q101,,InterestRatesTrigger))),_xll.qlIndexFixing(Index,Q101-$Q$1,,InterestRatesTrigger),_xll.qlIndexFixing(Index,Q101,,InterestRatesTrigger))</f>
        <v>4.7908904764748517E-3</v>
      </c>
    </row>
    <row r="102" spans="16:18" x14ac:dyDescent="0.2">
      <c r="P102" s="141" t="s">
        <v>88</v>
      </c>
      <c r="Q102" s="142">
        <f>_xll.qlCalendarAdvance(Calendar,Q101,P102,"f")</f>
        <v>42741</v>
      </c>
      <c r="R102" s="143">
        <f>IF((ISERR(_xll.qlIndexFixing(Index,Q102,,InterestRatesTrigger))),_xll.qlIndexFixing(Index,Q102-$Q$1,,InterestRatesTrigger),_xll.qlIndexFixing(Index,Q102,,InterestRatesTrigger))</f>
        <v>4.7909533606353234E-3</v>
      </c>
    </row>
    <row r="103" spans="16:18" x14ac:dyDescent="0.2">
      <c r="P103" s="141" t="s">
        <v>88</v>
      </c>
      <c r="Q103" s="142">
        <f>_xll.qlCalendarAdvance(Calendar,Q102,P103,"f")</f>
        <v>42744</v>
      </c>
      <c r="R103" s="143">
        <f>IF((ISERR(_xll.qlIndexFixing(Index,Q103,,InterestRatesTrigger))),_xll.qlIndexFixing(Index,Q103-$Q$1,,InterestRatesTrigger),_xll.qlIndexFixing(Index,Q103,,InterestRatesTrigger))</f>
        <v>4.7908904764748517E-3</v>
      </c>
    </row>
    <row r="104" spans="16:18" x14ac:dyDescent="0.2">
      <c r="P104" s="141" t="s">
        <v>88</v>
      </c>
      <c r="Q104" s="142">
        <f>_xll.qlCalendarAdvance(Calendar,Q103,P104,"f")</f>
        <v>42745</v>
      </c>
      <c r="R104" s="143">
        <f>IF((ISERR(_xll.qlIndexFixing(Index,Q104,,InterestRatesTrigger))),_xll.qlIndexFixing(Index,Q104-$Q$1,,InterestRatesTrigger),_xll.qlIndexFixing(Index,Q104,,InterestRatesTrigger))</f>
        <v>4.7908904764748517E-3</v>
      </c>
    </row>
    <row r="105" spans="16:18" x14ac:dyDescent="0.2">
      <c r="P105" s="141" t="s">
        <v>88</v>
      </c>
      <c r="Q105" s="142">
        <f>_xll.qlCalendarAdvance(Calendar,Q104,P105,"f")</f>
        <v>42746</v>
      </c>
      <c r="R105" s="143">
        <f>IF((ISERR(_xll.qlIndexFixing(Index,Q105,,InterestRatesTrigger))),_xll.qlIndexFixing(Index,Q105-$Q$1,,InterestRatesTrigger),_xll.qlIndexFixing(Index,Q105,,InterestRatesTrigger))</f>
        <v>4.7908904763938054E-3</v>
      </c>
    </row>
    <row r="106" spans="16:18" x14ac:dyDescent="0.2">
      <c r="P106" s="141" t="s">
        <v>88</v>
      </c>
      <c r="Q106" s="142">
        <f>_xll.qlCalendarAdvance(Calendar,Q105,P106,"f")</f>
        <v>42747</v>
      </c>
      <c r="R106" s="143">
        <f>IF((ISERR(_xll.qlIndexFixing(Index,Q106,,InterestRatesTrigger))),_xll.qlIndexFixing(Index,Q106-$Q$1,,InterestRatesTrigger),_xll.qlIndexFixing(Index,Q106,,InterestRatesTrigger))</f>
        <v>4.9943037900923581E-3</v>
      </c>
    </row>
    <row r="107" spans="16:18" x14ac:dyDescent="0.2">
      <c r="P107" s="141" t="s">
        <v>88</v>
      </c>
      <c r="Q107" s="142">
        <f>_xll.qlCalendarAdvance(Calendar,Q106,P107,"f")</f>
        <v>42748</v>
      </c>
      <c r="R107" s="143">
        <f>IF((ISERR(_xll.qlIndexFixing(Index,Q107,,InterestRatesTrigger))),_xll.qlIndexFixing(Index,Q107-$Q$1,,InterestRatesTrigger),_xll.qlIndexFixing(Index,Q107,,InterestRatesTrigger))</f>
        <v>4.994372127586911E-3</v>
      </c>
    </row>
    <row r="108" spans="16:18" x14ac:dyDescent="0.2">
      <c r="P108" s="141" t="s">
        <v>88</v>
      </c>
      <c r="Q108" s="142">
        <f>_xll.qlCalendarAdvance(Calendar,Q107,P108,"f")</f>
        <v>42752</v>
      </c>
      <c r="R108" s="143">
        <f>IF((ISERR(_xll.qlIndexFixing(Index,Q108,,InterestRatesTrigger))),_xll.qlIndexFixing(Index,Q108-$Q$1,,InterestRatesTrigger),_xll.qlIndexFixing(Index,Q108,,InterestRatesTrigger))</f>
        <v>4.9943037900923581E-3</v>
      </c>
    </row>
    <row r="109" spans="16:18" x14ac:dyDescent="0.2">
      <c r="P109" s="141" t="s">
        <v>88</v>
      </c>
      <c r="Q109" s="142">
        <f>_xll.qlCalendarAdvance(Calendar,Q108,P109,"f")</f>
        <v>42753</v>
      </c>
      <c r="R109" s="143">
        <f>IF((ISERR(_xll.qlIndexFixing(Index,Q109,,InterestRatesTrigger))),_xll.qlIndexFixing(Index,Q109-$Q$1,,InterestRatesTrigger),_xll.qlIndexFixing(Index,Q109,,InterestRatesTrigger))</f>
        <v>4.9943037900923581E-3</v>
      </c>
    </row>
    <row r="110" spans="16:18" x14ac:dyDescent="0.2">
      <c r="P110" s="141" t="s">
        <v>88</v>
      </c>
      <c r="Q110" s="142">
        <f>_xll.qlCalendarAdvance(Calendar,Q109,P110,"f")</f>
        <v>42754</v>
      </c>
      <c r="R110" s="143">
        <f>IF((ISERR(_xll.qlIndexFixing(Index,Q110,,InterestRatesTrigger))),_xll.qlIndexFixing(Index,Q110-$Q$1,,InterestRatesTrigger),_xll.qlIndexFixing(Index,Q110,,InterestRatesTrigger))</f>
        <v>4.9943037900923581E-3</v>
      </c>
    </row>
    <row r="111" spans="16:18" x14ac:dyDescent="0.2">
      <c r="P111" s="141" t="s">
        <v>88</v>
      </c>
      <c r="Q111" s="142">
        <f>_xll.qlCalendarAdvance(Calendar,Q110,P111,"f")</f>
        <v>42755</v>
      </c>
      <c r="R111" s="143">
        <f>IF((ISERR(_xll.qlIndexFixing(Index,Q111,,InterestRatesTrigger))),_xll.qlIndexFixing(Index,Q111-$Q$1,,InterestRatesTrigger),_xll.qlIndexFixing(Index,Q111,,InterestRatesTrigger))</f>
        <v>4.994372127586911E-3</v>
      </c>
    </row>
    <row r="112" spans="16:18" x14ac:dyDescent="0.2">
      <c r="P112" s="141" t="s">
        <v>88</v>
      </c>
      <c r="Q112" s="142">
        <f>_xll.qlCalendarAdvance(Calendar,Q111,P112,"f")</f>
        <v>42758</v>
      </c>
      <c r="R112" s="143">
        <f>IF((ISERR(_xll.qlIndexFixing(Index,Q112,,InterestRatesTrigger))),_xll.qlIndexFixing(Index,Q112-$Q$1,,InterestRatesTrigger),_xll.qlIndexFixing(Index,Q112,,InterestRatesTrigger))</f>
        <v>4.9943037900923581E-3</v>
      </c>
    </row>
    <row r="113" spans="16:18" x14ac:dyDescent="0.2">
      <c r="P113" s="141" t="s">
        <v>88</v>
      </c>
      <c r="Q113" s="142">
        <f>_xll.qlCalendarAdvance(Calendar,Q112,P113,"f")</f>
        <v>42759</v>
      </c>
      <c r="R113" s="143">
        <f>IF((ISERR(_xll.qlIndexFixing(Index,Q113,,InterestRatesTrigger))),_xll.qlIndexFixing(Index,Q113-$Q$1,,InterestRatesTrigger),_xll.qlIndexFixing(Index,Q113,,InterestRatesTrigger))</f>
        <v>4.9943037900923581E-3</v>
      </c>
    </row>
    <row r="114" spans="16:18" x14ac:dyDescent="0.2">
      <c r="P114" s="141" t="s">
        <v>88</v>
      </c>
      <c r="Q114" s="142">
        <f>_xll.qlCalendarAdvance(Calendar,Q113,P114,"f")</f>
        <v>42760</v>
      </c>
      <c r="R114" s="143">
        <f>IF((ISERR(_xll.qlIndexFixing(Index,Q114,,InterestRatesTrigger))),_xll.qlIndexFixing(Index,Q114-$Q$1,,InterestRatesTrigger),_xll.qlIndexFixing(Index,Q114,,InterestRatesTrigger))</f>
        <v>4.9943037900923581E-3</v>
      </c>
    </row>
    <row r="115" spans="16:18" x14ac:dyDescent="0.2">
      <c r="P115" s="141" t="s">
        <v>88</v>
      </c>
      <c r="Q115" s="142">
        <f>_xll.qlCalendarAdvance(Calendar,Q114,P115,"f")</f>
        <v>42761</v>
      </c>
      <c r="R115" s="143">
        <f>IF((ISERR(_xll.qlIndexFixing(Index,Q115,,InterestRatesTrigger))),_xll.qlIndexFixing(Index,Q115-$Q$1,,InterestRatesTrigger),_xll.qlIndexFixing(Index,Q115,,InterestRatesTrigger))</f>
        <v>4.9943037900923581E-3</v>
      </c>
    </row>
    <row r="116" spans="16:18" x14ac:dyDescent="0.2">
      <c r="P116" s="141" t="s">
        <v>88</v>
      </c>
      <c r="Q116" s="142">
        <f>_xll.qlCalendarAdvance(Calendar,Q115,P116,"f")</f>
        <v>42762</v>
      </c>
      <c r="R116" s="143">
        <f>IF((ISERR(_xll.qlIndexFixing(Index,Q116,,InterestRatesTrigger))),_xll.qlIndexFixing(Index,Q116-$Q$1,,InterestRatesTrigger),_xll.qlIndexFixing(Index,Q116,,InterestRatesTrigger))</f>
        <v>4.994372127586911E-3</v>
      </c>
    </row>
    <row r="117" spans="16:18" x14ac:dyDescent="0.2">
      <c r="P117" s="141" t="s">
        <v>88</v>
      </c>
      <c r="Q117" s="142">
        <f>_xll.qlCalendarAdvance(Calendar,Q116,P117,"f")</f>
        <v>42765</v>
      </c>
      <c r="R117" s="143">
        <f>IF((ISERR(_xll.qlIndexFixing(Index,Q117,,InterestRatesTrigger))),_xll.qlIndexFixing(Index,Q117-$Q$1,,InterestRatesTrigger),_xll.qlIndexFixing(Index,Q117,,InterestRatesTrigger))</f>
        <v>4.9943037900923581E-3</v>
      </c>
    </row>
    <row r="118" spans="16:18" x14ac:dyDescent="0.2">
      <c r="P118" s="141" t="s">
        <v>88</v>
      </c>
      <c r="Q118" s="142">
        <f>_xll.qlCalendarAdvance(Calendar,Q117,P118,"f")</f>
        <v>42766</v>
      </c>
      <c r="R118" s="143">
        <f>IF((ISERR(_xll.qlIndexFixing(Index,Q118,,InterestRatesTrigger))),_xll.qlIndexFixing(Index,Q118-$Q$1,,InterestRatesTrigger),_xll.qlIndexFixing(Index,Q118,,InterestRatesTrigger))</f>
        <v>4.9943037900923581E-3</v>
      </c>
    </row>
    <row r="119" spans="16:18" x14ac:dyDescent="0.2">
      <c r="P119" s="141" t="s">
        <v>88</v>
      </c>
      <c r="Q119" s="142">
        <f>_xll.qlCalendarAdvance(Calendar,Q118,P119,"f")</f>
        <v>42767</v>
      </c>
      <c r="R119" s="143">
        <f>IF((ISERR(_xll.qlIndexFixing(Index,Q119,,InterestRatesTrigger))),_xll.qlIndexFixing(Index,Q119-$Q$1,,InterestRatesTrigger),_xll.qlIndexFixing(Index,Q119,,InterestRatesTrigger))</f>
        <v>4.9943037900923581E-3</v>
      </c>
    </row>
    <row r="120" spans="16:18" x14ac:dyDescent="0.2">
      <c r="P120" s="141" t="s">
        <v>88</v>
      </c>
      <c r="Q120" s="142">
        <f>_xll.qlCalendarAdvance(Calendar,Q119,P120,"f")</f>
        <v>42768</v>
      </c>
      <c r="R120" s="143">
        <f>IF((ISERR(_xll.qlIndexFixing(Index,Q120,,InterestRatesTrigger))),_xll.qlIndexFixing(Index,Q120-$Q$1,,InterestRatesTrigger),_xll.qlIndexFixing(Index,Q120,,InterestRatesTrigger))</f>
        <v>4.9943037900923581E-3</v>
      </c>
    </row>
    <row r="121" spans="16:18" x14ac:dyDescent="0.2">
      <c r="P121" s="141" t="s">
        <v>88</v>
      </c>
      <c r="Q121" s="142">
        <f>_xll.qlCalendarAdvance(Calendar,Q120,P121,"f")</f>
        <v>42769</v>
      </c>
      <c r="R121" s="143">
        <f>IF((ISERR(_xll.qlIndexFixing(Index,Q121,,InterestRatesTrigger))),_xll.qlIndexFixing(Index,Q121-$Q$1,,InterestRatesTrigger),_xll.qlIndexFixing(Index,Q121,,InterestRatesTrigger))</f>
        <v>4.994372127586911E-3</v>
      </c>
    </row>
    <row r="122" spans="16:18" x14ac:dyDescent="0.2">
      <c r="P122" s="141" t="s">
        <v>88</v>
      </c>
      <c r="Q122" s="142">
        <f>_xll.qlCalendarAdvance(Calendar,Q121,P122,"f")</f>
        <v>42772</v>
      </c>
      <c r="R122" s="143">
        <f>IF((ISERR(_xll.qlIndexFixing(Index,Q122,,InterestRatesTrigger))),_xll.qlIndexFixing(Index,Q122-$Q$1,,InterestRatesTrigger),_xll.qlIndexFixing(Index,Q122,,InterestRatesTrigger))</f>
        <v>4.9943037900923581E-3</v>
      </c>
    </row>
    <row r="123" spans="16:18" x14ac:dyDescent="0.2">
      <c r="P123" s="141" t="s">
        <v>88</v>
      </c>
      <c r="Q123" s="142">
        <f>_xll.qlCalendarAdvance(Calendar,Q122,P123,"f")</f>
        <v>42773</v>
      </c>
      <c r="R123" s="143">
        <f>IF((ISERR(_xll.qlIndexFixing(Index,Q123,,InterestRatesTrigger))),_xll.qlIndexFixing(Index,Q123-$Q$1,,InterestRatesTrigger),_xll.qlIndexFixing(Index,Q123,,InterestRatesTrigger))</f>
        <v>4.9943037900923581E-3</v>
      </c>
    </row>
    <row r="124" spans="16:18" x14ac:dyDescent="0.2">
      <c r="P124" s="141" t="s">
        <v>88</v>
      </c>
      <c r="Q124" s="142">
        <f>_xll.qlCalendarAdvance(Calendar,Q123,P124,"f")</f>
        <v>42774</v>
      </c>
      <c r="R124" s="143">
        <f>IF((ISERR(_xll.qlIndexFixing(Index,Q124,,InterestRatesTrigger))),_xll.qlIndexFixing(Index,Q124-$Q$1,,InterestRatesTrigger),_xll.qlIndexFixing(Index,Q124,,InterestRatesTrigger))</f>
        <v>4.9943037900923581E-3</v>
      </c>
    </row>
    <row r="125" spans="16:18" x14ac:dyDescent="0.2">
      <c r="P125" s="141" t="s">
        <v>88</v>
      </c>
      <c r="Q125" s="142">
        <f>_xll.qlCalendarAdvance(Calendar,Q124,P125,"f")</f>
        <v>42775</v>
      </c>
      <c r="R125" s="143">
        <f>IF((ISERR(_xll.qlIndexFixing(Index,Q125,,InterestRatesTrigger))),_xll.qlIndexFixing(Index,Q125-$Q$1,,InterestRatesTrigger),_xll.qlIndexFixing(Index,Q125,,InterestRatesTrigger))</f>
        <v>4.9943037900923581E-3</v>
      </c>
    </row>
    <row r="126" spans="16:18" x14ac:dyDescent="0.2">
      <c r="P126" s="141" t="s">
        <v>88</v>
      </c>
      <c r="Q126" s="142">
        <f>_xll.qlCalendarAdvance(Calendar,Q125,P126,"f")</f>
        <v>42776</v>
      </c>
      <c r="R126" s="143">
        <f>IF((ISERR(_xll.qlIndexFixing(Index,Q126,,InterestRatesTrigger))),_xll.qlIndexFixing(Index,Q126-$Q$1,,InterestRatesTrigger),_xll.qlIndexFixing(Index,Q126,,InterestRatesTrigger))</f>
        <v>4.994372127586911E-3</v>
      </c>
    </row>
    <row r="127" spans="16:18" x14ac:dyDescent="0.2">
      <c r="P127" s="141" t="s">
        <v>88</v>
      </c>
      <c r="Q127" s="142">
        <f>_xll.qlCalendarAdvance(Calendar,Q126,P127,"f")</f>
        <v>42779</v>
      </c>
      <c r="R127" s="143">
        <f>IF((ISERR(_xll.qlIndexFixing(Index,Q127,,InterestRatesTrigger))),_xll.qlIndexFixing(Index,Q127-$Q$1,,InterestRatesTrigger),_xll.qlIndexFixing(Index,Q127,,InterestRatesTrigger))</f>
        <v>4.9699220282151124E-3</v>
      </c>
    </row>
    <row r="128" spans="16:18" x14ac:dyDescent="0.2">
      <c r="P128" s="141" t="s">
        <v>88</v>
      </c>
      <c r="Q128" s="142">
        <f>_xll.qlCalendarAdvance(Calendar,Q127,P128,"f")</f>
        <v>42780</v>
      </c>
      <c r="R128" s="143">
        <f>IF((ISERR(_xll.qlIndexFixing(Index,Q128,,InterestRatesTrigger))),_xll.qlIndexFixing(Index,Q128-$Q$1,,InterestRatesTrigger),_xll.qlIndexFixing(Index,Q128,,InterestRatesTrigger))</f>
        <v>4.9699220282151124E-3</v>
      </c>
    </row>
    <row r="129" spans="16:18" x14ac:dyDescent="0.2">
      <c r="P129" s="141" t="s">
        <v>88</v>
      </c>
      <c r="Q129" s="142">
        <f>_xll.qlCalendarAdvance(Calendar,Q128,P129,"f")</f>
        <v>42781</v>
      </c>
      <c r="R129" s="143">
        <f>IF((ISERR(_xll.qlIndexFixing(Index,Q129,,InterestRatesTrigger))),_xll.qlIndexFixing(Index,Q129-$Q$1,,InterestRatesTrigger),_xll.qlIndexFixing(Index,Q129,,InterestRatesTrigger))</f>
        <v>4.9699220282151124E-3</v>
      </c>
    </row>
    <row r="130" spans="16:18" x14ac:dyDescent="0.2">
      <c r="P130" s="141" t="s">
        <v>88</v>
      </c>
      <c r="Q130" s="142">
        <f>_xll.qlCalendarAdvance(Calendar,Q129,P130,"f")</f>
        <v>42782</v>
      </c>
      <c r="R130" s="143">
        <f>IF((ISERR(_xll.qlIndexFixing(Index,Q130,,InterestRatesTrigger))),_xll.qlIndexFixing(Index,Q130-$Q$1,,InterestRatesTrigger),_xll.qlIndexFixing(Index,Q130,,InterestRatesTrigger))</f>
        <v>4.9699220282151124E-3</v>
      </c>
    </row>
    <row r="131" spans="16:18" x14ac:dyDescent="0.2">
      <c r="P131" s="141" t="s">
        <v>88</v>
      </c>
      <c r="Q131" s="142">
        <f>_xll.qlCalendarAdvance(Calendar,Q130,P131,"f")</f>
        <v>42783</v>
      </c>
      <c r="R131" s="143">
        <f>IF((ISERR(_xll.qlIndexFixing(Index,Q131,,InterestRatesTrigger))),_xll.qlIndexFixing(Index,Q131-$Q$1,,InterestRatesTrigger),_xll.qlIndexFixing(Index,Q131,,InterestRatesTrigger))</f>
        <v>4.969989700103576E-3</v>
      </c>
    </row>
    <row r="132" spans="16:18" x14ac:dyDescent="0.2">
      <c r="P132" s="141" t="s">
        <v>88</v>
      </c>
      <c r="Q132" s="142">
        <f>_xll.qlCalendarAdvance(Calendar,Q131,P132,"f")</f>
        <v>42787</v>
      </c>
      <c r="R132" s="143">
        <f>IF((ISERR(_xll.qlIndexFixing(Index,Q132,,InterestRatesTrigger))),_xll.qlIndexFixing(Index,Q132-$Q$1,,InterestRatesTrigger),_xll.qlIndexFixing(Index,Q132,,InterestRatesTrigger))</f>
        <v>4.9699220282151124E-3</v>
      </c>
    </row>
    <row r="133" spans="16:18" x14ac:dyDescent="0.2">
      <c r="P133" s="141" t="s">
        <v>88</v>
      </c>
      <c r="Q133" s="142">
        <f>_xll.qlCalendarAdvance(Calendar,Q132,P133,"f")</f>
        <v>42788</v>
      </c>
      <c r="R133" s="143">
        <f>IF((ISERR(_xll.qlIndexFixing(Index,Q133,,InterestRatesTrigger))),_xll.qlIndexFixing(Index,Q133-$Q$1,,InterestRatesTrigger),_xll.qlIndexFixing(Index,Q133,,InterestRatesTrigger))</f>
        <v>4.9699220282151124E-3</v>
      </c>
    </row>
    <row r="134" spans="16:18" x14ac:dyDescent="0.2">
      <c r="P134" s="141" t="s">
        <v>88</v>
      </c>
      <c r="Q134" s="142">
        <f>_xll.qlCalendarAdvance(Calendar,Q133,P134,"f")</f>
        <v>42789</v>
      </c>
      <c r="R134" s="143">
        <f>IF((ISERR(_xll.qlIndexFixing(Index,Q134,,InterestRatesTrigger))),_xll.qlIndexFixing(Index,Q134-$Q$1,,InterestRatesTrigger),_xll.qlIndexFixing(Index,Q134,,InterestRatesTrigger))</f>
        <v>4.9699220282151124E-3</v>
      </c>
    </row>
    <row r="135" spans="16:18" x14ac:dyDescent="0.2">
      <c r="P135" s="141" t="s">
        <v>88</v>
      </c>
      <c r="Q135" s="142">
        <f>_xll.qlCalendarAdvance(Calendar,Q134,P135,"f")</f>
        <v>42790</v>
      </c>
      <c r="R135" s="143">
        <f>IF((ISERR(_xll.qlIndexFixing(Index,Q135,,InterestRatesTrigger))),_xll.qlIndexFixing(Index,Q135-$Q$1,,InterestRatesTrigger),_xll.qlIndexFixing(Index,Q135,,InterestRatesTrigger))</f>
        <v>4.969989700103576E-3</v>
      </c>
    </row>
    <row r="136" spans="16:18" x14ac:dyDescent="0.2">
      <c r="P136" s="141" t="s">
        <v>88</v>
      </c>
      <c r="Q136" s="142">
        <f>_xll.qlCalendarAdvance(Calendar,Q135,P136,"f")</f>
        <v>42793</v>
      </c>
      <c r="R136" s="143">
        <f>IF((ISERR(_xll.qlIndexFixing(Index,Q136,,InterestRatesTrigger))),_xll.qlIndexFixing(Index,Q136-$Q$1,,InterestRatesTrigger),_xll.qlIndexFixing(Index,Q136,,InterestRatesTrigger))</f>
        <v>4.9699220282961587E-3</v>
      </c>
    </row>
    <row r="137" spans="16:18" x14ac:dyDescent="0.2">
      <c r="P137" s="141" t="s">
        <v>88</v>
      </c>
      <c r="Q137" s="142">
        <f>_xll.qlCalendarAdvance(Calendar,Q136,P137,"f")</f>
        <v>42794</v>
      </c>
      <c r="R137" s="143">
        <f>IF((ISERR(_xll.qlIndexFixing(Index,Q137,,InterestRatesTrigger))),_xll.qlIndexFixing(Index,Q137-$Q$1,,InterestRatesTrigger),_xll.qlIndexFixing(Index,Q137,,InterestRatesTrigger))</f>
        <v>5.7810441835892679E-3</v>
      </c>
    </row>
    <row r="138" spans="16:18" x14ac:dyDescent="0.2">
      <c r="P138" s="141" t="s">
        <v>88</v>
      </c>
      <c r="Q138" s="142">
        <f>_xll.qlCalendarAdvance(Calendar,Q137,P138,"f")</f>
        <v>42795</v>
      </c>
      <c r="R138" s="143">
        <f>IF((ISERR(_xll.qlIndexFixing(Index,Q138,,InterestRatesTrigger))),_xll.qlIndexFixing(Index,Q138-$Q$1,,InterestRatesTrigger),_xll.qlIndexFixing(Index,Q138,,InterestRatesTrigger))</f>
        <v>4.9699220282151124E-3</v>
      </c>
    </row>
    <row r="139" spans="16:18" x14ac:dyDescent="0.2">
      <c r="P139" s="141" t="s">
        <v>88</v>
      </c>
      <c r="Q139" s="142">
        <f>_xll.qlCalendarAdvance(Calendar,Q138,P139,"f")</f>
        <v>42796</v>
      </c>
      <c r="R139" s="143">
        <f>IF((ISERR(_xll.qlIndexFixing(Index,Q139,,InterestRatesTrigger))),_xll.qlIndexFixing(Index,Q139-$Q$1,,InterestRatesTrigger),_xll.qlIndexFixing(Index,Q139,,InterestRatesTrigger))</f>
        <v>4.9699220282151124E-3</v>
      </c>
    </row>
    <row r="140" spans="16:18" x14ac:dyDescent="0.2">
      <c r="P140" s="141" t="s">
        <v>88</v>
      </c>
      <c r="Q140" s="142">
        <f>_xll.qlCalendarAdvance(Calendar,Q139,P140,"f")</f>
        <v>42797</v>
      </c>
      <c r="R140" s="143">
        <f>IF((ISERR(_xll.qlIndexFixing(Index,Q140,,InterestRatesTrigger))),_xll.qlIndexFixing(Index,Q140-$Q$1,,InterestRatesTrigger),_xll.qlIndexFixing(Index,Q140,,InterestRatesTrigger))</f>
        <v>4.9699897001305917E-3</v>
      </c>
    </row>
    <row r="141" spans="16:18" x14ac:dyDescent="0.2">
      <c r="P141" s="141" t="s">
        <v>88</v>
      </c>
      <c r="Q141" s="142">
        <f>_xll.qlCalendarAdvance(Calendar,Q140,P141,"f")</f>
        <v>42800</v>
      </c>
      <c r="R141" s="143">
        <f>IF((ISERR(_xll.qlIndexFixing(Index,Q141,,InterestRatesTrigger))),_xll.qlIndexFixing(Index,Q141-$Q$1,,InterestRatesTrigger),_xll.qlIndexFixing(Index,Q141,,InterestRatesTrigger))</f>
        <v>4.9699220282151124E-3</v>
      </c>
    </row>
    <row r="142" spans="16:18" x14ac:dyDescent="0.2">
      <c r="P142" s="141" t="s">
        <v>88</v>
      </c>
      <c r="Q142" s="142">
        <f>_xll.qlCalendarAdvance(Calendar,Q141,P142,"f")</f>
        <v>42801</v>
      </c>
      <c r="R142" s="143">
        <f>IF((ISERR(_xll.qlIndexFixing(Index,Q142,,InterestRatesTrigger))),_xll.qlIndexFixing(Index,Q142-$Q$1,,InterestRatesTrigger),_xll.qlIndexFixing(Index,Q142,,InterestRatesTrigger))</f>
        <v>4.9699220282961587E-3</v>
      </c>
    </row>
    <row r="143" spans="16:18" x14ac:dyDescent="0.2">
      <c r="P143" s="141" t="s">
        <v>88</v>
      </c>
      <c r="Q143" s="142">
        <f>_xll.qlCalendarAdvance(Calendar,Q142,P143,"f")</f>
        <v>42802</v>
      </c>
      <c r="R143" s="143">
        <f>IF((ISERR(_xll.qlIndexFixing(Index,Q143,,InterestRatesTrigger))),_xll.qlIndexFixing(Index,Q143-$Q$1,,InterestRatesTrigger),_xll.qlIndexFixing(Index,Q143,,InterestRatesTrigger))</f>
        <v>4.9699220282151124E-3</v>
      </c>
    </row>
    <row r="144" spans="16:18" x14ac:dyDescent="0.2">
      <c r="P144" s="141" t="s">
        <v>88</v>
      </c>
      <c r="Q144" s="142">
        <f>_xll.qlCalendarAdvance(Calendar,Q143,P144,"f")</f>
        <v>42803</v>
      </c>
      <c r="R144" s="143">
        <f>IF((ISERR(_xll.qlIndexFixing(Index,Q144,,InterestRatesTrigger))),_xll.qlIndexFixing(Index,Q144-$Q$1,,InterestRatesTrigger),_xll.qlIndexFixing(Index,Q144,,InterestRatesTrigger))</f>
        <v>4.9699220282151124E-3</v>
      </c>
    </row>
    <row r="145" spans="16:18" x14ac:dyDescent="0.2">
      <c r="P145" s="141" t="s">
        <v>88</v>
      </c>
      <c r="Q145" s="142">
        <f>_xll.qlCalendarAdvance(Calendar,Q144,P145,"f")</f>
        <v>42804</v>
      </c>
      <c r="R145" s="143">
        <f>IF((ISERR(_xll.qlIndexFixing(Index,Q145,,InterestRatesTrigger))),_xll.qlIndexFixing(Index,Q145-$Q$1,,InterestRatesTrigger),_xll.qlIndexFixing(Index,Q145,,InterestRatesTrigger))</f>
        <v>4.969989700103576E-3</v>
      </c>
    </row>
    <row r="146" spans="16:18" x14ac:dyDescent="0.2">
      <c r="P146" s="141" t="s">
        <v>88</v>
      </c>
      <c r="Q146" s="142">
        <f>_xll.qlCalendarAdvance(Calendar,Q145,P146,"f")</f>
        <v>42807</v>
      </c>
      <c r="R146" s="143">
        <f>IF((ISERR(_xll.qlIndexFixing(Index,Q146,,InterestRatesTrigger))),_xll.qlIndexFixing(Index,Q146-$Q$1,,InterestRatesTrigger),_xll.qlIndexFixing(Index,Q146,,InterestRatesTrigger))</f>
        <v>5.1844093488162546E-3</v>
      </c>
    </row>
    <row r="147" spans="16:18" x14ac:dyDescent="0.2">
      <c r="P147" s="141" t="s">
        <v>88</v>
      </c>
      <c r="Q147" s="142">
        <f>_xll.qlCalendarAdvance(Calendar,Q146,P147,"f")</f>
        <v>42808</v>
      </c>
      <c r="R147" s="143">
        <f>IF((ISERR(_xll.qlIndexFixing(Index,Q147,,InterestRatesTrigger))),_xll.qlIndexFixing(Index,Q147-$Q$1,,InterestRatesTrigger),_xll.qlIndexFixing(Index,Q147,,InterestRatesTrigger))</f>
        <v>5.1844093488162546E-3</v>
      </c>
    </row>
    <row r="148" spans="16:18" x14ac:dyDescent="0.2">
      <c r="P148" s="141" t="s">
        <v>88</v>
      </c>
      <c r="Q148" s="142">
        <f>_xll.qlCalendarAdvance(Calendar,Q147,P148,"f")</f>
        <v>42809</v>
      </c>
      <c r="R148" s="143">
        <f>IF((ISERR(_xll.qlIndexFixing(Index,Q148,,InterestRatesTrigger))),_xll.qlIndexFixing(Index,Q148-$Q$1,,InterestRatesTrigger),_xll.qlIndexFixing(Index,Q148,,InterestRatesTrigger))</f>
        <v>5.1844093487352083E-3</v>
      </c>
    </row>
    <row r="149" spans="16:18" x14ac:dyDescent="0.2">
      <c r="P149" s="141" t="s">
        <v>88</v>
      </c>
      <c r="Q149" s="142">
        <f>_xll.qlCalendarAdvance(Calendar,Q148,P149,"f")</f>
        <v>42810</v>
      </c>
      <c r="R149" s="143">
        <f>IF((ISERR(_xll.qlIndexFixing(Index,Q149,,InterestRatesTrigger))),_xll.qlIndexFixing(Index,Q149-$Q$1,,InterestRatesTrigger),_xll.qlIndexFixing(Index,Q149,,InterestRatesTrigger))</f>
        <v>5.1844093488162546E-3</v>
      </c>
    </row>
    <row r="150" spans="16:18" x14ac:dyDescent="0.2">
      <c r="P150" s="141" t="s">
        <v>88</v>
      </c>
      <c r="Q150" s="142">
        <f>_xll.qlCalendarAdvance(Calendar,Q149,P150,"f")</f>
        <v>42811</v>
      </c>
      <c r="R150" s="143">
        <f>IF((ISERR(_xll.qlIndexFixing(Index,Q150,,InterestRatesTrigger))),_xll.qlIndexFixing(Index,Q150-$Q$1,,InterestRatesTrigger),_xll.qlIndexFixing(Index,Q150,,InterestRatesTrigger))</f>
        <v>5.1844829877911733E-3</v>
      </c>
    </row>
    <row r="151" spans="16:18" x14ac:dyDescent="0.2">
      <c r="P151" s="141" t="s">
        <v>88</v>
      </c>
      <c r="Q151" s="142">
        <f>_xll.qlCalendarAdvance(Calendar,Q150,P151,"f")</f>
        <v>42814</v>
      </c>
      <c r="R151" s="143">
        <f>IF((ISERR(_xll.qlIndexFixing(Index,Q151,,InterestRatesTrigger))),_xll.qlIndexFixing(Index,Q151-$Q$1,,InterestRatesTrigger),_xll.qlIndexFixing(Index,Q151,,InterestRatesTrigger))</f>
        <v>5.1844093488162546E-3</v>
      </c>
    </row>
    <row r="152" spans="16:18" x14ac:dyDescent="0.2">
      <c r="P152" s="141" t="s">
        <v>88</v>
      </c>
      <c r="Q152" s="142">
        <f>_xll.qlCalendarAdvance(Calendar,Q151,P152,"f")</f>
        <v>42815</v>
      </c>
      <c r="R152" s="143">
        <f>IF((ISERR(_xll.qlIndexFixing(Index,Q152,,InterestRatesTrigger))),_xll.qlIndexFixing(Index,Q152-$Q$1,,InterestRatesTrigger),_xll.qlIndexFixing(Index,Q152,,InterestRatesTrigger))</f>
        <v>5.1844093488162546E-3</v>
      </c>
    </row>
    <row r="153" spans="16:18" x14ac:dyDescent="0.2">
      <c r="P153" s="141" t="s">
        <v>88</v>
      </c>
      <c r="Q153" s="142">
        <f>_xll.qlCalendarAdvance(Calendar,Q152,P153,"f")</f>
        <v>42816</v>
      </c>
      <c r="R153" s="143">
        <f>IF((ISERR(_xll.qlIndexFixing(Index,Q153,,InterestRatesTrigger))),_xll.qlIndexFixing(Index,Q153-$Q$1,,InterestRatesTrigger),_xll.qlIndexFixing(Index,Q153,,InterestRatesTrigger))</f>
        <v>5.1844093488162546E-3</v>
      </c>
    </row>
    <row r="154" spans="16:18" x14ac:dyDescent="0.2">
      <c r="P154" s="141" t="s">
        <v>88</v>
      </c>
      <c r="Q154" s="142">
        <f>_xll.qlCalendarAdvance(Calendar,Q153,P154,"f")</f>
        <v>42817</v>
      </c>
      <c r="R154" s="143">
        <f>IF((ISERR(_xll.qlIndexFixing(Index,Q154,,InterestRatesTrigger))),_xll.qlIndexFixing(Index,Q154-$Q$1,,InterestRatesTrigger),_xll.qlIndexFixing(Index,Q154,,InterestRatesTrigger))</f>
        <v>5.1844093488162546E-3</v>
      </c>
    </row>
    <row r="155" spans="16:18" x14ac:dyDescent="0.2">
      <c r="P155" s="141" t="s">
        <v>88</v>
      </c>
      <c r="Q155" s="142">
        <f>_xll.qlCalendarAdvance(Calendar,Q154,P155,"f")</f>
        <v>42818</v>
      </c>
      <c r="R155" s="143">
        <f>IF((ISERR(_xll.qlIndexFixing(Index,Q155,,InterestRatesTrigger))),_xll.qlIndexFixing(Index,Q155-$Q$1,,InterestRatesTrigger),_xll.qlIndexFixing(Index,Q155,,InterestRatesTrigger))</f>
        <v>5.1844829877911733E-3</v>
      </c>
    </row>
    <row r="156" spans="16:18" x14ac:dyDescent="0.2">
      <c r="P156" s="141" t="s">
        <v>88</v>
      </c>
      <c r="Q156" s="142">
        <f>_xll.qlCalendarAdvance(Calendar,Q155,P156,"f")</f>
        <v>42821</v>
      </c>
      <c r="R156" s="143">
        <f>IF((ISERR(_xll.qlIndexFixing(Index,Q156,,InterestRatesTrigger))),_xll.qlIndexFixing(Index,Q156-$Q$1,,InterestRatesTrigger),_xll.qlIndexFixing(Index,Q156,,InterestRatesTrigger))</f>
        <v>5.1844093488162546E-3</v>
      </c>
    </row>
    <row r="157" spans="16:18" x14ac:dyDescent="0.2">
      <c r="P157" s="141" t="s">
        <v>88</v>
      </c>
      <c r="Q157" s="142">
        <f>_xll.qlCalendarAdvance(Calendar,Q156,P157,"f")</f>
        <v>42822</v>
      </c>
      <c r="R157" s="143">
        <f>IF((ISERR(_xll.qlIndexFixing(Index,Q157,,InterestRatesTrigger))),_xll.qlIndexFixing(Index,Q157-$Q$1,,InterestRatesTrigger),_xll.qlIndexFixing(Index,Q157,,InterestRatesTrigger))</f>
        <v>5.1844093488162546E-3</v>
      </c>
    </row>
    <row r="158" spans="16:18" x14ac:dyDescent="0.2">
      <c r="P158" s="141" t="s">
        <v>88</v>
      </c>
      <c r="Q158" s="142">
        <f>_xll.qlCalendarAdvance(Calendar,Q157,P158,"f")</f>
        <v>42823</v>
      </c>
      <c r="R158" s="143">
        <f>IF((ISERR(_xll.qlIndexFixing(Index,Q158,,InterestRatesTrigger))),_xll.qlIndexFixing(Index,Q158-$Q$1,,InterestRatesTrigger),_xll.qlIndexFixing(Index,Q158,,InterestRatesTrigger))</f>
        <v>5.1844093488162546E-3</v>
      </c>
    </row>
    <row r="159" spans="16:18" x14ac:dyDescent="0.2">
      <c r="P159" s="141" t="s">
        <v>88</v>
      </c>
      <c r="Q159" s="142">
        <f>_xll.qlCalendarAdvance(Calendar,Q158,P159,"f")</f>
        <v>42824</v>
      </c>
      <c r="R159" s="143">
        <f>IF((ISERR(_xll.qlIndexFixing(Index,Q159,,InterestRatesTrigger))),_xll.qlIndexFixing(Index,Q159-$Q$1,,InterestRatesTrigger),_xll.qlIndexFixing(Index,Q159,,InterestRatesTrigger))</f>
        <v>5.1844093488162546E-3</v>
      </c>
    </row>
    <row r="160" spans="16:18" x14ac:dyDescent="0.2">
      <c r="P160" s="141" t="s">
        <v>88</v>
      </c>
      <c r="Q160" s="142">
        <f>_xll.qlCalendarAdvance(Calendar,Q159,P160,"f")</f>
        <v>42825</v>
      </c>
      <c r="R160" s="143">
        <f>IF((ISERR(_xll.qlIndexFixing(Index,Q160,,InterestRatesTrigger))),_xll.qlIndexFixing(Index,Q160-$Q$1,,InterestRatesTrigger),_xll.qlIndexFixing(Index,Q160,,InterestRatesTrigger))</f>
        <v>5.1844829877911733E-3</v>
      </c>
    </row>
    <row r="161" spans="16:18" x14ac:dyDescent="0.2">
      <c r="P161" s="141" t="s">
        <v>88</v>
      </c>
      <c r="Q161" s="142">
        <f>_xll.qlCalendarAdvance(Calendar,Q160,P161,"f")</f>
        <v>42828</v>
      </c>
      <c r="R161" s="143">
        <f>IF((ISERR(_xll.qlIndexFixing(Index,Q161,,InterestRatesTrigger))),_xll.qlIndexFixing(Index,Q161-$Q$1,,InterestRatesTrigger),_xll.qlIndexFixing(Index,Q161,,InterestRatesTrigger))</f>
        <v>5.1844093488162546E-3</v>
      </c>
    </row>
    <row r="162" spans="16:18" x14ac:dyDescent="0.2">
      <c r="P162" s="141" t="s">
        <v>88</v>
      </c>
      <c r="Q162" s="142">
        <f>_xll.qlCalendarAdvance(Calendar,Q161,P162,"f")</f>
        <v>42829</v>
      </c>
      <c r="R162" s="143">
        <f>IF((ISERR(_xll.qlIndexFixing(Index,Q162,,InterestRatesTrigger))),_xll.qlIndexFixing(Index,Q162-$Q$1,,InterestRatesTrigger),_xll.qlIndexFixing(Index,Q162,,InterestRatesTrigger))</f>
        <v>5.1844093487352083E-3</v>
      </c>
    </row>
    <row r="163" spans="16:18" x14ac:dyDescent="0.2">
      <c r="P163" s="141" t="s">
        <v>88</v>
      </c>
      <c r="Q163" s="142">
        <f>_xll.qlCalendarAdvance(Calendar,Q162,P163,"f")</f>
        <v>42830</v>
      </c>
      <c r="R163" s="143">
        <f>IF((ISERR(_xll.qlIndexFixing(Index,Q163,,InterestRatesTrigger))),_xll.qlIndexFixing(Index,Q163-$Q$1,,InterestRatesTrigger),_xll.qlIndexFixing(Index,Q163,,InterestRatesTrigger))</f>
        <v>5.1844093488162546E-3</v>
      </c>
    </row>
    <row r="164" spans="16:18" x14ac:dyDescent="0.2">
      <c r="P164" s="141" t="s">
        <v>88</v>
      </c>
      <c r="Q164" s="142">
        <f>_xll.qlCalendarAdvance(Calendar,Q163,P164,"f")</f>
        <v>42831</v>
      </c>
      <c r="R164" s="143">
        <f>IF((ISERR(_xll.qlIndexFixing(Index,Q164,,InterestRatesTrigger))),_xll.qlIndexFixing(Index,Q164-$Q$1,,InterestRatesTrigger),_xll.qlIndexFixing(Index,Q164,,InterestRatesTrigger))</f>
        <v>5.1844093488162546E-3</v>
      </c>
    </row>
    <row r="165" spans="16:18" x14ac:dyDescent="0.2">
      <c r="P165" s="141" t="s">
        <v>88</v>
      </c>
      <c r="Q165" s="142">
        <f>_xll.qlCalendarAdvance(Calendar,Q164,P165,"f")</f>
        <v>42832</v>
      </c>
      <c r="R165" s="143">
        <f>IF((ISERR(_xll.qlIndexFixing(Index,Q165,,InterestRatesTrigger))),_xll.qlIndexFixing(Index,Q165-$Q$1,,InterestRatesTrigger),_xll.qlIndexFixing(Index,Q165,,InterestRatesTrigger))</f>
        <v>5.1844829877641576E-3</v>
      </c>
    </row>
    <row r="166" spans="16:18" x14ac:dyDescent="0.2">
      <c r="P166" s="141" t="s">
        <v>88</v>
      </c>
      <c r="Q166" s="142">
        <f>_xll.qlCalendarAdvance(Calendar,Q165,P166,"f")</f>
        <v>42835</v>
      </c>
      <c r="R166" s="143">
        <f>IF((ISERR(_xll.qlIndexFixing(Index,Q166,,InterestRatesTrigger))),_xll.qlIndexFixing(Index,Q166-$Q$1,,InterestRatesTrigger),_xll.qlIndexFixing(Index,Q166,,InterestRatesTrigger))</f>
        <v>5.1844093488162546E-3</v>
      </c>
    </row>
    <row r="167" spans="16:18" x14ac:dyDescent="0.2">
      <c r="P167" s="141" t="s">
        <v>88</v>
      </c>
      <c r="Q167" s="142">
        <f>_xll.qlCalendarAdvance(Calendar,Q166,P167,"f")</f>
        <v>42836</v>
      </c>
      <c r="R167" s="143">
        <f>IF((ISERR(_xll.qlIndexFixing(Index,Q167,,InterestRatesTrigger))),_xll.qlIndexFixing(Index,Q167-$Q$1,,InterestRatesTrigger),_xll.qlIndexFixing(Index,Q167,,InterestRatesTrigger))</f>
        <v>5.1844093488162546E-3</v>
      </c>
    </row>
    <row r="168" spans="16:18" x14ac:dyDescent="0.2">
      <c r="P168" s="141" t="s">
        <v>88</v>
      </c>
      <c r="Q168" s="142">
        <f>_xll.qlCalendarAdvance(Calendar,Q167,P168,"f")</f>
        <v>42837</v>
      </c>
      <c r="R168" s="143">
        <f>IF((ISERR(_xll.qlIndexFixing(Index,Q168,,InterestRatesTrigger))),_xll.qlIndexFixing(Index,Q168-$Q$1,,InterestRatesTrigger),_xll.qlIndexFixing(Index,Q168,,InterestRatesTrigger))</f>
        <v>5.3438579533970909E-3</v>
      </c>
    </row>
    <row r="169" spans="16:18" x14ac:dyDescent="0.2">
      <c r="P169" s="141" t="s">
        <v>88</v>
      </c>
      <c r="Q169" s="142">
        <f>_xll.qlCalendarAdvance(Calendar,Q168,P169,"f")</f>
        <v>42838</v>
      </c>
      <c r="R169" s="143">
        <f>IF((ISERR(_xll.qlIndexFixing(Index,Q169,,InterestRatesTrigger))),_xll.qlIndexFixing(Index,Q169-$Q$1,,InterestRatesTrigger),_xll.qlIndexFixing(Index,Q169,,InterestRatesTrigger))</f>
        <v>5.3440144313965376E-3</v>
      </c>
    </row>
    <row r="170" spans="16:18" x14ac:dyDescent="0.2">
      <c r="P170" s="141" t="s">
        <v>88</v>
      </c>
      <c r="Q170" s="142">
        <f>_xll.qlCalendarAdvance(Calendar,Q169,P170,"f")</f>
        <v>42839</v>
      </c>
      <c r="R170" s="143">
        <f>IF((ISERR(_xll.qlIndexFixing(Index,Q170,,InterestRatesTrigger))),_xll.qlIndexFixing(Index,Q170-$Q$1,,InterestRatesTrigger),_xll.qlIndexFixing(Index,Q170,,InterestRatesTrigger))</f>
        <v>5.1844093488162546E-3</v>
      </c>
    </row>
    <row r="171" spans="16:18" x14ac:dyDescent="0.2">
      <c r="P171" s="141" t="s">
        <v>88</v>
      </c>
      <c r="Q171" s="142">
        <f>_xll.qlCalendarAdvance(Calendar,Q170,P171,"f")</f>
        <v>42842</v>
      </c>
      <c r="R171" s="143">
        <f>IF((ISERR(_xll.qlIndexFixing(Index,Q171,,InterestRatesTrigger))),_xll.qlIndexFixing(Index,Q171-$Q$1,,InterestRatesTrigger),_xll.qlIndexFixing(Index,Q171,,InterestRatesTrigger))</f>
        <v>5.3440144313965376E-3</v>
      </c>
    </row>
    <row r="172" spans="16:18" x14ac:dyDescent="0.2">
      <c r="P172" s="141" t="s">
        <v>88</v>
      </c>
      <c r="Q172" s="142">
        <f>_xll.qlCalendarAdvance(Calendar,Q171,P172,"f")</f>
        <v>42843</v>
      </c>
      <c r="R172" s="143">
        <f>IF((ISERR(_xll.qlIndexFixing(Index,Q172,,InterestRatesTrigger))),_xll.qlIndexFixing(Index,Q172-$Q$1,,InterestRatesTrigger),_xll.qlIndexFixing(Index,Q172,,InterestRatesTrigger))</f>
        <v>5.3438579533970909E-3</v>
      </c>
    </row>
    <row r="173" spans="16:18" x14ac:dyDescent="0.2">
      <c r="P173" s="141" t="s">
        <v>88</v>
      </c>
      <c r="Q173" s="142">
        <f>_xll.qlCalendarAdvance(Calendar,Q172,P173,"f")</f>
        <v>42844</v>
      </c>
      <c r="R173" s="143">
        <f>IF((ISERR(_xll.qlIndexFixing(Index,Q173,,InterestRatesTrigger))),_xll.qlIndexFixing(Index,Q173-$Q$1,,InterestRatesTrigger),_xll.qlIndexFixing(Index,Q173,,InterestRatesTrigger))</f>
        <v>5.3438579533970909E-3</v>
      </c>
    </row>
    <row r="174" spans="16:18" x14ac:dyDescent="0.2">
      <c r="P174" s="141" t="s">
        <v>88</v>
      </c>
      <c r="Q174" s="142">
        <f>_xll.qlCalendarAdvance(Calendar,Q173,P174,"f")</f>
        <v>42845</v>
      </c>
      <c r="R174" s="143">
        <f>IF((ISERR(_xll.qlIndexFixing(Index,Q174,,InterestRatesTrigger))),_xll.qlIndexFixing(Index,Q174-$Q$1,,InterestRatesTrigger),_xll.qlIndexFixing(Index,Q174,,InterestRatesTrigger))</f>
        <v>5.3438579534781372E-3</v>
      </c>
    </row>
    <row r="175" spans="16:18" x14ac:dyDescent="0.2">
      <c r="P175" s="141" t="s">
        <v>88</v>
      </c>
      <c r="Q175" s="142">
        <f>_xll.qlCalendarAdvance(Calendar,Q174,P175,"f")</f>
        <v>42846</v>
      </c>
      <c r="R175" s="143">
        <f>IF((ISERR(_xll.qlIndexFixing(Index,Q175,,InterestRatesTrigger))),_xll.qlIndexFixing(Index,Q175-$Q$1,,InterestRatesTrigger),_xll.qlIndexFixing(Index,Q175,,InterestRatesTrigger))</f>
        <v>5.3439361916133672E-3</v>
      </c>
    </row>
    <row r="176" spans="16:18" x14ac:dyDescent="0.2">
      <c r="P176" s="141" t="s">
        <v>88</v>
      </c>
      <c r="Q176" s="142">
        <f>_xll.qlCalendarAdvance(Calendar,Q175,P176,"f")</f>
        <v>42849</v>
      </c>
      <c r="R176" s="143">
        <f>IF((ISERR(_xll.qlIndexFixing(Index,Q176,,InterestRatesTrigger))),_xll.qlIndexFixing(Index,Q176-$Q$1,,InterestRatesTrigger),_xll.qlIndexFixing(Index,Q176,,InterestRatesTrigger))</f>
        <v>5.3438579533970909E-3</v>
      </c>
    </row>
    <row r="177" spans="16:18" x14ac:dyDescent="0.2">
      <c r="P177" s="141" t="s">
        <v>88</v>
      </c>
      <c r="Q177" s="142">
        <f>_xll.qlCalendarAdvance(Calendar,Q176,P177,"f")</f>
        <v>42850</v>
      </c>
      <c r="R177" s="143">
        <f>IF((ISERR(_xll.qlIndexFixing(Index,Q177,,InterestRatesTrigger))),_xll.qlIndexFixing(Index,Q177-$Q$1,,InterestRatesTrigger),_xll.qlIndexFixing(Index,Q177,,InterestRatesTrigger))</f>
        <v>5.3438579533970909E-3</v>
      </c>
    </row>
    <row r="178" spans="16:18" x14ac:dyDescent="0.2">
      <c r="P178" s="141" t="s">
        <v>88</v>
      </c>
      <c r="Q178" s="142">
        <f>_xll.qlCalendarAdvance(Calendar,Q177,P178,"f")</f>
        <v>42851</v>
      </c>
      <c r="R178" s="143">
        <f>IF((ISERR(_xll.qlIndexFixing(Index,Q178,,InterestRatesTrigger))),_xll.qlIndexFixing(Index,Q178-$Q$1,,InterestRatesTrigger),_xll.qlIndexFixing(Index,Q178,,InterestRatesTrigger))</f>
        <v>5.3438579533970909E-3</v>
      </c>
    </row>
    <row r="179" spans="16:18" x14ac:dyDescent="0.2">
      <c r="P179" s="141" t="s">
        <v>88</v>
      </c>
      <c r="Q179" s="142">
        <f>_xll.qlCalendarAdvance(Calendar,Q178,P179,"f")</f>
        <v>42852</v>
      </c>
      <c r="R179" s="143">
        <f>IF((ISERR(_xll.qlIndexFixing(Index,Q179,,InterestRatesTrigger))),_xll.qlIndexFixing(Index,Q179-$Q$1,,InterestRatesTrigger),_xll.qlIndexFixing(Index,Q179,,InterestRatesTrigger))</f>
        <v>5.3438579533970909E-3</v>
      </c>
    </row>
    <row r="180" spans="16:18" x14ac:dyDescent="0.2">
      <c r="P180" s="141" t="s">
        <v>88</v>
      </c>
      <c r="Q180" s="142">
        <f>_xll.qlCalendarAdvance(Calendar,Q179,P180,"f")</f>
        <v>42853</v>
      </c>
      <c r="R180" s="143">
        <f>IF((ISERR(_xll.qlIndexFixing(Index,Q180,,InterestRatesTrigger))),_xll.qlIndexFixing(Index,Q180-$Q$1,,InterestRatesTrigger),_xll.qlIndexFixing(Index,Q180,,InterestRatesTrigger))</f>
        <v>5.343975311329352E-3</v>
      </c>
    </row>
    <row r="181" spans="16:18" x14ac:dyDescent="0.2">
      <c r="P181" s="141" t="s">
        <v>88</v>
      </c>
      <c r="Q181" s="142">
        <f>_xll.qlCalendarAdvance(Calendar,Q180,P181,"f")</f>
        <v>42856</v>
      </c>
      <c r="R181" s="143">
        <f>IF((ISERR(_xll.qlIndexFixing(Index,Q181,,InterestRatesTrigger))),_xll.qlIndexFixing(Index,Q181-$Q$1,,InterestRatesTrigger),_xll.qlIndexFixing(Index,Q181,,InterestRatesTrigger))</f>
        <v>5.3438579533970909E-3</v>
      </c>
    </row>
    <row r="182" spans="16:18" x14ac:dyDescent="0.2">
      <c r="P182" s="141" t="s">
        <v>88</v>
      </c>
      <c r="Q182" s="142">
        <f>_xll.qlCalendarAdvance(Calendar,Q181,P182,"f")</f>
        <v>42857</v>
      </c>
      <c r="R182" s="143">
        <f>IF((ISERR(_xll.qlIndexFixing(Index,Q182,,InterestRatesTrigger))),_xll.qlIndexFixing(Index,Q182-$Q$1,,InterestRatesTrigger),_xll.qlIndexFixing(Index,Q182,,InterestRatesTrigger))</f>
        <v>5.3438579533970909E-3</v>
      </c>
    </row>
    <row r="183" spans="16:18" x14ac:dyDescent="0.2">
      <c r="P183" s="141" t="s">
        <v>88</v>
      </c>
      <c r="Q183" s="142">
        <f>_xll.qlCalendarAdvance(Calendar,Q182,P183,"f")</f>
        <v>42858</v>
      </c>
      <c r="R183" s="143">
        <f>IF((ISERR(_xll.qlIndexFixing(Index,Q183,,InterestRatesTrigger))),_xll.qlIndexFixing(Index,Q183-$Q$1,,InterestRatesTrigger),_xll.qlIndexFixing(Index,Q183,,InterestRatesTrigger))</f>
        <v>5.3438579533970909E-3</v>
      </c>
    </row>
    <row r="184" spans="16:18" x14ac:dyDescent="0.2">
      <c r="P184" s="141" t="s">
        <v>88</v>
      </c>
      <c r="Q184" s="142">
        <f>_xll.qlCalendarAdvance(Calendar,Q183,P184,"f")</f>
        <v>42859</v>
      </c>
      <c r="R184" s="143">
        <f>IF((ISERR(_xll.qlIndexFixing(Index,Q184,,InterestRatesTrigger))),_xll.qlIndexFixing(Index,Q184-$Q$1,,InterestRatesTrigger),_xll.qlIndexFixing(Index,Q184,,InterestRatesTrigger))</f>
        <v>5.3438579533970909E-3</v>
      </c>
    </row>
    <row r="185" spans="16:18" x14ac:dyDescent="0.2">
      <c r="P185" s="141" t="s">
        <v>88</v>
      </c>
      <c r="Q185" s="142">
        <f>_xll.qlCalendarAdvance(Calendar,Q184,P185,"f")</f>
        <v>42860</v>
      </c>
      <c r="R185" s="143">
        <f>IF((ISERR(_xll.qlIndexFixing(Index,Q185,,InterestRatesTrigger))),_xll.qlIndexFixing(Index,Q185-$Q$1,,InterestRatesTrigger),_xll.qlIndexFixing(Index,Q185,,InterestRatesTrigger))</f>
        <v>5.3439361916133672E-3</v>
      </c>
    </row>
    <row r="186" spans="16:18" x14ac:dyDescent="0.2">
      <c r="P186" s="141" t="s">
        <v>88</v>
      </c>
      <c r="Q186" s="142">
        <f>_xll.qlCalendarAdvance(Calendar,Q185,P186,"f")</f>
        <v>42863</v>
      </c>
      <c r="R186" s="143">
        <f>IF((ISERR(_xll.qlIndexFixing(Index,Q186,,InterestRatesTrigger))),_xll.qlIndexFixing(Index,Q186-$Q$1,,InterestRatesTrigger),_xll.qlIndexFixing(Index,Q186,,InterestRatesTrigger))</f>
        <v>5.3438579534781372E-3</v>
      </c>
    </row>
    <row r="187" spans="16:18" x14ac:dyDescent="0.2">
      <c r="P187" s="141" t="s">
        <v>88</v>
      </c>
      <c r="Q187" s="142">
        <f>_xll.qlCalendarAdvance(Calendar,Q186,P187,"f")</f>
        <v>42864</v>
      </c>
      <c r="R187" s="143">
        <f>IF((ISERR(_xll.qlIndexFixing(Index,Q187,,InterestRatesTrigger))),_xll.qlIndexFixing(Index,Q187-$Q$1,,InterestRatesTrigger),_xll.qlIndexFixing(Index,Q187,,InterestRatesTrigger))</f>
        <v>5.3438579533160446E-3</v>
      </c>
    </row>
    <row r="188" spans="16:18" x14ac:dyDescent="0.2">
      <c r="P188" s="141" t="s">
        <v>88</v>
      </c>
      <c r="Q188" s="142">
        <f>_xll.qlCalendarAdvance(Calendar,Q187,P188,"f")</f>
        <v>42865</v>
      </c>
      <c r="R188" s="143">
        <f>IF((ISERR(_xll.qlIndexFixing(Index,Q188,,InterestRatesTrigger))),_xll.qlIndexFixing(Index,Q188-$Q$1,,InterestRatesTrigger),_xll.qlIndexFixing(Index,Q188,,InterestRatesTrigger))</f>
        <v>5.3438579533970909E-3</v>
      </c>
    </row>
    <row r="189" spans="16:18" x14ac:dyDescent="0.2">
      <c r="P189" s="141" t="s">
        <v>88</v>
      </c>
      <c r="Q189" s="142">
        <f>_xll.qlCalendarAdvance(Calendar,Q188,P189,"f")</f>
        <v>42866</v>
      </c>
      <c r="R189" s="143">
        <f>IF((ISERR(_xll.qlIndexFixing(Index,Q189,,InterestRatesTrigger))),_xll.qlIndexFixing(Index,Q189-$Q$1,,InterestRatesTrigger),_xll.qlIndexFixing(Index,Q189,,InterestRatesTrigger))</f>
        <v>5.3438579533970909E-3</v>
      </c>
    </row>
    <row r="190" spans="16:18" x14ac:dyDescent="0.2">
      <c r="P190" s="141" t="s">
        <v>88</v>
      </c>
      <c r="Q190" s="142">
        <f>_xll.qlCalendarAdvance(Calendar,Q189,P190,"f")</f>
        <v>42867</v>
      </c>
      <c r="R190" s="143">
        <f>IF((ISERR(_xll.qlIndexFixing(Index,Q190,,InterestRatesTrigger))),_xll.qlIndexFixing(Index,Q190-$Q$1,,InterestRatesTrigger),_xll.qlIndexFixing(Index,Q190,,InterestRatesTrigger))</f>
        <v>5.6774915965895909E-3</v>
      </c>
    </row>
    <row r="191" spans="16:18" x14ac:dyDescent="0.2">
      <c r="P191" s="141" t="s">
        <v>88</v>
      </c>
      <c r="Q191" s="142">
        <f>_xll.qlCalendarAdvance(Calendar,Q190,P191,"f")</f>
        <v>42870</v>
      </c>
      <c r="R191" s="143">
        <f>IF((ISERR(_xll.qlIndexFixing(Index,Q191,,InterestRatesTrigger))),_xll.qlIndexFixing(Index,Q191-$Q$1,,InterestRatesTrigger),_xll.qlIndexFixing(Index,Q191,,InterestRatesTrigger))</f>
        <v>5.6774032867790147E-3</v>
      </c>
    </row>
    <row r="192" spans="16:18" x14ac:dyDescent="0.2">
      <c r="P192" s="141" t="s">
        <v>88</v>
      </c>
      <c r="Q192" s="142">
        <f>_xll.qlCalendarAdvance(Calendar,Q191,P192,"f")</f>
        <v>42871</v>
      </c>
      <c r="R192" s="143">
        <f>IF((ISERR(_xll.qlIndexFixing(Index,Q192,,InterestRatesTrigger))),_xll.qlIndexFixing(Index,Q192-$Q$1,,InterestRatesTrigger),_xll.qlIndexFixing(Index,Q192,,InterestRatesTrigger))</f>
        <v>5.677403286860061E-3</v>
      </c>
    </row>
    <row r="193" spans="16:18" x14ac:dyDescent="0.2">
      <c r="P193" s="141" t="s">
        <v>88</v>
      </c>
      <c r="Q193" s="142">
        <f>_xll.qlCalendarAdvance(Calendar,Q192,P193,"f")</f>
        <v>42872</v>
      </c>
      <c r="R193" s="143">
        <f>IF((ISERR(_xll.qlIndexFixing(Index,Q193,,InterestRatesTrigger))),_xll.qlIndexFixing(Index,Q193-$Q$1,,InterestRatesTrigger),_xll.qlIndexFixing(Index,Q193,,InterestRatesTrigger))</f>
        <v>5.6774032867790147E-3</v>
      </c>
    </row>
    <row r="194" spans="16:18" x14ac:dyDescent="0.2">
      <c r="P194" s="141" t="s">
        <v>88</v>
      </c>
      <c r="Q194" s="142">
        <f>_xll.qlCalendarAdvance(Calendar,Q193,P194,"f")</f>
        <v>42873</v>
      </c>
      <c r="R194" s="143">
        <f>IF((ISERR(_xll.qlIndexFixing(Index,Q194,,InterestRatesTrigger))),_xll.qlIndexFixing(Index,Q194-$Q$1,,InterestRatesTrigger),_xll.qlIndexFixing(Index,Q194,,InterestRatesTrigger))</f>
        <v>5.6774032867790147E-3</v>
      </c>
    </row>
    <row r="195" spans="16:18" x14ac:dyDescent="0.2">
      <c r="P195" s="141" t="s">
        <v>88</v>
      </c>
      <c r="Q195" s="142">
        <f>_xll.qlCalendarAdvance(Calendar,Q194,P195,"f")</f>
        <v>42874</v>
      </c>
      <c r="R195" s="143">
        <f>IF((ISERR(_xll.qlIndexFixing(Index,Q195,,InterestRatesTrigger))),_xll.qlIndexFixing(Index,Q195-$Q$1,,InterestRatesTrigger),_xll.qlIndexFixing(Index,Q195,,InterestRatesTrigger))</f>
        <v>5.6774915965895909E-3</v>
      </c>
    </row>
    <row r="196" spans="16:18" x14ac:dyDescent="0.2">
      <c r="P196" s="141" t="s">
        <v>88</v>
      </c>
      <c r="Q196" s="142">
        <f>_xll.qlCalendarAdvance(Calendar,Q195,P196,"f")</f>
        <v>42877</v>
      </c>
      <c r="R196" s="143">
        <f>IF((ISERR(_xll.qlIndexFixing(Index,Q196,,InterestRatesTrigger))),_xll.qlIndexFixing(Index,Q196-$Q$1,,InterestRatesTrigger),_xll.qlIndexFixing(Index,Q196,,InterestRatesTrigger))</f>
        <v>5.6774032867790147E-3</v>
      </c>
    </row>
    <row r="197" spans="16:18" x14ac:dyDescent="0.2">
      <c r="P197" s="141" t="s">
        <v>88</v>
      </c>
      <c r="Q197" s="142">
        <f>_xll.qlCalendarAdvance(Calendar,Q196,P197,"f")</f>
        <v>42878</v>
      </c>
      <c r="R197" s="143">
        <f>IF((ISERR(_xll.qlIndexFixing(Index,Q197,,InterestRatesTrigger))),_xll.qlIndexFixing(Index,Q197-$Q$1,,InterestRatesTrigger),_xll.qlIndexFixing(Index,Q197,,InterestRatesTrigger))</f>
        <v>5.6774032867790147E-3</v>
      </c>
    </row>
    <row r="198" spans="16:18" x14ac:dyDescent="0.2">
      <c r="P198" s="141" t="s">
        <v>88</v>
      </c>
      <c r="Q198" s="142">
        <f>_xll.qlCalendarAdvance(Calendar,Q197,P198,"f")</f>
        <v>42879</v>
      </c>
      <c r="R198" s="143">
        <f>IF((ISERR(_xll.qlIndexFixing(Index,Q198,,InterestRatesTrigger))),_xll.qlIndexFixing(Index,Q198-$Q$1,,InterestRatesTrigger),_xll.qlIndexFixing(Index,Q198,,InterestRatesTrigger))</f>
        <v>5.6774032867790147E-3</v>
      </c>
    </row>
    <row r="199" spans="16:18" x14ac:dyDescent="0.2">
      <c r="P199" s="141" t="s">
        <v>88</v>
      </c>
      <c r="Q199" s="142">
        <f>_xll.qlCalendarAdvance(Calendar,Q198,P199,"f")</f>
        <v>42880</v>
      </c>
      <c r="R199" s="143">
        <f>IF((ISERR(_xll.qlIndexFixing(Index,Q199,,InterestRatesTrigger))),_xll.qlIndexFixing(Index,Q199-$Q$1,,InterestRatesTrigger),_xll.qlIndexFixing(Index,Q199,,InterestRatesTrigger))</f>
        <v>5.677403286860061E-3</v>
      </c>
    </row>
    <row r="200" spans="16:18" x14ac:dyDescent="0.2">
      <c r="P200" s="141" t="s">
        <v>88</v>
      </c>
      <c r="Q200" s="142">
        <f>_xll.qlCalendarAdvance(Calendar,Q199,P200,"f")</f>
        <v>42881</v>
      </c>
      <c r="R200" s="143">
        <f>IF((ISERR(_xll.qlIndexFixing(Index,Q200,,InterestRatesTrigger))),_xll.qlIndexFixing(Index,Q200-$Q$1,,InterestRatesTrigger),_xll.qlIndexFixing(Index,Q200,,InterestRatesTrigger))</f>
        <v>5.6775357521635095E-3</v>
      </c>
    </row>
    <row r="201" spans="16:18" x14ac:dyDescent="0.2">
      <c r="P201" s="141" t="s">
        <v>88</v>
      </c>
      <c r="Q201" s="142">
        <f>_xll.qlCalendarAdvance(Calendar,Q200,P201,"f")</f>
        <v>42885</v>
      </c>
      <c r="R201" s="143">
        <f>IF((ISERR(_xll.qlIndexFixing(Index,Q201,,InterestRatesTrigger))),_xll.qlIndexFixing(Index,Q201-$Q$1,,InterestRatesTrigger),_xll.qlIndexFixing(Index,Q201,,InterestRatesTrigger))</f>
        <v>5.6774032867790147E-3</v>
      </c>
    </row>
    <row r="202" spans="16:18" x14ac:dyDescent="0.2">
      <c r="P202" s="141" t="s">
        <v>88</v>
      </c>
      <c r="Q202" s="142">
        <f>_xll.qlCalendarAdvance(Calendar,Q201,P202,"f")</f>
        <v>42886</v>
      </c>
      <c r="R202" s="143">
        <f>IF((ISERR(_xll.qlIndexFixing(Index,Q202,,InterestRatesTrigger))),_xll.qlIndexFixing(Index,Q202-$Q$1,,InterestRatesTrigger),_xll.qlIndexFixing(Index,Q202,,InterestRatesTrigger))</f>
        <v>5.677403286860061E-3</v>
      </c>
    </row>
    <row r="203" spans="16:18" x14ac:dyDescent="0.2">
      <c r="P203" s="141" t="s">
        <v>88</v>
      </c>
      <c r="Q203" s="142">
        <f>_xll.qlCalendarAdvance(Calendar,Q202,P203,"f")</f>
        <v>42887</v>
      </c>
      <c r="R203" s="143">
        <f>IF((ISERR(_xll.qlIndexFixing(Index,Q203,,InterestRatesTrigger))),_xll.qlIndexFixing(Index,Q203-$Q$1,,InterestRatesTrigger),_xll.qlIndexFixing(Index,Q203,,InterestRatesTrigger))</f>
        <v>5.6774032867790147E-3</v>
      </c>
    </row>
    <row r="204" spans="16:18" x14ac:dyDescent="0.2">
      <c r="P204" s="141" t="s">
        <v>88</v>
      </c>
      <c r="Q204" s="142">
        <f>_xll.qlCalendarAdvance(Calendar,Q203,P204,"f")</f>
        <v>42888</v>
      </c>
      <c r="R204" s="143">
        <f>IF((ISERR(_xll.qlIndexFixing(Index,Q204,,InterestRatesTrigger))),_xll.qlIndexFixing(Index,Q204-$Q$1,,InterestRatesTrigger),_xll.qlIndexFixing(Index,Q204,,InterestRatesTrigger))</f>
        <v>5.6774915965895909E-3</v>
      </c>
    </row>
    <row r="205" spans="16:18" x14ac:dyDescent="0.2">
      <c r="P205" s="141" t="s">
        <v>88</v>
      </c>
      <c r="Q205" s="142">
        <f>_xll.qlCalendarAdvance(Calendar,Q204,P205,"f")</f>
        <v>42891</v>
      </c>
      <c r="R205" s="143">
        <f>IF((ISERR(_xll.qlIndexFixing(Index,Q205,,InterestRatesTrigger))),_xll.qlIndexFixing(Index,Q205-$Q$1,,InterestRatesTrigger),_xll.qlIndexFixing(Index,Q205,,InterestRatesTrigger))</f>
        <v>5.6774032867790147E-3</v>
      </c>
    </row>
    <row r="206" spans="16:18" x14ac:dyDescent="0.2">
      <c r="P206" s="141" t="s">
        <v>88</v>
      </c>
      <c r="Q206" s="142">
        <f>_xll.qlCalendarAdvance(Calendar,Q205,P206,"f")</f>
        <v>42892</v>
      </c>
      <c r="R206" s="143">
        <f>IF((ISERR(_xll.qlIndexFixing(Index,Q206,,InterestRatesTrigger))),_xll.qlIndexFixing(Index,Q206-$Q$1,,InterestRatesTrigger),_xll.qlIndexFixing(Index,Q206,,InterestRatesTrigger))</f>
        <v>5.677403286860061E-3</v>
      </c>
    </row>
    <row r="207" spans="16:18" x14ac:dyDescent="0.2">
      <c r="P207" s="141" t="s">
        <v>88</v>
      </c>
      <c r="Q207" s="142">
        <f>_xll.qlCalendarAdvance(Calendar,Q206,P207,"f")</f>
        <v>42893</v>
      </c>
      <c r="R207" s="143">
        <f>IF((ISERR(_xll.qlIndexFixing(Index,Q207,,InterestRatesTrigger))),_xll.qlIndexFixing(Index,Q207-$Q$1,,InterestRatesTrigger),_xll.qlIndexFixing(Index,Q207,,InterestRatesTrigger))</f>
        <v>5.6774032867790147E-3</v>
      </c>
    </row>
    <row r="208" spans="16:18" x14ac:dyDescent="0.2">
      <c r="P208" s="141" t="s">
        <v>88</v>
      </c>
      <c r="Q208" s="142">
        <f>_xll.qlCalendarAdvance(Calendar,Q207,P208,"f")</f>
        <v>42894</v>
      </c>
      <c r="R208" s="143">
        <f>IF((ISERR(_xll.qlIndexFixing(Index,Q208,,InterestRatesTrigger))),_xll.qlIndexFixing(Index,Q208-$Q$1,,InterestRatesTrigger),_xll.qlIndexFixing(Index,Q208,,InterestRatesTrigger))</f>
        <v>5.6774032867790147E-3</v>
      </c>
    </row>
    <row r="209" spans="16:18" x14ac:dyDescent="0.2">
      <c r="P209" s="141" t="s">
        <v>88</v>
      </c>
      <c r="Q209" s="142">
        <f>_xll.qlCalendarAdvance(Calendar,Q208,P209,"f")</f>
        <v>42895</v>
      </c>
      <c r="R209" s="143">
        <f>IF((ISERR(_xll.qlIndexFixing(Index,Q209,,InterestRatesTrigger))),_xll.qlIndexFixing(Index,Q209-$Q$1,,InterestRatesTrigger),_xll.qlIndexFixing(Index,Q209,,InterestRatesTrigger))</f>
        <v>5.6774915965895909E-3</v>
      </c>
    </row>
    <row r="210" spans="16:18" x14ac:dyDescent="0.2">
      <c r="P210" s="141" t="s">
        <v>88</v>
      </c>
      <c r="Q210" s="142">
        <f>_xll.qlCalendarAdvance(Calendar,Q209,P210,"f")</f>
        <v>42898</v>
      </c>
      <c r="R210" s="143">
        <f>IF((ISERR(_xll.qlIndexFixing(Index,Q210,,InterestRatesTrigger))),_xll.qlIndexFixing(Index,Q210-$Q$1,,InterestRatesTrigger),_xll.qlIndexFixing(Index,Q210,,InterestRatesTrigger))</f>
        <v>5.6848267415354758E-3</v>
      </c>
    </row>
    <row r="211" spans="16:18" x14ac:dyDescent="0.2">
      <c r="P211" s="141" t="s">
        <v>88</v>
      </c>
      <c r="Q211" s="142">
        <f>_xll.qlCalendarAdvance(Calendar,Q210,P211,"f")</f>
        <v>42899</v>
      </c>
      <c r="R211" s="143">
        <f>IF((ISERR(_xll.qlIndexFixing(Index,Q211,,InterestRatesTrigger))),_xll.qlIndexFixing(Index,Q211-$Q$1,,InterestRatesTrigger),_xll.qlIndexFixing(Index,Q211,,InterestRatesTrigger))</f>
        <v>5.6848267415354758E-3</v>
      </c>
    </row>
    <row r="212" spans="16:18" x14ac:dyDescent="0.2">
      <c r="P212" s="141" t="s">
        <v>88</v>
      </c>
      <c r="Q212" s="142">
        <f>_xll.qlCalendarAdvance(Calendar,Q211,P212,"f")</f>
        <v>42900</v>
      </c>
      <c r="R212" s="143">
        <f>IF((ISERR(_xll.qlIndexFixing(Index,Q212,,InterestRatesTrigger))),_xll.qlIndexFixing(Index,Q212-$Q$1,,InterestRatesTrigger),_xll.qlIndexFixing(Index,Q212,,InterestRatesTrigger))</f>
        <v>5.6848267415354758E-3</v>
      </c>
    </row>
    <row r="213" spans="16:18" x14ac:dyDescent="0.2">
      <c r="P213" s="141" t="s">
        <v>88</v>
      </c>
      <c r="Q213" s="142">
        <f>_xll.qlCalendarAdvance(Calendar,Q212,P213,"f")</f>
        <v>42901</v>
      </c>
      <c r="R213" s="143">
        <f>IF((ISERR(_xll.qlIndexFixing(Index,Q213,,InterestRatesTrigger))),_xll.qlIndexFixing(Index,Q213-$Q$1,,InterestRatesTrigger),_xll.qlIndexFixing(Index,Q213,,InterestRatesTrigger))</f>
        <v>5.6848267415354758E-3</v>
      </c>
    </row>
    <row r="214" spans="16:18" x14ac:dyDescent="0.2">
      <c r="P214" s="141" t="s">
        <v>88</v>
      </c>
      <c r="Q214" s="142">
        <f>_xll.qlCalendarAdvance(Calendar,Q213,P214,"f")</f>
        <v>42902</v>
      </c>
      <c r="R214" s="143">
        <f>IF((ISERR(_xll.qlIndexFixing(Index,Q214,,InterestRatesTrigger))),_xll.qlIndexFixing(Index,Q214-$Q$1,,InterestRatesTrigger),_xll.qlIndexFixing(Index,Q214,,InterestRatesTrigger))</f>
        <v>5.6849152824360134E-3</v>
      </c>
    </row>
    <row r="215" spans="16:18" x14ac:dyDescent="0.2">
      <c r="P215" s="141" t="s">
        <v>88</v>
      </c>
      <c r="Q215" s="142">
        <f>_xll.qlCalendarAdvance(Calendar,Q214,P215,"f")</f>
        <v>42905</v>
      </c>
      <c r="R215" s="143">
        <f>IF((ISERR(_xll.qlIndexFixing(Index,Q215,,InterestRatesTrigger))),_xll.qlIndexFixing(Index,Q215-$Q$1,,InterestRatesTrigger),_xll.qlIndexFixing(Index,Q215,,InterestRatesTrigger))</f>
        <v>5.6848267415354758E-3</v>
      </c>
    </row>
    <row r="216" spans="16:18" x14ac:dyDescent="0.2">
      <c r="P216" s="141" t="s">
        <v>88</v>
      </c>
      <c r="Q216" s="142">
        <f>_xll.qlCalendarAdvance(Calendar,Q215,P216,"f")</f>
        <v>42906</v>
      </c>
      <c r="R216" s="143">
        <f>IF((ISERR(_xll.qlIndexFixing(Index,Q216,,InterestRatesTrigger))),_xll.qlIndexFixing(Index,Q216-$Q$1,,InterestRatesTrigger),_xll.qlIndexFixing(Index,Q216,,InterestRatesTrigger))</f>
        <v>5.6848267415354758E-3</v>
      </c>
    </row>
    <row r="217" spans="16:18" x14ac:dyDescent="0.2">
      <c r="P217" s="141" t="s">
        <v>88</v>
      </c>
      <c r="Q217" s="142">
        <f>_xll.qlCalendarAdvance(Calendar,Q216,P217,"f")</f>
        <v>42907</v>
      </c>
      <c r="R217" s="143">
        <f>IF((ISERR(_xll.qlIndexFixing(Index,Q217,,InterestRatesTrigger))),_xll.qlIndexFixing(Index,Q217-$Q$1,,InterestRatesTrigger),_xll.qlIndexFixing(Index,Q217,,InterestRatesTrigger))</f>
        <v>5.6848267415354758E-3</v>
      </c>
    </row>
    <row r="218" spans="16:18" x14ac:dyDescent="0.2">
      <c r="P218" s="141" t="s">
        <v>88</v>
      </c>
      <c r="Q218" s="142">
        <f>_xll.qlCalendarAdvance(Calendar,Q217,P218,"f")</f>
        <v>42908</v>
      </c>
      <c r="R218" s="143">
        <f>IF((ISERR(_xll.qlIndexFixing(Index,Q218,,InterestRatesTrigger))),_xll.qlIndexFixing(Index,Q218-$Q$1,,InterestRatesTrigger),_xll.qlIndexFixing(Index,Q218,,InterestRatesTrigger))</f>
        <v>5.6848267416165221E-3</v>
      </c>
    </row>
    <row r="219" spans="16:18" x14ac:dyDescent="0.2">
      <c r="P219" s="141" t="s">
        <v>88</v>
      </c>
      <c r="Q219" s="142">
        <f>_xll.qlCalendarAdvance(Calendar,Q218,P219,"f")</f>
        <v>42909</v>
      </c>
      <c r="R219" s="143">
        <f>IF((ISERR(_xll.qlIndexFixing(Index,Q219,,InterestRatesTrigger))),_xll.qlIndexFixing(Index,Q219-$Q$1,,InterestRatesTrigger),_xll.qlIndexFixing(Index,Q219,,InterestRatesTrigger))</f>
        <v>5.6849152824089986E-3</v>
      </c>
    </row>
    <row r="220" spans="16:18" x14ac:dyDescent="0.2">
      <c r="P220" s="141" t="s">
        <v>88</v>
      </c>
      <c r="Q220" s="142">
        <f>_xll.qlCalendarAdvance(Calendar,Q219,P220,"f")</f>
        <v>42912</v>
      </c>
      <c r="R220" s="143">
        <f>IF((ISERR(_xll.qlIndexFixing(Index,Q220,,InterestRatesTrigger))),_xll.qlIndexFixing(Index,Q220-$Q$1,,InterestRatesTrigger),_xll.qlIndexFixing(Index,Q220,,InterestRatesTrigger))</f>
        <v>5.6848267415354758E-3</v>
      </c>
    </row>
    <row r="221" spans="16:18" x14ac:dyDescent="0.2">
      <c r="P221" s="141" t="s">
        <v>88</v>
      </c>
      <c r="Q221" s="142">
        <f>_xll.qlCalendarAdvance(Calendar,Q220,P221,"f")</f>
        <v>42913</v>
      </c>
      <c r="R221" s="143">
        <f>IF((ISERR(_xll.qlIndexFixing(Index,Q221,,InterestRatesTrigger))),_xll.qlIndexFixing(Index,Q221-$Q$1,,InterestRatesTrigger),_xll.qlIndexFixing(Index,Q221,,InterestRatesTrigger))</f>
        <v>5.6848267415354758E-3</v>
      </c>
    </row>
    <row r="222" spans="16:18" x14ac:dyDescent="0.2">
      <c r="P222" s="141" t="s">
        <v>88</v>
      </c>
      <c r="Q222" s="142">
        <f>_xll.qlCalendarAdvance(Calendar,Q221,P222,"f")</f>
        <v>42914</v>
      </c>
      <c r="R222" s="143">
        <f>IF((ISERR(_xll.qlIndexFixing(Index,Q222,,InterestRatesTrigger))),_xll.qlIndexFixing(Index,Q222-$Q$1,,InterestRatesTrigger),_xll.qlIndexFixing(Index,Q222,,InterestRatesTrigger))</f>
        <v>5.6848267415354758E-3</v>
      </c>
    </row>
    <row r="223" spans="16:18" x14ac:dyDescent="0.2">
      <c r="P223" s="141" t="s">
        <v>88</v>
      </c>
      <c r="Q223" s="142">
        <f>_xll.qlCalendarAdvance(Calendar,Q222,P223,"f")</f>
        <v>42915</v>
      </c>
      <c r="R223" s="143">
        <f>IF((ISERR(_xll.qlIndexFixing(Index,Q223,,InterestRatesTrigger))),_xll.qlIndexFixing(Index,Q223-$Q$1,,InterestRatesTrigger),_xll.qlIndexFixing(Index,Q223,,InterestRatesTrigger))</f>
        <v>5.6848267415354758E-3</v>
      </c>
    </row>
    <row r="224" spans="16:18" x14ac:dyDescent="0.2">
      <c r="P224" s="141" t="s">
        <v>88</v>
      </c>
      <c r="Q224" s="142">
        <f>_xll.qlCalendarAdvance(Calendar,Q223,P224,"f")</f>
        <v>42916</v>
      </c>
      <c r="R224" s="143">
        <f>IF((ISERR(_xll.qlIndexFixing(Index,Q224,,InterestRatesTrigger))),_xll.qlIndexFixing(Index,Q224-$Q$1,,InterestRatesTrigger),_xll.qlIndexFixing(Index,Q224,,InterestRatesTrigger))</f>
        <v>5.6849152824360134E-3</v>
      </c>
    </row>
    <row r="225" spans="16:18" x14ac:dyDescent="0.2">
      <c r="P225" s="141" t="s">
        <v>88</v>
      </c>
      <c r="Q225" s="142">
        <f>_xll.qlCalendarAdvance(Calendar,Q224,P225,"f")</f>
        <v>42919</v>
      </c>
      <c r="R225" s="143">
        <f>IF((ISERR(_xll.qlIndexFixing(Index,Q225,,InterestRatesTrigger))),_xll.qlIndexFixing(Index,Q225-$Q$1,,InterestRatesTrigger),_xll.qlIndexFixing(Index,Q225,,InterestRatesTrigger))</f>
        <v>5.6848267415354758E-3</v>
      </c>
    </row>
    <row r="226" spans="16:18" x14ac:dyDescent="0.2">
      <c r="P226" s="141" t="s">
        <v>88</v>
      </c>
      <c r="Q226" s="142">
        <f>_xll.qlCalendarAdvance(Calendar,Q225,P226,"f")</f>
        <v>42921</v>
      </c>
      <c r="R226" s="143">
        <f>IF((ISERR(_xll.qlIndexFixing(Index,Q226,,InterestRatesTrigger))),_xll.qlIndexFixing(Index,Q226-$Q$1,,InterestRatesTrigger),_xll.qlIndexFixing(Index,Q226,,InterestRatesTrigger))</f>
        <v>5.6848267415354758E-3</v>
      </c>
    </row>
    <row r="227" spans="16:18" x14ac:dyDescent="0.2">
      <c r="P227" s="141" t="s">
        <v>88</v>
      </c>
      <c r="Q227" s="142">
        <f>_xll.qlCalendarAdvance(Calendar,Q226,P227,"f")</f>
        <v>42922</v>
      </c>
      <c r="R227" s="143">
        <f>IF((ISERR(_xll.qlIndexFixing(Index,Q227,,InterestRatesTrigger))),_xll.qlIndexFixing(Index,Q227-$Q$1,,InterestRatesTrigger),_xll.qlIndexFixing(Index,Q227,,InterestRatesTrigger))</f>
        <v>5.6848267416165221E-3</v>
      </c>
    </row>
    <row r="228" spans="16:18" x14ac:dyDescent="0.2">
      <c r="P228" s="141" t="s">
        <v>88</v>
      </c>
      <c r="Q228" s="142">
        <f>_xll.qlCalendarAdvance(Calendar,Q227,P228,"f")</f>
        <v>42923</v>
      </c>
      <c r="R228" s="143">
        <f>IF((ISERR(_xll.qlIndexFixing(Index,Q228,,InterestRatesTrigger))),_xll.qlIndexFixing(Index,Q228-$Q$1,,InterestRatesTrigger),_xll.qlIndexFixing(Index,Q228,,InterestRatesTrigger))</f>
        <v>5.6849152824360134E-3</v>
      </c>
    </row>
    <row r="229" spans="16:18" x14ac:dyDescent="0.2">
      <c r="P229" s="141" t="s">
        <v>88</v>
      </c>
      <c r="Q229" s="142">
        <f>_xll.qlCalendarAdvance(Calendar,Q228,P229,"f")</f>
        <v>42926</v>
      </c>
      <c r="R229" s="143">
        <f>IF((ISERR(_xll.qlIndexFixing(Index,Q229,,InterestRatesTrigger))),_xll.qlIndexFixing(Index,Q229-$Q$1,,InterestRatesTrigger),_xll.qlIndexFixing(Index,Q229,,InterestRatesTrigger))</f>
        <v>5.6848267415354758E-3</v>
      </c>
    </row>
    <row r="230" spans="16:18" x14ac:dyDescent="0.2">
      <c r="P230" s="141" t="s">
        <v>88</v>
      </c>
      <c r="Q230" s="142">
        <f>_xll.qlCalendarAdvance(Calendar,Q229,P230,"f")</f>
        <v>42927</v>
      </c>
      <c r="R230" s="143">
        <f>IF((ISERR(_xll.qlIndexFixing(Index,Q230,,InterestRatesTrigger))),_xll.qlIndexFixing(Index,Q230-$Q$1,,InterestRatesTrigger),_xll.qlIndexFixing(Index,Q230,,InterestRatesTrigger))</f>
        <v>5.6848267415354758E-3</v>
      </c>
    </row>
    <row r="231" spans="16:18" x14ac:dyDescent="0.2">
      <c r="P231" s="141" t="s">
        <v>88</v>
      </c>
      <c r="Q231" s="142">
        <f>_xll.qlCalendarAdvance(Calendar,Q230,P231,"f")</f>
        <v>42928</v>
      </c>
      <c r="R231" s="143">
        <f>IF((ISERR(_xll.qlIndexFixing(Index,Q231,,InterestRatesTrigger))),_xll.qlIndexFixing(Index,Q231-$Q$1,,InterestRatesTrigger),_xll.qlIndexFixing(Index,Q231,,InterestRatesTrigger))</f>
        <v>5.7617703189838387E-3</v>
      </c>
    </row>
    <row r="232" spans="16:18" x14ac:dyDescent="0.2">
      <c r="P232" s="141" t="s">
        <v>88</v>
      </c>
      <c r="Q232" s="142">
        <f>_xll.qlCalendarAdvance(Calendar,Q231,P232,"f")</f>
        <v>42929</v>
      </c>
      <c r="R232" s="143">
        <f>IF((ISERR(_xll.qlIndexFixing(Index,Q232,,InterestRatesTrigger))),_xll.qlIndexFixing(Index,Q232-$Q$1,,InterestRatesTrigger),_xll.qlIndexFixing(Index,Q232,,InterestRatesTrigger))</f>
        <v>5.7617703189027925E-3</v>
      </c>
    </row>
    <row r="233" spans="16:18" x14ac:dyDescent="0.2">
      <c r="P233" s="141" t="s">
        <v>88</v>
      </c>
      <c r="Q233" s="142">
        <f>_xll.qlCalendarAdvance(Calendar,Q232,P233,"f")</f>
        <v>42930</v>
      </c>
      <c r="R233" s="143">
        <f>IF((ISERR(_xll.qlIndexFixing(Index,Q233,,InterestRatesTrigger))),_xll.qlIndexFixing(Index,Q233-$Q$1,,InterestRatesTrigger),_xll.qlIndexFixing(Index,Q233,,InterestRatesTrigger))</f>
        <v>5.7618612728482796E-3</v>
      </c>
    </row>
    <row r="234" spans="16:18" x14ac:dyDescent="0.2">
      <c r="P234" s="141" t="s">
        <v>88</v>
      </c>
      <c r="Q234" s="142">
        <f>_xll.qlCalendarAdvance(Calendar,Q233,P234,"f")</f>
        <v>42933</v>
      </c>
      <c r="R234" s="143">
        <f>IF((ISERR(_xll.qlIndexFixing(Index,Q234,,InterestRatesTrigger))),_xll.qlIndexFixing(Index,Q234-$Q$1,,InterestRatesTrigger),_xll.qlIndexFixing(Index,Q234,,InterestRatesTrigger))</f>
        <v>5.7617703189027925E-3</v>
      </c>
    </row>
    <row r="235" spans="16:18" x14ac:dyDescent="0.2">
      <c r="P235" s="141" t="s">
        <v>88</v>
      </c>
      <c r="Q235" s="142">
        <f>_xll.qlCalendarAdvance(Calendar,Q234,P235,"f")</f>
        <v>42934</v>
      </c>
      <c r="R235" s="143">
        <f>IF((ISERR(_xll.qlIndexFixing(Index,Q235,,InterestRatesTrigger))),_xll.qlIndexFixing(Index,Q235-$Q$1,,InterestRatesTrigger),_xll.qlIndexFixing(Index,Q235,,InterestRatesTrigger))</f>
        <v>5.7617703189838387E-3</v>
      </c>
    </row>
    <row r="236" spans="16:18" x14ac:dyDescent="0.2">
      <c r="P236" s="141" t="s">
        <v>88</v>
      </c>
      <c r="Q236" s="142">
        <f>_xll.qlCalendarAdvance(Calendar,Q235,P236,"f")</f>
        <v>42935</v>
      </c>
      <c r="R236" s="143">
        <f>IF((ISERR(_xll.qlIndexFixing(Index,Q236,,InterestRatesTrigger))),_xll.qlIndexFixing(Index,Q236-$Q$1,,InterestRatesTrigger),_xll.qlIndexFixing(Index,Q236,,InterestRatesTrigger))</f>
        <v>5.7617703189027925E-3</v>
      </c>
    </row>
    <row r="237" spans="16:18" x14ac:dyDescent="0.2">
      <c r="P237" s="141" t="s">
        <v>88</v>
      </c>
      <c r="Q237" s="142">
        <f>_xll.qlCalendarAdvance(Calendar,Q236,P237,"f")</f>
        <v>42936</v>
      </c>
      <c r="R237" s="143">
        <f>IF((ISERR(_xll.qlIndexFixing(Index,Q237,,InterestRatesTrigger))),_xll.qlIndexFixing(Index,Q237-$Q$1,,InterestRatesTrigger),_xll.qlIndexFixing(Index,Q237,,InterestRatesTrigger))</f>
        <v>5.7617703189838387E-3</v>
      </c>
    </row>
    <row r="238" spans="16:18" x14ac:dyDescent="0.2">
      <c r="P238" s="141" t="s">
        <v>88</v>
      </c>
      <c r="Q238" s="142">
        <f>_xll.qlCalendarAdvance(Calendar,Q237,P238,"f")</f>
        <v>42937</v>
      </c>
      <c r="R238" s="143">
        <f>IF((ISERR(_xll.qlIndexFixing(Index,Q238,,InterestRatesTrigger))),_xll.qlIndexFixing(Index,Q238-$Q$1,,InterestRatesTrigger),_xll.qlIndexFixing(Index,Q238,,InterestRatesTrigger))</f>
        <v>5.7618612728482796E-3</v>
      </c>
    </row>
    <row r="239" spans="16:18" x14ac:dyDescent="0.2">
      <c r="P239" s="141" t="s">
        <v>88</v>
      </c>
      <c r="Q239" s="142">
        <f>_xll.qlCalendarAdvance(Calendar,Q238,P239,"f")</f>
        <v>42940</v>
      </c>
      <c r="R239" s="143">
        <f>IF((ISERR(_xll.qlIndexFixing(Index,Q239,,InterestRatesTrigger))),_xll.qlIndexFixing(Index,Q239-$Q$1,,InterestRatesTrigger),_xll.qlIndexFixing(Index,Q239,,InterestRatesTrigger))</f>
        <v>5.7617703189838387E-3</v>
      </c>
    </row>
    <row r="240" spans="16:18" x14ac:dyDescent="0.2">
      <c r="P240" s="141" t="s">
        <v>88</v>
      </c>
      <c r="Q240" s="142">
        <f>_xll.qlCalendarAdvance(Calendar,Q239,P240,"f")</f>
        <v>42941</v>
      </c>
      <c r="R240" s="143">
        <f>IF((ISERR(_xll.qlIndexFixing(Index,Q240,,InterestRatesTrigger))),_xll.qlIndexFixing(Index,Q240-$Q$1,,InterestRatesTrigger),_xll.qlIndexFixing(Index,Q240,,InterestRatesTrigger))</f>
        <v>5.7617703189838387E-3</v>
      </c>
    </row>
    <row r="241" spans="16:18" x14ac:dyDescent="0.2">
      <c r="P241" s="141" t="s">
        <v>88</v>
      </c>
      <c r="Q241" s="142">
        <f>_xll.qlCalendarAdvance(Calendar,Q240,P241,"f")</f>
        <v>42942</v>
      </c>
      <c r="R241" s="143">
        <f>IF((ISERR(_xll.qlIndexFixing(Index,Q241,,InterestRatesTrigger))),_xll.qlIndexFixing(Index,Q241-$Q$1,,InterestRatesTrigger),_xll.qlIndexFixing(Index,Q241,,InterestRatesTrigger))</f>
        <v>5.7617703189027925E-3</v>
      </c>
    </row>
    <row r="242" spans="16:18" x14ac:dyDescent="0.2">
      <c r="P242" s="141" t="s">
        <v>88</v>
      </c>
      <c r="Q242" s="142">
        <f>_xll.qlCalendarAdvance(Calendar,Q241,P242,"f")</f>
        <v>42943</v>
      </c>
      <c r="R242" s="143">
        <f>IF((ISERR(_xll.qlIndexFixing(Index,Q242,,InterestRatesTrigger))),_xll.qlIndexFixing(Index,Q242-$Q$1,,InterestRatesTrigger),_xll.qlIndexFixing(Index,Q242,,InterestRatesTrigger))</f>
        <v>5.7617703189027925E-3</v>
      </c>
    </row>
    <row r="243" spans="16:18" x14ac:dyDescent="0.2">
      <c r="P243" s="141" t="s">
        <v>88</v>
      </c>
      <c r="Q243" s="142">
        <f>_xll.qlCalendarAdvance(Calendar,Q242,P243,"f")</f>
        <v>42944</v>
      </c>
      <c r="R243" s="143">
        <f>IF((ISERR(_xll.qlIndexFixing(Index,Q243,,InterestRatesTrigger))),_xll.qlIndexFixing(Index,Q243-$Q$1,,InterestRatesTrigger),_xll.qlIndexFixing(Index,Q243,,InterestRatesTrigger))</f>
        <v>5.7618612728482796E-3</v>
      </c>
    </row>
    <row r="244" spans="16:18" x14ac:dyDescent="0.2">
      <c r="P244" s="141" t="s">
        <v>88</v>
      </c>
      <c r="Q244" s="142">
        <f>_xll.qlCalendarAdvance(Calendar,Q243,P244,"f")</f>
        <v>42947</v>
      </c>
      <c r="R244" s="143">
        <f>IF((ISERR(_xll.qlIndexFixing(Index,Q244,,InterestRatesTrigger))),_xll.qlIndexFixing(Index,Q244-$Q$1,,InterestRatesTrigger),_xll.qlIndexFixing(Index,Q244,,InterestRatesTrigger))</f>
        <v>5.7617703189838387E-3</v>
      </c>
    </row>
    <row r="245" spans="16:18" x14ac:dyDescent="0.2">
      <c r="P245" s="141" t="s">
        <v>88</v>
      </c>
      <c r="Q245" s="142">
        <f>_xll.qlCalendarAdvance(Calendar,Q244,P245,"f")</f>
        <v>42948</v>
      </c>
      <c r="R245" s="143">
        <f>IF((ISERR(_xll.qlIndexFixing(Index,Q245,,InterestRatesTrigger))),_xll.qlIndexFixing(Index,Q245-$Q$1,,InterestRatesTrigger),_xll.qlIndexFixing(Index,Q245,,InterestRatesTrigger))</f>
        <v>5.7617703189027925E-3</v>
      </c>
    </row>
    <row r="246" spans="16:18" x14ac:dyDescent="0.2">
      <c r="P246" s="141" t="s">
        <v>88</v>
      </c>
      <c r="Q246" s="142">
        <f>_xll.qlCalendarAdvance(Calendar,Q245,P246,"f")</f>
        <v>42949</v>
      </c>
      <c r="R246" s="143">
        <f>IF((ISERR(_xll.qlIndexFixing(Index,Q246,,InterestRatesTrigger))),_xll.qlIndexFixing(Index,Q246-$Q$1,,InterestRatesTrigger),_xll.qlIndexFixing(Index,Q246,,InterestRatesTrigger))</f>
        <v>5.7617703189838387E-3</v>
      </c>
    </row>
    <row r="247" spans="16:18" x14ac:dyDescent="0.2">
      <c r="P247" s="141" t="s">
        <v>88</v>
      </c>
      <c r="Q247" s="142">
        <f>_xll.qlCalendarAdvance(Calendar,Q246,P247,"f")</f>
        <v>42950</v>
      </c>
      <c r="R247" s="143">
        <f>IF((ISERR(_xll.qlIndexFixing(Index,Q247,,InterestRatesTrigger))),_xll.qlIndexFixing(Index,Q247-$Q$1,,InterestRatesTrigger),_xll.qlIndexFixing(Index,Q247,,InterestRatesTrigger))</f>
        <v>5.7617703189838387E-3</v>
      </c>
    </row>
    <row r="248" spans="16:18" x14ac:dyDescent="0.2">
      <c r="P248" s="141" t="s">
        <v>88</v>
      </c>
      <c r="Q248" s="142">
        <f>_xll.qlCalendarAdvance(Calendar,Q247,P248,"f")</f>
        <v>42951</v>
      </c>
      <c r="R248" s="143">
        <f>IF((ISERR(_xll.qlIndexFixing(Index,Q248,,InterestRatesTrigger))),_xll.qlIndexFixing(Index,Q248-$Q$1,,InterestRatesTrigger),_xll.qlIndexFixing(Index,Q248,,InterestRatesTrigger))</f>
        <v>5.7618612728482796E-3</v>
      </c>
    </row>
    <row r="249" spans="16:18" x14ac:dyDescent="0.2">
      <c r="P249" s="141" t="s">
        <v>88</v>
      </c>
      <c r="Q249" s="142">
        <f>_xll.qlCalendarAdvance(Calendar,Q248,P249,"f")</f>
        <v>42954</v>
      </c>
      <c r="R249" s="143">
        <f>IF((ISERR(_xll.qlIndexFixing(Index,Q249,,InterestRatesTrigger))),_xll.qlIndexFixing(Index,Q249-$Q$1,,InterestRatesTrigger),_xll.qlIndexFixing(Index,Q249,,InterestRatesTrigger))</f>
        <v>5.7617703189027925E-3</v>
      </c>
    </row>
    <row r="250" spans="16:18" x14ac:dyDescent="0.2">
      <c r="P250" s="141" t="s">
        <v>88</v>
      </c>
      <c r="Q250" s="142">
        <f>_xll.qlCalendarAdvance(Calendar,Q249,P250,"f")</f>
        <v>42955</v>
      </c>
      <c r="R250" s="143">
        <f>IF((ISERR(_xll.qlIndexFixing(Index,Q250,,InterestRatesTrigger))),_xll.qlIndexFixing(Index,Q250-$Q$1,,InterestRatesTrigger),_xll.qlIndexFixing(Index,Q250,,InterestRatesTrigger))</f>
        <v>5.7617703189027925E-3</v>
      </c>
    </row>
    <row r="251" spans="16:18" x14ac:dyDescent="0.2">
      <c r="P251" s="141" t="s">
        <v>88</v>
      </c>
      <c r="Q251" s="142">
        <f>_xll.qlCalendarAdvance(Calendar,Q250,P251,"f")</f>
        <v>42956</v>
      </c>
      <c r="R251" s="143">
        <f>IF((ISERR(_xll.qlIndexFixing(Index,Q251,,InterestRatesTrigger))),_xll.qlIndexFixing(Index,Q251-$Q$1,,InterestRatesTrigger),_xll.qlIndexFixing(Index,Q251,,InterestRatesTrigger))</f>
        <v>5.7617703189838387E-3</v>
      </c>
    </row>
    <row r="252" spans="16:18" x14ac:dyDescent="0.2">
      <c r="P252" s="141" t="s">
        <v>88</v>
      </c>
      <c r="Q252" s="142">
        <f>_xll.qlCalendarAdvance(Calendar,Q251,P252,"f")</f>
        <v>42957</v>
      </c>
      <c r="R252" s="143">
        <f>IF((ISERR(_xll.qlIndexFixing(Index,Q252,,InterestRatesTrigger))),_xll.qlIndexFixing(Index,Q252-$Q$1,,InterestRatesTrigger),_xll.qlIndexFixing(Index,Q252,,InterestRatesTrigger))</f>
        <v>5.7617703189027925E-3</v>
      </c>
    </row>
    <row r="253" spans="16:18" x14ac:dyDescent="0.2">
      <c r="P253" s="141" t="s">
        <v>88</v>
      </c>
      <c r="Q253" s="142">
        <f>_xll.qlCalendarAdvance(Calendar,Q252,P253,"f")</f>
        <v>42958</v>
      </c>
      <c r="R253" s="143">
        <f>IF((ISERR(_xll.qlIndexFixing(Index,Q253,,InterestRatesTrigger))),_xll.qlIndexFixing(Index,Q253-$Q$1,,InterestRatesTrigger),_xll.qlIndexFixing(Index,Q253,,InterestRatesTrigger))</f>
        <v>5.7618612728482796E-3</v>
      </c>
    </row>
    <row r="254" spans="16:18" x14ac:dyDescent="0.2">
      <c r="P254" s="141" t="s">
        <v>88</v>
      </c>
      <c r="Q254" s="142">
        <f>_xll.qlCalendarAdvance(Calendar,Q253,P254,"f")</f>
        <v>42961</v>
      </c>
      <c r="R254" s="143">
        <f>IF((ISERR(_xll.qlIndexFixing(Index,Q254,,InterestRatesTrigger))),_xll.qlIndexFixing(Index,Q254-$Q$1,,InterestRatesTrigger),_xll.qlIndexFixing(Index,Q254,,InterestRatesTrigger))</f>
        <v>5.7798664161190505E-3</v>
      </c>
    </row>
    <row r="255" spans="16:18" x14ac:dyDescent="0.2">
      <c r="P255" s="141" t="s">
        <v>88</v>
      </c>
      <c r="Q255" s="142">
        <f>_xll.qlCalendarAdvance(Calendar,Q254,P255,"f")</f>
        <v>42962</v>
      </c>
      <c r="R255" s="143">
        <f>IF((ISERR(_xll.qlIndexFixing(Index,Q255,,InterestRatesTrigger))),_xll.qlIndexFixing(Index,Q255-$Q$1,,InterestRatesTrigger),_xll.qlIndexFixing(Index,Q255,,InterestRatesTrigger))</f>
        <v>5.7798664161190505E-3</v>
      </c>
    </row>
    <row r="256" spans="16:18" x14ac:dyDescent="0.2">
      <c r="P256" s="141" t="s">
        <v>88</v>
      </c>
      <c r="Q256" s="142">
        <f>_xll.qlCalendarAdvance(Calendar,Q255,P256,"f")</f>
        <v>42963</v>
      </c>
      <c r="R256" s="143">
        <f>IF((ISERR(_xll.qlIndexFixing(Index,Q256,,InterestRatesTrigger))),_xll.qlIndexFixing(Index,Q256-$Q$1,,InterestRatesTrigger),_xll.qlIndexFixing(Index,Q256,,InterestRatesTrigger))</f>
        <v>5.7798664161190505E-3</v>
      </c>
    </row>
    <row r="257" spans="16:18" x14ac:dyDescent="0.2">
      <c r="P257" s="141" t="s">
        <v>88</v>
      </c>
      <c r="Q257" s="142">
        <f>_xll.qlCalendarAdvance(Calendar,Q256,P257,"f")</f>
        <v>42964</v>
      </c>
      <c r="R257" s="143">
        <f>IF((ISERR(_xll.qlIndexFixing(Index,Q257,,InterestRatesTrigger))),_xll.qlIndexFixing(Index,Q257-$Q$1,,InterestRatesTrigger),_xll.qlIndexFixing(Index,Q257,,InterestRatesTrigger))</f>
        <v>5.7798664161190505E-3</v>
      </c>
    </row>
    <row r="258" spans="16:18" x14ac:dyDescent="0.2">
      <c r="P258" s="141" t="s">
        <v>88</v>
      </c>
      <c r="Q258" s="142">
        <f>_xll.qlCalendarAdvance(Calendar,Q257,P258,"f")</f>
        <v>42965</v>
      </c>
      <c r="R258" s="143">
        <f>IF((ISERR(_xll.qlIndexFixing(Index,Q258,,InterestRatesTrigger))),_xll.qlIndexFixing(Index,Q258-$Q$1,,InterestRatesTrigger),_xll.qlIndexFixing(Index,Q258,,InterestRatesTrigger))</f>
        <v>5.7799579422512801E-3</v>
      </c>
    </row>
    <row r="259" spans="16:18" x14ac:dyDescent="0.2">
      <c r="P259" s="141" t="s">
        <v>88</v>
      </c>
      <c r="Q259" s="142">
        <f>_xll.qlCalendarAdvance(Calendar,Q258,P259,"f")</f>
        <v>42968</v>
      </c>
      <c r="R259" s="143">
        <f>IF((ISERR(_xll.qlIndexFixing(Index,Q259,,InterestRatesTrigger))),_xll.qlIndexFixing(Index,Q259-$Q$1,,InterestRatesTrigger),_xll.qlIndexFixing(Index,Q259,,InterestRatesTrigger))</f>
        <v>5.7798664161190505E-3</v>
      </c>
    </row>
    <row r="260" spans="16:18" x14ac:dyDescent="0.2">
      <c r="P260" s="141" t="s">
        <v>88</v>
      </c>
      <c r="Q260" s="142">
        <f>_xll.qlCalendarAdvance(Calendar,Q259,P260,"f")</f>
        <v>42969</v>
      </c>
      <c r="R260" s="143">
        <f>IF((ISERR(_xll.qlIndexFixing(Index,Q260,,InterestRatesTrigger))),_xll.qlIndexFixing(Index,Q260-$Q$1,,InterestRatesTrigger),_xll.qlIndexFixing(Index,Q260,,InterestRatesTrigger))</f>
        <v>5.7798664161190505E-3</v>
      </c>
    </row>
    <row r="261" spans="16:18" x14ac:dyDescent="0.2">
      <c r="P261" s="141" t="s">
        <v>88</v>
      </c>
      <c r="Q261" s="142">
        <f>_xll.qlCalendarAdvance(Calendar,Q260,P261,"f")</f>
        <v>42970</v>
      </c>
      <c r="R261" s="143">
        <f>IF((ISERR(_xll.qlIndexFixing(Index,Q261,,InterestRatesTrigger))),_xll.qlIndexFixing(Index,Q261-$Q$1,,InterestRatesTrigger),_xll.qlIndexFixing(Index,Q261,,InterestRatesTrigger))</f>
        <v>5.7798664161190505E-3</v>
      </c>
    </row>
    <row r="262" spans="16:18" x14ac:dyDescent="0.2">
      <c r="P262" s="141" t="s">
        <v>88</v>
      </c>
      <c r="Q262" s="142">
        <f>_xll.qlCalendarAdvance(Calendar,Q261,P262,"f")</f>
        <v>42971</v>
      </c>
      <c r="R262" s="143">
        <f>IF((ISERR(_xll.qlIndexFixing(Index,Q262,,InterestRatesTrigger))),_xll.qlIndexFixing(Index,Q262-$Q$1,,InterestRatesTrigger),_xll.qlIndexFixing(Index,Q262,,InterestRatesTrigger))</f>
        <v>5.7798664161190505E-3</v>
      </c>
    </row>
    <row r="263" spans="16:18" x14ac:dyDescent="0.2">
      <c r="P263" s="141" t="s">
        <v>88</v>
      </c>
      <c r="Q263" s="142">
        <f>_xll.qlCalendarAdvance(Calendar,Q262,P263,"f")</f>
        <v>42972</v>
      </c>
      <c r="R263" s="143">
        <f>IF((ISERR(_xll.qlIndexFixing(Index,Q263,,InterestRatesTrigger))),_xll.qlIndexFixing(Index,Q263-$Q$1,,InterestRatesTrigger),_xll.qlIndexFixing(Index,Q263,,InterestRatesTrigger))</f>
        <v>5.7800037060265486E-3</v>
      </c>
    </row>
    <row r="264" spans="16:18" x14ac:dyDescent="0.2">
      <c r="P264" s="141" t="s">
        <v>88</v>
      </c>
      <c r="Q264" s="142">
        <f>_xll.qlCalendarAdvance(Calendar,Q263,P264,"f")</f>
        <v>42975</v>
      </c>
      <c r="R264" s="143">
        <f>IF((ISERR(_xll.qlIndexFixing(Index,Q264,,InterestRatesTrigger))),_xll.qlIndexFixing(Index,Q264-$Q$1,,InterestRatesTrigger),_xll.qlIndexFixing(Index,Q264,,InterestRatesTrigger))</f>
        <v>5.7798664161190505E-3</v>
      </c>
    </row>
    <row r="265" spans="16:18" x14ac:dyDescent="0.2">
      <c r="P265" s="141" t="s">
        <v>88</v>
      </c>
      <c r="Q265" s="142">
        <f>_xll.qlCalendarAdvance(Calendar,Q264,P265,"f")</f>
        <v>42976</v>
      </c>
      <c r="R265" s="143">
        <f>IF((ISERR(_xll.qlIndexFixing(Index,Q265,,InterestRatesTrigger))),_xll.qlIndexFixing(Index,Q265-$Q$1,,InterestRatesTrigger),_xll.qlIndexFixing(Index,Q265,,InterestRatesTrigger))</f>
        <v>5.7798664161190505E-3</v>
      </c>
    </row>
    <row r="266" spans="16:18" x14ac:dyDescent="0.2">
      <c r="P266" s="141" t="s">
        <v>88</v>
      </c>
      <c r="Q266" s="142">
        <f>_xll.qlCalendarAdvance(Calendar,Q265,P266,"f")</f>
        <v>42977</v>
      </c>
      <c r="R266" s="143">
        <f>IF((ISERR(_xll.qlIndexFixing(Index,Q266,,InterestRatesTrigger))),_xll.qlIndexFixing(Index,Q266-$Q$1,,InterestRatesTrigger),_xll.qlIndexFixing(Index,Q266,,InterestRatesTrigger))</f>
        <v>5.7798664161190505E-3</v>
      </c>
    </row>
    <row r="267" spans="16:18" x14ac:dyDescent="0.2">
      <c r="P267" s="141" t="s">
        <v>88</v>
      </c>
      <c r="Q267" s="142">
        <f>_xll.qlCalendarAdvance(Calendar,Q266,P267,"f")</f>
        <v>42978</v>
      </c>
      <c r="R267" s="143">
        <f>IF((ISERR(_xll.qlIndexFixing(Index,Q267,,InterestRatesTrigger))),_xll.qlIndexFixing(Index,Q267-$Q$1,,InterestRatesTrigger),_xll.qlIndexFixing(Index,Q267,,InterestRatesTrigger))</f>
        <v>5.7798664162000968E-3</v>
      </c>
    </row>
    <row r="268" spans="16:18" x14ac:dyDescent="0.2">
      <c r="P268" s="141" t="s">
        <v>88</v>
      </c>
      <c r="Q268" s="142">
        <f>_xll.qlCalendarAdvance(Calendar,Q267,P268,"f")</f>
        <v>42979</v>
      </c>
      <c r="R268" s="143">
        <f>IF((ISERR(_xll.qlIndexFixing(Index,Q268,,InterestRatesTrigger))),_xll.qlIndexFixing(Index,Q268-$Q$1,,InterestRatesTrigger),_xll.qlIndexFixing(Index,Q268,,InterestRatesTrigger))</f>
        <v>5.7799579422242644E-3</v>
      </c>
    </row>
    <row r="269" spans="16:18" x14ac:dyDescent="0.2">
      <c r="P269" s="141" t="s">
        <v>88</v>
      </c>
      <c r="Q269" s="142">
        <f>_xll.qlCalendarAdvance(Calendar,Q268,P269,"f")</f>
        <v>42983</v>
      </c>
      <c r="R269" s="143">
        <f>IF((ISERR(_xll.qlIndexFixing(Index,Q269,,InterestRatesTrigger))),_xll.qlIndexFixing(Index,Q269-$Q$1,,InterestRatesTrigger),_xll.qlIndexFixing(Index,Q269,,InterestRatesTrigger))</f>
        <v>5.7798664162000968E-3</v>
      </c>
    </row>
    <row r="270" spans="16:18" x14ac:dyDescent="0.2">
      <c r="P270" s="141" t="s">
        <v>88</v>
      </c>
      <c r="Q270" s="142">
        <f>_xll.qlCalendarAdvance(Calendar,Q269,P270,"f")</f>
        <v>42984</v>
      </c>
      <c r="R270" s="143">
        <f>IF((ISERR(_xll.qlIndexFixing(Index,Q270,,InterestRatesTrigger))),_xll.qlIndexFixing(Index,Q270-$Q$1,,InterestRatesTrigger),_xll.qlIndexFixing(Index,Q270,,InterestRatesTrigger))</f>
        <v>5.7798664161190505E-3</v>
      </c>
    </row>
    <row r="271" spans="16:18" x14ac:dyDescent="0.2">
      <c r="P271" s="141" t="s">
        <v>88</v>
      </c>
      <c r="Q271" s="142">
        <f>_xll.qlCalendarAdvance(Calendar,Q270,P271,"f")</f>
        <v>42985</v>
      </c>
      <c r="R271" s="143">
        <f>IF((ISERR(_xll.qlIndexFixing(Index,Q271,,InterestRatesTrigger))),_xll.qlIndexFixing(Index,Q271-$Q$1,,InterestRatesTrigger),_xll.qlIndexFixing(Index,Q271,,InterestRatesTrigger))</f>
        <v>5.7798664161190505E-3</v>
      </c>
    </row>
    <row r="272" spans="16:18" x14ac:dyDescent="0.2">
      <c r="P272" s="141" t="s">
        <v>88</v>
      </c>
      <c r="Q272" s="142">
        <f>_xll.qlCalendarAdvance(Calendar,Q271,P272,"f")</f>
        <v>42986</v>
      </c>
      <c r="R272" s="143">
        <f>IF((ISERR(_xll.qlIndexFixing(Index,Q272,,InterestRatesTrigger))),_xll.qlIndexFixing(Index,Q272-$Q$1,,InterestRatesTrigger),_xll.qlIndexFixing(Index,Q272,,InterestRatesTrigger))</f>
        <v>5.7799579422512801E-3</v>
      </c>
    </row>
    <row r="273" spans="16:18" x14ac:dyDescent="0.2">
      <c r="P273" s="141" t="s">
        <v>88</v>
      </c>
      <c r="Q273" s="142">
        <f>_xll.qlCalendarAdvance(Calendar,Q272,P273,"f")</f>
        <v>42989</v>
      </c>
      <c r="R273" s="143">
        <f>IF((ISERR(_xll.qlIndexFixing(Index,Q273,,InterestRatesTrigger))),_xll.qlIndexFixing(Index,Q273-$Q$1,,InterestRatesTrigger),_xll.qlIndexFixing(Index,Q273,,InterestRatesTrigger))</f>
        <v>5.7798664161190505E-3</v>
      </c>
    </row>
    <row r="274" spans="16:18" x14ac:dyDescent="0.2">
      <c r="P274" s="141" t="s">
        <v>88</v>
      </c>
      <c r="Q274" s="142">
        <f>_xll.qlCalendarAdvance(Calendar,Q273,P274,"f")</f>
        <v>42990</v>
      </c>
      <c r="R274" s="143">
        <f>IF((ISERR(_xll.qlIndexFixing(Index,Q274,,InterestRatesTrigger))),_xll.qlIndexFixing(Index,Q274-$Q$1,,InterestRatesTrigger),_xll.qlIndexFixing(Index,Q274,,InterestRatesTrigger))</f>
        <v>5.7798664161190505E-3</v>
      </c>
    </row>
    <row r="275" spans="16:18" x14ac:dyDescent="0.2">
      <c r="P275" s="141" t="s">
        <v>88</v>
      </c>
      <c r="Q275" s="142">
        <f>_xll.qlCalendarAdvance(Calendar,Q274,P275,"f")</f>
        <v>42991</v>
      </c>
      <c r="R275" s="143">
        <f>IF((ISERR(_xll.qlIndexFixing(Index,Q275,,InterestRatesTrigger))),_xll.qlIndexFixing(Index,Q275-$Q$1,,InterestRatesTrigger),_xll.qlIndexFixing(Index,Q275,,InterestRatesTrigger))</f>
        <v>5.7798664161190505E-3</v>
      </c>
    </row>
    <row r="276" spans="16:18" x14ac:dyDescent="0.2">
      <c r="P276" s="141" t="s">
        <v>88</v>
      </c>
      <c r="Q276" s="142">
        <f>_xll.qlCalendarAdvance(Calendar,Q275,P276,"f")</f>
        <v>42992</v>
      </c>
      <c r="R276" s="143">
        <f>IF((ISERR(_xll.qlIndexFixing(Index,Q276,,InterestRatesTrigger))),_xll.qlIndexFixing(Index,Q276-$Q$1,,InterestRatesTrigger),_xll.qlIndexFixing(Index,Q276,,InterestRatesTrigger))</f>
        <v>5.7798664161190505E-3</v>
      </c>
    </row>
    <row r="277" spans="16:18" x14ac:dyDescent="0.2">
      <c r="P277" s="141" t="s">
        <v>88</v>
      </c>
      <c r="Q277" s="142">
        <f>_xll.qlCalendarAdvance(Calendar,Q276,P277,"f")</f>
        <v>42993</v>
      </c>
      <c r="R277" s="143">
        <f>IF((ISERR(_xll.qlIndexFixing(Index,Q277,,InterestRatesTrigger))),_xll.qlIndexFixing(Index,Q277-$Q$1,,InterestRatesTrigger),_xll.qlIndexFixing(Index,Q277,,InterestRatesTrigger))</f>
        <v>5.7799579422512801E-3</v>
      </c>
    </row>
    <row r="278" spans="16:18" x14ac:dyDescent="0.2">
      <c r="P278" s="141" t="s">
        <v>88</v>
      </c>
      <c r="Q278" s="142">
        <f>_xll.qlCalendarAdvance(Calendar,Q277,P278,"f")</f>
        <v>42996</v>
      </c>
      <c r="R278" s="143">
        <f>IF((ISERR(_xll.qlIndexFixing(Index,Q278,,InterestRatesTrigger))),_xll.qlIndexFixing(Index,Q278-$Q$1,,InterestRatesTrigger),_xll.qlIndexFixing(Index,Q278,,InterestRatesTrigger))</f>
        <v>5.7798664161190505E-3</v>
      </c>
    </row>
    <row r="279" spans="16:18" x14ac:dyDescent="0.2">
      <c r="P279" s="141" t="s">
        <v>88</v>
      </c>
      <c r="Q279" s="142">
        <f>_xll.qlCalendarAdvance(Calendar,Q278,P279,"f")</f>
        <v>42997</v>
      </c>
      <c r="R279" s="143">
        <f>IF((ISERR(_xll.qlIndexFixing(Index,Q279,,InterestRatesTrigger))),_xll.qlIndexFixing(Index,Q279-$Q$1,,InterestRatesTrigger),_xll.qlIndexFixing(Index,Q279,,InterestRatesTrigger))</f>
        <v>5.7798664161190505E-3</v>
      </c>
    </row>
    <row r="280" spans="16:18" x14ac:dyDescent="0.2">
      <c r="P280" s="141" t="s">
        <v>88</v>
      </c>
      <c r="Q280" s="142">
        <f>_xll.qlCalendarAdvance(Calendar,Q279,P280,"f")</f>
        <v>42998</v>
      </c>
      <c r="R280" s="143">
        <f>IF((ISERR(_xll.qlIndexFixing(Index,Q280,,InterestRatesTrigger))),_xll.qlIndexFixing(Index,Q280-$Q$1,,InterestRatesTrigger),_xll.qlIndexFixing(Index,Q280,,InterestRatesTrigger))</f>
        <v>5.7798664162000968E-3</v>
      </c>
    </row>
    <row r="281" spans="16:18" x14ac:dyDescent="0.2">
      <c r="P281" s="141" t="s">
        <v>88</v>
      </c>
      <c r="Q281" s="142">
        <f>_xll.qlCalendarAdvance(Calendar,Q280,P281,"f")</f>
        <v>42999</v>
      </c>
      <c r="R281" s="143">
        <f>IF((ISERR(_xll.qlIndexFixing(Index,Q281,,InterestRatesTrigger))),_xll.qlIndexFixing(Index,Q281-$Q$1,,InterestRatesTrigger),_xll.qlIndexFixing(Index,Q281,,InterestRatesTrigger))</f>
        <v>5.7798664161190505E-3</v>
      </c>
    </row>
    <row r="282" spans="16:18" x14ac:dyDescent="0.2">
      <c r="P282" s="141" t="s">
        <v>88</v>
      </c>
      <c r="Q282" s="142">
        <f>_xll.qlCalendarAdvance(Calendar,Q281,P282,"f")</f>
        <v>43000</v>
      </c>
      <c r="R282" s="143">
        <f>IF((ISERR(_xll.qlIndexFixing(Index,Q282,,InterestRatesTrigger))),_xll.qlIndexFixing(Index,Q282-$Q$1,,InterestRatesTrigger),_xll.qlIndexFixing(Index,Q282,,InterestRatesTrigger))</f>
        <v>5.7799579422512801E-3</v>
      </c>
    </row>
    <row r="283" spans="16:18" x14ac:dyDescent="0.2">
      <c r="P283" s="141" t="s">
        <v>88</v>
      </c>
      <c r="Q283" s="142">
        <f>_xll.qlCalendarAdvance(Calendar,Q282,P283,"f")</f>
        <v>43003</v>
      </c>
      <c r="R283" s="143">
        <f>IF((ISERR(_xll.qlIndexFixing(Index,Q283,,InterestRatesTrigger))),_xll.qlIndexFixing(Index,Q283-$Q$1,,InterestRatesTrigger),_xll.qlIndexFixing(Index,Q283,,InterestRatesTrigger))</f>
        <v>5.7798664161190505E-3</v>
      </c>
    </row>
    <row r="284" spans="16:18" x14ac:dyDescent="0.2">
      <c r="P284" s="141" t="s">
        <v>88</v>
      </c>
      <c r="Q284" s="142">
        <f>_xll.qlCalendarAdvance(Calendar,Q283,P284,"f")</f>
        <v>43004</v>
      </c>
      <c r="R284" s="143">
        <f>IF((ISERR(_xll.qlIndexFixing(Index,Q284,,InterestRatesTrigger))),_xll.qlIndexFixing(Index,Q284-$Q$1,,InterestRatesTrigger),_xll.qlIndexFixing(Index,Q284,,InterestRatesTrigger))</f>
        <v>5.7798664161190505E-3</v>
      </c>
    </row>
    <row r="285" spans="16:18" x14ac:dyDescent="0.2">
      <c r="P285" s="141" t="s">
        <v>88</v>
      </c>
      <c r="Q285" s="142">
        <f>_xll.qlCalendarAdvance(Calendar,Q284,P285,"f")</f>
        <v>43005</v>
      </c>
      <c r="R285" s="143">
        <f>IF((ISERR(_xll.qlIndexFixing(Index,Q285,,InterestRatesTrigger))),_xll.qlIndexFixing(Index,Q285-$Q$1,,InterestRatesTrigger),_xll.qlIndexFixing(Index,Q285,,InterestRatesTrigger))</f>
        <v>5.7798664161190505E-3</v>
      </c>
    </row>
    <row r="286" spans="16:18" x14ac:dyDescent="0.2">
      <c r="P286" s="141" t="s">
        <v>88</v>
      </c>
      <c r="Q286" s="142">
        <f>_xll.qlCalendarAdvance(Calendar,Q285,P286,"f")</f>
        <v>43006</v>
      </c>
      <c r="R286" s="143">
        <f>IF((ISERR(_xll.qlIndexFixing(Index,Q286,,InterestRatesTrigger))),_xll.qlIndexFixing(Index,Q286-$Q$1,,InterestRatesTrigger),_xll.qlIndexFixing(Index,Q286,,InterestRatesTrigger))</f>
        <v>5.7798664161190505E-3</v>
      </c>
    </row>
    <row r="287" spans="16:18" x14ac:dyDescent="0.2">
      <c r="P287" s="141" t="s">
        <v>88</v>
      </c>
      <c r="Q287" s="142">
        <f>_xll.qlCalendarAdvance(Calendar,Q286,P287,"f")</f>
        <v>43007</v>
      </c>
      <c r="R287" s="143">
        <f>IF((ISERR(_xll.qlIndexFixing(Index,Q287,,InterestRatesTrigger))),_xll.qlIndexFixing(Index,Q287-$Q$1,,InterestRatesTrigger),_xll.qlIndexFixing(Index,Q287,,InterestRatesTrigger))</f>
        <v>5.7799579422512801E-3</v>
      </c>
    </row>
    <row r="288" spans="16:18" x14ac:dyDescent="0.2">
      <c r="P288" s="141" t="s">
        <v>88</v>
      </c>
      <c r="Q288" s="142">
        <f>_xll.qlCalendarAdvance(Calendar,Q287,P288,"f")</f>
        <v>43010</v>
      </c>
      <c r="R288" s="143">
        <f>IF((ISERR(_xll.qlIndexFixing(Index,Q288,,InterestRatesTrigger))),_xll.qlIndexFixing(Index,Q288-$Q$1,,InterestRatesTrigger),_xll.qlIndexFixing(Index,Q288,,InterestRatesTrigger))</f>
        <v>5.7798664161190505E-3</v>
      </c>
    </row>
    <row r="289" spans="16:18" x14ac:dyDescent="0.2">
      <c r="P289" s="141" t="s">
        <v>88</v>
      </c>
      <c r="Q289" s="142">
        <f>_xll.qlCalendarAdvance(Calendar,Q288,P289,"f")</f>
        <v>43011</v>
      </c>
      <c r="R289" s="143">
        <f>IF((ISERR(_xll.qlIndexFixing(Index,Q289,,InterestRatesTrigger))),_xll.qlIndexFixing(Index,Q289-$Q$1,,InterestRatesTrigger),_xll.qlIndexFixing(Index,Q289,,InterestRatesTrigger))</f>
        <v>5.7798664161190505E-3</v>
      </c>
    </row>
    <row r="290" spans="16:18" x14ac:dyDescent="0.2">
      <c r="P290" s="141" t="s">
        <v>88</v>
      </c>
      <c r="Q290" s="142">
        <f>_xll.qlCalendarAdvance(Calendar,Q289,P290,"f")</f>
        <v>43012</v>
      </c>
      <c r="R290" s="143">
        <f>IF((ISERR(_xll.qlIndexFixing(Index,Q290,,InterestRatesTrigger))),_xll.qlIndexFixing(Index,Q290-$Q$1,,InterestRatesTrigger),_xll.qlIndexFixing(Index,Q290,,InterestRatesTrigger))</f>
        <v>5.7798664161190505E-3</v>
      </c>
    </row>
    <row r="291" spans="16:18" x14ac:dyDescent="0.2">
      <c r="P291" s="141" t="s">
        <v>88</v>
      </c>
      <c r="Q291" s="142">
        <f>_xll.qlCalendarAdvance(Calendar,Q290,P291,"f")</f>
        <v>43013</v>
      </c>
      <c r="R291" s="143">
        <f>IF((ISERR(_xll.qlIndexFixing(Index,Q291,,InterestRatesTrigger))),_xll.qlIndexFixing(Index,Q291-$Q$1,,InterestRatesTrigger),_xll.qlIndexFixing(Index,Q291,,InterestRatesTrigger))</f>
        <v>5.7798664161190505E-3</v>
      </c>
    </row>
    <row r="292" spans="16:18" x14ac:dyDescent="0.2">
      <c r="P292" s="141" t="s">
        <v>88</v>
      </c>
      <c r="Q292" s="142">
        <f>_xll.qlCalendarAdvance(Calendar,Q291,P292,"f")</f>
        <v>43014</v>
      </c>
      <c r="R292" s="143">
        <f>IF((ISERR(_xll.qlIndexFixing(Index,Q292,,InterestRatesTrigger))),_xll.qlIndexFixing(Index,Q292-$Q$1,,InterestRatesTrigger),_xll.qlIndexFixing(Index,Q292,,InterestRatesTrigger))</f>
        <v>5.7799579422512801E-3</v>
      </c>
    </row>
    <row r="293" spans="16:18" x14ac:dyDescent="0.2">
      <c r="P293" s="141" t="s">
        <v>88</v>
      </c>
      <c r="Q293" s="142">
        <f>_xll.qlCalendarAdvance(Calendar,Q292,P293,"f")</f>
        <v>43018</v>
      </c>
      <c r="R293" s="143">
        <f>IF((ISERR(_xll.qlIndexFixing(Index,Q293,,InterestRatesTrigger))),_xll.qlIndexFixing(Index,Q293-$Q$1,,InterestRatesTrigger),_xll.qlIndexFixing(Index,Q293,,InterestRatesTrigger))</f>
        <v>5.7798664161190505E-3</v>
      </c>
    </row>
    <row r="294" spans="16:18" x14ac:dyDescent="0.2">
      <c r="P294" s="141" t="s">
        <v>88</v>
      </c>
      <c r="Q294" s="142">
        <f>_xll.qlCalendarAdvance(Calendar,Q293,P294,"f")</f>
        <v>43019</v>
      </c>
      <c r="R294" s="143">
        <f>IF((ISERR(_xll.qlIndexFixing(Index,Q294,,InterestRatesTrigger))),_xll.qlIndexFixing(Index,Q294-$Q$1,,InterestRatesTrigger),_xll.qlIndexFixing(Index,Q294,,InterestRatesTrigger))</f>
        <v>5.7798664161190505E-3</v>
      </c>
    </row>
    <row r="295" spans="16:18" x14ac:dyDescent="0.2">
      <c r="P295" s="141" t="s">
        <v>88</v>
      </c>
      <c r="Q295" s="142">
        <f>_xll.qlCalendarAdvance(Calendar,Q294,P295,"f")</f>
        <v>43020</v>
      </c>
      <c r="R295" s="143">
        <f>IF((ISERR(_xll.qlIndexFixing(Index,Q295,,InterestRatesTrigger))),_xll.qlIndexFixing(Index,Q295-$Q$1,,InterestRatesTrigger),_xll.qlIndexFixing(Index,Q295,,InterestRatesTrigger))</f>
        <v>5.7798664161190505E-3</v>
      </c>
    </row>
    <row r="296" spans="16:18" x14ac:dyDescent="0.2">
      <c r="P296" s="141" t="s">
        <v>88</v>
      </c>
      <c r="Q296" s="142">
        <f>_xll.qlCalendarAdvance(Calendar,Q295,P296,"f")</f>
        <v>43021</v>
      </c>
      <c r="R296" s="143">
        <f>IF((ISERR(_xll.qlIndexFixing(Index,Q296,,InterestRatesTrigger))),_xll.qlIndexFixing(Index,Q296-$Q$1,,InterestRatesTrigger),_xll.qlIndexFixing(Index,Q296,,InterestRatesTrigger))</f>
        <v>5.7799579422512801E-3</v>
      </c>
    </row>
    <row r="297" spans="16:18" x14ac:dyDescent="0.2">
      <c r="P297" s="141" t="s">
        <v>88</v>
      </c>
      <c r="Q297" s="142">
        <f>_xll.qlCalendarAdvance(Calendar,Q296,P297,"f")</f>
        <v>43024</v>
      </c>
      <c r="R297" s="143">
        <f>IF((ISERR(_xll.qlIndexFixing(Index,Q297,,InterestRatesTrigger))),_xll.qlIndexFixing(Index,Q297-$Q$1,,InterestRatesTrigger),_xll.qlIndexFixing(Index,Q297,,InterestRatesTrigger))</f>
        <v>5.7798664161190505E-3</v>
      </c>
    </row>
    <row r="298" spans="16:18" x14ac:dyDescent="0.2">
      <c r="P298" s="141" t="s">
        <v>88</v>
      </c>
      <c r="Q298" s="142">
        <f>_xll.qlCalendarAdvance(Calendar,Q297,P298,"f")</f>
        <v>43025</v>
      </c>
      <c r="R298" s="143">
        <f>IF((ISERR(_xll.qlIndexFixing(Index,Q298,,InterestRatesTrigger))),_xll.qlIndexFixing(Index,Q298-$Q$1,,InterestRatesTrigger),_xll.qlIndexFixing(Index,Q298,,InterestRatesTrigger))</f>
        <v>5.7798664161190505E-3</v>
      </c>
    </row>
    <row r="299" spans="16:18" x14ac:dyDescent="0.2">
      <c r="P299" s="141" t="s">
        <v>88</v>
      </c>
      <c r="Q299" s="142">
        <f>_xll.qlCalendarAdvance(Calendar,Q298,P299,"f")</f>
        <v>43026</v>
      </c>
      <c r="R299" s="143">
        <f>IF((ISERR(_xll.qlIndexFixing(Index,Q299,,InterestRatesTrigger))),_xll.qlIndexFixing(Index,Q299-$Q$1,,InterestRatesTrigger),_xll.qlIndexFixing(Index,Q299,,InterestRatesTrigger))</f>
        <v>5.7798664161190505E-3</v>
      </c>
    </row>
    <row r="300" spans="16:18" x14ac:dyDescent="0.2">
      <c r="P300" s="141" t="s">
        <v>88</v>
      </c>
      <c r="Q300" s="142">
        <f>_xll.qlCalendarAdvance(Calendar,Q299,P300,"f")</f>
        <v>43027</v>
      </c>
      <c r="R300" s="143">
        <f>IF((ISERR(_xll.qlIndexFixing(Index,Q300,,InterestRatesTrigger))),_xll.qlIndexFixing(Index,Q300-$Q$1,,InterestRatesTrigger),_xll.qlIndexFixing(Index,Q300,,InterestRatesTrigger))</f>
        <v>5.7798664162000968E-3</v>
      </c>
    </row>
    <row r="301" spans="16:18" x14ac:dyDescent="0.2">
      <c r="P301" s="141" t="s">
        <v>88</v>
      </c>
      <c r="Q301" s="142">
        <f>_xll.qlCalendarAdvance(Calendar,Q300,P301,"f")</f>
        <v>43028</v>
      </c>
      <c r="R301" s="143">
        <f>IF((ISERR(_xll.qlIndexFixing(Index,Q301,,InterestRatesTrigger))),_xll.qlIndexFixing(Index,Q301-$Q$1,,InterestRatesTrigger),_xll.qlIndexFixing(Index,Q301,,InterestRatesTrigger))</f>
        <v>5.7799579422242644E-3</v>
      </c>
    </row>
    <row r="302" spans="16:18" x14ac:dyDescent="0.2">
      <c r="P302" s="141" t="s">
        <v>88</v>
      </c>
      <c r="Q302" s="142">
        <f>_xll.qlCalendarAdvance(Calendar,Q301,P302,"f")</f>
        <v>43031</v>
      </c>
      <c r="R302" s="143">
        <f>IF((ISERR(_xll.qlIndexFixing(Index,Q302,,InterestRatesTrigger))),_xll.qlIndexFixing(Index,Q302-$Q$1,,InterestRatesTrigger),_xll.qlIndexFixing(Index,Q302,,InterestRatesTrigger))</f>
        <v>5.7798664161190505E-3</v>
      </c>
    </row>
    <row r="303" spans="16:18" x14ac:dyDescent="0.2">
      <c r="P303" s="141" t="s">
        <v>88</v>
      </c>
      <c r="Q303" s="142">
        <f>_xll.qlCalendarAdvance(Calendar,Q302,P303,"f")</f>
        <v>43032</v>
      </c>
      <c r="R303" s="143">
        <f>IF((ISERR(_xll.qlIndexFixing(Index,Q303,,InterestRatesTrigger))),_xll.qlIndexFixing(Index,Q303-$Q$1,,InterestRatesTrigger),_xll.qlIndexFixing(Index,Q303,,InterestRatesTrigger))</f>
        <v>5.7798664161190505E-3</v>
      </c>
    </row>
    <row r="304" spans="16:18" x14ac:dyDescent="0.2">
      <c r="P304" s="141" t="s">
        <v>88</v>
      </c>
      <c r="Q304" s="142">
        <f>_xll.qlCalendarAdvance(Calendar,Q303,P304,"f")</f>
        <v>43033</v>
      </c>
      <c r="R304" s="143">
        <f>IF((ISERR(_xll.qlIndexFixing(Index,Q304,,InterestRatesTrigger))),_xll.qlIndexFixing(Index,Q304-$Q$1,,InterestRatesTrigger),_xll.qlIndexFixing(Index,Q304,,InterestRatesTrigger))</f>
        <v>5.7798664161190505E-3</v>
      </c>
    </row>
    <row r="305" spans="16:18" x14ac:dyDescent="0.2">
      <c r="P305" s="141" t="s">
        <v>88</v>
      </c>
      <c r="Q305" s="142">
        <f>_xll.qlCalendarAdvance(Calendar,Q304,P305,"f")</f>
        <v>43034</v>
      </c>
      <c r="R305" s="143">
        <f>IF((ISERR(_xll.qlIndexFixing(Index,Q305,,InterestRatesTrigger))),_xll.qlIndexFixing(Index,Q305-$Q$1,,InterestRatesTrigger),_xll.qlIndexFixing(Index,Q305,,InterestRatesTrigger))</f>
        <v>5.7798664161190505E-3</v>
      </c>
    </row>
    <row r="306" spans="16:18" x14ac:dyDescent="0.2">
      <c r="P306" s="141" t="s">
        <v>88</v>
      </c>
      <c r="Q306" s="142">
        <f>_xll.qlCalendarAdvance(Calendar,Q305,P306,"f")</f>
        <v>43035</v>
      </c>
      <c r="R306" s="143">
        <f>IF((ISERR(_xll.qlIndexFixing(Index,Q306,,InterestRatesTrigger))),_xll.qlIndexFixing(Index,Q306-$Q$1,,InterestRatesTrigger),_xll.qlIndexFixing(Index,Q306,,InterestRatesTrigger))</f>
        <v>5.7799579422242644E-3</v>
      </c>
    </row>
    <row r="307" spans="16:18" x14ac:dyDescent="0.2">
      <c r="P307" s="141" t="s">
        <v>88</v>
      </c>
      <c r="Q307" s="142">
        <f>_xll.qlCalendarAdvance(Calendar,Q306,P307,"f")</f>
        <v>43038</v>
      </c>
      <c r="R307" s="143">
        <f>IF((ISERR(_xll.qlIndexFixing(Index,Q307,,InterestRatesTrigger))),_xll.qlIndexFixing(Index,Q307-$Q$1,,InterestRatesTrigger),_xll.qlIndexFixing(Index,Q307,,InterestRatesTrigger))</f>
        <v>5.7798664161190505E-3</v>
      </c>
    </row>
    <row r="308" spans="16:18" x14ac:dyDescent="0.2">
      <c r="P308" s="141" t="s">
        <v>88</v>
      </c>
      <c r="Q308" s="142">
        <f>_xll.qlCalendarAdvance(Calendar,Q307,P308,"f")</f>
        <v>43039</v>
      </c>
      <c r="R308" s="143">
        <f>IF((ISERR(_xll.qlIndexFixing(Index,Q308,,InterestRatesTrigger))),_xll.qlIndexFixing(Index,Q308-$Q$1,,InterestRatesTrigger),_xll.qlIndexFixing(Index,Q308,,InterestRatesTrigger))</f>
        <v>5.7798664161190505E-3</v>
      </c>
    </row>
    <row r="309" spans="16:18" x14ac:dyDescent="0.2">
      <c r="P309" s="141" t="s">
        <v>88</v>
      </c>
      <c r="Q309" s="142">
        <f>_xll.qlCalendarAdvance(Calendar,Q308,P309,"f")</f>
        <v>43040</v>
      </c>
      <c r="R309" s="143">
        <f>IF((ISERR(_xll.qlIndexFixing(Index,Q309,,InterestRatesTrigger))),_xll.qlIndexFixing(Index,Q309-$Q$1,,InterestRatesTrigger),_xll.qlIndexFixing(Index,Q309,,InterestRatesTrigger))</f>
        <v>5.7798664161190505E-3</v>
      </c>
    </row>
    <row r="310" spans="16:18" x14ac:dyDescent="0.2">
      <c r="P310" s="141" t="s">
        <v>88</v>
      </c>
      <c r="Q310" s="142">
        <f>_xll.qlCalendarAdvance(Calendar,Q309,P310,"f")</f>
        <v>43041</v>
      </c>
      <c r="R310" s="143">
        <f>IF((ISERR(_xll.qlIndexFixing(Index,Q310,,InterestRatesTrigger))),_xll.qlIndexFixing(Index,Q310-$Q$1,,InterestRatesTrigger),_xll.qlIndexFixing(Index,Q310,,InterestRatesTrigger))</f>
        <v>5.7798664161190505E-3</v>
      </c>
    </row>
    <row r="311" spans="16:18" x14ac:dyDescent="0.2">
      <c r="P311" s="141" t="s">
        <v>88</v>
      </c>
      <c r="Q311" s="142">
        <f>_xll.qlCalendarAdvance(Calendar,Q310,P311,"f")</f>
        <v>43042</v>
      </c>
      <c r="R311" s="143">
        <f>IF((ISERR(_xll.qlIndexFixing(Index,Q311,,InterestRatesTrigger))),_xll.qlIndexFixing(Index,Q311-$Q$1,,InterestRatesTrigger),_xll.qlIndexFixing(Index,Q311,,InterestRatesTrigger))</f>
        <v>5.7799579422512801E-3</v>
      </c>
    </row>
    <row r="312" spans="16:18" x14ac:dyDescent="0.2">
      <c r="P312" s="141" t="s">
        <v>88</v>
      </c>
      <c r="Q312" s="142">
        <f>_xll.qlCalendarAdvance(Calendar,Q311,P312,"f")</f>
        <v>43045</v>
      </c>
      <c r="R312" s="143">
        <f>IF((ISERR(_xll.qlIndexFixing(Index,Q312,,InterestRatesTrigger))),_xll.qlIndexFixing(Index,Q312-$Q$1,,InterestRatesTrigger),_xll.qlIndexFixing(Index,Q312,,InterestRatesTrigger))</f>
        <v>5.7798664161190505E-3</v>
      </c>
    </row>
    <row r="313" spans="16:18" x14ac:dyDescent="0.2">
      <c r="P313" s="141" t="s">
        <v>88</v>
      </c>
      <c r="Q313" s="142">
        <f>_xll.qlCalendarAdvance(Calendar,Q312,P313,"f")</f>
        <v>43046</v>
      </c>
      <c r="R313" s="143">
        <f>IF((ISERR(_xll.qlIndexFixing(Index,Q313,,InterestRatesTrigger))),_xll.qlIndexFixing(Index,Q313-$Q$1,,InterestRatesTrigger),_xll.qlIndexFixing(Index,Q313,,InterestRatesTrigger))</f>
        <v>5.7798664161190505E-3</v>
      </c>
    </row>
    <row r="314" spans="16:18" x14ac:dyDescent="0.2">
      <c r="P314" s="141" t="s">
        <v>88</v>
      </c>
      <c r="Q314" s="142">
        <f>_xll.qlCalendarAdvance(Calendar,Q313,P314,"f")</f>
        <v>43047</v>
      </c>
      <c r="R314" s="143">
        <f>IF((ISERR(_xll.qlIndexFixing(Index,Q314,,InterestRatesTrigger))),_xll.qlIndexFixing(Index,Q314-$Q$1,,InterestRatesTrigger),_xll.qlIndexFixing(Index,Q314,,InterestRatesTrigger))</f>
        <v>5.7798664161190505E-3</v>
      </c>
    </row>
    <row r="315" spans="16:18" x14ac:dyDescent="0.2">
      <c r="P315" s="141" t="s">
        <v>88</v>
      </c>
      <c r="Q315" s="142">
        <f>_xll.qlCalendarAdvance(Calendar,Q314,P315,"f")</f>
        <v>43048</v>
      </c>
      <c r="R315" s="143">
        <f>IF((ISERR(_xll.qlIndexFixing(Index,Q315,,InterestRatesTrigger))),_xll.qlIndexFixing(Index,Q315-$Q$1,,InterestRatesTrigger),_xll.qlIndexFixing(Index,Q315,,InterestRatesTrigger))</f>
        <v>5.7798664161190505E-3</v>
      </c>
    </row>
    <row r="316" spans="16:18" x14ac:dyDescent="0.2">
      <c r="P316" s="141" t="s">
        <v>88</v>
      </c>
      <c r="Q316" s="142">
        <f>_xll.qlCalendarAdvance(Calendar,Q315,P316,"f")</f>
        <v>43052</v>
      </c>
      <c r="R316" s="143">
        <f>IF((ISERR(_xll.qlIndexFixing(Index,Q316,,InterestRatesTrigger))),_xll.qlIndexFixing(Index,Q316-$Q$1,,InterestRatesTrigger),_xll.qlIndexFixing(Index,Q316,,InterestRatesTrigger))</f>
        <v>6.2808634603483959E-3</v>
      </c>
    </row>
    <row r="317" spans="16:18" x14ac:dyDescent="0.2">
      <c r="P317" s="141" t="s">
        <v>88</v>
      </c>
      <c r="Q317" s="142">
        <f>_xll.qlCalendarAdvance(Calendar,Q316,P317,"f")</f>
        <v>43053</v>
      </c>
      <c r="R317" s="143">
        <f>IF((ISERR(_xll.qlIndexFixing(Index,Q317,,InterestRatesTrigger))),_xll.qlIndexFixing(Index,Q317-$Q$1,,InterestRatesTrigger),_xll.qlIndexFixing(Index,Q317,,InterestRatesTrigger))</f>
        <v>6.2808634603483959E-3</v>
      </c>
    </row>
    <row r="318" spans="16:18" x14ac:dyDescent="0.2">
      <c r="P318" s="141" t="s">
        <v>88</v>
      </c>
      <c r="Q318" s="142">
        <f>_xll.qlCalendarAdvance(Calendar,Q317,P318,"f")</f>
        <v>43054</v>
      </c>
      <c r="R318" s="143">
        <f>IF((ISERR(_xll.qlIndexFixing(Index,Q318,,InterestRatesTrigger))),_xll.qlIndexFixing(Index,Q318-$Q$1,,InterestRatesTrigger),_xll.qlIndexFixing(Index,Q318,,InterestRatesTrigger))</f>
        <v>6.2808634603483959E-3</v>
      </c>
    </row>
    <row r="319" spans="16:18" x14ac:dyDescent="0.2">
      <c r="P319" s="141" t="s">
        <v>88</v>
      </c>
      <c r="Q319" s="142">
        <f>_xll.qlCalendarAdvance(Calendar,Q318,P319,"f")</f>
        <v>43055</v>
      </c>
      <c r="R319" s="143">
        <f>IF((ISERR(_xll.qlIndexFixing(Index,Q319,,InterestRatesTrigger))),_xll.qlIndexFixing(Index,Q319-$Q$1,,InterestRatesTrigger),_xll.qlIndexFixing(Index,Q319,,InterestRatesTrigger))</f>
        <v>6.2808634603483959E-3</v>
      </c>
    </row>
    <row r="320" spans="16:18" x14ac:dyDescent="0.2">
      <c r="P320" s="141" t="s">
        <v>88</v>
      </c>
      <c r="Q320" s="142">
        <f>_xll.qlCalendarAdvance(Calendar,Q319,P320,"f")</f>
        <v>43056</v>
      </c>
      <c r="R320" s="143">
        <f>IF((ISERR(_xll.qlIndexFixing(Index,Q320,,InterestRatesTrigger))),_xll.qlIndexFixing(Index,Q320-$Q$1,,InterestRatesTrigger),_xll.qlIndexFixing(Index,Q320,,InterestRatesTrigger))</f>
        <v>6.2809715410749875E-3</v>
      </c>
    </row>
    <row r="321" spans="16:18" x14ac:dyDescent="0.2">
      <c r="P321" s="141" t="s">
        <v>88</v>
      </c>
      <c r="Q321" s="142">
        <f>_xll.qlCalendarAdvance(Calendar,Q320,P321,"f")</f>
        <v>43059</v>
      </c>
      <c r="R321" s="143">
        <f>IF((ISERR(_xll.qlIndexFixing(Index,Q321,,InterestRatesTrigger))),_xll.qlIndexFixing(Index,Q321-$Q$1,,InterestRatesTrigger),_xll.qlIndexFixing(Index,Q321,,InterestRatesTrigger))</f>
        <v>6.2808634603483959E-3</v>
      </c>
    </row>
    <row r="322" spans="16:18" x14ac:dyDescent="0.2">
      <c r="P322" s="141" t="s">
        <v>88</v>
      </c>
      <c r="Q322" s="142">
        <f>_xll.qlCalendarAdvance(Calendar,Q321,P322,"f")</f>
        <v>43060</v>
      </c>
      <c r="R322" s="143">
        <f>IF((ISERR(_xll.qlIndexFixing(Index,Q322,,InterestRatesTrigger))),_xll.qlIndexFixing(Index,Q322-$Q$1,,InterestRatesTrigger),_xll.qlIndexFixing(Index,Q322,,InterestRatesTrigger))</f>
        <v>6.2808634602673497E-3</v>
      </c>
    </row>
    <row r="323" spans="16:18" x14ac:dyDescent="0.2">
      <c r="P323" s="141" t="s">
        <v>88</v>
      </c>
      <c r="Q323" s="142">
        <f>_xll.qlCalendarAdvance(Calendar,Q322,P323,"f")</f>
        <v>43061</v>
      </c>
      <c r="R323" s="143">
        <f>IF((ISERR(_xll.qlIndexFixing(Index,Q323,,InterestRatesTrigger))),_xll.qlIndexFixing(Index,Q323-$Q$1,,InterestRatesTrigger),_xll.qlIndexFixing(Index,Q323,,InterestRatesTrigger))</f>
        <v>6.2808634603483959E-3</v>
      </c>
    </row>
    <row r="324" spans="16:18" x14ac:dyDescent="0.2">
      <c r="P324" s="141" t="s">
        <v>88</v>
      </c>
      <c r="Q324" s="142">
        <f>_xll.qlCalendarAdvance(Calendar,Q323,P324,"f")</f>
        <v>43063</v>
      </c>
      <c r="R324" s="143">
        <f>IF((ISERR(_xll.qlIndexFixing(Index,Q324,,InterestRatesTrigger))),_xll.qlIndexFixing(Index,Q324-$Q$1,,InterestRatesTrigger),_xll.qlIndexFixing(Index,Q324,,InterestRatesTrigger))</f>
        <v>6.2809715410749875E-3</v>
      </c>
    </row>
    <row r="325" spans="16:18" x14ac:dyDescent="0.2">
      <c r="P325" s="141" t="s">
        <v>88</v>
      </c>
      <c r="Q325" s="142">
        <f>_xll.qlCalendarAdvance(Calendar,Q324,P325,"f")</f>
        <v>43066</v>
      </c>
      <c r="R325" s="143">
        <f>IF((ISERR(_xll.qlIndexFixing(Index,Q325,,InterestRatesTrigger))),_xll.qlIndexFixing(Index,Q325-$Q$1,,InterestRatesTrigger),_xll.qlIndexFixing(Index,Q325,,InterestRatesTrigger))</f>
        <v>6.2808634603483959E-3</v>
      </c>
    </row>
    <row r="326" spans="16:18" x14ac:dyDescent="0.2">
      <c r="P326" s="141" t="s">
        <v>88</v>
      </c>
      <c r="Q326" s="142">
        <f>_xll.qlCalendarAdvance(Calendar,Q325,P326,"f")</f>
        <v>43067</v>
      </c>
      <c r="R326" s="143">
        <f>IF((ISERR(_xll.qlIndexFixing(Index,Q326,,InterestRatesTrigger))),_xll.qlIndexFixing(Index,Q326-$Q$1,,InterestRatesTrigger),_xll.qlIndexFixing(Index,Q326,,InterestRatesTrigger))</f>
        <v>6.2808634603483959E-3</v>
      </c>
    </row>
    <row r="327" spans="16:18" x14ac:dyDescent="0.2">
      <c r="P327" s="141" t="s">
        <v>88</v>
      </c>
      <c r="Q327" s="142">
        <f>_xll.qlCalendarAdvance(Calendar,Q326,P327,"f")</f>
        <v>43068</v>
      </c>
      <c r="R327" s="143">
        <f>IF((ISERR(_xll.qlIndexFixing(Index,Q327,,InterestRatesTrigger))),_xll.qlIndexFixing(Index,Q327-$Q$1,,InterestRatesTrigger),_xll.qlIndexFixing(Index,Q327,,InterestRatesTrigger))</f>
        <v>6.2808634602673497E-3</v>
      </c>
    </row>
    <row r="328" spans="16:18" x14ac:dyDescent="0.2">
      <c r="P328" s="141" t="s">
        <v>88</v>
      </c>
      <c r="Q328" s="142">
        <f>_xll.qlCalendarAdvance(Calendar,Q327,P328,"f")</f>
        <v>43069</v>
      </c>
      <c r="R328" s="143">
        <f>IF((ISERR(_xll.qlIndexFixing(Index,Q328,,InterestRatesTrigger))),_xll.qlIndexFixing(Index,Q328-$Q$1,,InterestRatesTrigger),_xll.qlIndexFixing(Index,Q328,,InterestRatesTrigger))</f>
        <v>6.2808634603483959E-3</v>
      </c>
    </row>
    <row r="329" spans="16:18" x14ac:dyDescent="0.2">
      <c r="P329" s="141" t="s">
        <v>88</v>
      </c>
      <c r="Q329" s="142">
        <f>_xll.qlCalendarAdvance(Calendar,Q328,P329,"f")</f>
        <v>43070</v>
      </c>
      <c r="R329" s="143">
        <f>IF((ISERR(_xll.qlIndexFixing(Index,Q329,,InterestRatesTrigger))),_xll.qlIndexFixing(Index,Q329-$Q$1,,InterestRatesTrigger),_xll.qlIndexFixing(Index,Q329,,InterestRatesTrigger))</f>
        <v>6.2809715411020024E-3</v>
      </c>
    </row>
    <row r="330" spans="16:18" x14ac:dyDescent="0.2">
      <c r="P330" s="141" t="s">
        <v>88</v>
      </c>
      <c r="Q330" s="142">
        <f>_xll.qlCalendarAdvance(Calendar,Q329,P330,"f")</f>
        <v>43073</v>
      </c>
      <c r="R330" s="143">
        <f>IF((ISERR(_xll.qlIndexFixing(Index,Q330,,InterestRatesTrigger))),_xll.qlIndexFixing(Index,Q330-$Q$1,,InterestRatesTrigger),_xll.qlIndexFixing(Index,Q330,,InterestRatesTrigger))</f>
        <v>6.2808634603483959E-3</v>
      </c>
    </row>
    <row r="331" spans="16:18" x14ac:dyDescent="0.2">
      <c r="P331" s="141" t="s">
        <v>88</v>
      </c>
      <c r="Q331" s="142">
        <f>_xll.qlCalendarAdvance(Calendar,Q330,P331,"f")</f>
        <v>43074</v>
      </c>
      <c r="R331" s="143">
        <f>IF((ISERR(_xll.qlIndexFixing(Index,Q331,,InterestRatesTrigger))),_xll.qlIndexFixing(Index,Q331-$Q$1,,InterestRatesTrigger),_xll.qlIndexFixing(Index,Q331,,InterestRatesTrigger))</f>
        <v>6.2808634603483959E-3</v>
      </c>
    </row>
    <row r="332" spans="16:18" x14ac:dyDescent="0.2">
      <c r="P332" s="141" t="s">
        <v>88</v>
      </c>
      <c r="Q332" s="142">
        <f>_xll.qlCalendarAdvance(Calendar,Q331,P332,"f")</f>
        <v>43075</v>
      </c>
      <c r="R332" s="143">
        <f>IF((ISERR(_xll.qlIndexFixing(Index,Q332,,InterestRatesTrigger))),_xll.qlIndexFixing(Index,Q332-$Q$1,,InterestRatesTrigger),_xll.qlIndexFixing(Index,Q332,,InterestRatesTrigger))</f>
        <v>6.2808634603483959E-3</v>
      </c>
    </row>
    <row r="333" spans="16:18" x14ac:dyDescent="0.2">
      <c r="P333" s="141" t="s">
        <v>88</v>
      </c>
      <c r="Q333" s="142">
        <f>_xll.qlCalendarAdvance(Calendar,Q332,P333,"f")</f>
        <v>43076</v>
      </c>
      <c r="R333" s="143">
        <f>IF((ISERR(_xll.qlIndexFixing(Index,Q333,,InterestRatesTrigger))),_xll.qlIndexFixing(Index,Q333-$Q$1,,InterestRatesTrigger),_xll.qlIndexFixing(Index,Q333,,InterestRatesTrigger))</f>
        <v>6.2808634603483959E-3</v>
      </c>
    </row>
    <row r="334" spans="16:18" x14ac:dyDescent="0.2">
      <c r="P334" s="141" t="s">
        <v>88</v>
      </c>
      <c r="Q334" s="142">
        <f>_xll.qlCalendarAdvance(Calendar,Q333,P334,"f")</f>
        <v>43077</v>
      </c>
      <c r="R334" s="143">
        <f>IF((ISERR(_xll.qlIndexFixing(Index,Q334,,InterestRatesTrigger))),_xll.qlIndexFixing(Index,Q334-$Q$1,,InterestRatesTrigger),_xll.qlIndexFixing(Index,Q334,,InterestRatesTrigger))</f>
        <v>6.2809715410749875E-3</v>
      </c>
    </row>
    <row r="335" spans="16:18" x14ac:dyDescent="0.2">
      <c r="P335" s="141" t="s">
        <v>88</v>
      </c>
      <c r="Q335" s="142">
        <f>_xll.qlCalendarAdvance(Calendar,Q334,P335,"f")</f>
        <v>43080</v>
      </c>
      <c r="R335" s="143">
        <f>IF((ISERR(_xll.qlIndexFixing(Index,Q335,,InterestRatesTrigger))),_xll.qlIndexFixing(Index,Q335-$Q$1,,InterestRatesTrigger),_xll.qlIndexFixing(Index,Q335,,InterestRatesTrigger))</f>
        <v>6.2808634603483959E-3</v>
      </c>
    </row>
    <row r="336" spans="16:18" x14ac:dyDescent="0.2">
      <c r="P336" s="141" t="s">
        <v>88</v>
      </c>
      <c r="Q336" s="142">
        <f>_xll.qlCalendarAdvance(Calendar,Q335,P336,"f")</f>
        <v>43081</v>
      </c>
      <c r="R336" s="143">
        <f>IF((ISERR(_xll.qlIndexFixing(Index,Q336,,InterestRatesTrigger))),_xll.qlIndexFixing(Index,Q336-$Q$1,,InterestRatesTrigger),_xll.qlIndexFixing(Index,Q336,,InterestRatesTrigger))</f>
        <v>6.2808634603483959E-3</v>
      </c>
    </row>
    <row r="337" spans="16:18" x14ac:dyDescent="0.2">
      <c r="P337" s="141" t="s">
        <v>88</v>
      </c>
      <c r="Q337" s="142">
        <f>_xll.qlCalendarAdvance(Calendar,Q336,P337,"f")</f>
        <v>43082</v>
      </c>
      <c r="R337" s="143">
        <f>IF((ISERR(_xll.qlIndexFixing(Index,Q337,,InterestRatesTrigger))),_xll.qlIndexFixing(Index,Q337-$Q$1,,InterestRatesTrigger),_xll.qlIndexFixing(Index,Q337,,InterestRatesTrigger))</f>
        <v>6.2808634603483959E-3</v>
      </c>
    </row>
    <row r="338" spans="16:18" x14ac:dyDescent="0.2">
      <c r="P338" s="141" t="s">
        <v>88</v>
      </c>
      <c r="Q338" s="142">
        <f>_xll.qlCalendarAdvance(Calendar,Q337,P338,"f")</f>
        <v>43083</v>
      </c>
      <c r="R338" s="143">
        <f>IF((ISERR(_xll.qlIndexFixing(Index,Q338,,InterestRatesTrigger))),_xll.qlIndexFixing(Index,Q338-$Q$1,,InterestRatesTrigger),_xll.qlIndexFixing(Index,Q338,,InterestRatesTrigger))</f>
        <v>6.2808634603483959E-3</v>
      </c>
    </row>
    <row r="339" spans="16:18" x14ac:dyDescent="0.2">
      <c r="P339" s="141" t="s">
        <v>88</v>
      </c>
      <c r="Q339" s="142">
        <f>_xll.qlCalendarAdvance(Calendar,Q338,P339,"f")</f>
        <v>43084</v>
      </c>
      <c r="R339" s="143">
        <f>IF((ISERR(_xll.qlIndexFixing(Index,Q339,,InterestRatesTrigger))),_xll.qlIndexFixing(Index,Q339-$Q$1,,InterestRatesTrigger),_xll.qlIndexFixing(Index,Q339,,InterestRatesTrigger))</f>
        <v>6.2809715410749875E-3</v>
      </c>
    </row>
    <row r="340" spans="16:18" x14ac:dyDescent="0.2">
      <c r="P340" s="141" t="s">
        <v>88</v>
      </c>
      <c r="Q340" s="142">
        <f>_xll.qlCalendarAdvance(Calendar,Q339,P340,"f")</f>
        <v>43087</v>
      </c>
      <c r="R340" s="143">
        <f>IF((ISERR(_xll.qlIndexFixing(Index,Q340,,InterestRatesTrigger))),_xll.qlIndexFixing(Index,Q340-$Q$1,,InterestRatesTrigger),_xll.qlIndexFixing(Index,Q340,,InterestRatesTrigger))</f>
        <v>6.2808634603483959E-3</v>
      </c>
    </row>
    <row r="341" spans="16:18" x14ac:dyDescent="0.2">
      <c r="P341" s="141" t="s">
        <v>88</v>
      </c>
      <c r="Q341" s="142">
        <f>_xll.qlCalendarAdvance(Calendar,Q340,P341,"f")</f>
        <v>43088</v>
      </c>
      <c r="R341" s="143">
        <f>IF((ISERR(_xll.qlIndexFixing(Index,Q341,,InterestRatesTrigger))),_xll.qlIndexFixing(Index,Q341-$Q$1,,InterestRatesTrigger),_xll.qlIndexFixing(Index,Q341,,InterestRatesTrigger))</f>
        <v>6.2808634603483959E-3</v>
      </c>
    </row>
    <row r="342" spans="16:18" x14ac:dyDescent="0.2">
      <c r="P342" s="141" t="s">
        <v>88</v>
      </c>
      <c r="Q342" s="142">
        <f>_xll.qlCalendarAdvance(Calendar,Q341,P342,"f")</f>
        <v>43089</v>
      </c>
      <c r="R342" s="143">
        <f>IF((ISERR(_xll.qlIndexFixing(Index,Q342,,InterestRatesTrigger))),_xll.qlIndexFixing(Index,Q342-$Q$1,,InterestRatesTrigger),_xll.qlIndexFixing(Index,Q342,,InterestRatesTrigger))</f>
        <v>6.2808634603483959E-3</v>
      </c>
    </row>
    <row r="343" spans="16:18" x14ac:dyDescent="0.2">
      <c r="P343" s="141" t="s">
        <v>88</v>
      </c>
      <c r="Q343" s="142">
        <f>_xll.qlCalendarAdvance(Calendar,Q342,P343,"f")</f>
        <v>43090</v>
      </c>
      <c r="R343" s="143">
        <f>IF((ISERR(_xll.qlIndexFixing(Index,Q343,,InterestRatesTrigger))),_xll.qlIndexFixing(Index,Q343-$Q$1,,InterestRatesTrigger),_xll.qlIndexFixing(Index,Q343,,InterestRatesTrigger))</f>
        <v>6.2808634603483959E-3</v>
      </c>
    </row>
    <row r="344" spans="16:18" x14ac:dyDescent="0.2">
      <c r="P344" s="141" t="s">
        <v>88</v>
      </c>
      <c r="Q344" s="142">
        <f>_xll.qlCalendarAdvance(Calendar,Q343,P344,"f")</f>
        <v>43091</v>
      </c>
      <c r="R344" s="143">
        <f>IF((ISERR(_xll.qlIndexFixing(Index,Q344,,InterestRatesTrigger))),_xll.qlIndexFixing(Index,Q344-$Q$1,,InterestRatesTrigger),_xll.qlIndexFixing(Index,Q344,,InterestRatesTrigger))</f>
        <v>6.2810796242978029E-3</v>
      </c>
    </row>
    <row r="345" spans="16:18" x14ac:dyDescent="0.2">
      <c r="P345" s="141" t="s">
        <v>88</v>
      </c>
      <c r="Q345" s="142">
        <f>_xll.qlCalendarAdvance(Calendar,Q344,P345,"f")</f>
        <v>43095</v>
      </c>
      <c r="R345" s="143">
        <f>IF((ISERR(_xll.qlIndexFixing(Index,Q345,,InterestRatesTrigger))),_xll.qlIndexFixing(Index,Q345-$Q$1,,InterestRatesTrigger),_xll.qlIndexFixing(Index,Q345,,InterestRatesTrigger))</f>
        <v>6.2810796242978029E-3</v>
      </c>
    </row>
    <row r="346" spans="16:18" x14ac:dyDescent="0.2">
      <c r="P346" s="141" t="s">
        <v>88</v>
      </c>
      <c r="Q346" s="142">
        <f>_xll.qlCalendarAdvance(Calendar,Q345,P346,"f")</f>
        <v>43096</v>
      </c>
      <c r="R346" s="143">
        <f>IF((ISERR(_xll.qlIndexFixing(Index,Q346,,InterestRatesTrigger))),_xll.qlIndexFixing(Index,Q346-$Q$1,,InterestRatesTrigger),_xll.qlIndexFixing(Index,Q346,,InterestRatesTrigger))</f>
        <v>6.2808634604294422E-3</v>
      </c>
    </row>
    <row r="347" spans="16:18" x14ac:dyDescent="0.2">
      <c r="P347" s="141" t="s">
        <v>88</v>
      </c>
      <c r="Q347" s="142">
        <f>_xll.qlCalendarAdvance(Calendar,Q346,P347,"f")</f>
        <v>43097</v>
      </c>
      <c r="R347" s="143">
        <f>IF((ISERR(_xll.qlIndexFixing(Index,Q347,,InterestRatesTrigger))),_xll.qlIndexFixing(Index,Q347-$Q$1,,InterestRatesTrigger),_xll.qlIndexFixing(Index,Q347,,InterestRatesTrigger))</f>
        <v>6.2808634603483959E-3</v>
      </c>
    </row>
    <row r="348" spans="16:18" x14ac:dyDescent="0.2">
      <c r="P348" s="141" t="s">
        <v>88</v>
      </c>
      <c r="Q348" s="142">
        <f>_xll.qlCalendarAdvance(Calendar,Q347,P348,"f")</f>
        <v>43098</v>
      </c>
      <c r="R348" s="143">
        <f>IF((ISERR(_xll.qlIndexFixing(Index,Q348,,InterestRatesTrigger))),_xll.qlIndexFixing(Index,Q348-$Q$1,,InterestRatesTrigger),_xll.qlIndexFixing(Index,Q348,,InterestRatesTrigger))</f>
        <v>6.2810255823703143E-3</v>
      </c>
    </row>
    <row r="349" spans="16:18" x14ac:dyDescent="0.2">
      <c r="P349" s="141" t="s">
        <v>88</v>
      </c>
      <c r="Q349" s="142">
        <f>_xll.qlCalendarAdvance(Calendar,Q348,P349,"f")</f>
        <v>43102</v>
      </c>
      <c r="R349" s="143">
        <f>IF((ISERR(_xll.qlIndexFixing(Index,Q349,,InterestRatesTrigger))),_xll.qlIndexFixing(Index,Q349-$Q$1,,InterestRatesTrigger),_xll.qlIndexFixing(Index,Q349,,InterestRatesTrigger))</f>
        <v>6.2808634603483959E-3</v>
      </c>
    </row>
    <row r="350" spans="16:18" x14ac:dyDescent="0.2">
      <c r="P350" s="141" t="s">
        <v>88</v>
      </c>
      <c r="Q350" s="142">
        <f>_xll.qlCalendarAdvance(Calendar,Q349,P350,"f")</f>
        <v>43103</v>
      </c>
      <c r="R350" s="143">
        <f>IF((ISERR(_xll.qlIndexFixing(Index,Q350,,InterestRatesTrigger))),_xll.qlIndexFixing(Index,Q350-$Q$1,,InterestRatesTrigger),_xll.qlIndexFixing(Index,Q350,,InterestRatesTrigger))</f>
        <v>6.2808634603483959E-3</v>
      </c>
    </row>
    <row r="351" spans="16:18" x14ac:dyDescent="0.2">
      <c r="P351" s="141" t="s">
        <v>88</v>
      </c>
      <c r="Q351" s="142">
        <f>_xll.qlCalendarAdvance(Calendar,Q350,P351,"f")</f>
        <v>43104</v>
      </c>
      <c r="R351" s="143">
        <f>IF((ISERR(_xll.qlIndexFixing(Index,Q351,,InterestRatesTrigger))),_xll.qlIndexFixing(Index,Q351-$Q$1,,InterestRatesTrigger),_xll.qlIndexFixing(Index,Q351,,InterestRatesTrigger))</f>
        <v>6.2808634603483959E-3</v>
      </c>
    </row>
    <row r="352" spans="16:18" x14ac:dyDescent="0.2">
      <c r="P352" s="141" t="s">
        <v>88</v>
      </c>
      <c r="Q352" s="142">
        <f>_xll.qlCalendarAdvance(Calendar,Q351,P352,"f")</f>
        <v>43105</v>
      </c>
      <c r="R352" s="143">
        <f>IF((ISERR(_xll.qlIndexFixing(Index,Q352,,InterestRatesTrigger))),_xll.qlIndexFixing(Index,Q352-$Q$1,,InterestRatesTrigger),_xll.qlIndexFixing(Index,Q352,,InterestRatesTrigger))</f>
        <v>6.2809715410749875E-3</v>
      </c>
    </row>
    <row r="353" spans="16:18" x14ac:dyDescent="0.2">
      <c r="P353" s="141" t="s">
        <v>88</v>
      </c>
      <c r="Q353" s="142">
        <f>_xll.qlCalendarAdvance(Calendar,Q352,P353,"f")</f>
        <v>43108</v>
      </c>
      <c r="R353" s="143">
        <f>IF((ISERR(_xll.qlIndexFixing(Index,Q353,,InterestRatesTrigger))),_xll.qlIndexFixing(Index,Q353-$Q$1,,InterestRatesTrigger),_xll.qlIndexFixing(Index,Q353,,InterestRatesTrigger))</f>
        <v>6.2808634603483959E-3</v>
      </c>
    </row>
    <row r="354" spans="16:18" x14ac:dyDescent="0.2">
      <c r="P354" s="141" t="s">
        <v>88</v>
      </c>
      <c r="Q354" s="142">
        <f>_xll.qlCalendarAdvance(Calendar,Q353,P354,"f")</f>
        <v>43109</v>
      </c>
      <c r="R354" s="143">
        <f>IF((ISERR(_xll.qlIndexFixing(Index,Q354,,InterestRatesTrigger))),_xll.qlIndexFixing(Index,Q354-$Q$1,,InterestRatesTrigger),_xll.qlIndexFixing(Index,Q354,,InterestRatesTrigger))</f>
        <v>6.2808634603483959E-3</v>
      </c>
    </row>
    <row r="355" spans="16:18" x14ac:dyDescent="0.2">
      <c r="P355" s="141" t="s">
        <v>88</v>
      </c>
      <c r="Q355" s="142">
        <f>_xll.qlCalendarAdvance(Calendar,Q354,P355,"f")</f>
        <v>43110</v>
      </c>
      <c r="R355" s="143">
        <f>IF((ISERR(_xll.qlIndexFixing(Index,Q355,,InterestRatesTrigger))),_xll.qlIndexFixing(Index,Q355-$Q$1,,InterestRatesTrigger),_xll.qlIndexFixing(Index,Q355,,InterestRatesTrigger))</f>
        <v>6.2808634603483959E-3</v>
      </c>
    </row>
    <row r="356" spans="16:18" x14ac:dyDescent="0.2">
      <c r="P356" s="141" t="s">
        <v>88</v>
      </c>
      <c r="Q356" s="142">
        <f>_xll.qlCalendarAdvance(Calendar,Q355,P356,"f")</f>
        <v>43111</v>
      </c>
      <c r="R356" s="143">
        <f>IF((ISERR(_xll.qlIndexFixing(Index,Q356,,InterestRatesTrigger))),_xll.qlIndexFixing(Index,Q356-$Q$1,,InterestRatesTrigger),_xll.qlIndexFixing(Index,Q356,,InterestRatesTrigger))</f>
        <v>6.2808634603483959E-3</v>
      </c>
    </row>
    <row r="357" spans="16:18" x14ac:dyDescent="0.2">
      <c r="P357" s="141" t="s">
        <v>88</v>
      </c>
      <c r="Q357" s="142">
        <f>_xll.qlCalendarAdvance(Calendar,Q356,P357,"f")</f>
        <v>43112</v>
      </c>
      <c r="R357" s="143">
        <f>IF((ISERR(_xll.qlIndexFixing(Index,Q357,,InterestRatesTrigger))),_xll.qlIndexFixing(Index,Q357-$Q$1,,InterestRatesTrigger),_xll.qlIndexFixing(Index,Q357,,InterestRatesTrigger))</f>
        <v>6.2809715410749875E-3</v>
      </c>
    </row>
    <row r="358" spans="16:18" x14ac:dyDescent="0.2">
      <c r="P358" s="141" t="s">
        <v>88</v>
      </c>
      <c r="Q358" s="142">
        <f>_xll.qlCalendarAdvance(Calendar,Q357,P358,"f")</f>
        <v>43116</v>
      </c>
      <c r="R358" s="143">
        <f>IF((ISERR(_xll.qlIndexFixing(Index,Q358,,InterestRatesTrigger))),_xll.qlIndexFixing(Index,Q358-$Q$1,,InterestRatesTrigger),_xll.qlIndexFixing(Index,Q358,,InterestRatesTrigger))</f>
        <v>6.2808634603483959E-3</v>
      </c>
    </row>
    <row r="359" spans="16:18" x14ac:dyDescent="0.2">
      <c r="P359" s="141" t="s">
        <v>88</v>
      </c>
      <c r="Q359" s="142">
        <f>_xll.qlCalendarAdvance(Calendar,Q358,P359,"f")</f>
        <v>43117</v>
      </c>
      <c r="R359" s="143">
        <f>IF((ISERR(_xll.qlIndexFixing(Index,Q359,,InterestRatesTrigger))),_xll.qlIndexFixing(Index,Q359-$Q$1,,InterestRatesTrigger),_xll.qlIndexFixing(Index,Q359,,InterestRatesTrigger))</f>
        <v>6.2808634603483959E-3</v>
      </c>
    </row>
    <row r="360" spans="16:18" x14ac:dyDescent="0.2">
      <c r="P360" s="141" t="s">
        <v>88</v>
      </c>
      <c r="Q360" s="142">
        <f>_xll.qlCalendarAdvance(Calendar,Q359,P360,"f")</f>
        <v>43118</v>
      </c>
      <c r="R360" s="143">
        <f>IF((ISERR(_xll.qlIndexFixing(Index,Q360,,InterestRatesTrigger))),_xll.qlIndexFixing(Index,Q360-$Q$1,,InterestRatesTrigger),_xll.qlIndexFixing(Index,Q360,,InterestRatesTrigger))</f>
        <v>6.2808634603483959E-3</v>
      </c>
    </row>
    <row r="361" spans="16:18" x14ac:dyDescent="0.2">
      <c r="P361" s="141" t="s">
        <v>88</v>
      </c>
      <c r="Q361" s="142">
        <f>_xll.qlCalendarAdvance(Calendar,Q360,P361,"f")</f>
        <v>43119</v>
      </c>
      <c r="R361" s="143">
        <f>IF((ISERR(_xll.qlIndexFixing(Index,Q361,,InterestRatesTrigger))),_xll.qlIndexFixing(Index,Q361-$Q$1,,InterestRatesTrigger),_xll.qlIndexFixing(Index,Q361,,InterestRatesTrigger))</f>
        <v>6.2809715410749875E-3</v>
      </c>
    </row>
    <row r="362" spans="16:18" x14ac:dyDescent="0.2">
      <c r="P362" s="141" t="s">
        <v>88</v>
      </c>
      <c r="Q362" s="142">
        <f>_xll.qlCalendarAdvance(Calendar,Q361,P362,"f")</f>
        <v>43122</v>
      </c>
      <c r="R362" s="143">
        <f>IF((ISERR(_xll.qlIndexFixing(Index,Q362,,InterestRatesTrigger))),_xll.qlIndexFixing(Index,Q362-$Q$1,,InterestRatesTrigger),_xll.qlIndexFixing(Index,Q362,,InterestRatesTrigger))</f>
        <v>6.2808634603483959E-3</v>
      </c>
    </row>
    <row r="363" spans="16:18" x14ac:dyDescent="0.2">
      <c r="P363" s="141" t="s">
        <v>88</v>
      </c>
      <c r="Q363" s="142">
        <f>_xll.qlCalendarAdvance(Calendar,Q362,P363,"f")</f>
        <v>43123</v>
      </c>
      <c r="R363" s="143">
        <f>IF((ISERR(_xll.qlIndexFixing(Index,Q363,,InterestRatesTrigger))),_xll.qlIndexFixing(Index,Q363-$Q$1,,InterestRatesTrigger),_xll.qlIndexFixing(Index,Q363,,InterestRatesTrigger))</f>
        <v>6.2808634603483959E-3</v>
      </c>
    </row>
    <row r="364" spans="16:18" x14ac:dyDescent="0.2">
      <c r="P364" s="141" t="s">
        <v>88</v>
      </c>
      <c r="Q364" s="142">
        <f>_xll.qlCalendarAdvance(Calendar,Q363,P364,"f")</f>
        <v>43124</v>
      </c>
      <c r="R364" s="143">
        <f>IF((ISERR(_xll.qlIndexFixing(Index,Q364,,InterestRatesTrigger))),_xll.qlIndexFixing(Index,Q364-$Q$1,,InterestRatesTrigger),_xll.qlIndexFixing(Index,Q364,,InterestRatesTrigger))</f>
        <v>6.2808634603483959E-3</v>
      </c>
    </row>
    <row r="365" spans="16:18" x14ac:dyDescent="0.2">
      <c r="P365" s="141" t="s">
        <v>88</v>
      </c>
      <c r="Q365" s="142">
        <f>_xll.qlCalendarAdvance(Calendar,Q364,P365,"f")</f>
        <v>43125</v>
      </c>
      <c r="R365" s="143">
        <f>IF((ISERR(_xll.qlIndexFixing(Index,Q365,,InterestRatesTrigger))),_xll.qlIndexFixing(Index,Q365-$Q$1,,InterestRatesTrigger),_xll.qlIndexFixing(Index,Q365,,InterestRatesTrigger))</f>
        <v>6.2808634602673497E-3</v>
      </c>
    </row>
    <row r="366" spans="16:18" x14ac:dyDescent="0.2">
      <c r="P366" s="141" t="s">
        <v>88</v>
      </c>
      <c r="Q366" s="142">
        <f>_xll.qlCalendarAdvance(Calendar,Q365,P366,"f")</f>
        <v>43126</v>
      </c>
      <c r="R366" s="143">
        <f>IF((ISERR(_xll.qlIndexFixing(Index,Q366,,InterestRatesTrigger))),_xll.qlIndexFixing(Index,Q366-$Q$1,,InterestRatesTrigger),_xll.qlIndexFixing(Index,Q366,,InterestRatesTrigger))</f>
        <v>6.2809715410749875E-3</v>
      </c>
    </row>
    <row r="367" spans="16:18" x14ac:dyDescent="0.2">
      <c r="P367" s="141" t="s">
        <v>88</v>
      </c>
      <c r="Q367" s="142">
        <f>_xll.qlCalendarAdvance(Calendar,Q366,P367,"f")</f>
        <v>43129</v>
      </c>
      <c r="R367" s="143">
        <f>IF((ISERR(_xll.qlIndexFixing(Index,Q367,,InterestRatesTrigger))),_xll.qlIndexFixing(Index,Q367-$Q$1,,InterestRatesTrigger),_xll.qlIndexFixing(Index,Q367,,InterestRatesTrigger))</f>
        <v>6.2808634603483959E-3</v>
      </c>
    </row>
    <row r="368" spans="16:18" x14ac:dyDescent="0.2">
      <c r="P368" s="141" t="s">
        <v>88</v>
      </c>
      <c r="Q368" s="142">
        <f>_xll.qlCalendarAdvance(Calendar,Q367,P368,"f")</f>
        <v>43130</v>
      </c>
      <c r="R368" s="143">
        <f>IF((ISERR(_xll.qlIndexFixing(Index,Q368,,InterestRatesTrigger))),_xll.qlIndexFixing(Index,Q368-$Q$1,,InterestRatesTrigger),_xll.qlIndexFixing(Index,Q368,,InterestRatesTrigger))</f>
        <v>6.2808634603483959E-3</v>
      </c>
    </row>
    <row r="369" spans="16:18" x14ac:dyDescent="0.2">
      <c r="P369" s="141" t="s">
        <v>88</v>
      </c>
      <c r="Q369" s="142">
        <f>_xll.qlCalendarAdvance(Calendar,Q368,P369,"f")</f>
        <v>43131</v>
      </c>
      <c r="R369" s="143">
        <f>IF((ISERR(_xll.qlIndexFixing(Index,Q369,,InterestRatesTrigger))),_xll.qlIndexFixing(Index,Q369-$Q$1,,InterestRatesTrigger),_xll.qlIndexFixing(Index,Q369,,InterestRatesTrigger))</f>
        <v>6.2808634603483959E-3</v>
      </c>
    </row>
    <row r="370" spans="16:18" x14ac:dyDescent="0.2">
      <c r="P370" s="141" t="s">
        <v>88</v>
      </c>
      <c r="Q370" s="142">
        <f>_xll.qlCalendarAdvance(Calendar,Q369,P370,"f")</f>
        <v>43132</v>
      </c>
      <c r="R370" s="143">
        <f>IF((ISERR(_xll.qlIndexFixing(Index,Q370,,InterestRatesTrigger))),_xll.qlIndexFixing(Index,Q370-$Q$1,,InterestRatesTrigger),_xll.qlIndexFixing(Index,Q370,,InterestRatesTrigger))</f>
        <v>6.2808634603483959E-3</v>
      </c>
    </row>
    <row r="371" spans="16:18" x14ac:dyDescent="0.2">
      <c r="P371" s="141" t="s">
        <v>88</v>
      </c>
      <c r="Q371" s="142">
        <f>_xll.qlCalendarAdvance(Calendar,Q370,P371,"f")</f>
        <v>43133</v>
      </c>
      <c r="R371" s="143">
        <f>IF((ISERR(_xll.qlIndexFixing(Index,Q371,,InterestRatesTrigger))),_xll.qlIndexFixing(Index,Q371-$Q$1,,InterestRatesTrigger),_xll.qlIndexFixing(Index,Q371,,InterestRatesTrigger))</f>
        <v>6.2809715410749875E-3</v>
      </c>
    </row>
    <row r="372" spans="16:18" x14ac:dyDescent="0.2">
      <c r="P372" s="141" t="s">
        <v>88</v>
      </c>
      <c r="Q372" s="142">
        <f>_xll.qlCalendarAdvance(Calendar,Q371,P372,"f")</f>
        <v>43136</v>
      </c>
      <c r="R372" s="143">
        <f>IF((ISERR(_xll.qlIndexFixing(Index,Q372,,InterestRatesTrigger))),_xll.qlIndexFixing(Index,Q372-$Q$1,,InterestRatesTrigger),_xll.qlIndexFixing(Index,Q372,,InterestRatesTrigger))</f>
        <v>6.2808634603483959E-3</v>
      </c>
    </row>
    <row r="373" spans="16:18" x14ac:dyDescent="0.2">
      <c r="P373" s="141" t="s">
        <v>88</v>
      </c>
      <c r="Q373" s="142">
        <f>_xll.qlCalendarAdvance(Calendar,Q372,P373,"f")</f>
        <v>43137</v>
      </c>
      <c r="R373" s="143">
        <f>IF((ISERR(_xll.qlIndexFixing(Index,Q373,,InterestRatesTrigger))),_xll.qlIndexFixing(Index,Q373-$Q$1,,InterestRatesTrigger),_xll.qlIndexFixing(Index,Q373,,InterestRatesTrigger))</f>
        <v>6.2808634603483959E-3</v>
      </c>
    </row>
    <row r="374" spans="16:18" x14ac:dyDescent="0.2">
      <c r="P374" s="141" t="s">
        <v>88</v>
      </c>
      <c r="Q374" s="142">
        <f>_xll.qlCalendarAdvance(Calendar,Q373,P374,"f")</f>
        <v>43138</v>
      </c>
      <c r="R374" s="143">
        <f>IF((ISERR(_xll.qlIndexFixing(Index,Q374,,InterestRatesTrigger))),_xll.qlIndexFixing(Index,Q374-$Q$1,,InterestRatesTrigger),_xll.qlIndexFixing(Index,Q374,,InterestRatesTrigger))</f>
        <v>6.2808634603483959E-3</v>
      </c>
    </row>
    <row r="375" spans="16:18" x14ac:dyDescent="0.2">
      <c r="P375" s="141" t="s">
        <v>88</v>
      </c>
      <c r="Q375" s="142">
        <f>_xll.qlCalendarAdvance(Calendar,Q374,P375,"f")</f>
        <v>43139</v>
      </c>
      <c r="R375" s="143">
        <f>IF((ISERR(_xll.qlIndexFixing(Index,Q375,,InterestRatesTrigger))),_xll.qlIndexFixing(Index,Q375-$Q$1,,InterestRatesTrigger),_xll.qlIndexFixing(Index,Q375,,InterestRatesTrigger))</f>
        <v>6.2808634603483959E-3</v>
      </c>
    </row>
    <row r="376" spans="16:18" x14ac:dyDescent="0.2">
      <c r="P376" s="141" t="s">
        <v>88</v>
      </c>
      <c r="Q376" s="142">
        <f>_xll.qlCalendarAdvance(Calendar,Q375,P376,"f")</f>
        <v>43140</v>
      </c>
      <c r="R376" s="143">
        <f>IF((ISERR(_xll.qlIndexFixing(Index,Q376,,InterestRatesTrigger))),_xll.qlIndexFixing(Index,Q376-$Q$1,,InterestRatesTrigger),_xll.qlIndexFixing(Index,Q376,,InterestRatesTrigger))</f>
        <v>6.2809715410749875E-3</v>
      </c>
    </row>
    <row r="377" spans="16:18" x14ac:dyDescent="0.2">
      <c r="P377" s="141" t="s">
        <v>88</v>
      </c>
      <c r="Q377" s="142">
        <f>_xll.qlCalendarAdvance(Calendar,Q376,P377,"f")</f>
        <v>43143</v>
      </c>
      <c r="R377" s="143">
        <f>IF((ISERR(_xll.qlIndexFixing(Index,Q377,,InterestRatesTrigger))),_xll.qlIndexFixing(Index,Q377-$Q$1,,InterestRatesTrigger),_xll.qlIndexFixing(Index,Q377,,InterestRatesTrigger))</f>
        <v>6.3741324955202128E-3</v>
      </c>
    </row>
    <row r="378" spans="16:18" x14ac:dyDescent="0.2">
      <c r="P378" s="141" t="s">
        <v>88</v>
      </c>
      <c r="Q378" s="142">
        <f>_xll.qlCalendarAdvance(Calendar,Q377,P378,"f")</f>
        <v>43144</v>
      </c>
      <c r="R378" s="143">
        <f>IF((ISERR(_xll.qlIndexFixing(Index,Q378,,InterestRatesTrigger))),_xll.qlIndexFixing(Index,Q378-$Q$1,,InterestRatesTrigger),_xll.qlIndexFixing(Index,Q378,,InterestRatesTrigger))</f>
        <v>6.3741324955202128E-3</v>
      </c>
    </row>
    <row r="379" spans="16:18" x14ac:dyDescent="0.2">
      <c r="P379" s="141" t="s">
        <v>88</v>
      </c>
      <c r="Q379" s="142">
        <f>_xll.qlCalendarAdvance(Calendar,Q378,P379,"f")</f>
        <v>43145</v>
      </c>
      <c r="R379" s="143">
        <f>IF((ISERR(_xll.qlIndexFixing(Index,Q379,,InterestRatesTrigger))),_xll.qlIndexFixing(Index,Q379-$Q$1,,InterestRatesTrigger),_xll.qlIndexFixing(Index,Q379,,InterestRatesTrigger))</f>
        <v>6.3741324955202128E-3</v>
      </c>
    </row>
    <row r="380" spans="16:18" x14ac:dyDescent="0.2">
      <c r="P380" s="141" t="s">
        <v>88</v>
      </c>
      <c r="Q380" s="142">
        <f>_xll.qlCalendarAdvance(Calendar,Q379,P380,"f")</f>
        <v>43146</v>
      </c>
      <c r="R380" s="143">
        <f>IF((ISERR(_xll.qlIndexFixing(Index,Q380,,InterestRatesTrigger))),_xll.qlIndexFixing(Index,Q380-$Q$1,,InterestRatesTrigger),_xll.qlIndexFixing(Index,Q380,,InterestRatesTrigger))</f>
        <v>6.3741324955202128E-3</v>
      </c>
    </row>
    <row r="381" spans="16:18" x14ac:dyDescent="0.2">
      <c r="P381" s="141" t="s">
        <v>88</v>
      </c>
      <c r="Q381" s="142">
        <f>_xll.qlCalendarAdvance(Calendar,Q380,P381,"f")</f>
        <v>43147</v>
      </c>
      <c r="R381" s="143">
        <f>IF((ISERR(_xll.qlIndexFixing(Index,Q381,,InterestRatesTrigger))),_xll.qlIndexFixing(Index,Q381-$Q$1,,InterestRatesTrigger),_xll.qlIndexFixing(Index,Q381,,InterestRatesTrigger))</f>
        <v>6.3742438100204231E-3</v>
      </c>
    </row>
    <row r="382" spans="16:18" x14ac:dyDescent="0.2">
      <c r="P382" s="141" t="s">
        <v>88</v>
      </c>
      <c r="Q382" s="142">
        <f>_xll.qlCalendarAdvance(Calendar,Q381,P382,"f")</f>
        <v>43151</v>
      </c>
      <c r="R382" s="143">
        <f>IF((ISERR(_xll.qlIndexFixing(Index,Q382,,InterestRatesTrigger))),_xll.qlIndexFixing(Index,Q382-$Q$1,,InterestRatesTrigger),_xll.qlIndexFixing(Index,Q382,,InterestRatesTrigger))</f>
        <v>6.3741324955202128E-3</v>
      </c>
    </row>
    <row r="383" spans="16:18" x14ac:dyDescent="0.2">
      <c r="P383" s="141" t="s">
        <v>88</v>
      </c>
      <c r="Q383" s="142">
        <f>_xll.qlCalendarAdvance(Calendar,Q382,P383,"f")</f>
        <v>43152</v>
      </c>
      <c r="R383" s="143">
        <f>IF((ISERR(_xll.qlIndexFixing(Index,Q383,,InterestRatesTrigger))),_xll.qlIndexFixing(Index,Q383-$Q$1,,InterestRatesTrigger),_xll.qlIndexFixing(Index,Q383,,InterestRatesTrigger))</f>
        <v>6.3741324955202128E-3</v>
      </c>
    </row>
    <row r="384" spans="16:18" x14ac:dyDescent="0.2">
      <c r="P384" s="141" t="s">
        <v>88</v>
      </c>
      <c r="Q384" s="142">
        <f>_xll.qlCalendarAdvance(Calendar,Q383,P384,"f")</f>
        <v>43153</v>
      </c>
      <c r="R384" s="143">
        <f>IF((ISERR(_xll.qlIndexFixing(Index,Q384,,InterestRatesTrigger))),_xll.qlIndexFixing(Index,Q384-$Q$1,,InterestRatesTrigger),_xll.qlIndexFixing(Index,Q384,,InterestRatesTrigger))</f>
        <v>6.3741324955202128E-3</v>
      </c>
    </row>
    <row r="385" spans="16:18" x14ac:dyDescent="0.2">
      <c r="P385" s="141" t="s">
        <v>88</v>
      </c>
      <c r="Q385" s="142">
        <f>_xll.qlCalendarAdvance(Calendar,Q384,P385,"f")</f>
        <v>43154</v>
      </c>
      <c r="R385" s="143">
        <f>IF((ISERR(_xll.qlIndexFixing(Index,Q385,,InterestRatesTrigger))),_xll.qlIndexFixing(Index,Q385-$Q$1,,InterestRatesTrigger),_xll.qlIndexFixing(Index,Q385,,InterestRatesTrigger))</f>
        <v>6.3742438100204231E-3</v>
      </c>
    </row>
    <row r="386" spans="16:18" x14ac:dyDescent="0.2">
      <c r="P386" s="141" t="s">
        <v>88</v>
      </c>
      <c r="Q386" s="142">
        <f>_xll.qlCalendarAdvance(Calendar,Q385,P386,"f")</f>
        <v>43157</v>
      </c>
      <c r="R386" s="143">
        <f>IF((ISERR(_xll.qlIndexFixing(Index,Q386,,InterestRatesTrigger))),_xll.qlIndexFixing(Index,Q386-$Q$1,,InterestRatesTrigger),_xll.qlIndexFixing(Index,Q386,,InterestRatesTrigger))</f>
        <v>6.3741324955202128E-3</v>
      </c>
    </row>
    <row r="387" spans="16:18" x14ac:dyDescent="0.2">
      <c r="P387" s="141" t="s">
        <v>88</v>
      </c>
      <c r="Q387" s="142">
        <f>_xll.qlCalendarAdvance(Calendar,Q386,P387,"f")</f>
        <v>43158</v>
      </c>
      <c r="R387" s="143">
        <f>IF((ISERR(_xll.qlIndexFixing(Index,Q387,,InterestRatesTrigger))),_xll.qlIndexFixing(Index,Q387-$Q$1,,InterestRatesTrigger),_xll.qlIndexFixing(Index,Q387,,InterestRatesTrigger))</f>
        <v>6.3741324955202128E-3</v>
      </c>
    </row>
    <row r="388" spans="16:18" x14ac:dyDescent="0.2">
      <c r="P388" s="141" t="s">
        <v>88</v>
      </c>
      <c r="Q388" s="142">
        <f>_xll.qlCalendarAdvance(Calendar,Q387,P388,"f")</f>
        <v>43159</v>
      </c>
      <c r="R388" s="143">
        <f>IF((ISERR(_xll.qlIndexFixing(Index,Q388,,InterestRatesTrigger))),_xll.qlIndexFixing(Index,Q388-$Q$1,,InterestRatesTrigger),_xll.qlIndexFixing(Index,Q388,,InterestRatesTrigger))</f>
        <v>6.3741324955202128E-3</v>
      </c>
    </row>
    <row r="389" spans="16:18" x14ac:dyDescent="0.2">
      <c r="P389" s="141" t="s">
        <v>88</v>
      </c>
      <c r="Q389" s="142">
        <f>_xll.qlCalendarAdvance(Calendar,Q388,P389,"f")</f>
        <v>43160</v>
      </c>
      <c r="R389" s="143">
        <f>IF((ISERR(_xll.qlIndexFixing(Index,Q389,,InterestRatesTrigger))),_xll.qlIndexFixing(Index,Q389-$Q$1,,InterestRatesTrigger),_xll.qlIndexFixing(Index,Q389,,InterestRatesTrigger))</f>
        <v>6.3741324954391665E-3</v>
      </c>
    </row>
    <row r="390" spans="16:18" x14ac:dyDescent="0.2">
      <c r="P390" s="141" t="s">
        <v>88</v>
      </c>
      <c r="Q390" s="142">
        <f>_xll.qlCalendarAdvance(Calendar,Q389,P390,"f")</f>
        <v>43161</v>
      </c>
      <c r="R390" s="143">
        <f>IF((ISERR(_xll.qlIndexFixing(Index,Q390,,InterestRatesTrigger))),_xll.qlIndexFixing(Index,Q390-$Q$1,,InterestRatesTrigger),_xll.qlIndexFixing(Index,Q390,,InterestRatesTrigger))</f>
        <v>6.3742438100204231E-3</v>
      </c>
    </row>
    <row r="391" spans="16:18" x14ac:dyDescent="0.2">
      <c r="P391" s="141" t="s">
        <v>88</v>
      </c>
      <c r="Q391" s="142">
        <f>_xll.qlCalendarAdvance(Calendar,Q390,P391,"f")</f>
        <v>43164</v>
      </c>
      <c r="R391" s="143">
        <f>IF((ISERR(_xll.qlIndexFixing(Index,Q391,,InterestRatesTrigger))),_xll.qlIndexFixing(Index,Q391-$Q$1,,InterestRatesTrigger),_xll.qlIndexFixing(Index,Q391,,InterestRatesTrigger))</f>
        <v>6.3741324955202128E-3</v>
      </c>
    </row>
    <row r="392" spans="16:18" x14ac:dyDescent="0.2">
      <c r="P392" s="141" t="s">
        <v>88</v>
      </c>
      <c r="Q392" s="142">
        <f>_xll.qlCalendarAdvance(Calendar,Q391,P392,"f")</f>
        <v>43165</v>
      </c>
      <c r="R392" s="143">
        <f>IF((ISERR(_xll.qlIndexFixing(Index,Q392,,InterestRatesTrigger))),_xll.qlIndexFixing(Index,Q392-$Q$1,,InterestRatesTrigger),_xll.qlIndexFixing(Index,Q392,,InterestRatesTrigger))</f>
        <v>6.3741324955202128E-3</v>
      </c>
    </row>
    <row r="393" spans="16:18" x14ac:dyDescent="0.2">
      <c r="P393" s="141" t="s">
        <v>88</v>
      </c>
      <c r="Q393" s="142">
        <f>_xll.qlCalendarAdvance(Calendar,Q392,P393,"f")</f>
        <v>43166</v>
      </c>
      <c r="R393" s="143">
        <f>IF((ISERR(_xll.qlIndexFixing(Index,Q393,,InterestRatesTrigger))),_xll.qlIndexFixing(Index,Q393-$Q$1,,InterestRatesTrigger),_xll.qlIndexFixing(Index,Q393,,InterestRatesTrigger))</f>
        <v>6.3741324955202128E-3</v>
      </c>
    </row>
    <row r="394" spans="16:18" x14ac:dyDescent="0.2">
      <c r="P394" s="141" t="s">
        <v>88</v>
      </c>
      <c r="Q394" s="142">
        <f>_xll.qlCalendarAdvance(Calendar,Q393,P394,"f")</f>
        <v>43167</v>
      </c>
      <c r="R394" s="143">
        <f>IF((ISERR(_xll.qlIndexFixing(Index,Q394,,InterestRatesTrigger))),_xll.qlIndexFixing(Index,Q394-$Q$1,,InterestRatesTrigger),_xll.qlIndexFixing(Index,Q394,,InterestRatesTrigger))</f>
        <v>6.3741324954391665E-3</v>
      </c>
    </row>
    <row r="395" spans="16:18" x14ac:dyDescent="0.2">
      <c r="P395" s="141" t="s">
        <v>88</v>
      </c>
      <c r="Q395" s="142">
        <f>_xll.qlCalendarAdvance(Calendar,Q394,P395,"f")</f>
        <v>43168</v>
      </c>
      <c r="R395" s="143">
        <f>IF((ISERR(_xll.qlIndexFixing(Index,Q395,,InterestRatesTrigger))),_xll.qlIndexFixing(Index,Q395-$Q$1,,InterestRatesTrigger),_xll.qlIndexFixing(Index,Q395,,InterestRatesTrigger))</f>
        <v>6.3742438100474388E-3</v>
      </c>
    </row>
    <row r="396" spans="16:18" x14ac:dyDescent="0.2">
      <c r="P396" s="141" t="s">
        <v>88</v>
      </c>
      <c r="Q396" s="142">
        <f>_xll.qlCalendarAdvance(Calendar,Q395,P396,"f")</f>
        <v>43171</v>
      </c>
      <c r="R396" s="143">
        <f>IF((ISERR(_xll.qlIndexFixing(Index,Q396,,InterestRatesTrigger))),_xll.qlIndexFixing(Index,Q396-$Q$1,,InterestRatesTrigger),_xll.qlIndexFixing(Index,Q396,,InterestRatesTrigger))</f>
        <v>6.3741324954391665E-3</v>
      </c>
    </row>
    <row r="397" spans="16:18" x14ac:dyDescent="0.2">
      <c r="P397" s="141" t="s">
        <v>88</v>
      </c>
      <c r="Q397" s="142">
        <f>_xll.qlCalendarAdvance(Calendar,Q396,P397,"f")</f>
        <v>43172</v>
      </c>
      <c r="R397" s="143">
        <f>IF((ISERR(_xll.qlIndexFixing(Index,Q397,,InterestRatesTrigger))),_xll.qlIndexFixing(Index,Q397-$Q$1,,InterestRatesTrigger),_xll.qlIndexFixing(Index,Q397,,InterestRatesTrigger))</f>
        <v>6.3741324954391665E-3</v>
      </c>
    </row>
    <row r="398" spans="16:18" x14ac:dyDescent="0.2">
      <c r="P398" s="141" t="s">
        <v>88</v>
      </c>
      <c r="Q398" s="142">
        <f>_xll.qlCalendarAdvance(Calendar,Q397,P398,"f")</f>
        <v>43173</v>
      </c>
      <c r="R398" s="143">
        <f>IF((ISERR(_xll.qlIndexFixing(Index,Q398,,InterestRatesTrigger))),_xll.qlIndexFixing(Index,Q398-$Q$1,,InterestRatesTrigger),_xll.qlIndexFixing(Index,Q398,,InterestRatesTrigger))</f>
        <v>6.3741324955202128E-3</v>
      </c>
    </row>
    <row r="399" spans="16:18" x14ac:dyDescent="0.2">
      <c r="P399" s="141" t="s">
        <v>88</v>
      </c>
      <c r="Q399" s="142">
        <f>_xll.qlCalendarAdvance(Calendar,Q398,P399,"f")</f>
        <v>43174</v>
      </c>
      <c r="R399" s="143">
        <f>IF((ISERR(_xll.qlIndexFixing(Index,Q399,,InterestRatesTrigger))),_xll.qlIndexFixing(Index,Q399-$Q$1,,InterestRatesTrigger),_xll.qlIndexFixing(Index,Q399,,InterestRatesTrigger))</f>
        <v>6.3741324954391665E-3</v>
      </c>
    </row>
    <row r="400" spans="16:18" x14ac:dyDescent="0.2">
      <c r="P400" s="141" t="s">
        <v>88</v>
      </c>
      <c r="Q400" s="142">
        <f>_xll.qlCalendarAdvance(Calendar,Q399,P400,"f")</f>
        <v>43175</v>
      </c>
      <c r="R400" s="143">
        <f>IF((ISERR(_xll.qlIndexFixing(Index,Q400,,InterestRatesTrigger))),_xll.qlIndexFixing(Index,Q400-$Q$1,,InterestRatesTrigger),_xll.qlIndexFixing(Index,Q400,,InterestRatesTrigger))</f>
        <v>6.3742438100204231E-3</v>
      </c>
    </row>
    <row r="401" spans="16:18" x14ac:dyDescent="0.2">
      <c r="P401" s="141" t="s">
        <v>88</v>
      </c>
      <c r="Q401" s="142">
        <f>_xll.qlCalendarAdvance(Calendar,Q400,P401,"f")</f>
        <v>43178</v>
      </c>
      <c r="R401" s="143">
        <f>IF((ISERR(_xll.qlIndexFixing(Index,Q401,,InterestRatesTrigger))),_xll.qlIndexFixing(Index,Q401-$Q$1,,InterestRatesTrigger),_xll.qlIndexFixing(Index,Q401,,InterestRatesTrigger))</f>
        <v>6.3741324954391665E-3</v>
      </c>
    </row>
    <row r="402" spans="16:18" x14ac:dyDescent="0.2">
      <c r="P402" s="141" t="s">
        <v>88</v>
      </c>
      <c r="Q402" s="142">
        <f>_xll.qlCalendarAdvance(Calendar,Q401,P402,"f")</f>
        <v>43179</v>
      </c>
      <c r="R402" s="143">
        <f>IF((ISERR(_xll.qlIndexFixing(Index,Q402,,InterestRatesTrigger))),_xll.qlIndexFixing(Index,Q402-$Q$1,,InterestRatesTrigger),_xll.qlIndexFixing(Index,Q402,,InterestRatesTrigger))</f>
        <v>6.3741324954391665E-3</v>
      </c>
    </row>
    <row r="403" spans="16:18" x14ac:dyDescent="0.2">
      <c r="P403" s="141" t="s">
        <v>88</v>
      </c>
      <c r="Q403" s="142">
        <f>_xll.qlCalendarAdvance(Calendar,Q402,P403,"f")</f>
        <v>43180</v>
      </c>
      <c r="R403" s="143">
        <f>IF((ISERR(_xll.qlIndexFixing(Index,Q403,,InterestRatesTrigger))),_xll.qlIndexFixing(Index,Q403-$Q$1,,InterestRatesTrigger),_xll.qlIndexFixing(Index,Q403,,InterestRatesTrigger))</f>
        <v>6.3741324955202128E-3</v>
      </c>
    </row>
    <row r="404" spans="16:18" x14ac:dyDescent="0.2">
      <c r="P404" s="141" t="s">
        <v>88</v>
      </c>
      <c r="Q404" s="142">
        <f>_xll.qlCalendarAdvance(Calendar,Q403,P404,"f")</f>
        <v>43181</v>
      </c>
      <c r="R404" s="143">
        <f>IF((ISERR(_xll.qlIndexFixing(Index,Q404,,InterestRatesTrigger))),_xll.qlIndexFixing(Index,Q404-$Q$1,,InterestRatesTrigger),_xll.qlIndexFixing(Index,Q404,,InterestRatesTrigger))</f>
        <v>6.3741324955202128E-3</v>
      </c>
    </row>
    <row r="405" spans="16:18" x14ac:dyDescent="0.2">
      <c r="P405" s="141" t="s">
        <v>88</v>
      </c>
      <c r="Q405" s="142">
        <f>_xll.qlCalendarAdvance(Calendar,Q404,P405,"f")</f>
        <v>43182</v>
      </c>
      <c r="R405" s="143">
        <f>IF((ISERR(_xll.qlIndexFixing(Index,Q405,,InterestRatesTrigger))),_xll.qlIndexFixing(Index,Q405-$Q$1,,InterestRatesTrigger),_xll.qlIndexFixing(Index,Q405,,InterestRatesTrigger))</f>
        <v>6.3742438100204231E-3</v>
      </c>
    </row>
    <row r="406" spans="16:18" x14ac:dyDescent="0.2">
      <c r="P406" s="141" t="s">
        <v>88</v>
      </c>
      <c r="Q406" s="142">
        <f>_xll.qlCalendarAdvance(Calendar,Q405,P406,"f")</f>
        <v>43185</v>
      </c>
      <c r="R406" s="143">
        <f>IF((ISERR(_xll.qlIndexFixing(Index,Q406,,InterestRatesTrigger))),_xll.qlIndexFixing(Index,Q406-$Q$1,,InterestRatesTrigger),_xll.qlIndexFixing(Index,Q406,,InterestRatesTrigger))</f>
        <v>6.3741324955202128E-3</v>
      </c>
    </row>
    <row r="407" spans="16:18" x14ac:dyDescent="0.2">
      <c r="P407" s="141" t="s">
        <v>88</v>
      </c>
      <c r="Q407" s="142">
        <f>_xll.qlCalendarAdvance(Calendar,Q406,P407,"f")</f>
        <v>43186</v>
      </c>
      <c r="R407" s="143">
        <f>IF((ISERR(_xll.qlIndexFixing(Index,Q407,,InterestRatesTrigger))),_xll.qlIndexFixing(Index,Q407-$Q$1,,InterestRatesTrigger),_xll.qlIndexFixing(Index,Q407,,InterestRatesTrigger))</f>
        <v>6.3741324954391665E-3</v>
      </c>
    </row>
    <row r="408" spans="16:18" x14ac:dyDescent="0.2">
      <c r="P408" s="141" t="s">
        <v>88</v>
      </c>
      <c r="Q408" s="142">
        <f>_xll.qlCalendarAdvance(Calendar,Q407,P408,"f")</f>
        <v>43187</v>
      </c>
      <c r="R408" s="143">
        <f>IF((ISERR(_xll.qlIndexFixing(Index,Q408,,InterestRatesTrigger))),_xll.qlIndexFixing(Index,Q408-$Q$1,,InterestRatesTrigger),_xll.qlIndexFixing(Index,Q408,,InterestRatesTrigger))</f>
        <v>6.3741324955202128E-3</v>
      </c>
    </row>
    <row r="409" spans="16:18" x14ac:dyDescent="0.2">
      <c r="P409" s="141" t="s">
        <v>88</v>
      </c>
      <c r="Q409" s="142">
        <f>_xll.qlCalendarAdvance(Calendar,Q408,P409,"f")</f>
        <v>43188</v>
      </c>
      <c r="R409" s="143">
        <f>IF((ISERR(_xll.qlIndexFixing(Index,Q409,,InterestRatesTrigger))),_xll.qlIndexFixing(Index,Q409-$Q$1,,InterestRatesTrigger),_xll.qlIndexFixing(Index,Q409,,InterestRatesTrigger))</f>
        <v>6.3743551271411292E-3</v>
      </c>
    </row>
    <row r="410" spans="16:18" x14ac:dyDescent="0.2">
      <c r="P410" s="141" t="s">
        <v>88</v>
      </c>
      <c r="Q410" s="142">
        <f>_xll.qlCalendarAdvance(Calendar,Q409,P410,"f")</f>
        <v>43189</v>
      </c>
      <c r="R410" s="143">
        <f>IF((ISERR(_xll.qlIndexFixing(Index,Q410,,InterestRatesTrigger))),_xll.qlIndexFixing(Index,Q410-$Q$1,,InterestRatesTrigger),_xll.qlIndexFixing(Index,Q410,,InterestRatesTrigger))</f>
        <v>6.3741324955202128E-3</v>
      </c>
    </row>
    <row r="411" spans="16:18" x14ac:dyDescent="0.2">
      <c r="P411" s="141" t="s">
        <v>88</v>
      </c>
      <c r="Q411" s="142">
        <f>_xll.qlCalendarAdvance(Calendar,Q410,P411,"f")</f>
        <v>43192</v>
      </c>
      <c r="R411" s="143">
        <f>IF((ISERR(_xll.qlIndexFixing(Index,Q411,,InterestRatesTrigger))),_xll.qlIndexFixing(Index,Q411-$Q$1,,InterestRatesTrigger),_xll.qlIndexFixing(Index,Q411,,InterestRatesTrigger))</f>
        <v>6.3743551271411292E-3</v>
      </c>
    </row>
    <row r="412" spans="16:18" x14ac:dyDescent="0.2">
      <c r="P412" s="141" t="s">
        <v>88</v>
      </c>
      <c r="Q412" s="142">
        <f>_xll.qlCalendarAdvance(Calendar,Q411,P412,"f")</f>
        <v>43193</v>
      </c>
      <c r="R412" s="143">
        <f>IF((ISERR(_xll.qlIndexFixing(Index,Q412,,InterestRatesTrigger))),_xll.qlIndexFixing(Index,Q412-$Q$1,,InterestRatesTrigger),_xll.qlIndexFixing(Index,Q412,,InterestRatesTrigger))</f>
        <v>6.3741324955202128E-3</v>
      </c>
    </row>
    <row r="413" spans="16:18" x14ac:dyDescent="0.2">
      <c r="P413" s="141" t="s">
        <v>88</v>
      </c>
      <c r="Q413" s="142">
        <f>_xll.qlCalendarAdvance(Calendar,Q412,P413,"f")</f>
        <v>43194</v>
      </c>
      <c r="R413" s="143">
        <f>IF((ISERR(_xll.qlIndexFixing(Index,Q413,,InterestRatesTrigger))),_xll.qlIndexFixing(Index,Q413-$Q$1,,InterestRatesTrigger),_xll.qlIndexFixing(Index,Q413,,InterestRatesTrigger))</f>
        <v>6.3741324954391665E-3</v>
      </c>
    </row>
    <row r="414" spans="16:18" x14ac:dyDescent="0.2">
      <c r="P414" s="141" t="s">
        <v>88</v>
      </c>
      <c r="Q414" s="142">
        <f>_xll.qlCalendarAdvance(Calendar,Q413,P414,"f")</f>
        <v>43195</v>
      </c>
      <c r="R414" s="143">
        <f>IF((ISERR(_xll.qlIndexFixing(Index,Q414,,InterestRatesTrigger))),_xll.qlIndexFixing(Index,Q414-$Q$1,,InterestRatesTrigger),_xll.qlIndexFixing(Index,Q414,,InterestRatesTrigger))</f>
        <v>6.3741324955202128E-3</v>
      </c>
    </row>
    <row r="415" spans="16:18" x14ac:dyDescent="0.2">
      <c r="P415" s="141" t="s">
        <v>88</v>
      </c>
      <c r="Q415" s="142">
        <f>_xll.qlCalendarAdvance(Calendar,Q414,P415,"f")</f>
        <v>43196</v>
      </c>
      <c r="R415" s="143">
        <f>IF((ISERR(_xll.qlIndexFixing(Index,Q415,,InterestRatesTrigger))),_xll.qlIndexFixing(Index,Q415-$Q$1,,InterestRatesTrigger),_xll.qlIndexFixing(Index,Q415,,InterestRatesTrigger))</f>
        <v>6.3742438100204231E-3</v>
      </c>
    </row>
    <row r="416" spans="16:18" x14ac:dyDescent="0.2">
      <c r="P416" s="141" t="s">
        <v>88</v>
      </c>
      <c r="Q416" s="142">
        <f>_xll.qlCalendarAdvance(Calendar,Q415,P416,"f")</f>
        <v>43199</v>
      </c>
      <c r="R416" s="143">
        <f>IF((ISERR(_xll.qlIndexFixing(Index,Q416,,InterestRatesTrigger))),_xll.qlIndexFixing(Index,Q416-$Q$1,,InterestRatesTrigger),_xll.qlIndexFixing(Index,Q416,,InterestRatesTrigger))</f>
        <v>6.3741324954391665E-3</v>
      </c>
    </row>
    <row r="417" spans="16:18" x14ac:dyDescent="0.2">
      <c r="P417" s="141" t="s">
        <v>88</v>
      </c>
      <c r="Q417" s="142">
        <f>_xll.qlCalendarAdvance(Calendar,Q416,P417,"f")</f>
        <v>43200</v>
      </c>
      <c r="R417" s="143">
        <f>IF((ISERR(_xll.qlIndexFixing(Index,Q417,,InterestRatesTrigger))),_xll.qlIndexFixing(Index,Q417-$Q$1,,InterestRatesTrigger),_xll.qlIndexFixing(Index,Q417,,InterestRatesTrigger))</f>
        <v>6.3741324955202128E-3</v>
      </c>
    </row>
    <row r="418" spans="16:18" x14ac:dyDescent="0.2">
      <c r="P418" s="141" t="s">
        <v>88</v>
      </c>
      <c r="Q418" s="142">
        <f>_xll.qlCalendarAdvance(Calendar,Q417,P418,"f")</f>
        <v>43201</v>
      </c>
      <c r="R418" s="143">
        <f>IF((ISERR(_xll.qlIndexFixing(Index,Q418,,InterestRatesTrigger))),_xll.qlIndexFixing(Index,Q418-$Q$1,,InterestRatesTrigger),_xll.qlIndexFixing(Index,Q418,,InterestRatesTrigger))</f>
        <v>6.3741324954391665E-3</v>
      </c>
    </row>
    <row r="419" spans="16:18" x14ac:dyDescent="0.2">
      <c r="P419" s="141" t="s">
        <v>88</v>
      </c>
      <c r="Q419" s="142">
        <f>_xll.qlCalendarAdvance(Calendar,Q418,P419,"f")</f>
        <v>43202</v>
      </c>
      <c r="R419" s="143">
        <f>IF((ISERR(_xll.qlIndexFixing(Index,Q419,,InterestRatesTrigger))),_xll.qlIndexFixing(Index,Q419-$Q$1,,InterestRatesTrigger),_xll.qlIndexFixing(Index,Q419,,InterestRatesTrigger))</f>
        <v>6.3741324955202128E-3</v>
      </c>
    </row>
    <row r="420" spans="16:18" x14ac:dyDescent="0.2">
      <c r="P420" s="141" t="s">
        <v>88</v>
      </c>
      <c r="Q420" s="142">
        <f>_xll.qlCalendarAdvance(Calendar,Q419,P420,"f")</f>
        <v>43203</v>
      </c>
      <c r="R420" s="143">
        <f>IF((ISERR(_xll.qlIndexFixing(Index,Q420,,InterestRatesTrigger))),_xll.qlIndexFixing(Index,Q420-$Q$1,,InterestRatesTrigger),_xll.qlIndexFixing(Index,Q420,,InterestRatesTrigger))</f>
        <v>6.3742438100204231E-3</v>
      </c>
    </row>
    <row r="421" spans="16:18" x14ac:dyDescent="0.2">
      <c r="P421" s="141" t="s">
        <v>88</v>
      </c>
      <c r="Q421" s="142">
        <f>_xll.qlCalendarAdvance(Calendar,Q420,P421,"f")</f>
        <v>43206</v>
      </c>
      <c r="R421" s="143">
        <f>IF((ISERR(_xll.qlIndexFixing(Index,Q421,,InterestRatesTrigger))),_xll.qlIndexFixing(Index,Q421-$Q$1,,InterestRatesTrigger),_xll.qlIndexFixing(Index,Q421,,InterestRatesTrigger))</f>
        <v>6.3741324955202128E-3</v>
      </c>
    </row>
    <row r="422" spans="16:18" x14ac:dyDescent="0.2">
      <c r="P422" s="141" t="s">
        <v>88</v>
      </c>
      <c r="Q422" s="142">
        <f>_xll.qlCalendarAdvance(Calendar,Q421,P422,"f")</f>
        <v>43207</v>
      </c>
      <c r="R422" s="143">
        <f>IF((ISERR(_xll.qlIndexFixing(Index,Q422,,InterestRatesTrigger))),_xll.qlIndexFixing(Index,Q422-$Q$1,,InterestRatesTrigger),_xll.qlIndexFixing(Index,Q422,,InterestRatesTrigger))</f>
        <v>6.3741324955202128E-3</v>
      </c>
    </row>
    <row r="423" spans="16:18" x14ac:dyDescent="0.2">
      <c r="P423" s="141" t="s">
        <v>88</v>
      </c>
      <c r="Q423" s="142">
        <f>_xll.qlCalendarAdvance(Calendar,Q422,P423,"f")</f>
        <v>43208</v>
      </c>
      <c r="R423" s="143">
        <f>IF((ISERR(_xll.qlIndexFixing(Index,Q423,,InterestRatesTrigger))),_xll.qlIndexFixing(Index,Q423-$Q$1,,InterestRatesTrigger),_xll.qlIndexFixing(Index,Q423,,InterestRatesTrigger))</f>
        <v>6.3741324955202128E-3</v>
      </c>
    </row>
    <row r="424" spans="16:18" x14ac:dyDescent="0.2">
      <c r="P424" s="141" t="s">
        <v>88</v>
      </c>
      <c r="Q424" s="142">
        <f>_xll.qlCalendarAdvance(Calendar,Q423,P424,"f")</f>
        <v>43209</v>
      </c>
      <c r="R424" s="143">
        <f>IF((ISERR(_xll.qlIndexFixing(Index,Q424,,InterestRatesTrigger))),_xll.qlIndexFixing(Index,Q424-$Q$1,,InterestRatesTrigger),_xll.qlIndexFixing(Index,Q424,,InterestRatesTrigger))</f>
        <v>6.3741324955202128E-3</v>
      </c>
    </row>
    <row r="425" spans="16:18" x14ac:dyDescent="0.2">
      <c r="P425" s="141" t="s">
        <v>88</v>
      </c>
      <c r="Q425" s="142">
        <f>_xll.qlCalendarAdvance(Calendar,Q424,P425,"f")</f>
        <v>43210</v>
      </c>
      <c r="R425" s="143">
        <f>IF((ISERR(_xll.qlIndexFixing(Index,Q425,,InterestRatesTrigger))),_xll.qlIndexFixing(Index,Q425-$Q$1,,InterestRatesTrigger),_xll.qlIndexFixing(Index,Q425,,InterestRatesTrigger))</f>
        <v>6.3742438100204231E-3</v>
      </c>
    </row>
    <row r="426" spans="16:18" x14ac:dyDescent="0.2">
      <c r="P426" s="141" t="s">
        <v>88</v>
      </c>
      <c r="Q426" s="142">
        <f>_xll.qlCalendarAdvance(Calendar,Q425,P426,"f")</f>
        <v>43213</v>
      </c>
      <c r="R426" s="143">
        <f>IF((ISERR(_xll.qlIndexFixing(Index,Q426,,InterestRatesTrigger))),_xll.qlIndexFixing(Index,Q426-$Q$1,,InterestRatesTrigger),_xll.qlIndexFixing(Index,Q426,,InterestRatesTrigger))</f>
        <v>6.3741324955202128E-3</v>
      </c>
    </row>
    <row r="427" spans="16:18" x14ac:dyDescent="0.2">
      <c r="P427" s="141" t="s">
        <v>88</v>
      </c>
      <c r="Q427" s="142">
        <f>_xll.qlCalendarAdvance(Calendar,Q426,P427,"f")</f>
        <v>43214</v>
      </c>
      <c r="R427" s="143">
        <f>IF((ISERR(_xll.qlIndexFixing(Index,Q427,,InterestRatesTrigger))),_xll.qlIndexFixing(Index,Q427-$Q$1,,InterestRatesTrigger),_xll.qlIndexFixing(Index,Q427,,InterestRatesTrigger))</f>
        <v>6.3741324955202128E-3</v>
      </c>
    </row>
    <row r="428" spans="16:18" x14ac:dyDescent="0.2">
      <c r="P428" s="141" t="s">
        <v>88</v>
      </c>
      <c r="Q428" s="142">
        <f>_xll.qlCalendarAdvance(Calendar,Q427,P428,"f")</f>
        <v>43215</v>
      </c>
      <c r="R428" s="143">
        <f>IF((ISERR(_xll.qlIndexFixing(Index,Q428,,InterestRatesTrigger))),_xll.qlIndexFixing(Index,Q428-$Q$1,,InterestRatesTrigger),_xll.qlIndexFixing(Index,Q428,,InterestRatesTrigger))</f>
        <v>6.3741324954391665E-3</v>
      </c>
    </row>
    <row r="429" spans="16:18" x14ac:dyDescent="0.2">
      <c r="P429" s="141" t="s">
        <v>88</v>
      </c>
      <c r="Q429" s="142">
        <f>_xll.qlCalendarAdvance(Calendar,Q428,P429,"f")</f>
        <v>43216</v>
      </c>
      <c r="R429" s="143">
        <f>IF((ISERR(_xll.qlIndexFixing(Index,Q429,,InterestRatesTrigger))),_xll.qlIndexFixing(Index,Q429-$Q$1,,InterestRatesTrigger),_xll.qlIndexFixing(Index,Q429,,InterestRatesTrigger))</f>
        <v>6.3741324955202128E-3</v>
      </c>
    </row>
    <row r="430" spans="16:18" x14ac:dyDescent="0.2">
      <c r="P430" s="141" t="s">
        <v>88</v>
      </c>
      <c r="Q430" s="142">
        <f>_xll.qlCalendarAdvance(Calendar,Q429,P430,"f")</f>
        <v>43217</v>
      </c>
      <c r="R430" s="143">
        <f>IF((ISERR(_xll.qlIndexFixing(Index,Q430,,InterestRatesTrigger))),_xll.qlIndexFixing(Index,Q430-$Q$1,,InterestRatesTrigger),_xll.qlIndexFixing(Index,Q430,,InterestRatesTrigger))</f>
        <v>6.3742438100204231E-3</v>
      </c>
    </row>
    <row r="431" spans="16:18" x14ac:dyDescent="0.2">
      <c r="P431" s="141" t="s">
        <v>88</v>
      </c>
      <c r="Q431" s="142">
        <f>_xll.qlCalendarAdvance(Calendar,Q430,P431,"f")</f>
        <v>43220</v>
      </c>
      <c r="R431" s="143">
        <f>IF((ISERR(_xll.qlIndexFixing(Index,Q431,,InterestRatesTrigger))),_xll.qlIndexFixing(Index,Q431-$Q$1,,InterestRatesTrigger),_xll.qlIndexFixing(Index,Q431,,InterestRatesTrigger))</f>
        <v>6.3741324954391665E-3</v>
      </c>
    </row>
    <row r="432" spans="16:18" x14ac:dyDescent="0.2">
      <c r="P432" s="141" t="s">
        <v>88</v>
      </c>
      <c r="Q432" s="142">
        <f>_xll.qlCalendarAdvance(Calendar,Q431,P432,"f")</f>
        <v>43221</v>
      </c>
      <c r="R432" s="143">
        <f>IF((ISERR(_xll.qlIndexFixing(Index,Q432,,InterestRatesTrigger))),_xll.qlIndexFixing(Index,Q432-$Q$1,,InterestRatesTrigger),_xll.qlIndexFixing(Index,Q432,,InterestRatesTrigger))</f>
        <v>6.3741324955202128E-3</v>
      </c>
    </row>
    <row r="433" spans="16:18" x14ac:dyDescent="0.2">
      <c r="P433" s="141" t="s">
        <v>88</v>
      </c>
      <c r="Q433" s="142">
        <f>_xll.qlCalendarAdvance(Calendar,Q432,P433,"f")</f>
        <v>43222</v>
      </c>
      <c r="R433" s="143">
        <f>IF((ISERR(_xll.qlIndexFixing(Index,Q433,,InterestRatesTrigger))),_xll.qlIndexFixing(Index,Q433-$Q$1,,InterestRatesTrigger),_xll.qlIndexFixing(Index,Q433,,InterestRatesTrigger))</f>
        <v>6.3741324955202128E-3</v>
      </c>
    </row>
    <row r="434" spans="16:18" x14ac:dyDescent="0.2">
      <c r="P434" s="141" t="s">
        <v>88</v>
      </c>
      <c r="Q434" s="142">
        <f>_xll.qlCalendarAdvance(Calendar,Q433,P434,"f")</f>
        <v>43223</v>
      </c>
      <c r="R434" s="143">
        <f>IF((ISERR(_xll.qlIndexFixing(Index,Q434,,InterestRatesTrigger))),_xll.qlIndexFixing(Index,Q434-$Q$1,,InterestRatesTrigger),_xll.qlIndexFixing(Index,Q434,,InterestRatesTrigger))</f>
        <v>6.3741324955202128E-3</v>
      </c>
    </row>
    <row r="435" spans="16:18" x14ac:dyDescent="0.2">
      <c r="P435" s="141" t="s">
        <v>88</v>
      </c>
      <c r="Q435" s="142">
        <f>_xll.qlCalendarAdvance(Calendar,Q434,P435,"f")</f>
        <v>43224</v>
      </c>
      <c r="R435" s="143">
        <f>IF((ISERR(_xll.qlIndexFixing(Index,Q435,,InterestRatesTrigger))),_xll.qlIndexFixing(Index,Q435-$Q$1,,InterestRatesTrigger),_xll.qlIndexFixing(Index,Q435,,InterestRatesTrigger))</f>
        <v>6.3742994682430831E-3</v>
      </c>
    </row>
    <row r="436" spans="16:18" x14ac:dyDescent="0.2">
      <c r="P436" s="141" t="s">
        <v>88</v>
      </c>
      <c r="Q436" s="142">
        <f>_xll.qlCalendarAdvance(Calendar,Q435,P436,"f")</f>
        <v>43227</v>
      </c>
      <c r="R436" s="143">
        <f>IF((ISERR(_xll.qlIndexFixing(Index,Q436,,InterestRatesTrigger))),_xll.qlIndexFixing(Index,Q436-$Q$1,,InterestRatesTrigger),_xll.qlIndexFixing(Index,Q436,,InterestRatesTrigger))</f>
        <v>6.3741324955202128E-3</v>
      </c>
    </row>
    <row r="437" spans="16:18" x14ac:dyDescent="0.2">
      <c r="P437" s="141" t="s">
        <v>88</v>
      </c>
      <c r="Q437" s="142">
        <f>_xll.qlCalendarAdvance(Calendar,Q436,P437,"f")</f>
        <v>43228</v>
      </c>
      <c r="R437" s="143">
        <f>IF((ISERR(_xll.qlIndexFixing(Index,Q437,,InterestRatesTrigger))),_xll.qlIndexFixing(Index,Q437-$Q$1,,InterestRatesTrigger),_xll.qlIndexFixing(Index,Q437,,InterestRatesTrigger))</f>
        <v>6.3741324955202128E-3</v>
      </c>
    </row>
    <row r="438" spans="16:18" x14ac:dyDescent="0.2">
      <c r="P438" s="141" t="s">
        <v>88</v>
      </c>
      <c r="Q438" s="142">
        <f>_xll.qlCalendarAdvance(Calendar,Q437,P438,"f")</f>
        <v>43229</v>
      </c>
      <c r="R438" s="143">
        <f>IF((ISERR(_xll.qlIndexFixing(Index,Q438,,InterestRatesTrigger))),_xll.qlIndexFixing(Index,Q438-$Q$1,,InterestRatesTrigger),_xll.qlIndexFixing(Index,Q438,,InterestRatesTrigger))</f>
        <v>6.3741324954391665E-3</v>
      </c>
    </row>
    <row r="439" spans="16:18" x14ac:dyDescent="0.2">
      <c r="P439" s="141" t="s">
        <v>88</v>
      </c>
      <c r="Q439" s="142">
        <f>_xll.qlCalendarAdvance(Calendar,Q438,P439,"f")</f>
        <v>43230</v>
      </c>
      <c r="R439" s="143">
        <f>IF((ISERR(_xll.qlIndexFixing(Index,Q439,,InterestRatesTrigger))),_xll.qlIndexFixing(Index,Q439-$Q$1,,InterestRatesTrigger),_xll.qlIndexFixing(Index,Q439,,InterestRatesTrigger))</f>
        <v>6.3741324955202128E-3</v>
      </c>
    </row>
    <row r="440" spans="16:18" x14ac:dyDescent="0.2">
      <c r="P440" s="141" t="s">
        <v>88</v>
      </c>
      <c r="Q440" s="142">
        <f>_xll.qlCalendarAdvance(Calendar,Q439,P440,"f")</f>
        <v>43231</v>
      </c>
      <c r="R440" s="143">
        <f>IF((ISERR(_xll.qlIndexFixing(Index,Q440,,InterestRatesTrigger))),_xll.qlIndexFixing(Index,Q440-$Q$1,,InterestRatesTrigger),_xll.qlIndexFixing(Index,Q440,,InterestRatesTrigger))</f>
        <v>6.3742438100204231E-3</v>
      </c>
    </row>
    <row r="441" spans="16:18" x14ac:dyDescent="0.2">
      <c r="P441" s="141" t="s">
        <v>88</v>
      </c>
      <c r="Q441" s="142">
        <f>_xll.qlCalendarAdvance(Calendar,Q440,P441,"f")</f>
        <v>43234</v>
      </c>
      <c r="R441" s="143">
        <f>IF((ISERR(_xll.qlIndexFixing(Index,Q441,,InterestRatesTrigger))),_xll.qlIndexFixing(Index,Q441-$Q$1,,InterestRatesTrigger),_xll.qlIndexFixing(Index,Q441,,InterestRatesTrigger))</f>
        <v>6.6694862835880997E-3</v>
      </c>
    </row>
    <row r="442" spans="16:18" x14ac:dyDescent="0.2">
      <c r="P442" s="141" t="s">
        <v>88</v>
      </c>
      <c r="Q442" s="142">
        <f>_xll.qlCalendarAdvance(Calendar,Q441,P442,"f")</f>
        <v>43235</v>
      </c>
      <c r="R442" s="143">
        <f>IF((ISERR(_xll.qlIndexFixing(Index,Q442,,InterestRatesTrigger))),_xll.qlIndexFixing(Index,Q442-$Q$1,,InterestRatesTrigger),_xll.qlIndexFixing(Index,Q442,,InterestRatesTrigger))</f>
        <v>6.6694862835880997E-3</v>
      </c>
    </row>
    <row r="443" spans="16:18" x14ac:dyDescent="0.2">
      <c r="P443" s="141" t="s">
        <v>88</v>
      </c>
      <c r="Q443" s="142">
        <f>_xll.qlCalendarAdvance(Calendar,Q442,P443,"f")</f>
        <v>43236</v>
      </c>
      <c r="R443" s="143">
        <f>IF((ISERR(_xll.qlIndexFixing(Index,Q443,,InterestRatesTrigger))),_xll.qlIndexFixing(Index,Q443-$Q$1,,InterestRatesTrigger),_xll.qlIndexFixing(Index,Q443,,InterestRatesTrigger))</f>
        <v>6.6694862835880997E-3</v>
      </c>
    </row>
    <row r="444" spans="16:18" x14ac:dyDescent="0.2">
      <c r="P444" s="141" t="s">
        <v>88</v>
      </c>
      <c r="Q444" s="142">
        <f>_xll.qlCalendarAdvance(Calendar,Q443,P444,"f")</f>
        <v>43237</v>
      </c>
      <c r="R444" s="143">
        <f>IF((ISERR(_xll.qlIndexFixing(Index,Q444,,InterestRatesTrigger))),_xll.qlIndexFixing(Index,Q444-$Q$1,,InterestRatesTrigger),_xll.qlIndexFixing(Index,Q444,,InterestRatesTrigger))</f>
        <v>6.6694862835880997E-3</v>
      </c>
    </row>
    <row r="445" spans="16:18" x14ac:dyDescent="0.2">
      <c r="P445" s="141" t="s">
        <v>88</v>
      </c>
      <c r="Q445" s="142">
        <f>_xll.qlCalendarAdvance(Calendar,Q444,P445,"f")</f>
        <v>43238</v>
      </c>
      <c r="R445" s="143">
        <f>IF((ISERR(_xll.qlIndexFixing(Index,Q445,,InterestRatesTrigger))),_xll.qlIndexFixing(Index,Q445-$Q$1,,InterestRatesTrigger),_xll.qlIndexFixing(Index,Q445,,InterestRatesTrigger))</f>
        <v>6.6696081529345665E-3</v>
      </c>
    </row>
    <row r="446" spans="16:18" x14ac:dyDescent="0.2">
      <c r="P446" s="141" t="s">
        <v>88</v>
      </c>
      <c r="Q446" s="142">
        <f>_xll.qlCalendarAdvance(Calendar,Q445,P446,"f")</f>
        <v>43241</v>
      </c>
      <c r="R446" s="143">
        <f>IF((ISERR(_xll.qlIndexFixing(Index,Q446,,InterestRatesTrigger))),_xll.qlIndexFixing(Index,Q446-$Q$1,,InterestRatesTrigger),_xll.qlIndexFixing(Index,Q446,,InterestRatesTrigger))</f>
        <v>6.6694862835880997E-3</v>
      </c>
    </row>
    <row r="447" spans="16:18" x14ac:dyDescent="0.2">
      <c r="P447" s="141" t="s">
        <v>88</v>
      </c>
      <c r="Q447" s="142">
        <f>_xll.qlCalendarAdvance(Calendar,Q446,P447,"f")</f>
        <v>43242</v>
      </c>
      <c r="R447" s="143">
        <f>IF((ISERR(_xll.qlIndexFixing(Index,Q447,,InterestRatesTrigger))),_xll.qlIndexFixing(Index,Q447-$Q$1,,InterestRatesTrigger),_xll.qlIndexFixing(Index,Q447,,InterestRatesTrigger))</f>
        <v>6.6694862835880997E-3</v>
      </c>
    </row>
    <row r="448" spans="16:18" x14ac:dyDescent="0.2">
      <c r="P448" s="141" t="s">
        <v>88</v>
      </c>
      <c r="Q448" s="142">
        <f>_xll.qlCalendarAdvance(Calendar,Q447,P448,"f")</f>
        <v>43243</v>
      </c>
      <c r="R448" s="143">
        <f>IF((ISERR(_xll.qlIndexFixing(Index,Q448,,InterestRatesTrigger))),_xll.qlIndexFixing(Index,Q448-$Q$1,,InterestRatesTrigger),_xll.qlIndexFixing(Index,Q448,,InterestRatesTrigger))</f>
        <v>6.6694862835070534E-3</v>
      </c>
    </row>
    <row r="449" spans="16:18" x14ac:dyDescent="0.2">
      <c r="P449" s="141" t="s">
        <v>88</v>
      </c>
      <c r="Q449" s="142">
        <f>_xll.qlCalendarAdvance(Calendar,Q448,P449,"f")</f>
        <v>43244</v>
      </c>
      <c r="R449" s="143">
        <f>IF((ISERR(_xll.qlIndexFixing(Index,Q449,,InterestRatesTrigger))),_xll.qlIndexFixing(Index,Q449-$Q$1,,InterestRatesTrigger),_xll.qlIndexFixing(Index,Q449,,InterestRatesTrigger))</f>
        <v>6.6694862835880997E-3</v>
      </c>
    </row>
    <row r="450" spans="16:18" x14ac:dyDescent="0.2">
      <c r="P450" s="141" t="s">
        <v>88</v>
      </c>
      <c r="Q450" s="142">
        <f>_xll.qlCalendarAdvance(Calendar,Q449,P450,"f")</f>
        <v>43245</v>
      </c>
      <c r="R450" s="143">
        <f>IF((ISERR(_xll.qlIndexFixing(Index,Q450,,InterestRatesTrigger))),_xll.qlIndexFixing(Index,Q450-$Q$1,,InterestRatesTrigger),_xll.qlIndexFixing(Index,Q450,,InterestRatesTrigger))</f>
        <v>6.669669088742447E-3</v>
      </c>
    </row>
    <row r="451" spans="16:18" x14ac:dyDescent="0.2">
      <c r="P451" s="141" t="s">
        <v>88</v>
      </c>
      <c r="Q451" s="142">
        <f>_xll.qlCalendarAdvance(Calendar,Q450,P451,"f")</f>
        <v>43249</v>
      </c>
      <c r="R451" s="143">
        <f>IF((ISERR(_xll.qlIndexFixing(Index,Q451,,InterestRatesTrigger))),_xll.qlIndexFixing(Index,Q451-$Q$1,,InterestRatesTrigger),_xll.qlIndexFixing(Index,Q451,,InterestRatesTrigger))</f>
        <v>6.6694862835880997E-3</v>
      </c>
    </row>
    <row r="452" spans="16:18" x14ac:dyDescent="0.2">
      <c r="P452" s="141" t="s">
        <v>88</v>
      </c>
      <c r="Q452" s="142">
        <f>_xll.qlCalendarAdvance(Calendar,Q451,P452,"f")</f>
        <v>43250</v>
      </c>
      <c r="R452" s="143">
        <f>IF((ISERR(_xll.qlIndexFixing(Index,Q452,,InterestRatesTrigger))),_xll.qlIndexFixing(Index,Q452-$Q$1,,InterestRatesTrigger),_xll.qlIndexFixing(Index,Q452,,InterestRatesTrigger))</f>
        <v>6.6694862835070534E-3</v>
      </c>
    </row>
    <row r="453" spans="16:18" x14ac:dyDescent="0.2">
      <c r="P453" s="141" t="s">
        <v>88</v>
      </c>
      <c r="Q453" s="142">
        <f>_xll.qlCalendarAdvance(Calendar,Q452,P453,"f")</f>
        <v>43251</v>
      </c>
      <c r="R453" s="143">
        <f>IF((ISERR(_xll.qlIndexFixing(Index,Q453,,InterestRatesTrigger))),_xll.qlIndexFixing(Index,Q453-$Q$1,,InterestRatesTrigger),_xll.qlIndexFixing(Index,Q453,,InterestRatesTrigger))</f>
        <v>6.6694862835880997E-3</v>
      </c>
    </row>
    <row r="454" spans="16:18" x14ac:dyDescent="0.2">
      <c r="P454" s="141" t="s">
        <v>88</v>
      </c>
      <c r="Q454" s="142">
        <f>_xll.qlCalendarAdvance(Calendar,Q453,P454,"f")</f>
        <v>43252</v>
      </c>
      <c r="R454" s="143">
        <f>IF((ISERR(_xll.qlIndexFixing(Index,Q454,,InterestRatesTrigger))),_xll.qlIndexFixing(Index,Q454-$Q$1,,InterestRatesTrigger),_xll.qlIndexFixing(Index,Q454,,InterestRatesTrigger))</f>
        <v>6.6696081529615822E-3</v>
      </c>
    </row>
    <row r="455" spans="16:18" x14ac:dyDescent="0.2">
      <c r="P455" s="141" t="s">
        <v>88</v>
      </c>
      <c r="Q455" s="142">
        <f>_xll.qlCalendarAdvance(Calendar,Q454,P455,"f")</f>
        <v>43255</v>
      </c>
      <c r="R455" s="143">
        <f>IF((ISERR(_xll.qlIndexFixing(Index,Q455,,InterestRatesTrigger))),_xll.qlIndexFixing(Index,Q455-$Q$1,,InterestRatesTrigger),_xll.qlIndexFixing(Index,Q455,,InterestRatesTrigger))</f>
        <v>6.6694862835880997E-3</v>
      </c>
    </row>
    <row r="456" spans="16:18" x14ac:dyDescent="0.2">
      <c r="P456" s="141" t="s">
        <v>88</v>
      </c>
      <c r="Q456" s="142">
        <f>_xll.qlCalendarAdvance(Calendar,Q455,P456,"f")</f>
        <v>43256</v>
      </c>
      <c r="R456" s="143">
        <f>IF((ISERR(_xll.qlIndexFixing(Index,Q456,,InterestRatesTrigger))),_xll.qlIndexFixing(Index,Q456-$Q$1,,InterestRatesTrigger),_xll.qlIndexFixing(Index,Q456,,InterestRatesTrigger))</f>
        <v>6.6694862835880997E-3</v>
      </c>
    </row>
    <row r="457" spans="16:18" x14ac:dyDescent="0.2">
      <c r="P457" s="141" t="s">
        <v>88</v>
      </c>
      <c r="Q457" s="142">
        <f>_xll.qlCalendarAdvance(Calendar,Q456,P457,"f")</f>
        <v>43257</v>
      </c>
      <c r="R457" s="143">
        <f>IF((ISERR(_xll.qlIndexFixing(Index,Q457,,InterestRatesTrigger))),_xll.qlIndexFixing(Index,Q457-$Q$1,,InterestRatesTrigger),_xll.qlIndexFixing(Index,Q457,,InterestRatesTrigger))</f>
        <v>6.6694862835880997E-3</v>
      </c>
    </row>
    <row r="458" spans="16:18" x14ac:dyDescent="0.2">
      <c r="P458" s="141" t="s">
        <v>88</v>
      </c>
      <c r="Q458" s="142">
        <f>_xll.qlCalendarAdvance(Calendar,Q457,P458,"f")</f>
        <v>43258</v>
      </c>
      <c r="R458" s="143">
        <f>IF((ISERR(_xll.qlIndexFixing(Index,Q458,,InterestRatesTrigger))),_xll.qlIndexFixing(Index,Q458-$Q$1,,InterestRatesTrigger),_xll.qlIndexFixing(Index,Q458,,InterestRatesTrigger))</f>
        <v>6.6694862835880997E-3</v>
      </c>
    </row>
    <row r="459" spans="16:18" x14ac:dyDescent="0.2">
      <c r="P459" s="141" t="s">
        <v>88</v>
      </c>
      <c r="Q459" s="142">
        <f>_xll.qlCalendarAdvance(Calendar,Q458,P459,"f")</f>
        <v>43259</v>
      </c>
      <c r="R459" s="143">
        <f>IF((ISERR(_xll.qlIndexFixing(Index,Q459,,InterestRatesTrigger))),_xll.qlIndexFixing(Index,Q459-$Q$1,,InterestRatesTrigger),_xll.qlIndexFixing(Index,Q459,,InterestRatesTrigger))</f>
        <v>6.6696081529345665E-3</v>
      </c>
    </row>
    <row r="460" spans="16:18" x14ac:dyDescent="0.2">
      <c r="P460" s="141" t="s">
        <v>88</v>
      </c>
      <c r="Q460" s="142">
        <f>_xll.qlCalendarAdvance(Calendar,Q459,P460,"f")</f>
        <v>43262</v>
      </c>
      <c r="R460" s="143">
        <f>IF((ISERR(_xll.qlIndexFixing(Index,Q460,,InterestRatesTrigger))),_xll.qlIndexFixing(Index,Q460-$Q$1,,InterestRatesTrigger),_xll.qlIndexFixing(Index,Q460,,InterestRatesTrigger))</f>
        <v>6.6694862835880997E-3</v>
      </c>
    </row>
    <row r="461" spans="16:18" x14ac:dyDescent="0.2">
      <c r="P461" s="141" t="s">
        <v>88</v>
      </c>
      <c r="Q461" s="142">
        <f>_xll.qlCalendarAdvance(Calendar,Q460,P461,"f")</f>
        <v>43263</v>
      </c>
      <c r="R461" s="143">
        <f>IF((ISERR(_xll.qlIndexFixing(Index,Q461,,InterestRatesTrigger))),_xll.qlIndexFixing(Index,Q461-$Q$1,,InterestRatesTrigger),_xll.qlIndexFixing(Index,Q461,,InterestRatesTrigger))</f>
        <v>6.6694862835880997E-3</v>
      </c>
    </row>
    <row r="462" spans="16:18" x14ac:dyDescent="0.2">
      <c r="P462" s="141" t="s">
        <v>88</v>
      </c>
      <c r="Q462" s="142">
        <f>_xll.qlCalendarAdvance(Calendar,Q461,P462,"f")</f>
        <v>43264</v>
      </c>
      <c r="R462" s="143">
        <f>IF((ISERR(_xll.qlIndexFixing(Index,Q462,,InterestRatesTrigger))),_xll.qlIndexFixing(Index,Q462-$Q$1,,InterestRatesTrigger),_xll.qlIndexFixing(Index,Q462,,InterestRatesTrigger))</f>
        <v>6.6694862835880997E-3</v>
      </c>
    </row>
    <row r="463" spans="16:18" x14ac:dyDescent="0.2">
      <c r="P463" s="141" t="s">
        <v>88</v>
      </c>
      <c r="Q463" s="142">
        <f>_xll.qlCalendarAdvance(Calendar,Q462,P463,"f")</f>
        <v>43265</v>
      </c>
      <c r="R463" s="143">
        <f>IF((ISERR(_xll.qlIndexFixing(Index,Q463,,InterestRatesTrigger))),_xll.qlIndexFixing(Index,Q463-$Q$1,,InterestRatesTrigger),_xll.qlIndexFixing(Index,Q463,,InterestRatesTrigger))</f>
        <v>6.6694862835880997E-3</v>
      </c>
    </row>
    <row r="464" spans="16:18" x14ac:dyDescent="0.2">
      <c r="P464" s="141" t="s">
        <v>88</v>
      </c>
      <c r="Q464" s="142">
        <f>_xll.qlCalendarAdvance(Calendar,Q463,P464,"f")</f>
        <v>43266</v>
      </c>
      <c r="R464" s="143">
        <f>IF((ISERR(_xll.qlIndexFixing(Index,Q464,,InterestRatesTrigger))),_xll.qlIndexFixing(Index,Q464-$Q$1,,InterestRatesTrigger),_xll.qlIndexFixing(Index,Q464,,InterestRatesTrigger))</f>
        <v>6.6696081529345665E-3</v>
      </c>
    </row>
    <row r="465" spans="16:18" x14ac:dyDescent="0.2">
      <c r="P465" s="141" t="s">
        <v>88</v>
      </c>
      <c r="Q465" s="142">
        <f>_xll.qlCalendarAdvance(Calendar,Q464,P465,"f")</f>
        <v>43269</v>
      </c>
      <c r="R465" s="143">
        <f>IF((ISERR(_xll.qlIndexFixing(Index,Q465,,InterestRatesTrigger))),_xll.qlIndexFixing(Index,Q465-$Q$1,,InterestRatesTrigger),_xll.qlIndexFixing(Index,Q465,,InterestRatesTrigger))</f>
        <v>6.6694862835880997E-3</v>
      </c>
    </row>
    <row r="466" spans="16:18" x14ac:dyDescent="0.2">
      <c r="P466" s="141" t="s">
        <v>88</v>
      </c>
      <c r="Q466" s="142">
        <f>_xll.qlCalendarAdvance(Calendar,Q465,P466,"f")</f>
        <v>43270</v>
      </c>
      <c r="R466" s="143">
        <f>IF((ISERR(_xll.qlIndexFixing(Index,Q466,,InterestRatesTrigger))),_xll.qlIndexFixing(Index,Q466-$Q$1,,InterestRatesTrigger),_xll.qlIndexFixing(Index,Q466,,InterestRatesTrigger))</f>
        <v>6.6694862835880997E-3</v>
      </c>
    </row>
    <row r="467" spans="16:18" x14ac:dyDescent="0.2">
      <c r="P467" s="141" t="s">
        <v>88</v>
      </c>
      <c r="Q467" s="142">
        <f>_xll.qlCalendarAdvance(Calendar,Q466,P467,"f")</f>
        <v>43271</v>
      </c>
      <c r="R467" s="143">
        <f>IF((ISERR(_xll.qlIndexFixing(Index,Q467,,InterestRatesTrigger))),_xll.qlIndexFixing(Index,Q467-$Q$1,,InterestRatesTrigger),_xll.qlIndexFixing(Index,Q467,,InterestRatesTrigger))</f>
        <v>6.6694862835880997E-3</v>
      </c>
    </row>
    <row r="468" spans="16:18" x14ac:dyDescent="0.2">
      <c r="P468" s="141" t="s">
        <v>88</v>
      </c>
      <c r="Q468" s="142">
        <f>_xll.qlCalendarAdvance(Calendar,Q467,P468,"f")</f>
        <v>43272</v>
      </c>
      <c r="R468" s="143">
        <f>IF((ISERR(_xll.qlIndexFixing(Index,Q468,,InterestRatesTrigger))),_xll.qlIndexFixing(Index,Q468-$Q$1,,InterestRatesTrigger),_xll.qlIndexFixing(Index,Q468,,InterestRatesTrigger))</f>
        <v>6.6694862835070534E-3</v>
      </c>
    </row>
    <row r="469" spans="16:18" x14ac:dyDescent="0.2">
      <c r="P469" s="141" t="s">
        <v>88</v>
      </c>
      <c r="Q469" s="142">
        <f>_xll.qlCalendarAdvance(Calendar,Q468,P469,"f")</f>
        <v>43273</v>
      </c>
      <c r="R469" s="143">
        <f>IF((ISERR(_xll.qlIndexFixing(Index,Q469,,InterestRatesTrigger))),_xll.qlIndexFixing(Index,Q469-$Q$1,,InterestRatesTrigger),_xll.qlIndexFixing(Index,Q469,,InterestRatesTrigger))</f>
        <v>6.6696081529615822E-3</v>
      </c>
    </row>
    <row r="470" spans="16:18" x14ac:dyDescent="0.2">
      <c r="P470" s="141" t="s">
        <v>88</v>
      </c>
      <c r="Q470" s="142">
        <f>_xll.qlCalendarAdvance(Calendar,Q469,P470,"f")</f>
        <v>43276</v>
      </c>
      <c r="R470" s="143">
        <f>IF((ISERR(_xll.qlIndexFixing(Index,Q470,,InterestRatesTrigger))),_xll.qlIndexFixing(Index,Q470-$Q$1,,InterestRatesTrigger),_xll.qlIndexFixing(Index,Q470,,InterestRatesTrigger))</f>
        <v>6.6694862835880997E-3</v>
      </c>
    </row>
    <row r="471" spans="16:18" x14ac:dyDescent="0.2">
      <c r="P471" s="141" t="s">
        <v>88</v>
      </c>
      <c r="Q471" s="142">
        <f>_xll.qlCalendarAdvance(Calendar,Q470,P471,"f")</f>
        <v>43277</v>
      </c>
      <c r="R471" s="143">
        <f>IF((ISERR(_xll.qlIndexFixing(Index,Q471,,InterestRatesTrigger))),_xll.qlIndexFixing(Index,Q471-$Q$1,,InterestRatesTrigger),_xll.qlIndexFixing(Index,Q471,,InterestRatesTrigger))</f>
        <v>6.6694862835880997E-3</v>
      </c>
    </row>
    <row r="472" spans="16:18" x14ac:dyDescent="0.2">
      <c r="P472" s="141" t="s">
        <v>88</v>
      </c>
      <c r="Q472" s="142">
        <f>_xll.qlCalendarAdvance(Calendar,Q471,P472,"f")</f>
        <v>43278</v>
      </c>
      <c r="R472" s="143">
        <f>IF((ISERR(_xll.qlIndexFixing(Index,Q472,,InterestRatesTrigger))),_xll.qlIndexFixing(Index,Q472-$Q$1,,InterestRatesTrigger),_xll.qlIndexFixing(Index,Q472,,InterestRatesTrigger))</f>
        <v>6.6694862835880997E-3</v>
      </c>
    </row>
    <row r="473" spans="16:18" x14ac:dyDescent="0.2">
      <c r="P473" s="141" t="s">
        <v>88</v>
      </c>
      <c r="Q473" s="142">
        <f>_xll.qlCalendarAdvance(Calendar,Q472,P473,"f")</f>
        <v>43279</v>
      </c>
      <c r="R473" s="143">
        <f>IF((ISERR(_xll.qlIndexFixing(Index,Q473,,InterestRatesTrigger))),_xll.qlIndexFixing(Index,Q473-$Q$1,,InterestRatesTrigger),_xll.qlIndexFixing(Index,Q473,,InterestRatesTrigger))</f>
        <v>6.6694862835880997E-3</v>
      </c>
    </row>
    <row r="474" spans="16:18" x14ac:dyDescent="0.2">
      <c r="P474" s="141" t="s">
        <v>88</v>
      </c>
      <c r="Q474" s="142">
        <f>_xll.qlCalendarAdvance(Calendar,Q473,P474,"f")</f>
        <v>43280</v>
      </c>
      <c r="R474" s="143">
        <f>IF((ISERR(_xll.qlIndexFixing(Index,Q474,,InterestRatesTrigger))),_xll.qlIndexFixing(Index,Q474-$Q$1,,InterestRatesTrigger),_xll.qlIndexFixing(Index,Q474,,InterestRatesTrigger))</f>
        <v>6.6696081529345665E-3</v>
      </c>
    </row>
    <row r="475" spans="16:18" x14ac:dyDescent="0.2">
      <c r="P475" s="141" t="s">
        <v>88</v>
      </c>
      <c r="Q475" s="142">
        <f>_xll.qlCalendarAdvance(Calendar,Q474,P475,"f")</f>
        <v>43283</v>
      </c>
      <c r="R475" s="143">
        <f>IF((ISERR(_xll.qlIndexFixing(Index,Q475,,InterestRatesTrigger))),_xll.qlIndexFixing(Index,Q475-$Q$1,,InterestRatesTrigger),_xll.qlIndexFixing(Index,Q475,,InterestRatesTrigger))</f>
        <v>6.6694862835880997E-3</v>
      </c>
    </row>
    <row r="476" spans="16:18" x14ac:dyDescent="0.2">
      <c r="P476" s="141" t="s">
        <v>88</v>
      </c>
      <c r="Q476" s="142">
        <f>_xll.qlCalendarAdvance(Calendar,Q475,P476,"f")</f>
        <v>43284</v>
      </c>
      <c r="R476" s="143">
        <f>IF((ISERR(_xll.qlIndexFixing(Index,Q476,,InterestRatesTrigger))),_xll.qlIndexFixing(Index,Q476-$Q$1,,InterestRatesTrigger),_xll.qlIndexFixing(Index,Q476,,InterestRatesTrigger))</f>
        <v>6.6694862835070534E-3</v>
      </c>
    </row>
    <row r="477" spans="16:18" x14ac:dyDescent="0.2">
      <c r="P477" s="141" t="s">
        <v>88</v>
      </c>
      <c r="Q477" s="142">
        <f>_xll.qlCalendarAdvance(Calendar,Q476,P477,"f")</f>
        <v>43286</v>
      </c>
      <c r="R477" s="143">
        <f>IF((ISERR(_xll.qlIndexFixing(Index,Q477,,InterestRatesTrigger))),_xll.qlIndexFixing(Index,Q477-$Q$1,,InterestRatesTrigger),_xll.qlIndexFixing(Index,Q477,,InterestRatesTrigger))</f>
        <v>6.6694862835880997E-3</v>
      </c>
    </row>
    <row r="478" spans="16:18" x14ac:dyDescent="0.2">
      <c r="P478" s="141" t="s">
        <v>88</v>
      </c>
      <c r="Q478" s="142">
        <f>_xll.qlCalendarAdvance(Calendar,Q477,P478,"f")</f>
        <v>43287</v>
      </c>
      <c r="R478" s="143">
        <f>IF((ISERR(_xll.qlIndexFixing(Index,Q478,,InterestRatesTrigger))),_xll.qlIndexFixing(Index,Q478-$Q$1,,InterestRatesTrigger),_xll.qlIndexFixing(Index,Q478,,InterestRatesTrigger))</f>
        <v>6.6696081529345665E-3</v>
      </c>
    </row>
    <row r="479" spans="16:18" x14ac:dyDescent="0.2">
      <c r="P479" s="141" t="s">
        <v>88</v>
      </c>
      <c r="Q479" s="142">
        <f>_xll.qlCalendarAdvance(Calendar,Q478,P479,"f")</f>
        <v>43290</v>
      </c>
      <c r="R479" s="143">
        <f>IF((ISERR(_xll.qlIndexFixing(Index,Q479,,InterestRatesTrigger))),_xll.qlIndexFixing(Index,Q479-$Q$1,,InterestRatesTrigger),_xll.qlIndexFixing(Index,Q479,,InterestRatesTrigger))</f>
        <v>6.6694862835880997E-3</v>
      </c>
    </row>
    <row r="480" spans="16:18" x14ac:dyDescent="0.2">
      <c r="P480" s="141" t="s">
        <v>88</v>
      </c>
      <c r="Q480" s="142">
        <f>_xll.qlCalendarAdvance(Calendar,Q479,P480,"f")</f>
        <v>43291</v>
      </c>
      <c r="R480" s="143">
        <f>IF((ISERR(_xll.qlIndexFixing(Index,Q480,,InterestRatesTrigger))),_xll.qlIndexFixing(Index,Q480-$Q$1,,InterestRatesTrigger),_xll.qlIndexFixing(Index,Q480,,InterestRatesTrigger))</f>
        <v>6.6694862835880997E-3</v>
      </c>
    </row>
    <row r="481" spans="16:18" x14ac:dyDescent="0.2">
      <c r="P481" s="141" t="s">
        <v>88</v>
      </c>
      <c r="Q481" s="142">
        <f>_xll.qlCalendarAdvance(Calendar,Q480,P481,"f")</f>
        <v>43292</v>
      </c>
      <c r="R481" s="143">
        <f>IF((ISERR(_xll.qlIndexFixing(Index,Q481,,InterestRatesTrigger))),_xll.qlIndexFixing(Index,Q481-$Q$1,,InterestRatesTrigger),_xll.qlIndexFixing(Index,Q481,,InterestRatesTrigger))</f>
        <v>6.6694862835880997E-3</v>
      </c>
    </row>
    <row r="482" spans="16:18" x14ac:dyDescent="0.2">
      <c r="P482" s="141" t="s">
        <v>88</v>
      </c>
      <c r="Q482" s="142">
        <f>_xll.qlCalendarAdvance(Calendar,Q481,P482,"f")</f>
        <v>43293</v>
      </c>
      <c r="R482" s="143">
        <f>IF((ISERR(_xll.qlIndexFixing(Index,Q482,,InterestRatesTrigger))),_xll.qlIndexFixing(Index,Q482-$Q$1,,InterestRatesTrigger),_xll.qlIndexFixing(Index,Q482,,InterestRatesTrigger))</f>
        <v>6.6694862835880997E-3</v>
      </c>
    </row>
    <row r="483" spans="16:18" x14ac:dyDescent="0.2">
      <c r="P483" s="141" t="s">
        <v>88</v>
      </c>
      <c r="Q483" s="142">
        <f>_xll.qlCalendarAdvance(Calendar,Q482,P483,"f")</f>
        <v>43294</v>
      </c>
      <c r="R483" s="143">
        <f>IF((ISERR(_xll.qlIndexFixing(Index,Q483,,InterestRatesTrigger))),_xll.qlIndexFixing(Index,Q483-$Q$1,,InterestRatesTrigger),_xll.qlIndexFixing(Index,Q483,,InterestRatesTrigger))</f>
        <v>6.6696081529615822E-3</v>
      </c>
    </row>
    <row r="484" spans="16:18" x14ac:dyDescent="0.2">
      <c r="P484" s="141" t="s">
        <v>88</v>
      </c>
      <c r="Q484" s="142">
        <f>_xll.qlCalendarAdvance(Calendar,Q483,P484,"f")</f>
        <v>43297</v>
      </c>
      <c r="R484" s="143">
        <f>IF((ISERR(_xll.qlIndexFixing(Index,Q484,,InterestRatesTrigger))),_xll.qlIndexFixing(Index,Q484-$Q$1,,InterestRatesTrigger),_xll.qlIndexFixing(Index,Q484,,InterestRatesTrigger))</f>
        <v>6.6694862835880997E-3</v>
      </c>
    </row>
    <row r="485" spans="16:18" x14ac:dyDescent="0.2">
      <c r="P485" s="141" t="s">
        <v>88</v>
      </c>
      <c r="Q485" s="142">
        <f>_xll.qlCalendarAdvance(Calendar,Q484,P485,"f")</f>
        <v>43298</v>
      </c>
      <c r="R485" s="143">
        <f>IF((ISERR(_xll.qlIndexFixing(Index,Q485,,InterestRatesTrigger))),_xll.qlIndexFixing(Index,Q485-$Q$1,,InterestRatesTrigger),_xll.qlIndexFixing(Index,Q485,,InterestRatesTrigger))</f>
        <v>6.6694862835880997E-3</v>
      </c>
    </row>
    <row r="486" spans="16:18" x14ac:dyDescent="0.2">
      <c r="P486" s="141" t="s">
        <v>88</v>
      </c>
      <c r="Q486" s="142">
        <f>_xll.qlCalendarAdvance(Calendar,Q485,P486,"f")</f>
        <v>43299</v>
      </c>
      <c r="R486" s="143">
        <f>IF((ISERR(_xll.qlIndexFixing(Index,Q486,,InterestRatesTrigger))),_xll.qlIndexFixing(Index,Q486-$Q$1,,InterestRatesTrigger),_xll.qlIndexFixing(Index,Q486,,InterestRatesTrigger))</f>
        <v>6.6694862835880997E-3</v>
      </c>
    </row>
    <row r="487" spans="16:18" x14ac:dyDescent="0.2">
      <c r="P487" s="141" t="s">
        <v>88</v>
      </c>
      <c r="Q487" s="142">
        <f>_xll.qlCalendarAdvance(Calendar,Q486,P487,"f")</f>
        <v>43300</v>
      </c>
      <c r="R487" s="143">
        <f>IF((ISERR(_xll.qlIndexFixing(Index,Q487,,InterestRatesTrigger))),_xll.qlIndexFixing(Index,Q487-$Q$1,,InterestRatesTrigger),_xll.qlIndexFixing(Index,Q487,,InterestRatesTrigger))</f>
        <v>6.6694862835070534E-3</v>
      </c>
    </row>
    <row r="488" spans="16:18" x14ac:dyDescent="0.2">
      <c r="P488" s="141" t="s">
        <v>88</v>
      </c>
      <c r="Q488" s="142">
        <f>_xll.qlCalendarAdvance(Calendar,Q487,P488,"f")</f>
        <v>43301</v>
      </c>
      <c r="R488" s="143">
        <f>IF((ISERR(_xll.qlIndexFixing(Index,Q488,,InterestRatesTrigger))),_xll.qlIndexFixing(Index,Q488-$Q$1,,InterestRatesTrigger),_xll.qlIndexFixing(Index,Q488,,InterestRatesTrigger))</f>
        <v>6.6696081529615822E-3</v>
      </c>
    </row>
    <row r="489" spans="16:18" x14ac:dyDescent="0.2">
      <c r="P489" s="141" t="s">
        <v>88</v>
      </c>
      <c r="Q489" s="142">
        <f>_xll.qlCalendarAdvance(Calendar,Q488,P489,"f")</f>
        <v>43304</v>
      </c>
      <c r="R489" s="143">
        <f>IF((ISERR(_xll.qlIndexFixing(Index,Q489,,InterestRatesTrigger))),_xll.qlIndexFixing(Index,Q489-$Q$1,,InterestRatesTrigger),_xll.qlIndexFixing(Index,Q489,,InterestRatesTrigger))</f>
        <v>6.6694862835070534E-3</v>
      </c>
    </row>
    <row r="490" spans="16:18" x14ac:dyDescent="0.2">
      <c r="P490" s="141" t="s">
        <v>88</v>
      </c>
      <c r="Q490" s="142">
        <f>_xll.qlCalendarAdvance(Calendar,Q489,P490,"f")</f>
        <v>43305</v>
      </c>
      <c r="R490" s="143">
        <f>IF((ISERR(_xll.qlIndexFixing(Index,Q490,,InterestRatesTrigger))),_xll.qlIndexFixing(Index,Q490-$Q$1,,InterestRatesTrigger),_xll.qlIndexFixing(Index,Q490,,InterestRatesTrigger))</f>
        <v>6.6694862835880997E-3</v>
      </c>
    </row>
    <row r="491" spans="16:18" x14ac:dyDescent="0.2">
      <c r="P491" s="141" t="s">
        <v>88</v>
      </c>
      <c r="Q491" s="142">
        <f>_xll.qlCalendarAdvance(Calendar,Q490,P491,"f")</f>
        <v>43306</v>
      </c>
      <c r="R491" s="143">
        <f>IF((ISERR(_xll.qlIndexFixing(Index,Q491,,InterestRatesTrigger))),_xll.qlIndexFixing(Index,Q491-$Q$1,,InterestRatesTrigger),_xll.qlIndexFixing(Index,Q491,,InterestRatesTrigger))</f>
        <v>6.6694862835880997E-3</v>
      </c>
    </row>
    <row r="492" spans="16:18" x14ac:dyDescent="0.2">
      <c r="P492" s="141" t="s">
        <v>88</v>
      </c>
      <c r="Q492" s="142">
        <f>_xll.qlCalendarAdvance(Calendar,Q491,P492,"f")</f>
        <v>43307</v>
      </c>
      <c r="R492" s="143">
        <f>IF((ISERR(_xll.qlIndexFixing(Index,Q492,,InterestRatesTrigger))),_xll.qlIndexFixing(Index,Q492-$Q$1,,InterestRatesTrigger),_xll.qlIndexFixing(Index,Q492,,InterestRatesTrigger))</f>
        <v>6.6694862835070534E-3</v>
      </c>
    </row>
    <row r="493" spans="16:18" x14ac:dyDescent="0.2">
      <c r="P493" s="141" t="s">
        <v>88</v>
      </c>
      <c r="Q493" s="142">
        <f>_xll.qlCalendarAdvance(Calendar,Q492,P493,"f")</f>
        <v>43308</v>
      </c>
      <c r="R493" s="143">
        <f>IF((ISERR(_xll.qlIndexFixing(Index,Q493,,InterestRatesTrigger))),_xll.qlIndexFixing(Index,Q493-$Q$1,,InterestRatesTrigger),_xll.qlIndexFixing(Index,Q493,,InterestRatesTrigger))</f>
        <v>6.6696081529345665E-3</v>
      </c>
    </row>
    <row r="494" spans="16:18" x14ac:dyDescent="0.2">
      <c r="P494" s="141" t="s">
        <v>88</v>
      </c>
      <c r="Q494" s="142">
        <f>_xll.qlCalendarAdvance(Calendar,Q493,P494,"f")</f>
        <v>43311</v>
      </c>
      <c r="R494" s="143">
        <f>IF((ISERR(_xll.qlIndexFixing(Index,Q494,,InterestRatesTrigger))),_xll.qlIndexFixing(Index,Q494-$Q$1,,InterestRatesTrigger),_xll.qlIndexFixing(Index,Q494,,InterestRatesTrigger))</f>
        <v>6.6694862835880997E-3</v>
      </c>
    </row>
    <row r="495" spans="16:18" x14ac:dyDescent="0.2">
      <c r="P495" s="141" t="s">
        <v>88</v>
      </c>
      <c r="Q495" s="142">
        <f>_xll.qlCalendarAdvance(Calendar,Q494,P495,"f")</f>
        <v>43312</v>
      </c>
      <c r="R495" s="143">
        <f>IF((ISERR(_xll.qlIndexFixing(Index,Q495,,InterestRatesTrigger))),_xll.qlIndexFixing(Index,Q495-$Q$1,,InterestRatesTrigger),_xll.qlIndexFixing(Index,Q495,,InterestRatesTrigger))</f>
        <v>6.6694862835880997E-3</v>
      </c>
    </row>
    <row r="496" spans="16:18" x14ac:dyDescent="0.2">
      <c r="P496" s="141" t="s">
        <v>88</v>
      </c>
      <c r="Q496" s="142">
        <f>_xll.qlCalendarAdvance(Calendar,Q495,P496,"f")</f>
        <v>43313</v>
      </c>
      <c r="R496" s="143">
        <f>IF((ISERR(_xll.qlIndexFixing(Index,Q496,,InterestRatesTrigger))),_xll.qlIndexFixing(Index,Q496-$Q$1,,InterestRatesTrigger),_xll.qlIndexFixing(Index,Q496,,InterestRatesTrigger))</f>
        <v>6.6694862835880997E-3</v>
      </c>
    </row>
    <row r="497" spans="16:18" x14ac:dyDescent="0.2">
      <c r="P497" s="141" t="s">
        <v>88</v>
      </c>
      <c r="Q497" s="142">
        <f>_xll.qlCalendarAdvance(Calendar,Q496,P497,"f")</f>
        <v>43314</v>
      </c>
      <c r="R497" s="143">
        <f>IF((ISERR(_xll.qlIndexFixing(Index,Q497,,InterestRatesTrigger))),_xll.qlIndexFixing(Index,Q497-$Q$1,,InterestRatesTrigger),_xll.qlIndexFixing(Index,Q497,,InterestRatesTrigger))</f>
        <v>6.6694862835880997E-3</v>
      </c>
    </row>
    <row r="498" spans="16:18" x14ac:dyDescent="0.2">
      <c r="P498" s="141" t="s">
        <v>88</v>
      </c>
      <c r="Q498" s="142">
        <f>_xll.qlCalendarAdvance(Calendar,Q497,P498,"f")</f>
        <v>43315</v>
      </c>
      <c r="R498" s="143">
        <f>IF((ISERR(_xll.qlIndexFixing(Index,Q498,,InterestRatesTrigger))),_xll.qlIndexFixing(Index,Q498-$Q$1,,InterestRatesTrigger),_xll.qlIndexFixing(Index,Q498,,InterestRatesTrigger))</f>
        <v>6.6696081529345665E-3</v>
      </c>
    </row>
    <row r="499" spans="16:18" x14ac:dyDescent="0.2">
      <c r="P499" s="141" t="s">
        <v>88</v>
      </c>
      <c r="Q499" s="142">
        <f>_xll.qlCalendarAdvance(Calendar,Q498,P499,"f")</f>
        <v>43318</v>
      </c>
      <c r="R499" s="143">
        <f>IF((ISERR(_xll.qlIndexFixing(Index,Q499,,InterestRatesTrigger))),_xll.qlIndexFixing(Index,Q499-$Q$1,,InterestRatesTrigger),_xll.qlIndexFixing(Index,Q499,,InterestRatesTrigger))</f>
        <v>6.6694862835880997E-3</v>
      </c>
    </row>
    <row r="500" spans="16:18" x14ac:dyDescent="0.2">
      <c r="P500" s="141" t="s">
        <v>88</v>
      </c>
      <c r="Q500" s="142">
        <f>_xll.qlCalendarAdvance(Calendar,Q499,P500,"f")</f>
        <v>43319</v>
      </c>
      <c r="R500" s="143">
        <f>IF((ISERR(_xll.qlIndexFixing(Index,Q500,,InterestRatesTrigger))),_xll.qlIndexFixing(Index,Q500-$Q$1,,InterestRatesTrigger),_xll.qlIndexFixing(Index,Q500,,InterestRatesTrigger))</f>
        <v>6.6694862835880997E-3</v>
      </c>
    </row>
    <row r="501" spans="16:18" x14ac:dyDescent="0.2">
      <c r="P501" s="141" t="s">
        <v>88</v>
      </c>
      <c r="Q501" s="142">
        <f>_xll.qlCalendarAdvance(Calendar,Q500,P501,"f")</f>
        <v>43320</v>
      </c>
      <c r="R501" s="143">
        <f>IF((ISERR(_xll.qlIndexFixing(Index,Q501,,InterestRatesTrigger))),_xll.qlIndexFixing(Index,Q501-$Q$1,,InterestRatesTrigger),_xll.qlIndexFixing(Index,Q501,,InterestRatesTrigger))</f>
        <v>6.6694862835880997E-3</v>
      </c>
    </row>
    <row r="502" spans="16:18" x14ac:dyDescent="0.2">
      <c r="P502" s="141" t="s">
        <v>88</v>
      </c>
      <c r="Q502" s="142">
        <f>_xll.qlCalendarAdvance(Calendar,Q501,P502,"f")</f>
        <v>43321</v>
      </c>
      <c r="R502" s="143">
        <f>IF((ISERR(_xll.qlIndexFixing(Index,Q502,,InterestRatesTrigger))),_xll.qlIndexFixing(Index,Q502-$Q$1,,InterestRatesTrigger),_xll.qlIndexFixing(Index,Q502,,InterestRatesTrigger))</f>
        <v>6.6694862835880997E-3</v>
      </c>
    </row>
    <row r="503" spans="16:18" x14ac:dyDescent="0.2">
      <c r="P503" s="141" t="s">
        <v>88</v>
      </c>
      <c r="Q503" s="142">
        <f>_xll.qlCalendarAdvance(Calendar,Q502,P503,"f")</f>
        <v>43322</v>
      </c>
      <c r="R503" s="143">
        <f>IF((ISERR(_xll.qlIndexFixing(Index,Q503,,InterestRatesTrigger))),_xll.qlIndexFixing(Index,Q503-$Q$1,,InterestRatesTrigger),_xll.qlIndexFixing(Index,Q503,,InterestRatesTrigger))</f>
        <v>6.6696081529615822E-3</v>
      </c>
    </row>
    <row r="504" spans="16:18" x14ac:dyDescent="0.2">
      <c r="P504" s="141" t="s">
        <v>88</v>
      </c>
      <c r="Q504" s="142">
        <f>_xll.qlCalendarAdvance(Calendar,Q503,P504,"f")</f>
        <v>43325</v>
      </c>
      <c r="R504" s="143">
        <f>IF((ISERR(_xll.qlIndexFixing(Index,Q504,,InterestRatesTrigger))),_xll.qlIndexFixing(Index,Q504-$Q$1,,InterestRatesTrigger),_xll.qlIndexFixing(Index,Q504,,InterestRatesTrigger))</f>
        <v>6.6694862835880997E-3</v>
      </c>
    </row>
    <row r="505" spans="16:18" x14ac:dyDescent="0.2">
      <c r="P505" s="156"/>
      <c r="Q505" s="156"/>
      <c r="R505" s="156"/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88</vt:i4>
      </vt:variant>
    </vt:vector>
  </HeadingPairs>
  <TitlesOfParts>
    <vt:vector size="92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JumpDate14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Jumpoverwrite14</vt:lpstr>
      <vt:lpstr>Jumpoverwrite15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JumpSize14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JumpValue14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2016-08-10T07:25:49Z</dcterms:modified>
</cp:coreProperties>
</file>