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15" yWindow="-15" windowWidth="18660" windowHeight="12390"/>
  </bookViews>
  <sheets>
    <sheet name="GeneralSettings" sheetId="1" r:id="rId1"/>
    <sheet name="AUDON" sheetId="14" r:id="rId2"/>
    <sheet name="AUD3M" sheetId="15" r:id="rId3"/>
    <sheet name="AUD6M" sheetId="16" r:id="rId4"/>
    <sheet name="AUD1M" sheetId="17" r:id="rId5"/>
  </sheets>
  <externalReferences>
    <externalReference r:id="rId6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AUD1M!$P$3:$P$84</definedName>
    <definedName name="IncludeFlag" localSheetId="2">AUD3M!$P$3:$P$111</definedName>
    <definedName name="IncludeFlag" localSheetId="3">AUD6M!$P$3:$P$95</definedName>
    <definedName name="IncludeFlag" localSheetId="1">AUDON!$P$3:$P$113</definedName>
    <definedName name="JumpDates_1M">AUD1M!$AG$11:$AG$23</definedName>
    <definedName name="JumpDates_3M">AUD3M!$AG$11:$AG$23</definedName>
    <definedName name="JumpDates_6M">AUD6M!$AG$11:$AG$23</definedName>
    <definedName name="JumpDates_ON">AUDON!$AG$11:$AG$23</definedName>
    <definedName name="JumpQuotes_1M">AUD1M!$AM$11:$AM$23</definedName>
    <definedName name="JumpQuotes_3M">AUD3M!$AM$11:$AM$23</definedName>
    <definedName name="JumpQuotes_6M">AUD6M!$AM$11:$AM$23</definedName>
    <definedName name="JumpQuotes_ON">AUDON!$AM$11:$AM$23</definedName>
    <definedName name="JumpSuffix">GeneralSettings!$I$9</definedName>
    <definedName name="MinDistance" localSheetId="4">AUD1M!$R$3:$R$84</definedName>
    <definedName name="MinDistance" localSheetId="2">AUD3M!$R$3:$R$111</definedName>
    <definedName name="MinDistance" localSheetId="3">AUD6M!$R$3:$R$95</definedName>
    <definedName name="MinDistance" localSheetId="1">AUDON!$R$3:$R$113</definedName>
    <definedName name="ObjectOverwrite">GeneralSettings!$D$6</definedName>
    <definedName name="Permanent">GeneralSettings!$D$4</definedName>
    <definedName name="PillarDate">GeneralSettings!$D$8</definedName>
    <definedName name="Priority" localSheetId="4">AUD1M!$Q$3:$Q$84</definedName>
    <definedName name="Priority" localSheetId="2">AUD3M!$Q$3:$Q$111</definedName>
    <definedName name="Priority" localSheetId="3">AUD6M!$Q$3:$Q$95</definedName>
    <definedName name="Priority" localSheetId="1">AUDON!$Q$3:$Q$113</definedName>
    <definedName name="QuoteSuffix">GeneralSettings!$I$8</definedName>
    <definedName name="RateHelpers" localSheetId="4">AUD1M!$S$3:$S$84</definedName>
    <definedName name="RateHelpers" localSheetId="2">AUD3M!$S$3:$S$111</definedName>
    <definedName name="RateHelpers" localSheetId="3">AUD6M!$S$3:$S$95</definedName>
    <definedName name="RateHelpers" localSheetId="1">AUDON!$S$3:$S$113</definedName>
    <definedName name="RateHelpers1M">AUD1M!$X$3:$X$84</definedName>
    <definedName name="RateHelpers3M">AUD3M!$X$3:$X$111</definedName>
    <definedName name="RateHelpers6M">AUD6M!$X$3:$X$95</definedName>
    <definedName name="RateHelpersON">AUDON!$X$3:$X$113</definedName>
    <definedName name="Settlementdate">GeneralSettings!$I$4</definedName>
    <definedName name="Tenor" localSheetId="4">AUD1M!$G$1</definedName>
    <definedName name="Tenor" localSheetId="2">AUD3M!$G$1</definedName>
    <definedName name="Tenor" localSheetId="3">AUD6M!$G$1</definedName>
    <definedName name="Trigger">GeneralSettings!$D$5</definedName>
    <definedName name="YieldCurve_1M">GeneralSettings!$I$29</definedName>
    <definedName name="YieldCurve_3M">GeneralSettings!$I$13</definedName>
    <definedName name="YieldCurve_6M">GeneralSettings!$D$29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N6" i="14" l="1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J5" i="14" l="1"/>
  <c r="J4" i="14"/>
  <c r="G5" i="14"/>
  <c r="G4" i="14"/>
  <c r="G3" i="17"/>
  <c r="G3" i="15"/>
  <c r="G6" i="17"/>
  <c r="G5" i="16"/>
  <c r="G6" i="15"/>
  <c r="G6" i="16"/>
  <c r="G5" i="17"/>
  <c r="G4" i="16"/>
  <c r="G5" i="15"/>
  <c r="G3" i="16"/>
  <c r="G4" i="17"/>
  <c r="G4" i="15"/>
  <c r="O95" i="16" l="1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22" i="16"/>
  <c r="M22" i="16"/>
  <c r="M21" i="16"/>
  <c r="M20" i="16"/>
  <c r="M19" i="16"/>
  <c r="M18" i="16"/>
  <c r="M17" i="16"/>
  <c r="M16" i="16"/>
  <c r="M15" i="16"/>
  <c r="M14" i="16"/>
  <c r="M84" i="17"/>
  <c r="M83" i="17"/>
  <c r="M82" i="17"/>
  <c r="M81" i="17"/>
  <c r="M80" i="17"/>
  <c r="M79" i="17"/>
  <c r="M78" i="17"/>
  <c r="M77" i="17"/>
  <c r="M76" i="17"/>
  <c r="M75" i="17"/>
  <c r="M74" i="17"/>
  <c r="M73" i="17"/>
  <c r="M72" i="17"/>
  <c r="M71" i="17"/>
  <c r="M70" i="17"/>
  <c r="M69" i="17"/>
  <c r="M68" i="17"/>
  <c r="M67" i="17"/>
  <c r="M66" i="17"/>
  <c r="M65" i="17"/>
  <c r="M64" i="17"/>
  <c r="M63" i="17"/>
  <c r="M62" i="17"/>
  <c r="M61" i="17"/>
  <c r="M60" i="17"/>
  <c r="M59" i="17"/>
  <c r="M58" i="17"/>
  <c r="M57" i="17"/>
  <c r="M56" i="17"/>
  <c r="M55" i="17"/>
  <c r="M54" i="17"/>
  <c r="M53" i="17"/>
  <c r="M52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M16" i="17"/>
  <c r="M15" i="17"/>
  <c r="M14" i="17"/>
  <c r="M13" i="17"/>
  <c r="M12" i="17"/>
  <c r="M11" i="17"/>
  <c r="M10" i="17"/>
  <c r="M9" i="17"/>
  <c r="M8" i="17"/>
  <c r="M7" i="17"/>
  <c r="M6" i="17"/>
  <c r="M5" i="17"/>
  <c r="M4" i="17"/>
  <c r="J88" i="17"/>
  <c r="S84" i="17" s="1"/>
  <c r="J87" i="17"/>
  <c r="S83" i="17" s="1"/>
  <c r="J86" i="17"/>
  <c r="S82" i="17" s="1"/>
  <c r="J85" i="17"/>
  <c r="S81" i="17" s="1"/>
  <c r="J83" i="17"/>
  <c r="S79" i="17" s="1"/>
  <c r="J82" i="17"/>
  <c r="S78" i="17" s="1"/>
  <c r="J81" i="17"/>
  <c r="S77" i="17" s="1"/>
  <c r="J80" i="17"/>
  <c r="S76" i="17" s="1"/>
  <c r="J78" i="17"/>
  <c r="S74" i="17" s="1"/>
  <c r="J77" i="17"/>
  <c r="S73" i="17" s="1"/>
  <c r="J76" i="17"/>
  <c r="S72" i="17" s="1"/>
  <c r="J75" i="17"/>
  <c r="S71" i="17" s="1"/>
  <c r="J73" i="17"/>
  <c r="S69" i="17" s="1"/>
  <c r="J72" i="17"/>
  <c r="S68" i="17" s="1"/>
  <c r="J71" i="17"/>
  <c r="S67" i="17" s="1"/>
  <c r="J70" i="17"/>
  <c r="S66" i="17" s="1"/>
  <c r="J68" i="17"/>
  <c r="S64" i="17" s="1"/>
  <c r="J67" i="17"/>
  <c r="S63" i="17" s="1"/>
  <c r="J65" i="17"/>
  <c r="S61" i="17" s="1"/>
  <c r="J63" i="17"/>
  <c r="S59" i="17" s="1"/>
  <c r="J62" i="17"/>
  <c r="S58" i="17" s="1"/>
  <c r="J60" i="17"/>
  <c r="S56" i="17" s="1"/>
  <c r="J55" i="17"/>
  <c r="S51" i="17" s="1"/>
  <c r="J54" i="17"/>
  <c r="S50" i="17" s="1"/>
  <c r="J53" i="17"/>
  <c r="S49" i="17" s="1"/>
  <c r="J52" i="17"/>
  <c r="S48" i="17" s="1"/>
  <c r="J46" i="17"/>
  <c r="S44" i="17" s="1"/>
  <c r="J45" i="17"/>
  <c r="S43" i="17" s="1"/>
  <c r="J44" i="17"/>
  <c r="S42" i="17" s="1"/>
  <c r="J43" i="17"/>
  <c r="S41" i="17" s="1"/>
  <c r="J42" i="17"/>
  <c r="S40" i="17" s="1"/>
  <c r="J41" i="17"/>
  <c r="S39" i="17" s="1"/>
  <c r="J40" i="17"/>
  <c r="S38" i="17" s="1"/>
  <c r="J39" i="17"/>
  <c r="S37" i="17" s="1"/>
  <c r="J38" i="17"/>
  <c r="S36" i="17" s="1"/>
  <c r="J37" i="17"/>
  <c r="S35" i="17" s="1"/>
  <c r="J36" i="17"/>
  <c r="S34" i="17" s="1"/>
  <c r="J35" i="17"/>
  <c r="S33" i="17" s="1"/>
  <c r="J34" i="17"/>
  <c r="S32" i="17" s="1"/>
  <c r="J33" i="17"/>
  <c r="S31" i="17" s="1"/>
  <c r="J32" i="17"/>
  <c r="S30" i="17" s="1"/>
  <c r="J31" i="17"/>
  <c r="S29" i="17" s="1"/>
  <c r="J30" i="17"/>
  <c r="S28" i="17" s="1"/>
  <c r="J29" i="17"/>
  <c r="S27" i="17" s="1"/>
  <c r="J28" i="17"/>
  <c r="S26" i="17" s="1"/>
  <c r="J27" i="17"/>
  <c r="S25" i="17" s="1"/>
  <c r="J26" i="17"/>
  <c r="S24" i="17" s="1"/>
  <c r="J25" i="17"/>
  <c r="S23" i="17" s="1"/>
  <c r="J24" i="17"/>
  <c r="S22" i="17" s="1"/>
  <c r="J23" i="17"/>
  <c r="S21" i="17" s="1"/>
  <c r="J22" i="17"/>
  <c r="S20" i="17" s="1"/>
  <c r="J20" i="17"/>
  <c r="S18" i="17" s="1"/>
  <c r="J19" i="17"/>
  <c r="S17" i="17" s="1"/>
  <c r="J17" i="17"/>
  <c r="S15" i="17" s="1"/>
  <c r="J16" i="17"/>
  <c r="S14" i="17" s="1"/>
  <c r="J13" i="17"/>
  <c r="S11" i="17" s="1"/>
  <c r="J11" i="17"/>
  <c r="S9" i="17" s="1"/>
  <c r="J101" i="16"/>
  <c r="S95" i="16" s="1"/>
  <c r="J100" i="16"/>
  <c r="S94" i="16" s="1"/>
  <c r="J99" i="16"/>
  <c r="S93" i="16" s="1"/>
  <c r="J98" i="16"/>
  <c r="S92" i="16" s="1"/>
  <c r="J97" i="16"/>
  <c r="S91" i="16" s="1"/>
  <c r="J96" i="16"/>
  <c r="S90" i="16" s="1"/>
  <c r="J95" i="16"/>
  <c r="S89" i="16" s="1"/>
  <c r="J94" i="16"/>
  <c r="S88" i="16" s="1"/>
  <c r="J93" i="16"/>
  <c r="S87" i="16" s="1"/>
  <c r="J92" i="16"/>
  <c r="S86" i="16" s="1"/>
  <c r="J91" i="16"/>
  <c r="S85" i="16" s="1"/>
  <c r="J90" i="16"/>
  <c r="S84" i="16" s="1"/>
  <c r="J89" i="16"/>
  <c r="S83" i="16" s="1"/>
  <c r="J88" i="16"/>
  <c r="S82" i="16" s="1"/>
  <c r="J87" i="16"/>
  <c r="S81" i="16" s="1"/>
  <c r="J86" i="16"/>
  <c r="S80" i="16" s="1"/>
  <c r="J85" i="16"/>
  <c r="S79" i="16" s="1"/>
  <c r="J84" i="16"/>
  <c r="S78" i="16" s="1"/>
  <c r="J83" i="16"/>
  <c r="S77" i="16" s="1"/>
  <c r="J82" i="16"/>
  <c r="S76" i="16" s="1"/>
  <c r="J81" i="16"/>
  <c r="S75" i="16" s="1"/>
  <c r="J80" i="16"/>
  <c r="S74" i="16" s="1"/>
  <c r="J79" i="16"/>
  <c r="S73" i="16" s="1"/>
  <c r="J77" i="16"/>
  <c r="S71" i="16" s="1"/>
  <c r="J76" i="16"/>
  <c r="S70" i="16" s="1"/>
  <c r="J75" i="16"/>
  <c r="S69" i="16" s="1"/>
  <c r="J74" i="16"/>
  <c r="S68" i="16" s="1"/>
  <c r="J73" i="16"/>
  <c r="S67" i="16" s="1"/>
  <c r="J72" i="16"/>
  <c r="S66" i="16" s="1"/>
  <c r="J71" i="16"/>
  <c r="S65" i="16" s="1"/>
  <c r="J68" i="16"/>
  <c r="S62" i="16" s="1"/>
  <c r="J67" i="16"/>
  <c r="S61" i="16" s="1"/>
  <c r="J66" i="16"/>
  <c r="S60" i="16" s="1"/>
  <c r="J62" i="16"/>
  <c r="S58" i="16" s="1"/>
  <c r="J61" i="16"/>
  <c r="S57" i="16" s="1"/>
  <c r="J60" i="16"/>
  <c r="S56" i="16" s="1"/>
  <c r="J59" i="16"/>
  <c r="S55" i="16" s="1"/>
  <c r="J57" i="16"/>
  <c r="S53" i="16" s="1"/>
  <c r="J56" i="16"/>
  <c r="S52" i="16" s="1"/>
  <c r="J55" i="16"/>
  <c r="S51" i="16" s="1"/>
  <c r="J54" i="16"/>
  <c r="S50" i="16" s="1"/>
  <c r="J52" i="16"/>
  <c r="S48" i="16" s="1"/>
  <c r="J51" i="16"/>
  <c r="S47" i="16" s="1"/>
  <c r="J50" i="16"/>
  <c r="S46" i="16" s="1"/>
  <c r="J49" i="16"/>
  <c r="S45" i="16" s="1"/>
  <c r="J47" i="16"/>
  <c r="S43" i="16" s="1"/>
  <c r="J46" i="16"/>
  <c r="S42" i="16" s="1"/>
  <c r="J45" i="16"/>
  <c r="S41" i="16" s="1"/>
  <c r="J44" i="16"/>
  <c r="S40" i="16" s="1"/>
  <c r="J42" i="16"/>
  <c r="S38" i="16" s="1"/>
  <c r="J41" i="16"/>
  <c r="S37" i="16" s="1"/>
  <c r="J39" i="16"/>
  <c r="S35" i="16" s="1"/>
  <c r="J31" i="16"/>
  <c r="S27" i="16" s="1"/>
  <c r="J30" i="16"/>
  <c r="S26" i="16" s="1"/>
  <c r="J29" i="16"/>
  <c r="S25" i="16" s="1"/>
  <c r="J28" i="16"/>
  <c r="S24" i="16" s="1"/>
  <c r="J27" i="16"/>
  <c r="S23" i="16" s="1"/>
  <c r="J26" i="16"/>
  <c r="S22" i="16" s="1"/>
  <c r="J23" i="16"/>
  <c r="S21" i="16" s="1"/>
  <c r="J22" i="16"/>
  <c r="S20" i="16" s="1"/>
  <c r="J21" i="16"/>
  <c r="S19" i="16" s="1"/>
  <c r="J20" i="16"/>
  <c r="S18" i="16" s="1"/>
  <c r="J19" i="16"/>
  <c r="S17" i="16" s="1"/>
  <c r="J18" i="16"/>
  <c r="S16" i="16" s="1"/>
  <c r="J16" i="16"/>
  <c r="S14" i="16" s="1"/>
  <c r="J15" i="16"/>
  <c r="S13" i="16" s="1"/>
  <c r="J119" i="15"/>
  <c r="S111" i="15" s="1"/>
  <c r="J118" i="15"/>
  <c r="S110" i="15" s="1"/>
  <c r="J116" i="15"/>
  <c r="S108" i="15" s="1"/>
  <c r="J114" i="15"/>
  <c r="S106" i="15" s="1"/>
  <c r="J113" i="15"/>
  <c r="S105" i="15" s="1"/>
  <c r="J112" i="15"/>
  <c r="S104" i="15" s="1"/>
  <c r="J111" i="15"/>
  <c r="S103" i="15" s="1"/>
  <c r="J109" i="15"/>
  <c r="S101" i="15" s="1"/>
  <c r="J108" i="15"/>
  <c r="S100" i="15" s="1"/>
  <c r="J107" i="15"/>
  <c r="S99" i="15" s="1"/>
  <c r="J106" i="15"/>
  <c r="S98" i="15" s="1"/>
  <c r="J104" i="15"/>
  <c r="S96" i="15" s="1"/>
  <c r="J103" i="15"/>
  <c r="S95" i="15" s="1"/>
  <c r="J102" i="15"/>
  <c r="S94" i="15" s="1"/>
  <c r="J101" i="15"/>
  <c r="S93" i="15" s="1"/>
  <c r="J99" i="15"/>
  <c r="S91" i="15" s="1"/>
  <c r="J98" i="15"/>
  <c r="S90" i="15" s="1"/>
  <c r="J96" i="15"/>
  <c r="S88" i="15" s="1"/>
  <c r="J94" i="15"/>
  <c r="S86" i="15" s="1"/>
  <c r="J91" i="15"/>
  <c r="S83" i="15" s="1"/>
  <c r="J88" i="15"/>
  <c r="S80" i="15" s="1"/>
  <c r="J87" i="15"/>
  <c r="S79" i="15" s="1"/>
  <c r="J86" i="15"/>
  <c r="S78" i="15" s="1"/>
  <c r="J85" i="15"/>
  <c r="S77" i="15" s="1"/>
  <c r="J84" i="15"/>
  <c r="S76" i="15" s="1"/>
  <c r="J83" i="15"/>
  <c r="S75" i="15" s="1"/>
  <c r="J80" i="15"/>
  <c r="S74" i="15" s="1"/>
  <c r="J79" i="15"/>
  <c r="S73" i="15" s="1"/>
  <c r="J78" i="15"/>
  <c r="S72" i="15" s="1"/>
  <c r="J77" i="15"/>
  <c r="S71" i="15" s="1"/>
  <c r="J76" i="15"/>
  <c r="S70" i="15" s="1"/>
  <c r="J75" i="15"/>
  <c r="S69" i="15" s="1"/>
  <c r="J74" i="15"/>
  <c r="S68" i="15" s="1"/>
  <c r="J73" i="15"/>
  <c r="S67" i="15" s="1"/>
  <c r="J72" i="15"/>
  <c r="S66" i="15" s="1"/>
  <c r="J71" i="15"/>
  <c r="S65" i="15" s="1"/>
  <c r="J70" i="15"/>
  <c r="S64" i="15" s="1"/>
  <c r="J69" i="15"/>
  <c r="S63" i="15" s="1"/>
  <c r="J68" i="15"/>
  <c r="S62" i="15" s="1"/>
  <c r="J67" i="15"/>
  <c r="S61" i="15" s="1"/>
  <c r="J66" i="15"/>
  <c r="S60" i="15" s="1"/>
  <c r="J65" i="15"/>
  <c r="S59" i="15" s="1"/>
  <c r="J64" i="15"/>
  <c r="S58" i="15" s="1"/>
  <c r="J63" i="15"/>
  <c r="S57" i="15" s="1"/>
  <c r="J62" i="15"/>
  <c r="S56" i="15" s="1"/>
  <c r="J61" i="15"/>
  <c r="S55" i="15" s="1"/>
  <c r="J60" i="15"/>
  <c r="S54" i="15" s="1"/>
  <c r="J59" i="15"/>
  <c r="S53" i="15" s="1"/>
  <c r="J58" i="15"/>
  <c r="S52" i="15" s="1"/>
  <c r="J57" i="15"/>
  <c r="S51" i="15" s="1"/>
  <c r="J56" i="15"/>
  <c r="S50" i="15" s="1"/>
  <c r="J55" i="15"/>
  <c r="S49" i="15" s="1"/>
  <c r="J54" i="15"/>
  <c r="S48" i="15" s="1"/>
  <c r="J53" i="15"/>
  <c r="S47" i="15" s="1"/>
  <c r="J52" i="15"/>
  <c r="S46" i="15" s="1"/>
  <c r="J51" i="15"/>
  <c r="S45" i="15" s="1"/>
  <c r="J50" i="15"/>
  <c r="S44" i="15" s="1"/>
  <c r="J47" i="15"/>
  <c r="S41" i="15" s="1"/>
  <c r="J45" i="15"/>
  <c r="S39" i="15" s="1"/>
  <c r="J17" i="15"/>
  <c r="S15" i="15" s="1"/>
  <c r="J16" i="15"/>
  <c r="S14" i="15" s="1"/>
  <c r="J15" i="15"/>
  <c r="S13" i="15" s="1"/>
  <c r="J14" i="15"/>
  <c r="S12" i="15" s="1"/>
  <c r="J12" i="17"/>
  <c r="J18" i="17"/>
  <c r="O84" i="17"/>
  <c r="O80" i="17"/>
  <c r="O76" i="17"/>
  <c r="O72" i="17"/>
  <c r="O68" i="17"/>
  <c r="O64" i="17"/>
  <c r="O60" i="17"/>
  <c r="O56" i="17"/>
  <c r="O52" i="17"/>
  <c r="O48" i="17"/>
  <c r="O77" i="17"/>
  <c r="N84" i="17"/>
  <c r="N80" i="17"/>
  <c r="N76" i="17"/>
  <c r="N72" i="17"/>
  <c r="N68" i="17"/>
  <c r="N64" i="17"/>
  <c r="N60" i="17"/>
  <c r="N56" i="17"/>
  <c r="N52" i="17"/>
  <c r="N48" i="17"/>
  <c r="O73" i="17"/>
  <c r="O57" i="17"/>
  <c r="N49" i="17"/>
  <c r="O83" i="17"/>
  <c r="O79" i="17"/>
  <c r="O75" i="17"/>
  <c r="O71" i="17"/>
  <c r="O67" i="17"/>
  <c r="O63" i="17"/>
  <c r="O59" i="17"/>
  <c r="O55" i="17"/>
  <c r="O51" i="17"/>
  <c r="O47" i="17"/>
  <c r="O81" i="17"/>
  <c r="O49" i="17"/>
  <c r="N53" i="17"/>
  <c r="N83" i="17"/>
  <c r="N79" i="17"/>
  <c r="N75" i="17"/>
  <c r="N71" i="17"/>
  <c r="N67" i="17"/>
  <c r="N63" i="17"/>
  <c r="N59" i="17"/>
  <c r="N55" i="17"/>
  <c r="N51" i="17"/>
  <c r="N47" i="17"/>
  <c r="O61" i="17"/>
  <c r="O82" i="17"/>
  <c r="O78" i="17"/>
  <c r="O74" i="17"/>
  <c r="O70" i="17"/>
  <c r="O66" i="17"/>
  <c r="O62" i="17"/>
  <c r="O58" i="17"/>
  <c r="O54" i="17"/>
  <c r="O50" i="17"/>
  <c r="O46" i="17"/>
  <c r="O69" i="17"/>
  <c r="N82" i="17"/>
  <c r="N78" i="17"/>
  <c r="N74" i="17"/>
  <c r="N70" i="17"/>
  <c r="N66" i="17"/>
  <c r="N62" i="17"/>
  <c r="N58" i="17"/>
  <c r="N54" i="17"/>
  <c r="N50" i="17"/>
  <c r="N46" i="17"/>
  <c r="O65" i="17"/>
  <c r="O53" i="17"/>
  <c r="N81" i="17"/>
  <c r="N77" i="17"/>
  <c r="N73" i="17"/>
  <c r="N69" i="17"/>
  <c r="N65" i="17"/>
  <c r="N61" i="17"/>
  <c r="N57" i="17"/>
  <c r="O45" i="17"/>
  <c r="N45" i="17"/>
  <c r="O41" i="17"/>
  <c r="O37" i="17"/>
  <c r="O33" i="17"/>
  <c r="O29" i="17"/>
  <c r="O25" i="17"/>
  <c r="O21" i="17"/>
  <c r="O17" i="17"/>
  <c r="O13" i="17"/>
  <c r="O9" i="17"/>
  <c r="O40" i="17"/>
  <c r="O36" i="17"/>
  <c r="O32" i="17"/>
  <c r="O28" i="17"/>
  <c r="O24" i="17"/>
  <c r="O20" i="17"/>
  <c r="O16" i="17"/>
  <c r="O12" i="17"/>
  <c r="N44" i="17"/>
  <c r="N40" i="17"/>
  <c r="N32" i="17"/>
  <c r="N28" i="17"/>
  <c r="N24" i="17"/>
  <c r="N20" i="17"/>
  <c r="N16" i="17"/>
  <c r="N12" i="17"/>
  <c r="O39" i="17"/>
  <c r="O23" i="17"/>
  <c r="O19" i="17"/>
  <c r="O11" i="17"/>
  <c r="N43" i="17"/>
  <c r="N35" i="17"/>
  <c r="N27" i="17"/>
  <c r="N19" i="17"/>
  <c r="N11" i="17"/>
  <c r="O42" i="17"/>
  <c r="O26" i="17"/>
  <c r="O18" i="17"/>
  <c r="O10" i="17"/>
  <c r="N42" i="17"/>
  <c r="N30" i="17"/>
  <c r="N18" i="17"/>
  <c r="N10" i="17"/>
  <c r="N41" i="17"/>
  <c r="N37" i="17"/>
  <c r="N33" i="17"/>
  <c r="N29" i="17"/>
  <c r="N25" i="17"/>
  <c r="N21" i="17"/>
  <c r="N17" i="17"/>
  <c r="N13" i="17"/>
  <c r="N9" i="17"/>
  <c r="O44" i="17"/>
  <c r="O31" i="17"/>
  <c r="O27" i="17"/>
  <c r="O15" i="17"/>
  <c r="N39" i="17"/>
  <c r="N31" i="17"/>
  <c r="N23" i="17"/>
  <c r="N15" i="17"/>
  <c r="O38" i="17"/>
  <c r="O30" i="17"/>
  <c r="O22" i="17"/>
  <c r="O14" i="17"/>
  <c r="N38" i="17"/>
  <c r="N26" i="17"/>
  <c r="N22" i="17"/>
  <c r="N14" i="17"/>
  <c r="O35" i="17"/>
  <c r="O34" i="17"/>
  <c r="N34" i="17"/>
  <c r="N36" i="17"/>
  <c r="O43" i="17"/>
  <c r="O8" i="17"/>
  <c r="N8" i="17"/>
  <c r="N7" i="17"/>
  <c r="N6" i="17"/>
  <c r="N5" i="17"/>
  <c r="N4" i="17"/>
  <c r="N3" i="17"/>
  <c r="N95" i="16"/>
  <c r="N91" i="16"/>
  <c r="N87" i="16"/>
  <c r="N83" i="16"/>
  <c r="N79" i="16"/>
  <c r="N75" i="16"/>
  <c r="N71" i="16"/>
  <c r="N67" i="16"/>
  <c r="N63" i="16"/>
  <c r="N94" i="16"/>
  <c r="N90" i="16"/>
  <c r="N86" i="16"/>
  <c r="N82" i="16"/>
  <c r="N78" i="16"/>
  <c r="N74" i="16"/>
  <c r="N70" i="16"/>
  <c r="N66" i="16"/>
  <c r="N62" i="16"/>
  <c r="N93" i="16"/>
  <c r="N89" i="16"/>
  <c r="N85" i="16"/>
  <c r="N81" i="16"/>
  <c r="N77" i="16"/>
  <c r="N73" i="16"/>
  <c r="N69" i="16"/>
  <c r="N65" i="16"/>
  <c r="N61" i="16"/>
  <c r="N92" i="16"/>
  <c r="N88" i="16"/>
  <c r="N84" i="16"/>
  <c r="N80" i="16"/>
  <c r="N76" i="16"/>
  <c r="N72" i="16"/>
  <c r="N68" i="16"/>
  <c r="N64" i="16"/>
  <c r="N60" i="16"/>
  <c r="N59" i="16"/>
  <c r="N55" i="16"/>
  <c r="N51" i="16"/>
  <c r="N47" i="16"/>
  <c r="N43" i="16"/>
  <c r="N39" i="16"/>
  <c r="N35" i="16"/>
  <c r="N31" i="16"/>
  <c r="N27" i="16"/>
  <c r="N23" i="16"/>
  <c r="N58" i="16"/>
  <c r="N54" i="16"/>
  <c r="N50" i="16"/>
  <c r="N46" i="16"/>
  <c r="N42" i="16"/>
  <c r="N38" i="16"/>
  <c r="N34" i="16"/>
  <c r="N30" i="16"/>
  <c r="N26" i="16"/>
  <c r="N57" i="16"/>
  <c r="N53" i="16"/>
  <c r="N49" i="16"/>
  <c r="N45" i="16"/>
  <c r="N41" i="16"/>
  <c r="N37" i="16"/>
  <c r="N33" i="16"/>
  <c r="N29" i="16"/>
  <c r="N25" i="16"/>
  <c r="N56" i="16"/>
  <c r="N52" i="16"/>
  <c r="N48" i="16"/>
  <c r="N44" i="16"/>
  <c r="N40" i="16"/>
  <c r="N36" i="16"/>
  <c r="N32" i="16"/>
  <c r="N28" i="16"/>
  <c r="N24" i="16"/>
  <c r="N22" i="16"/>
  <c r="N14" i="16"/>
  <c r="N21" i="16"/>
  <c r="N20" i="16"/>
  <c r="N19" i="16"/>
  <c r="N18" i="16"/>
  <c r="N17" i="16"/>
  <c r="N16" i="16"/>
  <c r="N15" i="16"/>
  <c r="N13" i="16"/>
  <c r="N5" i="16"/>
  <c r="N12" i="16"/>
  <c r="N4" i="16"/>
  <c r="N11" i="16"/>
  <c r="N10" i="16"/>
  <c r="N9" i="16"/>
  <c r="N8" i="16"/>
  <c r="N7" i="16"/>
  <c r="N6" i="16"/>
  <c r="N3" i="16"/>
  <c r="O111" i="15"/>
  <c r="O107" i="15"/>
  <c r="O103" i="15"/>
  <c r="O99" i="15"/>
  <c r="O95" i="15"/>
  <c r="O91" i="15"/>
  <c r="O87" i="15"/>
  <c r="O83" i="15"/>
  <c r="O79" i="15"/>
  <c r="N111" i="15"/>
  <c r="N107" i="15"/>
  <c r="N103" i="15"/>
  <c r="N99" i="15"/>
  <c r="N95" i="15"/>
  <c r="N91" i="15"/>
  <c r="N87" i="15"/>
  <c r="N83" i="15"/>
  <c r="N79" i="15"/>
  <c r="O106" i="15"/>
  <c r="O98" i="15"/>
  <c r="O90" i="15"/>
  <c r="O82" i="15"/>
  <c r="N106" i="15"/>
  <c r="N102" i="15"/>
  <c r="N98" i="15"/>
  <c r="N94" i="15"/>
  <c r="N90" i="15"/>
  <c r="N82" i="15"/>
  <c r="O97" i="15"/>
  <c r="O89" i="15"/>
  <c r="O77" i="15"/>
  <c r="O108" i="15"/>
  <c r="O88" i="15"/>
  <c r="O76" i="15"/>
  <c r="N108" i="15"/>
  <c r="N96" i="15"/>
  <c r="N84" i="15"/>
  <c r="N80" i="15"/>
  <c r="N86" i="15"/>
  <c r="O104" i="15"/>
  <c r="O84" i="15"/>
  <c r="N100" i="15"/>
  <c r="O110" i="15"/>
  <c r="O102" i="15"/>
  <c r="O94" i="15"/>
  <c r="O86" i="15"/>
  <c r="O78" i="15"/>
  <c r="N78" i="15"/>
  <c r="O101" i="15"/>
  <c r="O85" i="15"/>
  <c r="O100" i="15"/>
  <c r="O96" i="15"/>
  <c r="O92" i="15"/>
  <c r="O80" i="15"/>
  <c r="N104" i="15"/>
  <c r="N92" i="15"/>
  <c r="N88" i="15"/>
  <c r="N76" i="15"/>
  <c r="N110" i="15"/>
  <c r="O109" i="15"/>
  <c r="O105" i="15"/>
  <c r="O93" i="15"/>
  <c r="O81" i="15"/>
  <c r="N109" i="15"/>
  <c r="N105" i="15"/>
  <c r="N101" i="15"/>
  <c r="N97" i="15"/>
  <c r="N93" i="15"/>
  <c r="N89" i="15"/>
  <c r="N85" i="15"/>
  <c r="N81" i="15"/>
  <c r="N77" i="15"/>
  <c r="O75" i="15"/>
  <c r="N75" i="15"/>
  <c r="N67" i="15"/>
  <c r="N59" i="15"/>
  <c r="N51" i="15"/>
  <c r="N43" i="15"/>
  <c r="N74" i="15"/>
  <c r="N66" i="15"/>
  <c r="N58" i="15"/>
  <c r="N50" i="15"/>
  <c r="N42" i="15"/>
  <c r="N73" i="15"/>
  <c r="N57" i="15"/>
  <c r="N49" i="15"/>
  <c r="N41" i="15"/>
  <c r="N64" i="15"/>
  <c r="N56" i="15"/>
  <c r="N48" i="15"/>
  <c r="N40" i="15"/>
  <c r="N63" i="15"/>
  <c r="N39" i="15"/>
  <c r="N62" i="15"/>
  <c r="N61" i="15"/>
  <c r="N60" i="15"/>
  <c r="N47" i="15"/>
  <c r="N53" i="15"/>
  <c r="N52" i="15"/>
  <c r="N65" i="15"/>
  <c r="N55" i="15"/>
  <c r="N54" i="15"/>
  <c r="N69" i="15"/>
  <c r="N45" i="15"/>
  <c r="N68" i="15"/>
  <c r="N44" i="15"/>
  <c r="N72" i="15"/>
  <c r="N71" i="15"/>
  <c r="N70" i="15"/>
  <c r="N46" i="15"/>
  <c r="N38" i="15"/>
  <c r="N15" i="15"/>
  <c r="N14" i="15"/>
  <c r="N13" i="15"/>
  <c r="N12" i="15"/>
  <c r="N11" i="15"/>
  <c r="N10" i="15"/>
  <c r="N9" i="15"/>
  <c r="N8" i="15"/>
  <c r="N7" i="15"/>
  <c r="N6" i="15"/>
  <c r="N5" i="15"/>
  <c r="N4" i="15"/>
  <c r="N3" i="15"/>
  <c r="N113" i="14"/>
  <c r="N105" i="14"/>
  <c r="N97" i="14"/>
  <c r="N89" i="14"/>
  <c r="N81" i="14"/>
  <c r="N73" i="14"/>
  <c r="N65" i="14"/>
  <c r="N110" i="14"/>
  <c r="N62" i="14"/>
  <c r="N99" i="14"/>
  <c r="N112" i="14"/>
  <c r="N104" i="14"/>
  <c r="N96" i="14"/>
  <c r="N88" i="14"/>
  <c r="N80" i="14"/>
  <c r="N72" i="14"/>
  <c r="N64" i="14"/>
  <c r="N94" i="14"/>
  <c r="N70" i="14"/>
  <c r="N107" i="14"/>
  <c r="N111" i="14"/>
  <c r="N103" i="14"/>
  <c r="N95" i="14"/>
  <c r="N87" i="14"/>
  <c r="N79" i="14"/>
  <c r="N71" i="14"/>
  <c r="N63" i="14"/>
  <c r="N102" i="14"/>
  <c r="N78" i="14"/>
  <c r="N91" i="14"/>
  <c r="N86" i="14"/>
  <c r="N109" i="14"/>
  <c r="N101" i="14"/>
  <c r="N93" i="14"/>
  <c r="N85" i="14"/>
  <c r="N77" i="14"/>
  <c r="N69" i="14"/>
  <c r="N61" i="14"/>
  <c r="N83" i="14"/>
  <c r="N108" i="14"/>
  <c r="N100" i="14"/>
  <c r="N92" i="14"/>
  <c r="N84" i="14"/>
  <c r="N76" i="14"/>
  <c r="N68" i="14"/>
  <c r="N75" i="14"/>
  <c r="N106" i="14"/>
  <c r="N98" i="14"/>
  <c r="N90" i="14"/>
  <c r="N82" i="14"/>
  <c r="N74" i="14"/>
  <c r="N66" i="14"/>
  <c r="N67" i="14"/>
  <c r="N60" i="14"/>
  <c r="N59" i="14"/>
  <c r="J93" i="15"/>
  <c r="J78" i="16"/>
  <c r="J21" i="17"/>
  <c r="J57" i="17"/>
  <c r="J56" i="17"/>
  <c r="J17" i="16"/>
  <c r="J46" i="15"/>
  <c r="J117" i="15"/>
  <c r="J13" i="15"/>
  <c r="J12" i="15"/>
  <c r="J3" i="14"/>
  <c r="S10" i="17" l="1"/>
  <c r="S16" i="17"/>
  <c r="S85" i="15"/>
  <c r="S72" i="16"/>
  <c r="S19" i="17"/>
  <c r="S53" i="17"/>
  <c r="S52" i="17"/>
  <c r="S15" i="16"/>
  <c r="S40" i="15"/>
  <c r="S10" i="15"/>
  <c r="S109" i="15"/>
  <c r="S11" i="15"/>
  <c r="J9" i="14"/>
  <c r="J10" i="14"/>
  <c r="J18" i="14"/>
  <c r="J17" i="14"/>
  <c r="J61" i="14"/>
  <c r="J64" i="14"/>
  <c r="J65" i="14"/>
  <c r="J66" i="14"/>
  <c r="J67" i="14"/>
  <c r="J68" i="14"/>
  <c r="J69" i="14"/>
  <c r="J71" i="14"/>
  <c r="J72" i="14"/>
  <c r="J73" i="14"/>
  <c r="J76" i="14"/>
  <c r="J77" i="14"/>
  <c r="J70" i="14"/>
  <c r="J74" i="14"/>
  <c r="J75" i="14"/>
  <c r="J79" i="14"/>
  <c r="J80" i="14"/>
  <c r="J81" i="14"/>
  <c r="J82" i="14"/>
  <c r="J83" i="14"/>
  <c r="J85" i="14"/>
  <c r="J86" i="14"/>
  <c r="J87" i="14"/>
  <c r="J88" i="14"/>
  <c r="J89" i="14"/>
  <c r="J91" i="14"/>
  <c r="J92" i="14"/>
  <c r="J93" i="14"/>
  <c r="J95" i="14"/>
  <c r="J96" i="14"/>
  <c r="J97" i="14"/>
  <c r="J99" i="14"/>
  <c r="J100" i="14"/>
  <c r="J101" i="14"/>
  <c r="J112" i="14"/>
  <c r="J114" i="14"/>
  <c r="J115" i="14"/>
  <c r="J116" i="14"/>
  <c r="J117" i="14"/>
  <c r="J20" i="14"/>
  <c r="J30" i="14"/>
  <c r="J40" i="14"/>
  <c r="J48" i="14"/>
  <c r="J56" i="14"/>
  <c r="J55" i="14"/>
  <c r="J21" i="14"/>
  <c r="J31" i="14"/>
  <c r="J41" i="14"/>
  <c r="J49" i="14"/>
  <c r="J57" i="14"/>
  <c r="J23" i="14"/>
  <c r="J32" i="14"/>
  <c r="J42" i="14"/>
  <c r="J50" i="14"/>
  <c r="J58" i="14"/>
  <c r="J60" i="14"/>
  <c r="J25" i="14"/>
  <c r="J33" i="14"/>
  <c r="J43" i="14"/>
  <c r="J51" i="14"/>
  <c r="J59" i="14"/>
  <c r="J26" i="14"/>
  <c r="J35" i="14"/>
  <c r="J44" i="14"/>
  <c r="J52" i="14"/>
  <c r="J27" i="14"/>
  <c r="J36" i="14"/>
  <c r="J45" i="14"/>
  <c r="J53" i="14"/>
  <c r="J47" i="14"/>
  <c r="J24" i="14"/>
  <c r="J37" i="14"/>
  <c r="J46" i="14"/>
  <c r="J54" i="14"/>
  <c r="J29" i="14"/>
  <c r="J39" i="14"/>
  <c r="J38" i="14"/>
  <c r="J34" i="14"/>
  <c r="J28" i="14"/>
  <c r="J22" i="14"/>
  <c r="S62" i="14" l="1"/>
  <c r="S66" i="14"/>
  <c r="S82" i="14"/>
  <c r="S67" i="14"/>
  <c r="S75" i="14"/>
  <c r="S83" i="14"/>
  <c r="S91" i="14"/>
  <c r="S68" i="14"/>
  <c r="S76" i="14"/>
  <c r="S84" i="14"/>
  <c r="S92" i="14"/>
  <c r="S108" i="14"/>
  <c r="S85" i="14"/>
  <c r="S93" i="14"/>
  <c r="S110" i="14"/>
  <c r="S77" i="14"/>
  <c r="S63" i="14"/>
  <c r="S71" i="14"/>
  <c r="S79" i="14"/>
  <c r="S87" i="14"/>
  <c r="S95" i="14"/>
  <c r="S111" i="14"/>
  <c r="S61" i="14"/>
  <c r="S78" i="14"/>
  <c r="S64" i="14"/>
  <c r="S72" i="14"/>
  <c r="S88" i="14"/>
  <c r="S96" i="14"/>
  <c r="S112" i="14"/>
  <c r="S69" i="14"/>
  <c r="S70" i="14"/>
  <c r="S65" i="14"/>
  <c r="S73" i="14"/>
  <c r="S81" i="14"/>
  <c r="S89" i="14"/>
  <c r="S97" i="14"/>
  <c r="S113" i="14"/>
  <c r="S30" i="14"/>
  <c r="S8" i="14"/>
  <c r="S28" i="14"/>
  <c r="S36" i="14"/>
  <c r="S44" i="14"/>
  <c r="S60" i="14"/>
  <c r="S52" i="14"/>
  <c r="S21" i="14"/>
  <c r="S29" i="14"/>
  <c r="S37" i="14"/>
  <c r="S45" i="14"/>
  <c r="S53" i="14"/>
  <c r="S31" i="14"/>
  <c r="S39" i="14"/>
  <c r="S47" i="14"/>
  <c r="S55" i="14"/>
  <c r="S22" i="14"/>
  <c r="S48" i="14"/>
  <c r="S56" i="14"/>
  <c r="S54" i="14"/>
  <c r="S15" i="14"/>
  <c r="S24" i="14"/>
  <c r="S40" i="14"/>
  <c r="S25" i="14"/>
  <c r="S33" i="14"/>
  <c r="S41" i="14"/>
  <c r="S49" i="14"/>
  <c r="S57" i="14"/>
  <c r="S38" i="14"/>
  <c r="S23" i="14"/>
  <c r="S18" i="14"/>
  <c r="S34" i="14"/>
  <c r="S42" i="14"/>
  <c r="S50" i="14"/>
  <c r="S58" i="14"/>
  <c r="S46" i="14"/>
  <c r="S7" i="14"/>
  <c r="S16" i="14"/>
  <c r="S19" i="14"/>
  <c r="S27" i="14"/>
  <c r="S35" i="14"/>
  <c r="S43" i="14"/>
  <c r="S51" i="14"/>
  <c r="S59" i="14"/>
  <c r="S5" i="14"/>
  <c r="S4" i="14"/>
  <c r="S32" i="14"/>
  <c r="S26" i="14"/>
  <c r="S3" i="14"/>
  <c r="S20" i="14"/>
  <c r="AH23" i="14" l="1"/>
  <c r="AM23" i="14" s="1"/>
  <c r="AH22" i="14"/>
  <c r="AM22" i="14" s="1"/>
  <c r="AH21" i="14"/>
  <c r="AM21" i="14" s="1"/>
  <c r="AH20" i="14"/>
  <c r="AM20" i="14" s="1"/>
  <c r="AH19" i="14"/>
  <c r="AM19" i="14" s="1"/>
  <c r="AH18" i="14"/>
  <c r="AM18" i="14" s="1"/>
  <c r="AH17" i="14"/>
  <c r="AM17" i="14" s="1"/>
  <c r="AH16" i="14"/>
  <c r="AM16" i="14" s="1"/>
  <c r="AH15" i="14"/>
  <c r="AM15" i="14" s="1"/>
  <c r="AH14" i="14"/>
  <c r="AM14" i="14" s="1"/>
  <c r="AH13" i="14"/>
  <c r="AM13" i="14" s="1"/>
  <c r="AH12" i="14"/>
  <c r="AM12" i="14" s="1"/>
  <c r="AH11" i="14"/>
  <c r="AM11" i="14" s="1"/>
  <c r="AJ22" i="14"/>
  <c r="AJ16" i="14"/>
  <c r="AJ18" i="14"/>
  <c r="AJ12" i="14"/>
  <c r="AJ21" i="14"/>
  <c r="AJ14" i="14"/>
  <c r="AJ20" i="14"/>
  <c r="AJ19" i="14"/>
  <c r="AJ15" i="14"/>
  <c r="AJ23" i="14"/>
  <c r="AJ17" i="14"/>
  <c r="AJ13" i="14"/>
  <c r="AJ11" i="14"/>
  <c r="L46" i="17" l="1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G50" i="17"/>
  <c r="H50" i="17"/>
  <c r="I50" i="17"/>
  <c r="G51" i="17"/>
  <c r="H51" i="17"/>
  <c r="I51" i="17"/>
  <c r="G52" i="17"/>
  <c r="H52" i="17"/>
  <c r="I52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4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49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H101" i="16"/>
  <c r="M95" i="16" s="1"/>
  <c r="H100" i="16"/>
  <c r="M94" i="16" s="1"/>
  <c r="H99" i="16"/>
  <c r="M93" i="16" s="1"/>
  <c r="H98" i="16"/>
  <c r="M92" i="16" s="1"/>
  <c r="H97" i="16"/>
  <c r="M91" i="16" s="1"/>
  <c r="H96" i="16"/>
  <c r="M90" i="16" s="1"/>
  <c r="H95" i="16"/>
  <c r="M89" i="16" s="1"/>
  <c r="H94" i="16"/>
  <c r="M88" i="16" s="1"/>
  <c r="H93" i="16"/>
  <c r="M87" i="16" s="1"/>
  <c r="H92" i="16"/>
  <c r="M86" i="16" s="1"/>
  <c r="H91" i="16"/>
  <c r="M85" i="16" s="1"/>
  <c r="H90" i="16"/>
  <c r="M84" i="16" s="1"/>
  <c r="H89" i="16"/>
  <c r="M83" i="16" s="1"/>
  <c r="H88" i="16"/>
  <c r="M82" i="16" s="1"/>
  <c r="H87" i="16"/>
  <c r="M81" i="16" s="1"/>
  <c r="H86" i="16"/>
  <c r="M80" i="16" s="1"/>
  <c r="H85" i="16"/>
  <c r="M79" i="16" s="1"/>
  <c r="H84" i="16"/>
  <c r="M78" i="16" s="1"/>
  <c r="H83" i="16"/>
  <c r="M77" i="16" s="1"/>
  <c r="H82" i="16"/>
  <c r="M76" i="16" s="1"/>
  <c r="H81" i="16"/>
  <c r="M75" i="16" s="1"/>
  <c r="H80" i="16"/>
  <c r="M74" i="16" s="1"/>
  <c r="H79" i="16"/>
  <c r="M73" i="16" s="1"/>
  <c r="H78" i="16"/>
  <c r="M72" i="16" s="1"/>
  <c r="H77" i="16"/>
  <c r="M71" i="16" s="1"/>
  <c r="H76" i="16"/>
  <c r="M70" i="16" s="1"/>
  <c r="H75" i="16"/>
  <c r="M69" i="16" s="1"/>
  <c r="H74" i="16"/>
  <c r="M68" i="16" s="1"/>
  <c r="H73" i="16"/>
  <c r="M67" i="16" s="1"/>
  <c r="H72" i="16"/>
  <c r="M66" i="16" s="1"/>
  <c r="H71" i="16"/>
  <c r="M65" i="16" s="1"/>
  <c r="H70" i="16"/>
  <c r="H69" i="16"/>
  <c r="H68" i="16"/>
  <c r="M62" i="16" s="1"/>
  <c r="H67" i="16"/>
  <c r="M61" i="16" s="1"/>
  <c r="H66" i="16"/>
  <c r="M60" i="16" s="1"/>
  <c r="H65" i="16"/>
  <c r="G8" i="16"/>
  <c r="G9" i="16"/>
  <c r="G10" i="16"/>
  <c r="G11" i="16"/>
  <c r="G12" i="16"/>
  <c r="T83" i="17"/>
  <c r="T81" i="17"/>
  <c r="J51" i="17"/>
  <c r="T84" i="17"/>
  <c r="T82" i="17"/>
  <c r="T50" i="17"/>
  <c r="U84" i="17"/>
  <c r="U51" i="17"/>
  <c r="U82" i="17"/>
  <c r="U81" i="17"/>
  <c r="U48" i="17"/>
  <c r="T48" i="17"/>
  <c r="T51" i="17"/>
  <c r="U50" i="17"/>
  <c r="U49" i="17"/>
  <c r="U83" i="17"/>
  <c r="T49" i="17"/>
  <c r="J50" i="17"/>
  <c r="M59" i="16" l="1"/>
  <c r="M63" i="16"/>
  <c r="M64" i="16"/>
  <c r="S46" i="17"/>
  <c r="S47" i="17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H83" i="15"/>
  <c r="G15" i="15"/>
  <c r="G16" i="15"/>
  <c r="G17" i="15"/>
  <c r="C15" i="15"/>
  <c r="H15" i="15" s="1"/>
  <c r="L11" i="15"/>
  <c r="L12" i="15"/>
  <c r="L13" i="15"/>
  <c r="L14" i="15"/>
  <c r="L15" i="15"/>
  <c r="L10" i="15"/>
  <c r="M106" i="15" l="1"/>
  <c r="M81" i="15"/>
  <c r="M89" i="15"/>
  <c r="M97" i="15"/>
  <c r="M105" i="15"/>
  <c r="M90" i="15"/>
  <c r="M76" i="15"/>
  <c r="M84" i="15"/>
  <c r="M92" i="15"/>
  <c r="M100" i="15"/>
  <c r="M108" i="15"/>
  <c r="M82" i="15"/>
  <c r="M83" i="15"/>
  <c r="M77" i="15"/>
  <c r="M85" i="15"/>
  <c r="M93" i="15"/>
  <c r="M101" i="15"/>
  <c r="M109" i="15"/>
  <c r="M99" i="15"/>
  <c r="M78" i="15"/>
  <c r="M86" i="15"/>
  <c r="M94" i="15"/>
  <c r="M102" i="15"/>
  <c r="M110" i="15"/>
  <c r="M13" i="15"/>
  <c r="M98" i="15"/>
  <c r="M91" i="15"/>
  <c r="M79" i="15"/>
  <c r="M87" i="15"/>
  <c r="M95" i="15"/>
  <c r="M103" i="15"/>
  <c r="M111" i="15"/>
  <c r="M107" i="15"/>
  <c r="M75" i="15"/>
  <c r="M80" i="15"/>
  <c r="M88" i="15"/>
  <c r="M96" i="15"/>
  <c r="M104" i="15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60" i="14"/>
  <c r="L58" i="14"/>
  <c r="L59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56" i="14"/>
  <c r="L57" i="14"/>
  <c r="H65" i="14"/>
  <c r="M61" i="14" s="1"/>
  <c r="H66" i="14"/>
  <c r="M62" i="14" s="1"/>
  <c r="H67" i="14"/>
  <c r="M63" i="14" s="1"/>
  <c r="H68" i="14"/>
  <c r="M64" i="14" s="1"/>
  <c r="H69" i="14"/>
  <c r="M65" i="14" s="1"/>
  <c r="H70" i="14"/>
  <c r="M66" i="14" s="1"/>
  <c r="H71" i="14"/>
  <c r="M67" i="14" s="1"/>
  <c r="H72" i="14"/>
  <c r="M68" i="14" s="1"/>
  <c r="H73" i="14"/>
  <c r="M69" i="14" s="1"/>
  <c r="H74" i="14"/>
  <c r="M70" i="14" s="1"/>
  <c r="H75" i="14"/>
  <c r="M71" i="14" s="1"/>
  <c r="H76" i="14"/>
  <c r="M72" i="14" s="1"/>
  <c r="H77" i="14"/>
  <c r="M73" i="14" s="1"/>
  <c r="H78" i="14"/>
  <c r="H79" i="14"/>
  <c r="M75" i="14" s="1"/>
  <c r="H80" i="14"/>
  <c r="M76" i="14" s="1"/>
  <c r="H81" i="14"/>
  <c r="M77" i="14" s="1"/>
  <c r="H82" i="14"/>
  <c r="M78" i="14" s="1"/>
  <c r="H83" i="14"/>
  <c r="M79" i="14" s="1"/>
  <c r="H84" i="14"/>
  <c r="H85" i="14"/>
  <c r="M81" i="14" s="1"/>
  <c r="H86" i="14"/>
  <c r="M82" i="14" s="1"/>
  <c r="H87" i="14"/>
  <c r="M83" i="14" s="1"/>
  <c r="H88" i="14"/>
  <c r="M84" i="14" s="1"/>
  <c r="H89" i="14"/>
  <c r="M85" i="14" s="1"/>
  <c r="H90" i="14"/>
  <c r="H91" i="14"/>
  <c r="M87" i="14" s="1"/>
  <c r="H92" i="14"/>
  <c r="M88" i="14" s="1"/>
  <c r="H93" i="14"/>
  <c r="M89" i="14" s="1"/>
  <c r="H94" i="14"/>
  <c r="H95" i="14"/>
  <c r="M91" i="14" s="1"/>
  <c r="H96" i="14"/>
  <c r="M92" i="14" s="1"/>
  <c r="H97" i="14"/>
  <c r="M93" i="14" s="1"/>
  <c r="H98" i="14"/>
  <c r="H99" i="14"/>
  <c r="M95" i="14" s="1"/>
  <c r="H100" i="14"/>
  <c r="M96" i="14" s="1"/>
  <c r="H101" i="14"/>
  <c r="M97" i="14" s="1"/>
  <c r="H102" i="14"/>
  <c r="H103" i="14"/>
  <c r="H104" i="14"/>
  <c r="H105" i="14"/>
  <c r="H106" i="14"/>
  <c r="H107" i="14"/>
  <c r="H108" i="14"/>
  <c r="H109" i="14"/>
  <c r="H110" i="14"/>
  <c r="H111" i="14"/>
  <c r="H112" i="14"/>
  <c r="M108" i="14" s="1"/>
  <c r="H113" i="14"/>
  <c r="H114" i="14"/>
  <c r="M110" i="14" s="1"/>
  <c r="H115" i="14"/>
  <c r="M111" i="14" s="1"/>
  <c r="H116" i="14"/>
  <c r="M112" i="14" s="1"/>
  <c r="H117" i="14"/>
  <c r="M113" i="14" s="1"/>
  <c r="H64" i="14"/>
  <c r="M60" i="14" s="1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64" i="14"/>
  <c r="G9" i="14"/>
  <c r="H9" i="14"/>
  <c r="M7" i="14" s="1"/>
  <c r="G10" i="14"/>
  <c r="H10" i="14"/>
  <c r="M8" i="14" s="1"/>
  <c r="G11" i="14"/>
  <c r="H11" i="14"/>
  <c r="G12" i="14"/>
  <c r="H12" i="14"/>
  <c r="G13" i="14"/>
  <c r="H13" i="14"/>
  <c r="G14" i="14"/>
  <c r="H14" i="14"/>
  <c r="G15" i="14"/>
  <c r="H15" i="14"/>
  <c r="G16" i="14"/>
  <c r="H16" i="14"/>
  <c r="G17" i="14"/>
  <c r="H17" i="14"/>
  <c r="M15" i="14" s="1"/>
  <c r="G18" i="14"/>
  <c r="H18" i="14"/>
  <c r="M16" i="14" s="1"/>
  <c r="G19" i="14"/>
  <c r="H19" i="14"/>
  <c r="G20" i="14"/>
  <c r="H20" i="14"/>
  <c r="M18" i="14" s="1"/>
  <c r="G21" i="14"/>
  <c r="H21" i="14"/>
  <c r="M19" i="14" s="1"/>
  <c r="G22" i="14"/>
  <c r="H22" i="14"/>
  <c r="M20" i="14" s="1"/>
  <c r="G23" i="14"/>
  <c r="H23" i="14"/>
  <c r="M21" i="14" s="1"/>
  <c r="G24" i="14"/>
  <c r="H24" i="14"/>
  <c r="M22" i="14" s="1"/>
  <c r="G25" i="14"/>
  <c r="H25" i="14"/>
  <c r="M23" i="14" s="1"/>
  <c r="G26" i="14"/>
  <c r="H26" i="14"/>
  <c r="M24" i="14" s="1"/>
  <c r="G27" i="14"/>
  <c r="H27" i="14"/>
  <c r="M25" i="14" s="1"/>
  <c r="G28" i="14"/>
  <c r="H28" i="14"/>
  <c r="M26" i="14" s="1"/>
  <c r="G29" i="14"/>
  <c r="H29" i="14"/>
  <c r="M27" i="14" s="1"/>
  <c r="G30" i="14"/>
  <c r="H30" i="14"/>
  <c r="M28" i="14" s="1"/>
  <c r="G31" i="14"/>
  <c r="H31" i="14"/>
  <c r="M29" i="14" s="1"/>
  <c r="G32" i="14"/>
  <c r="H32" i="14"/>
  <c r="M30" i="14" s="1"/>
  <c r="G33" i="14"/>
  <c r="H33" i="14"/>
  <c r="M31" i="14" s="1"/>
  <c r="G34" i="14"/>
  <c r="H34" i="14"/>
  <c r="M32" i="14" s="1"/>
  <c r="G35" i="14"/>
  <c r="H35" i="14"/>
  <c r="M33" i="14" s="1"/>
  <c r="G36" i="14"/>
  <c r="H36" i="14"/>
  <c r="M34" i="14" s="1"/>
  <c r="G37" i="14"/>
  <c r="H37" i="14"/>
  <c r="M35" i="14" s="1"/>
  <c r="G38" i="14"/>
  <c r="H38" i="14"/>
  <c r="M36" i="14" s="1"/>
  <c r="G39" i="14"/>
  <c r="H39" i="14"/>
  <c r="M37" i="14" s="1"/>
  <c r="G40" i="14"/>
  <c r="H40" i="14"/>
  <c r="M38" i="14" s="1"/>
  <c r="G41" i="14"/>
  <c r="H41" i="14"/>
  <c r="M39" i="14" s="1"/>
  <c r="G42" i="14"/>
  <c r="H42" i="14"/>
  <c r="M40" i="14" s="1"/>
  <c r="G43" i="14"/>
  <c r="H43" i="14"/>
  <c r="M41" i="14" s="1"/>
  <c r="G44" i="14"/>
  <c r="H44" i="14"/>
  <c r="M42" i="14" s="1"/>
  <c r="G45" i="14"/>
  <c r="H45" i="14"/>
  <c r="M43" i="14" s="1"/>
  <c r="G46" i="14"/>
  <c r="H46" i="14"/>
  <c r="M44" i="14" s="1"/>
  <c r="G47" i="14"/>
  <c r="H47" i="14"/>
  <c r="M45" i="14" s="1"/>
  <c r="G48" i="14"/>
  <c r="H48" i="14"/>
  <c r="M46" i="14" s="1"/>
  <c r="G49" i="14"/>
  <c r="H49" i="14"/>
  <c r="M47" i="14" s="1"/>
  <c r="G50" i="14"/>
  <c r="H50" i="14"/>
  <c r="M48" i="14" s="1"/>
  <c r="G51" i="14"/>
  <c r="H51" i="14"/>
  <c r="M49" i="14" s="1"/>
  <c r="G52" i="14"/>
  <c r="H52" i="14"/>
  <c r="M50" i="14" s="1"/>
  <c r="G53" i="14"/>
  <c r="H53" i="14"/>
  <c r="M51" i="14" s="1"/>
  <c r="G54" i="14"/>
  <c r="H54" i="14"/>
  <c r="M52" i="14" s="1"/>
  <c r="G55" i="14"/>
  <c r="H55" i="14"/>
  <c r="M53" i="14" s="1"/>
  <c r="G56" i="14"/>
  <c r="H56" i="14"/>
  <c r="M54" i="14" s="1"/>
  <c r="G57" i="14"/>
  <c r="H57" i="14"/>
  <c r="M55" i="14" s="1"/>
  <c r="G58" i="14"/>
  <c r="H58" i="14"/>
  <c r="M56" i="14" s="1"/>
  <c r="G59" i="14"/>
  <c r="H59" i="14"/>
  <c r="M57" i="14" s="1"/>
  <c r="G60" i="14"/>
  <c r="H60" i="14"/>
  <c r="M58" i="14" s="1"/>
  <c r="G61" i="14"/>
  <c r="H61" i="14"/>
  <c r="M59" i="14" s="1"/>
  <c r="J11" i="14"/>
  <c r="J109" i="14"/>
  <c r="J111" i="14"/>
  <c r="U13" i="15"/>
  <c r="J13" i="14"/>
  <c r="J98" i="14"/>
  <c r="J14" i="14"/>
  <c r="J102" i="14"/>
  <c r="J105" i="14"/>
  <c r="T13" i="15"/>
  <c r="J107" i="14"/>
  <c r="J15" i="14"/>
  <c r="J113" i="14"/>
  <c r="J90" i="14"/>
  <c r="J94" i="14"/>
  <c r="J12" i="14"/>
  <c r="J104" i="14"/>
  <c r="J19" i="14"/>
  <c r="J106" i="14"/>
  <c r="J78" i="14"/>
  <c r="J16" i="14"/>
  <c r="J108" i="14"/>
  <c r="J84" i="14"/>
  <c r="J110" i="14"/>
  <c r="J103" i="14"/>
  <c r="S103" i="14" l="1"/>
  <c r="S17" i="14"/>
  <c r="S13" i="14"/>
  <c r="S9" i="14"/>
  <c r="S102" i="14"/>
  <c r="S94" i="14"/>
  <c r="S86" i="14"/>
  <c r="S109" i="14"/>
  <c r="S101" i="14"/>
  <c r="S12" i="14"/>
  <c r="S100" i="14"/>
  <c r="S99" i="14"/>
  <c r="S11" i="14"/>
  <c r="S106" i="14"/>
  <c r="S98" i="14"/>
  <c r="S90" i="14"/>
  <c r="S74" i="14"/>
  <c r="S107" i="14"/>
  <c r="S105" i="14"/>
  <c r="S14" i="14"/>
  <c r="S10" i="14"/>
  <c r="S104" i="14"/>
  <c r="S80" i="14"/>
  <c r="M103" i="14"/>
  <c r="M17" i="14"/>
  <c r="M13" i="14"/>
  <c r="M9" i="14"/>
  <c r="M102" i="14"/>
  <c r="M94" i="14"/>
  <c r="M86" i="14"/>
  <c r="M109" i="14"/>
  <c r="M101" i="14"/>
  <c r="M12" i="14"/>
  <c r="M100" i="14"/>
  <c r="M99" i="14"/>
  <c r="M11" i="14"/>
  <c r="M106" i="14"/>
  <c r="M98" i="14"/>
  <c r="M90" i="14"/>
  <c r="M74" i="14"/>
  <c r="M107" i="14"/>
  <c r="M105" i="14"/>
  <c r="M14" i="14"/>
  <c r="M10" i="14"/>
  <c r="M104" i="14"/>
  <c r="M80" i="14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45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49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G7" i="17"/>
  <c r="AH23" i="16"/>
  <c r="AH22" i="16"/>
  <c r="AH21" i="16"/>
  <c r="AH20" i="16"/>
  <c r="AH19" i="16"/>
  <c r="AH18" i="16"/>
  <c r="AH17" i="16"/>
  <c r="AH16" i="16"/>
  <c r="AH15" i="16"/>
  <c r="AH14" i="16"/>
  <c r="AH13" i="16"/>
  <c r="AH12" i="16"/>
  <c r="AH11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59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G27" i="16"/>
  <c r="H27" i="16"/>
  <c r="M23" i="16" s="1"/>
  <c r="H62" i="16"/>
  <c r="M58" i="16" s="1"/>
  <c r="H61" i="16"/>
  <c r="M57" i="16" s="1"/>
  <c r="H60" i="16"/>
  <c r="M56" i="16" s="1"/>
  <c r="H59" i="16"/>
  <c r="M55" i="16" s="1"/>
  <c r="H58" i="16"/>
  <c r="H57" i="16"/>
  <c r="M53" i="16" s="1"/>
  <c r="H56" i="16"/>
  <c r="M52" i="16" s="1"/>
  <c r="H55" i="16"/>
  <c r="M51" i="16" s="1"/>
  <c r="H54" i="16"/>
  <c r="M50" i="16" s="1"/>
  <c r="H53" i="16"/>
  <c r="H52" i="16"/>
  <c r="M48" i="16" s="1"/>
  <c r="H51" i="16"/>
  <c r="M47" i="16" s="1"/>
  <c r="H50" i="16"/>
  <c r="M46" i="16" s="1"/>
  <c r="H49" i="16"/>
  <c r="M45" i="16" s="1"/>
  <c r="H48" i="16"/>
  <c r="H47" i="16"/>
  <c r="M43" i="16" s="1"/>
  <c r="H46" i="16"/>
  <c r="M42" i="16" s="1"/>
  <c r="H45" i="16"/>
  <c r="M41" i="16" s="1"/>
  <c r="H44" i="16"/>
  <c r="M40" i="16" s="1"/>
  <c r="H43" i="16"/>
  <c r="H42" i="16"/>
  <c r="M38" i="16" s="1"/>
  <c r="H41" i="16"/>
  <c r="M37" i="16" s="1"/>
  <c r="H40" i="16"/>
  <c r="H39" i="16"/>
  <c r="M35" i="16" s="1"/>
  <c r="H38" i="16"/>
  <c r="H37" i="16"/>
  <c r="H36" i="16"/>
  <c r="H35" i="16"/>
  <c r="H34" i="16"/>
  <c r="H33" i="16"/>
  <c r="H32" i="16"/>
  <c r="H31" i="16"/>
  <c r="M27" i="16" s="1"/>
  <c r="H30" i="16"/>
  <c r="M26" i="16" s="1"/>
  <c r="H29" i="16"/>
  <c r="M25" i="16" s="1"/>
  <c r="H28" i="16"/>
  <c r="M24" i="16" s="1"/>
  <c r="H26" i="16"/>
  <c r="G7" i="16"/>
  <c r="AH23" i="15"/>
  <c r="AH22" i="15"/>
  <c r="AH21" i="15"/>
  <c r="AH20" i="15"/>
  <c r="AH19" i="15"/>
  <c r="AH18" i="15"/>
  <c r="AH17" i="15"/>
  <c r="AH16" i="15"/>
  <c r="AH15" i="15"/>
  <c r="AH14" i="15"/>
  <c r="AH13" i="15"/>
  <c r="AH12" i="15"/>
  <c r="AH1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4" i="15"/>
  <c r="G13" i="15"/>
  <c r="G12" i="15"/>
  <c r="M40" i="15" l="1"/>
  <c r="M73" i="15"/>
  <c r="M39" i="15"/>
  <c r="M47" i="15"/>
  <c r="M55" i="15"/>
  <c r="M63" i="15"/>
  <c r="M71" i="15"/>
  <c r="M56" i="15"/>
  <c r="M49" i="15"/>
  <c r="M42" i="15"/>
  <c r="M50" i="15"/>
  <c r="M58" i="15"/>
  <c r="M66" i="15"/>
  <c r="M74" i="15"/>
  <c r="M48" i="15"/>
  <c r="M41" i="15"/>
  <c r="M51" i="15"/>
  <c r="M59" i="15"/>
  <c r="M67" i="15"/>
  <c r="M65" i="15"/>
  <c r="M43" i="15"/>
  <c r="M44" i="15"/>
  <c r="M52" i="15"/>
  <c r="M60" i="15"/>
  <c r="M68" i="15"/>
  <c r="M64" i="15"/>
  <c r="M57" i="15"/>
  <c r="M45" i="15"/>
  <c r="M53" i="15"/>
  <c r="M61" i="15"/>
  <c r="M69" i="15"/>
  <c r="M72" i="15"/>
  <c r="M38" i="15"/>
  <c r="M46" i="15"/>
  <c r="M54" i="15"/>
  <c r="M62" i="15"/>
  <c r="M70" i="15"/>
  <c r="M36" i="16"/>
  <c r="M44" i="16"/>
  <c r="M30" i="16"/>
  <c r="M31" i="16"/>
  <c r="M39" i="16"/>
  <c r="M32" i="16"/>
  <c r="M28" i="16"/>
  <c r="M29" i="16"/>
  <c r="M54" i="16"/>
  <c r="M33" i="16"/>
  <c r="M49" i="16"/>
  <c r="M34" i="16"/>
  <c r="AM13" i="16"/>
  <c r="AM21" i="16"/>
  <c r="AM14" i="16"/>
  <c r="AM22" i="16"/>
  <c r="AM15" i="16"/>
  <c r="AM23" i="16"/>
  <c r="AM16" i="16"/>
  <c r="AM17" i="16"/>
  <c r="AM18" i="16"/>
  <c r="AM11" i="16"/>
  <c r="AM19" i="16"/>
  <c r="AM12" i="16"/>
  <c r="AM20" i="16"/>
  <c r="AM13" i="15"/>
  <c r="AM21" i="15"/>
  <c r="AM14" i="15"/>
  <c r="AM22" i="15"/>
  <c r="AM15" i="15"/>
  <c r="AM23" i="15"/>
  <c r="AM16" i="15"/>
  <c r="AM17" i="15"/>
  <c r="AM18" i="15"/>
  <c r="AM11" i="15"/>
  <c r="AM19" i="15"/>
  <c r="AM12" i="15"/>
  <c r="AM20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75" i="15"/>
  <c r="G7" i="15"/>
  <c r="G8" i="15"/>
  <c r="G9" i="15"/>
  <c r="J58" i="17"/>
  <c r="U36" i="14"/>
  <c r="U105" i="14"/>
  <c r="U76" i="14"/>
  <c r="J64" i="17"/>
  <c r="U56" i="14"/>
  <c r="T105" i="14"/>
  <c r="U81" i="14"/>
  <c r="U52" i="14"/>
  <c r="T65" i="14"/>
  <c r="T92" i="14"/>
  <c r="T112" i="14"/>
  <c r="U46" i="14"/>
  <c r="U34" i="14"/>
  <c r="T109" i="14"/>
  <c r="U98" i="14"/>
  <c r="U53" i="14"/>
  <c r="U44" i="14"/>
  <c r="T72" i="14"/>
  <c r="AJ18" i="16"/>
  <c r="T88" i="14"/>
  <c r="U100" i="14"/>
  <c r="AJ19" i="16"/>
  <c r="T67" i="14"/>
  <c r="T9" i="14"/>
  <c r="T76" i="14"/>
  <c r="J115" i="15"/>
  <c r="U86" i="14"/>
  <c r="T50" i="14"/>
  <c r="U14" i="14"/>
  <c r="U94" i="14"/>
  <c r="U89" i="14"/>
  <c r="T89" i="16"/>
  <c r="T77" i="16"/>
  <c r="AJ22" i="15"/>
  <c r="T56" i="17"/>
  <c r="U32" i="17"/>
  <c r="T74" i="17"/>
  <c r="U9" i="17"/>
  <c r="T76" i="16"/>
  <c r="U61" i="16"/>
  <c r="AJ20" i="17"/>
  <c r="U53" i="17"/>
  <c r="T82" i="16"/>
  <c r="T83" i="16"/>
  <c r="U79" i="16"/>
  <c r="AJ23" i="15"/>
  <c r="T69" i="16"/>
  <c r="T90" i="16"/>
  <c r="T64" i="17"/>
  <c r="AJ21" i="17"/>
  <c r="AJ14" i="15"/>
  <c r="AJ20" i="15"/>
  <c r="U49" i="14"/>
  <c r="U64" i="14"/>
  <c r="AJ17" i="16"/>
  <c r="T28" i="14"/>
  <c r="T57" i="14"/>
  <c r="U112" i="14"/>
  <c r="U99" i="14"/>
  <c r="T10" i="14"/>
  <c r="U93" i="14"/>
  <c r="U82" i="14"/>
  <c r="U28" i="14"/>
  <c r="T15" i="14"/>
  <c r="U95" i="14"/>
  <c r="T38" i="14"/>
  <c r="T89" i="14"/>
  <c r="J110" i="15"/>
  <c r="AJ13" i="16"/>
  <c r="J48" i="15"/>
  <c r="T23" i="14"/>
  <c r="J69" i="16"/>
  <c r="T41" i="14"/>
  <c r="T60" i="14"/>
  <c r="U40" i="14"/>
  <c r="U83" i="14"/>
  <c r="U17" i="14"/>
  <c r="U85" i="14"/>
  <c r="T7" i="14"/>
  <c r="J89" i="15"/>
  <c r="U47" i="14"/>
  <c r="T19" i="14"/>
  <c r="U15" i="14"/>
  <c r="T12" i="14"/>
  <c r="T60" i="16"/>
  <c r="T23" i="16"/>
  <c r="T84" i="16"/>
  <c r="AJ16" i="17"/>
  <c r="T88" i="16"/>
  <c r="U74" i="16"/>
  <c r="U72" i="17"/>
  <c r="U41" i="17"/>
  <c r="T36" i="17"/>
  <c r="T73" i="16"/>
  <c r="U52" i="17"/>
  <c r="U68" i="16"/>
  <c r="T33" i="17"/>
  <c r="U39" i="17"/>
  <c r="U29" i="17"/>
  <c r="T86" i="16"/>
  <c r="U68" i="17"/>
  <c r="U73" i="17"/>
  <c r="U65" i="16"/>
  <c r="U81" i="16"/>
  <c r="T68" i="14"/>
  <c r="J10" i="17"/>
  <c r="T108" i="14"/>
  <c r="U111" i="14"/>
  <c r="T91" i="14"/>
  <c r="U104" i="14"/>
  <c r="T30" i="14"/>
  <c r="T113" i="14"/>
  <c r="J90" i="15"/>
  <c r="U54" i="14"/>
  <c r="T27" i="14"/>
  <c r="T21" i="14"/>
  <c r="J97" i="15"/>
  <c r="U12" i="14"/>
  <c r="T17" i="14"/>
  <c r="T11" i="14"/>
  <c r="T96" i="14"/>
  <c r="J59" i="17"/>
  <c r="J49" i="15"/>
  <c r="U33" i="14"/>
  <c r="U23" i="14"/>
  <c r="U11" i="17"/>
  <c r="U23" i="16"/>
  <c r="T14" i="14"/>
  <c r="J79" i="17"/>
  <c r="J15" i="17"/>
  <c r="U113" i="14"/>
  <c r="J105" i="15"/>
  <c r="T20" i="14"/>
  <c r="U31" i="14"/>
  <c r="U70" i="14"/>
  <c r="J84" i="17"/>
  <c r="J100" i="15"/>
  <c r="J44" i="15"/>
  <c r="J66" i="17"/>
  <c r="U65" i="14"/>
  <c r="T24" i="14"/>
  <c r="U107" i="14"/>
  <c r="T42" i="14"/>
  <c r="AJ11" i="16"/>
  <c r="T40" i="14"/>
  <c r="T102" i="14"/>
  <c r="T59" i="14"/>
  <c r="U103" i="14"/>
  <c r="T32" i="14"/>
  <c r="T43" i="14"/>
  <c r="AJ14" i="16"/>
  <c r="T63" i="14"/>
  <c r="U73" i="14"/>
  <c r="T53" i="14"/>
  <c r="T75" i="14"/>
  <c r="U110" i="14"/>
  <c r="T83" i="14"/>
  <c r="U69" i="17"/>
  <c r="U78" i="17"/>
  <c r="U76" i="16"/>
  <c r="T68" i="17"/>
  <c r="U67" i="16"/>
  <c r="AJ11" i="17"/>
  <c r="U59" i="17"/>
  <c r="T63" i="17"/>
  <c r="U88" i="16"/>
  <c r="U91" i="16"/>
  <c r="T24" i="17"/>
  <c r="T95" i="16"/>
  <c r="U63" i="17"/>
  <c r="U87" i="16"/>
  <c r="AJ21" i="15"/>
  <c r="AJ18" i="17"/>
  <c r="T9" i="17"/>
  <c r="J65" i="16"/>
  <c r="U50" i="14"/>
  <c r="U33" i="17"/>
  <c r="T26" i="17"/>
  <c r="U85" i="16"/>
  <c r="T52" i="17"/>
  <c r="U78" i="16"/>
  <c r="T11" i="17"/>
  <c r="U95" i="16"/>
  <c r="U31" i="17"/>
  <c r="U62" i="16"/>
  <c r="U58" i="17"/>
  <c r="T56" i="14"/>
  <c r="U75" i="14"/>
  <c r="U79" i="14"/>
  <c r="U35" i="14"/>
  <c r="T95" i="14"/>
  <c r="T33" i="14"/>
  <c r="T82" i="14"/>
  <c r="U48" i="14"/>
  <c r="J61" i="17"/>
  <c r="U36" i="17"/>
  <c r="U71" i="17"/>
  <c r="T62" i="16"/>
  <c r="U10" i="17"/>
  <c r="U80" i="14"/>
  <c r="U39" i="14"/>
  <c r="U101" i="14"/>
  <c r="U106" i="14"/>
  <c r="U91" i="14"/>
  <c r="T86" i="14"/>
  <c r="T70" i="14"/>
  <c r="U83" i="16"/>
  <c r="T39" i="17"/>
  <c r="U89" i="16"/>
  <c r="T61" i="16"/>
  <c r="U90" i="16"/>
  <c r="T78" i="16"/>
  <c r="T58" i="14"/>
  <c r="U72" i="14"/>
  <c r="U7" i="14"/>
  <c r="T37" i="14"/>
  <c r="U29" i="14"/>
  <c r="U45" i="14"/>
  <c r="U19" i="14"/>
  <c r="U37" i="17"/>
  <c r="U34" i="17"/>
  <c r="U66" i="17"/>
  <c r="AJ12" i="15"/>
  <c r="T38" i="17"/>
  <c r="T103" i="14"/>
  <c r="T69" i="14"/>
  <c r="U9" i="14"/>
  <c r="U87" i="14"/>
  <c r="U32" i="14"/>
  <c r="U25" i="14"/>
  <c r="T25" i="14"/>
  <c r="U18" i="14"/>
  <c r="U24" i="17"/>
  <c r="T34" i="17"/>
  <c r="T77" i="17"/>
  <c r="T76" i="17"/>
  <c r="T67" i="16"/>
  <c r="T45" i="14"/>
  <c r="T8" i="14"/>
  <c r="U13" i="14"/>
  <c r="T94" i="14"/>
  <c r="U62" i="14"/>
  <c r="U8" i="14"/>
  <c r="U59" i="14"/>
  <c r="T91" i="16"/>
  <c r="U66" i="16"/>
  <c r="T10" i="17"/>
  <c r="T61" i="17"/>
  <c r="U94" i="16"/>
  <c r="U108" i="14"/>
  <c r="T101" i="14"/>
  <c r="T66" i="14"/>
  <c r="U11" i="14"/>
  <c r="U84" i="14"/>
  <c r="J74" i="17"/>
  <c r="T49" i="14"/>
  <c r="T28" i="17"/>
  <c r="T53" i="17"/>
  <c r="U80" i="16"/>
  <c r="U67" i="17"/>
  <c r="T44" i="14"/>
  <c r="AJ20" i="16"/>
  <c r="U37" i="14"/>
  <c r="J92" i="15"/>
  <c r="T34" i="14"/>
  <c r="U102" i="14"/>
  <c r="T78" i="14"/>
  <c r="T46" i="14"/>
  <c r="T16" i="14"/>
  <c r="T81" i="14"/>
  <c r="U42" i="14"/>
  <c r="U51" i="14"/>
  <c r="U63" i="14"/>
  <c r="AJ21" i="16"/>
  <c r="T35" i="14"/>
  <c r="T48" i="14"/>
  <c r="U61" i="14"/>
  <c r="T36" i="14"/>
  <c r="AJ19" i="15"/>
  <c r="AJ19" i="17"/>
  <c r="U28" i="17"/>
  <c r="U70" i="16"/>
  <c r="U74" i="17"/>
  <c r="U60" i="16"/>
  <c r="AJ17" i="17"/>
  <c r="U21" i="14"/>
  <c r="J70" i="16"/>
  <c r="U97" i="14"/>
  <c r="U96" i="14"/>
  <c r="T97" i="14"/>
  <c r="T29" i="17"/>
  <c r="T81" i="16"/>
  <c r="U26" i="17"/>
  <c r="AJ15" i="15"/>
  <c r="AJ16" i="15"/>
  <c r="T93" i="16"/>
  <c r="T75" i="16"/>
  <c r="AJ12" i="16"/>
  <c r="T111" i="14"/>
  <c r="U55" i="14"/>
  <c r="T61" i="14"/>
  <c r="U58" i="14"/>
  <c r="U78" i="14"/>
  <c r="T107" i="14"/>
  <c r="U64" i="17"/>
  <c r="AJ11" i="15"/>
  <c r="U69" i="16"/>
  <c r="T73" i="17"/>
  <c r="T51" i="14"/>
  <c r="T79" i="14"/>
  <c r="U74" i="14"/>
  <c r="T99" i="14"/>
  <c r="U92" i="14"/>
  <c r="U30" i="14"/>
  <c r="U76" i="17"/>
  <c r="AJ17" i="15"/>
  <c r="U79" i="17"/>
  <c r="T67" i="17"/>
  <c r="U86" i="16"/>
  <c r="T79" i="17"/>
  <c r="T85" i="14"/>
  <c r="J69" i="17"/>
  <c r="T18" i="14"/>
  <c r="U90" i="14"/>
  <c r="U66" i="14"/>
  <c r="T41" i="17"/>
  <c r="U84" i="16"/>
  <c r="U75" i="16"/>
  <c r="U73" i="16"/>
  <c r="U72" i="16"/>
  <c r="T13" i="14"/>
  <c r="T104" i="14"/>
  <c r="T98" i="14"/>
  <c r="T64" i="14"/>
  <c r="T22" i="14"/>
  <c r="AJ16" i="16"/>
  <c r="T29" i="14"/>
  <c r="U82" i="16"/>
  <c r="T69" i="17"/>
  <c r="T27" i="17"/>
  <c r="T68" i="16"/>
  <c r="U61" i="17"/>
  <c r="J14" i="17"/>
  <c r="AJ15" i="16"/>
  <c r="J49" i="17"/>
  <c r="AJ23" i="16"/>
  <c r="U88" i="14"/>
  <c r="U93" i="16"/>
  <c r="U21" i="17"/>
  <c r="AJ23" i="17"/>
  <c r="T59" i="17"/>
  <c r="U68" i="14"/>
  <c r="T100" i="14"/>
  <c r="T62" i="14"/>
  <c r="U20" i="14"/>
  <c r="U24" i="14"/>
  <c r="T39" i="14"/>
  <c r="AJ22" i="17"/>
  <c r="T72" i="16"/>
  <c r="AJ13" i="17"/>
  <c r="U27" i="17"/>
  <c r="U56" i="17"/>
  <c r="T66" i="17"/>
  <c r="T84" i="14"/>
  <c r="U16" i="14"/>
  <c r="T52" i="14"/>
  <c r="T74" i="14"/>
  <c r="U43" i="14"/>
  <c r="T31" i="14"/>
  <c r="T58" i="17"/>
  <c r="T74" i="16"/>
  <c r="T71" i="16"/>
  <c r="T23" i="17"/>
  <c r="T72" i="17"/>
  <c r="U60" i="14"/>
  <c r="U109" i="14"/>
  <c r="T110" i="14"/>
  <c r="U57" i="14"/>
  <c r="T71" i="14"/>
  <c r="T73" i="14"/>
  <c r="T90" i="14"/>
  <c r="U23" i="17"/>
  <c r="U77" i="16"/>
  <c r="T92" i="16"/>
  <c r="AJ18" i="15"/>
  <c r="AJ14" i="17"/>
  <c r="U22" i="14"/>
  <c r="T87" i="14"/>
  <c r="U41" i="14"/>
  <c r="T26" i="14"/>
  <c r="T93" i="14"/>
  <c r="T80" i="14"/>
  <c r="U69" i="14"/>
  <c r="T80" i="16"/>
  <c r="U38" i="17"/>
  <c r="U77" i="17"/>
  <c r="T71" i="17"/>
  <c r="U71" i="16"/>
  <c r="T87" i="16"/>
  <c r="AJ22" i="16"/>
  <c r="T54" i="14"/>
  <c r="U27" i="14"/>
  <c r="U26" i="14"/>
  <c r="U71" i="14"/>
  <c r="T77" i="14"/>
  <c r="T37" i="17"/>
  <c r="T65" i="16"/>
  <c r="U92" i="16"/>
  <c r="T85" i="16"/>
  <c r="AJ12" i="17"/>
  <c r="U38" i="14"/>
  <c r="U67" i="14"/>
  <c r="T55" i="14"/>
  <c r="J95" i="15"/>
  <c r="U10" i="14"/>
  <c r="T106" i="14"/>
  <c r="AJ15" i="17"/>
  <c r="T32" i="17"/>
  <c r="T66" i="16"/>
  <c r="AJ13" i="15"/>
  <c r="T70" i="16"/>
  <c r="T31" i="17"/>
  <c r="T79" i="16"/>
  <c r="U77" i="14"/>
  <c r="T47" i="14"/>
  <c r="T21" i="17"/>
  <c r="T78" i="17"/>
  <c r="T94" i="16"/>
  <c r="S57" i="17" l="1"/>
  <c r="S92" i="15"/>
  <c r="S80" i="17"/>
  <c r="S81" i="15"/>
  <c r="S43" i="15"/>
  <c r="S107" i="15"/>
  <c r="S55" i="17"/>
  <c r="S70" i="17"/>
  <c r="S45" i="17"/>
  <c r="S63" i="16"/>
  <c r="S59" i="16"/>
  <c r="S97" i="15"/>
  <c r="S42" i="15"/>
  <c r="S89" i="15"/>
  <c r="S102" i="15"/>
  <c r="S87" i="15"/>
  <c r="S13" i="17"/>
  <c r="S82" i="15"/>
  <c r="S65" i="17"/>
  <c r="S64" i="16"/>
  <c r="S75" i="17"/>
  <c r="S84" i="15"/>
  <c r="S60" i="17"/>
  <c r="S12" i="17"/>
  <c r="S8" i="17"/>
  <c r="S62" i="17"/>
  <c r="S54" i="17"/>
  <c r="S38" i="15"/>
  <c r="I31" i="1"/>
  <c r="D31" i="1"/>
  <c r="I15" i="1"/>
  <c r="T98" i="15"/>
  <c r="U95" i="15"/>
  <c r="U96" i="15"/>
  <c r="U104" i="15"/>
  <c r="U88" i="15"/>
  <c r="T85" i="15"/>
  <c r="T83" i="15"/>
  <c r="T104" i="15"/>
  <c r="U99" i="15"/>
  <c r="T80" i="15"/>
  <c r="T90" i="15"/>
  <c r="T108" i="15"/>
  <c r="T103" i="15"/>
  <c r="T86" i="15"/>
  <c r="T76" i="15"/>
  <c r="T101" i="15"/>
  <c r="U90" i="15"/>
  <c r="U83" i="15"/>
  <c r="T75" i="15"/>
  <c r="T94" i="15"/>
  <c r="T110" i="15"/>
  <c r="U111" i="15"/>
  <c r="U91" i="15"/>
  <c r="T95" i="15"/>
  <c r="U98" i="15"/>
  <c r="T88" i="15"/>
  <c r="U79" i="15"/>
  <c r="U109" i="15"/>
  <c r="U101" i="15"/>
  <c r="U94" i="15"/>
  <c r="T109" i="15"/>
  <c r="T105" i="15"/>
  <c r="T91" i="15"/>
  <c r="U103" i="15"/>
  <c r="T78" i="15"/>
  <c r="U100" i="15"/>
  <c r="U75" i="15"/>
  <c r="U106" i="15"/>
  <c r="T79" i="15"/>
  <c r="U86" i="15"/>
  <c r="U93" i="15"/>
  <c r="U78" i="15"/>
  <c r="T99" i="15"/>
  <c r="T96" i="15"/>
  <c r="U108" i="15"/>
  <c r="T93" i="15"/>
  <c r="U105" i="15"/>
  <c r="T106" i="15"/>
  <c r="T111" i="15"/>
  <c r="U110" i="15"/>
  <c r="T100" i="15"/>
  <c r="U85" i="15"/>
  <c r="U76" i="15"/>
  <c r="U80" i="15"/>
  <c r="T77" i="15"/>
  <c r="U77" i="15"/>
  <c r="W1" i="14" l="1"/>
  <c r="L6" i="14"/>
  <c r="G8" i="14"/>
  <c r="H8" i="14"/>
  <c r="G3" i="14"/>
  <c r="D15" i="1"/>
  <c r="J8" i="14"/>
  <c r="S6" i="14" l="1"/>
  <c r="M6" i="14"/>
  <c r="L7" i="17"/>
  <c r="L6" i="17"/>
  <c r="L5" i="17"/>
  <c r="L4" i="17"/>
  <c r="L3" i="17"/>
  <c r="W1" i="17"/>
  <c r="H1" i="17"/>
  <c r="H7" i="17" s="1"/>
  <c r="L22" i="16"/>
  <c r="L14" i="16"/>
  <c r="L15" i="16"/>
  <c r="L16" i="16"/>
  <c r="L17" i="16"/>
  <c r="L18" i="16"/>
  <c r="L19" i="16"/>
  <c r="L20" i="16"/>
  <c r="L21" i="16"/>
  <c r="L13" i="16"/>
  <c r="L10" i="16"/>
  <c r="L11" i="16"/>
  <c r="L12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6" i="16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M13" i="16" s="1"/>
  <c r="L9" i="16"/>
  <c r="L8" i="16"/>
  <c r="L7" i="16"/>
  <c r="L6" i="16"/>
  <c r="L5" i="16"/>
  <c r="L4" i="16"/>
  <c r="L3" i="16"/>
  <c r="W1" i="16"/>
  <c r="H1" i="16"/>
  <c r="H8" i="16" s="1"/>
  <c r="J35" i="16"/>
  <c r="J58" i="16"/>
  <c r="J43" i="16"/>
  <c r="J8" i="16"/>
  <c r="J38" i="16"/>
  <c r="J34" i="16"/>
  <c r="J32" i="16"/>
  <c r="J33" i="16"/>
  <c r="J7" i="17"/>
  <c r="J48" i="16"/>
  <c r="J53" i="16"/>
  <c r="J37" i="16"/>
  <c r="J40" i="16"/>
  <c r="J36" i="16"/>
  <c r="S30" i="16" l="1"/>
  <c r="S54" i="16"/>
  <c r="S8" i="16"/>
  <c r="S39" i="16"/>
  <c r="S32" i="16"/>
  <c r="S34" i="16"/>
  <c r="S29" i="16"/>
  <c r="S49" i="16"/>
  <c r="S31" i="16"/>
  <c r="S33" i="16"/>
  <c r="S28" i="16"/>
  <c r="S36" i="16"/>
  <c r="S44" i="16"/>
  <c r="M8" i="16"/>
  <c r="S7" i="17"/>
  <c r="H6" i="17"/>
  <c r="H3" i="17"/>
  <c r="H4" i="17"/>
  <c r="H5" i="17"/>
  <c r="H11" i="16"/>
  <c r="H12" i="16"/>
  <c r="H10" i="16"/>
  <c r="H4" i="16"/>
  <c r="H9" i="16"/>
  <c r="H3" i="16"/>
  <c r="H7" i="16"/>
  <c r="H6" i="16"/>
  <c r="H5" i="16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16" i="15"/>
  <c r="L4" i="15"/>
  <c r="L5" i="15"/>
  <c r="L6" i="15"/>
  <c r="L7" i="15"/>
  <c r="L8" i="15"/>
  <c r="L9" i="15"/>
  <c r="C17" i="15"/>
  <c r="H17" i="15" s="1"/>
  <c r="C16" i="15"/>
  <c r="H16" i="15" s="1"/>
  <c r="C14" i="15"/>
  <c r="H14" i="15" s="1"/>
  <c r="C13" i="15"/>
  <c r="H13" i="15" s="1"/>
  <c r="C12" i="15"/>
  <c r="H12" i="15" s="1"/>
  <c r="H1" i="15"/>
  <c r="H4" i="15" s="1"/>
  <c r="H9" i="15"/>
  <c r="W1" i="15"/>
  <c r="L3" i="15"/>
  <c r="L4" i="14"/>
  <c r="L5" i="14"/>
  <c r="L3" i="14"/>
  <c r="H5" i="14"/>
  <c r="H4" i="14"/>
  <c r="H3" i="14"/>
  <c r="N3" i="14"/>
  <c r="N4" i="14"/>
  <c r="N5" i="14"/>
  <c r="T22" i="16"/>
  <c r="T48" i="16"/>
  <c r="T41" i="16"/>
  <c r="U45" i="16"/>
  <c r="U35" i="16"/>
  <c r="T37" i="16"/>
  <c r="T46" i="16"/>
  <c r="T35" i="16"/>
  <c r="U52" i="16"/>
  <c r="U53" i="16"/>
  <c r="U42" i="16"/>
  <c r="U37" i="16"/>
  <c r="T45" i="16"/>
  <c r="J3" i="17"/>
  <c r="U24" i="16"/>
  <c r="T24" i="16"/>
  <c r="U50" i="16"/>
  <c r="T52" i="16"/>
  <c r="U46" i="16"/>
  <c r="U38" i="16"/>
  <c r="U43" i="16"/>
  <c r="T51" i="16"/>
  <c r="T42" i="16"/>
  <c r="U26" i="16"/>
  <c r="J5" i="16"/>
  <c r="T53" i="16"/>
  <c r="U47" i="16"/>
  <c r="J7" i="16"/>
  <c r="T25" i="16"/>
  <c r="J4" i="17"/>
  <c r="U22" i="16"/>
  <c r="U41" i="16"/>
  <c r="U51" i="16"/>
  <c r="T38" i="16"/>
  <c r="J6" i="17"/>
  <c r="J11" i="16"/>
  <c r="J3" i="16"/>
  <c r="J12" i="16"/>
  <c r="T26" i="16"/>
  <c r="J10" i="16"/>
  <c r="J9" i="16"/>
  <c r="T40" i="16"/>
  <c r="T43" i="16"/>
  <c r="J6" i="16"/>
  <c r="J4" i="16"/>
  <c r="J9" i="15"/>
  <c r="U40" i="16"/>
  <c r="U25" i="16"/>
  <c r="J4" i="15"/>
  <c r="T47" i="16"/>
  <c r="U48" i="16"/>
  <c r="T50" i="16"/>
  <c r="J5" i="17"/>
  <c r="M5" i="14" l="1"/>
  <c r="M4" i="14"/>
  <c r="M3" i="14"/>
  <c r="S9" i="15"/>
  <c r="S4" i="15"/>
  <c r="M15" i="15"/>
  <c r="M12" i="15"/>
  <c r="M14" i="15"/>
  <c r="M9" i="15"/>
  <c r="M4" i="15"/>
  <c r="M10" i="15"/>
  <c r="M11" i="15"/>
  <c r="S10" i="16"/>
  <c r="S12" i="16"/>
  <c r="S5" i="16"/>
  <c r="S11" i="16"/>
  <c r="S6" i="16"/>
  <c r="S7" i="16"/>
  <c r="S3" i="16"/>
  <c r="S9" i="16"/>
  <c r="S4" i="16"/>
  <c r="M10" i="16"/>
  <c r="M12" i="16"/>
  <c r="M5" i="16"/>
  <c r="M11" i="16"/>
  <c r="M6" i="16"/>
  <c r="M7" i="16"/>
  <c r="M3" i="16"/>
  <c r="M9" i="16"/>
  <c r="M4" i="16"/>
  <c r="S5" i="17"/>
  <c r="S3" i="17"/>
  <c r="S4" i="17"/>
  <c r="S6" i="17"/>
  <c r="M3" i="17"/>
  <c r="H8" i="15"/>
  <c r="H7" i="15"/>
  <c r="H5" i="15"/>
  <c r="H3" i="15"/>
  <c r="H6" i="15"/>
  <c r="J8" i="15"/>
  <c r="U57" i="15"/>
  <c r="U3" i="16"/>
  <c r="T20" i="16"/>
  <c r="U3" i="17"/>
  <c r="U16" i="16"/>
  <c r="T11" i="15"/>
  <c r="U5" i="17"/>
  <c r="T4" i="15"/>
  <c r="U17" i="16"/>
  <c r="T62" i="15"/>
  <c r="T14" i="15"/>
  <c r="T5" i="17"/>
  <c r="T16" i="16"/>
  <c r="U62" i="15"/>
  <c r="U39" i="15"/>
  <c r="T14" i="16"/>
  <c r="T19" i="16"/>
  <c r="T41" i="15"/>
  <c r="J6" i="15"/>
  <c r="U5" i="16"/>
  <c r="J7" i="15"/>
  <c r="T53" i="15"/>
  <c r="T61" i="15"/>
  <c r="T67" i="15"/>
  <c r="U21" i="16"/>
  <c r="U56" i="15"/>
  <c r="U11" i="15"/>
  <c r="T3" i="17"/>
  <c r="T17" i="16"/>
  <c r="U61" i="15"/>
  <c r="T57" i="15"/>
  <c r="T12" i="15"/>
  <c r="U12" i="15"/>
  <c r="T5" i="16"/>
  <c r="U19" i="16"/>
  <c r="T66" i="15"/>
  <c r="J3" i="15"/>
  <c r="U18" i="16"/>
  <c r="U14" i="16"/>
  <c r="T39" i="15"/>
  <c r="U63" i="15"/>
  <c r="T15" i="16"/>
  <c r="T40" i="15"/>
  <c r="U15" i="16"/>
  <c r="U67" i="15"/>
  <c r="T18" i="16"/>
  <c r="U4" i="15"/>
  <c r="U40" i="15"/>
  <c r="T21" i="16"/>
  <c r="T68" i="15"/>
  <c r="U20" i="16"/>
  <c r="U58" i="15"/>
  <c r="U6" i="17"/>
  <c r="U14" i="15"/>
  <c r="T15" i="15"/>
  <c r="T4" i="16"/>
  <c r="U13" i="16"/>
  <c r="U53" i="15"/>
  <c r="J5" i="15"/>
  <c r="T6" i="17"/>
  <c r="U15" i="15"/>
  <c r="T58" i="15"/>
  <c r="T63" i="15"/>
  <c r="T3" i="16"/>
  <c r="T56" i="15"/>
  <c r="U6" i="16"/>
  <c r="U66" i="15"/>
  <c r="T13" i="16"/>
  <c r="U10" i="15"/>
  <c r="U4" i="16"/>
  <c r="T10" i="15"/>
  <c r="T6" i="16"/>
  <c r="U41" i="15"/>
  <c r="U68" i="15"/>
  <c r="S6" i="15" l="1"/>
  <c r="S5" i="15"/>
  <c r="S3" i="15"/>
  <c r="S7" i="15"/>
  <c r="S8" i="15"/>
  <c r="M6" i="15"/>
  <c r="M5" i="15"/>
  <c r="M3" i="15"/>
  <c r="M7" i="15"/>
  <c r="M8" i="15"/>
  <c r="D7" i="1"/>
  <c r="T5" i="14"/>
  <c r="U9" i="15"/>
  <c r="U80" i="17"/>
  <c r="T71" i="15"/>
  <c r="U10" i="16"/>
  <c r="U75" i="17"/>
  <c r="U87" i="15"/>
  <c r="T58" i="16"/>
  <c r="T12" i="16"/>
  <c r="T75" i="17"/>
  <c r="U64" i="16"/>
  <c r="T47" i="17"/>
  <c r="U60" i="15"/>
  <c r="U40" i="17"/>
  <c r="T73" i="15"/>
  <c r="T16" i="17"/>
  <c r="T12" i="17"/>
  <c r="U43" i="15"/>
  <c r="U97" i="15"/>
  <c r="U4" i="14"/>
  <c r="T57" i="16"/>
  <c r="U30" i="17"/>
  <c r="T7" i="15"/>
  <c r="T56" i="16"/>
  <c r="U28" i="16"/>
  <c r="U82" i="15"/>
  <c r="T7" i="16"/>
  <c r="U81" i="15"/>
  <c r="U7" i="15"/>
  <c r="T27" i="16"/>
  <c r="U27" i="16"/>
  <c r="T35" i="17"/>
  <c r="U57" i="16"/>
  <c r="T64" i="16"/>
  <c r="U8" i="17"/>
  <c r="U8" i="16"/>
  <c r="T11" i="16"/>
  <c r="T7" i="17"/>
  <c r="T59" i="16"/>
  <c r="T48" i="15"/>
  <c r="T50" i="15"/>
  <c r="T15" i="17"/>
  <c r="U55" i="17"/>
  <c r="T60" i="17"/>
  <c r="U54" i="17"/>
  <c r="U16" i="17"/>
  <c r="T9" i="16"/>
  <c r="U22" i="17"/>
  <c r="X3" i="17" a="1"/>
  <c r="T3" i="14"/>
  <c r="U54" i="16"/>
  <c r="U25" i="17"/>
  <c r="U51" i="15"/>
  <c r="U60" i="17"/>
  <c r="U44" i="16"/>
  <c r="T8" i="17"/>
  <c r="T97" i="15"/>
  <c r="T63" i="16"/>
  <c r="U50" i="15"/>
  <c r="U54" i="15"/>
  <c r="T30" i="16"/>
  <c r="U11" i="16"/>
  <c r="T70" i="15"/>
  <c r="U45" i="17"/>
  <c r="U20" i="17"/>
  <c r="U58" i="16"/>
  <c r="U5" i="15"/>
  <c r="U84" i="15"/>
  <c r="U7" i="17"/>
  <c r="T4" i="17"/>
  <c r="T59" i="15"/>
  <c r="T64" i="15"/>
  <c r="T107" i="15"/>
  <c r="T54" i="16"/>
  <c r="T89" i="15"/>
  <c r="U8" i="15"/>
  <c r="U4" i="17"/>
  <c r="U65" i="15"/>
  <c r="T65" i="15"/>
  <c r="T54" i="17"/>
  <c r="U52" i="15"/>
  <c r="T46" i="15"/>
  <c r="U19" i="17"/>
  <c r="T87" i="15"/>
  <c r="U59" i="15"/>
  <c r="U49" i="16"/>
  <c r="U55" i="15"/>
  <c r="T62" i="17"/>
  <c r="T8" i="16"/>
  <c r="T30" i="17"/>
  <c r="T34" i="16"/>
  <c r="T29" i="16"/>
  <c r="T69" i="15"/>
  <c r="T17" i="17"/>
  <c r="U7" i="16"/>
  <c r="T92" i="15"/>
  <c r="U89" i="15"/>
  <c r="U44" i="17"/>
  <c r="I3" i="1"/>
  <c r="U48" i="15"/>
  <c r="T3" i="15"/>
  <c r="U70" i="17"/>
  <c r="U49" i="15"/>
  <c r="U18" i="17"/>
  <c r="T43" i="15"/>
  <c r="U71" i="15"/>
  <c r="U9" i="16"/>
  <c r="T45" i="17"/>
  <c r="U102" i="15"/>
  <c r="U59" i="16"/>
  <c r="T44" i="16"/>
  <c r="U12" i="16"/>
  <c r="T55" i="16"/>
  <c r="T46" i="17"/>
  <c r="U38" i="15"/>
  <c r="T33" i="16"/>
  <c r="T102" i="15"/>
  <c r="U30" i="16"/>
  <c r="T5" i="15"/>
  <c r="T72" i="15"/>
  <c r="U3" i="14"/>
  <c r="T38" i="15"/>
  <c r="U39" i="16"/>
  <c r="U44" i="15"/>
  <c r="U17" i="17"/>
  <c r="U46" i="17"/>
  <c r="U70" i="15"/>
  <c r="T45" i="15"/>
  <c r="U34" i="16"/>
  <c r="T4" i="14"/>
  <c r="T28" i="16"/>
  <c r="T81" i="15"/>
  <c r="T49" i="15"/>
  <c r="T47" i="15"/>
  <c r="T42" i="15"/>
  <c r="T31" i="16"/>
  <c r="T44" i="17"/>
  <c r="U64" i="15"/>
  <c r="T44" i="15"/>
  <c r="U73" i="15"/>
  <c r="T36" i="16"/>
  <c r="U47" i="15"/>
  <c r="T39" i="16"/>
  <c r="U72" i="15"/>
  <c r="U36" i="16"/>
  <c r="T82" i="15"/>
  <c r="T14" i="17"/>
  <c r="T43" i="17"/>
  <c r="U42" i="17"/>
  <c r="T60" i="15"/>
  <c r="U42" i="15"/>
  <c r="U13" i="17"/>
  <c r="T13" i="17"/>
  <c r="T40" i="17"/>
  <c r="U63" i="16"/>
  <c r="T18" i="17"/>
  <c r="U14" i="17"/>
  <c r="T51" i="15"/>
  <c r="U69" i="15"/>
  <c r="U46" i="15"/>
  <c r="T42" i="17"/>
  <c r="U29" i="16"/>
  <c r="T32" i="16"/>
  <c r="U55" i="16"/>
  <c r="U32" i="16"/>
  <c r="U62" i="17"/>
  <c r="U12" i="17"/>
  <c r="T84" i="15"/>
  <c r="U47" i="17"/>
  <c r="U6" i="15"/>
  <c r="T20" i="17"/>
  <c r="T55" i="15"/>
  <c r="U56" i="16"/>
  <c r="T55" i="17"/>
  <c r="U65" i="17"/>
  <c r="T54" i="15"/>
  <c r="T25" i="17"/>
  <c r="T80" i="17"/>
  <c r="U35" i="17"/>
  <c r="T19" i="17"/>
  <c r="T10" i="16"/>
  <c r="T6" i="15"/>
  <c r="U43" i="17"/>
  <c r="T8" i="15"/>
  <c r="T57" i="17"/>
  <c r="U5" i="14"/>
  <c r="T70" i="17"/>
  <c r="T22" i="17"/>
  <c r="U107" i="15"/>
  <c r="U74" i="15"/>
  <c r="T49" i="16"/>
  <c r="T52" i="15"/>
  <c r="U57" i="17"/>
  <c r="U15" i="17"/>
  <c r="U31" i="16"/>
  <c r="U3" i="15"/>
  <c r="T9" i="15"/>
  <c r="T65" i="17"/>
  <c r="T74" i="15"/>
  <c r="U33" i="16"/>
  <c r="U92" i="15"/>
  <c r="U45" i="15"/>
  <c r="X50" i="17" l="1"/>
  <c r="X27" i="17"/>
  <c r="X4" i="17"/>
  <c r="X68" i="17"/>
  <c r="X45" i="17"/>
  <c r="X30" i="17"/>
  <c r="X15" i="17"/>
  <c r="X79" i="17"/>
  <c r="X64" i="17"/>
  <c r="X49" i="17"/>
  <c r="X58" i="17"/>
  <c r="X35" i="17"/>
  <c r="X12" i="17"/>
  <c r="X76" i="17"/>
  <c r="X53" i="17"/>
  <c r="X38" i="17"/>
  <c r="X23" i="17"/>
  <c r="X8" i="17"/>
  <c r="X72" i="17"/>
  <c r="X57" i="17"/>
  <c r="X66" i="17"/>
  <c r="X43" i="17"/>
  <c r="X20" i="17"/>
  <c r="X84" i="17"/>
  <c r="X61" i="17"/>
  <c r="X46" i="17"/>
  <c r="X31" i="17"/>
  <c r="X16" i="17"/>
  <c r="X80" i="17"/>
  <c r="X65" i="17"/>
  <c r="X10" i="17"/>
  <c r="X74" i="17"/>
  <c r="X51" i="17"/>
  <c r="X28" i="17"/>
  <c r="X5" i="17"/>
  <c r="X69" i="17"/>
  <c r="X54" i="17"/>
  <c r="X39" i="17"/>
  <c r="X24" i="17"/>
  <c r="X9" i="17"/>
  <c r="X73" i="17"/>
  <c r="X26" i="17"/>
  <c r="X67" i="17"/>
  <c r="X21" i="17"/>
  <c r="X70" i="17"/>
  <c r="X40" i="17"/>
  <c r="X34" i="17"/>
  <c r="X75" i="17"/>
  <c r="X29" i="17"/>
  <c r="X78" i="17"/>
  <c r="X48" i="17"/>
  <c r="X42" i="17"/>
  <c r="X83" i="17"/>
  <c r="X37" i="17"/>
  <c r="X7" i="17"/>
  <c r="X56" i="17"/>
  <c r="X82" i="17"/>
  <c r="X36" i="17"/>
  <c r="X77" i="17"/>
  <c r="X47" i="17"/>
  <c r="X17" i="17"/>
  <c r="X3" i="17"/>
  <c r="X44" i="17"/>
  <c r="X6" i="17"/>
  <c r="X55" i="17"/>
  <c r="X25" i="17"/>
  <c r="X11" i="17"/>
  <c r="X52" i="17"/>
  <c r="X14" i="17"/>
  <c r="X63" i="17"/>
  <c r="X33" i="17"/>
  <c r="X19" i="17"/>
  <c r="X60" i="17"/>
  <c r="X22" i="17"/>
  <c r="X71" i="17"/>
  <c r="X41" i="17"/>
  <c r="X18" i="17"/>
  <c r="X59" i="17"/>
  <c r="X13" i="17"/>
  <c r="X62" i="17"/>
  <c r="X32" i="17"/>
  <c r="X81" i="17"/>
  <c r="AM11" i="17"/>
  <c r="C20" i="15"/>
  <c r="T6" i="14"/>
  <c r="U6" i="14"/>
  <c r="X3" i="14" a="1"/>
  <c r="I4" i="1"/>
  <c r="AG11" i="16"/>
  <c r="AG11" i="15"/>
  <c r="AG11" i="14"/>
  <c r="AI11" i="16"/>
  <c r="AG12" i="16"/>
  <c r="AI12" i="16"/>
  <c r="AG13" i="16"/>
  <c r="AK11" i="16" l="1"/>
  <c r="H20" i="15"/>
  <c r="I20" i="15"/>
  <c r="X10" i="14"/>
  <c r="X74" i="14"/>
  <c r="X27" i="14"/>
  <c r="X91" i="14"/>
  <c r="X44" i="14"/>
  <c r="X108" i="14"/>
  <c r="X81" i="14"/>
  <c r="X71" i="14"/>
  <c r="X61" i="14"/>
  <c r="X48" i="14"/>
  <c r="X38" i="14"/>
  <c r="X25" i="14"/>
  <c r="X29" i="14"/>
  <c r="X30" i="14"/>
  <c r="X18" i="14"/>
  <c r="X82" i="14"/>
  <c r="X35" i="14"/>
  <c r="X99" i="14"/>
  <c r="X52" i="14"/>
  <c r="X5" i="14"/>
  <c r="X95" i="14"/>
  <c r="X85" i="14"/>
  <c r="X72" i="14"/>
  <c r="X62" i="14"/>
  <c r="X49" i="14"/>
  <c r="X39" i="14"/>
  <c r="X40" i="14"/>
  <c r="X41" i="14"/>
  <c r="X26" i="14"/>
  <c r="X90" i="14"/>
  <c r="X43" i="14"/>
  <c r="X107" i="14"/>
  <c r="X60" i="14"/>
  <c r="X6" i="14"/>
  <c r="X109" i="14"/>
  <c r="X96" i="14"/>
  <c r="X86" i="14"/>
  <c r="X73" i="14"/>
  <c r="X63" i="14"/>
  <c r="X53" i="14"/>
  <c r="X54" i="14"/>
  <c r="X55" i="14"/>
  <c r="X34" i="14"/>
  <c r="X98" i="14"/>
  <c r="X51" i="14"/>
  <c r="X4" i="14"/>
  <c r="X68" i="14"/>
  <c r="X17" i="14"/>
  <c r="X7" i="14"/>
  <c r="X110" i="14"/>
  <c r="X97" i="14"/>
  <c r="X87" i="14"/>
  <c r="X77" i="14"/>
  <c r="X64" i="14"/>
  <c r="X65" i="14"/>
  <c r="X69" i="14"/>
  <c r="X42" i="14"/>
  <c r="X106" i="14"/>
  <c r="X59" i="14"/>
  <c r="X12" i="14"/>
  <c r="X76" i="14"/>
  <c r="X31" i="14"/>
  <c r="X21" i="14"/>
  <c r="X8" i="14"/>
  <c r="X111" i="14"/>
  <c r="X101" i="14"/>
  <c r="X88" i="14"/>
  <c r="X78" i="14"/>
  <c r="X79" i="14"/>
  <c r="X80" i="14"/>
  <c r="X50" i="14"/>
  <c r="X3" i="14"/>
  <c r="X67" i="14"/>
  <c r="X20" i="14"/>
  <c r="X84" i="14"/>
  <c r="X45" i="14"/>
  <c r="X32" i="14"/>
  <c r="X22" i="14"/>
  <c r="X9" i="14"/>
  <c r="X112" i="14"/>
  <c r="X102" i="14"/>
  <c r="X89" i="14"/>
  <c r="X93" i="14"/>
  <c r="X94" i="14"/>
  <c r="X58" i="14"/>
  <c r="X92" i="14"/>
  <c r="X23" i="14"/>
  <c r="X104" i="14"/>
  <c r="X66" i="14"/>
  <c r="X100" i="14"/>
  <c r="X37" i="14"/>
  <c r="X16" i="14"/>
  <c r="X11" i="14"/>
  <c r="X56" i="14"/>
  <c r="X13" i="14"/>
  <c r="X105" i="14"/>
  <c r="X19" i="14"/>
  <c r="X70" i="14"/>
  <c r="X24" i="14"/>
  <c r="X75" i="14"/>
  <c r="X46" i="14"/>
  <c r="X113" i="14"/>
  <c r="X83" i="14"/>
  <c r="X15" i="14"/>
  <c r="X28" i="14"/>
  <c r="X14" i="14"/>
  <c r="X36" i="14"/>
  <c r="X57" i="14"/>
  <c r="X47" i="14"/>
  <c r="X33" i="14"/>
  <c r="X103" i="14"/>
  <c r="AK12" i="16"/>
  <c r="AM12" i="17"/>
  <c r="Y74" i="14"/>
  <c r="Z38" i="14"/>
  <c r="AA14" i="14"/>
  <c r="AA50" i="14"/>
  <c r="Z95" i="14"/>
  <c r="AB51" i="14"/>
  <c r="AC86" i="14"/>
  <c r="AA82" i="14"/>
  <c r="AC108" i="14"/>
  <c r="AC8" i="14"/>
  <c r="Y113" i="14"/>
  <c r="AA41" i="14"/>
  <c r="AB102" i="14"/>
  <c r="AA110" i="14"/>
  <c r="AB77" i="14"/>
  <c r="AA6" i="14"/>
  <c r="AB89" i="14"/>
  <c r="Z94" i="14"/>
  <c r="AA85" i="14"/>
  <c r="Z80" i="14"/>
  <c r="AB108" i="14"/>
  <c r="AB14" i="14"/>
  <c r="AA108" i="14"/>
  <c r="AC19" i="14"/>
  <c r="AC10" i="14"/>
  <c r="AA40" i="14"/>
  <c r="AA62" i="14"/>
  <c r="AB16" i="14"/>
  <c r="AB81" i="14"/>
  <c r="AC34" i="14"/>
  <c r="AC112" i="14"/>
  <c r="AB7" i="14"/>
  <c r="AA51" i="14"/>
  <c r="Z89" i="14"/>
  <c r="Z75" i="14"/>
  <c r="Y31" i="14"/>
  <c r="AB100" i="14"/>
  <c r="Y44" i="14"/>
  <c r="Y95" i="14"/>
  <c r="Z66" i="14"/>
  <c r="Y48" i="14"/>
  <c r="AC31" i="14"/>
  <c r="Z29" i="14"/>
  <c r="AG12" i="14"/>
  <c r="AC58" i="14"/>
  <c r="AB53" i="14"/>
  <c r="AA20" i="14"/>
  <c r="AB55" i="14"/>
  <c r="AB78" i="14"/>
  <c r="AA49" i="14"/>
  <c r="AA7" i="14"/>
  <c r="Y12" i="14"/>
  <c r="Z21" i="14"/>
  <c r="Z30" i="14"/>
  <c r="Z63" i="14"/>
  <c r="AA45" i="14"/>
  <c r="AC95" i="14"/>
  <c r="AA35" i="14"/>
  <c r="Y98" i="14"/>
  <c r="AG23" i="14"/>
  <c r="Y72" i="14"/>
  <c r="AC7" i="14"/>
  <c r="Z35" i="14"/>
  <c r="AB75" i="14"/>
  <c r="Z16" i="14"/>
  <c r="Z53" i="14"/>
  <c r="AC61" i="14"/>
  <c r="Z88" i="14"/>
  <c r="AB110" i="14"/>
  <c r="AC35" i="14"/>
  <c r="J20" i="15"/>
  <c r="AB25" i="14"/>
  <c r="AC78" i="14"/>
  <c r="AA64" i="14"/>
  <c r="AB69" i="14"/>
  <c r="AC65" i="14"/>
  <c r="AB107" i="14"/>
  <c r="Y57" i="14"/>
  <c r="AC9" i="14"/>
  <c r="Z83" i="14"/>
  <c r="AA39" i="14"/>
  <c r="AC102" i="14"/>
  <c r="AA74" i="14"/>
  <c r="AC83" i="14"/>
  <c r="Z24" i="14"/>
  <c r="Y26" i="14"/>
  <c r="Z33" i="14"/>
  <c r="AA19" i="14"/>
  <c r="AC42" i="14"/>
  <c r="Y29" i="14"/>
  <c r="AC40" i="14"/>
  <c r="AB66" i="14"/>
  <c r="AC13" i="14"/>
  <c r="AA12" i="14"/>
  <c r="Z19" i="14"/>
  <c r="AI12" i="14"/>
  <c r="AC52" i="14"/>
  <c r="AB49" i="14"/>
  <c r="AB4" i="14"/>
  <c r="AB93" i="14"/>
  <c r="Z11" i="14"/>
  <c r="Z20" i="14"/>
  <c r="Z90" i="14"/>
  <c r="AC87" i="14"/>
  <c r="AC32" i="14"/>
  <c r="Y85" i="14"/>
  <c r="Y37" i="14"/>
  <c r="Y60" i="14"/>
  <c r="Y93" i="14"/>
  <c r="Y53" i="14"/>
  <c r="N16" i="15"/>
  <c r="AB41" i="14"/>
  <c r="AA30" i="14"/>
  <c r="Z86" i="14"/>
  <c r="AC60" i="14"/>
  <c r="AG23" i="16"/>
  <c r="AC100" i="14"/>
  <c r="Y55" i="14"/>
  <c r="Y78" i="14"/>
  <c r="Z109" i="14"/>
  <c r="Z105" i="14"/>
  <c r="Y9" i="14"/>
  <c r="AA86" i="14"/>
  <c r="AB63" i="14"/>
  <c r="Z78" i="14"/>
  <c r="AB88" i="14"/>
  <c r="AB104" i="14"/>
  <c r="AC14" i="14"/>
  <c r="AB57" i="14"/>
  <c r="Y27" i="14"/>
  <c r="AB87" i="14"/>
  <c r="AB46" i="14"/>
  <c r="Z18" i="14"/>
  <c r="AC75" i="14"/>
  <c r="Y17" i="14"/>
  <c r="AB90" i="14"/>
  <c r="AB64" i="14"/>
  <c r="AC37" i="14"/>
  <c r="AA36" i="14"/>
  <c r="Z41" i="14"/>
  <c r="Y34" i="14"/>
  <c r="Z113" i="14"/>
  <c r="Y28" i="14"/>
  <c r="AB105" i="14"/>
  <c r="Z99" i="14"/>
  <c r="AB62" i="14"/>
  <c r="Y6" i="14"/>
  <c r="AB94" i="14"/>
  <c r="Z79" i="14"/>
  <c r="AA25" i="14"/>
  <c r="AA42" i="14"/>
  <c r="AC93" i="14"/>
  <c r="AA80" i="14"/>
  <c r="AB109" i="14"/>
  <c r="AC110" i="14"/>
  <c r="AB48" i="14"/>
  <c r="Y112" i="14"/>
  <c r="AB39" i="14"/>
  <c r="AC20" i="14"/>
  <c r="Z52" i="14"/>
  <c r="AB83" i="14"/>
  <c r="AC76" i="14"/>
  <c r="AA66" i="14"/>
  <c r="Y21" i="14"/>
  <c r="Z102" i="14"/>
  <c r="AA88" i="14"/>
  <c r="AA95" i="14"/>
  <c r="AA111" i="14"/>
  <c r="Z32" i="14"/>
  <c r="Y70" i="14"/>
  <c r="AB36" i="14"/>
  <c r="Y73" i="14"/>
  <c r="Z111" i="14"/>
  <c r="Y68" i="14"/>
  <c r="AB96" i="14"/>
  <c r="Y109" i="14"/>
  <c r="AC82" i="14"/>
  <c r="AA5" i="14"/>
  <c r="Z93" i="14"/>
  <c r="Y51" i="14"/>
  <c r="Z5" i="14"/>
  <c r="AC94" i="14"/>
  <c r="Y66" i="14"/>
  <c r="Y79" i="14"/>
  <c r="Z101" i="14"/>
  <c r="AB52" i="14"/>
  <c r="Z54" i="14"/>
  <c r="AA65" i="14"/>
  <c r="AC72" i="14"/>
  <c r="Z96" i="14"/>
  <c r="Y77" i="14"/>
  <c r="Z26" i="14"/>
  <c r="Y96" i="14"/>
  <c r="AB29" i="14"/>
  <c r="AB82" i="14"/>
  <c r="AC56" i="14"/>
  <c r="AC74" i="14"/>
  <c r="AA13" i="14"/>
  <c r="AA96" i="14"/>
  <c r="Z68" i="14"/>
  <c r="Y75" i="14"/>
  <c r="AI11" i="14"/>
  <c r="Y15" i="14"/>
  <c r="AA91" i="14"/>
  <c r="Y107" i="14"/>
  <c r="AC44" i="14"/>
  <c r="AC90" i="14"/>
  <c r="AB85" i="14"/>
  <c r="Z44" i="14"/>
  <c r="AB76" i="14"/>
  <c r="AC97" i="14"/>
  <c r="AA67" i="14"/>
  <c r="AA52" i="14"/>
  <c r="Z31" i="14"/>
  <c r="AB68" i="14"/>
  <c r="Z7" i="14"/>
  <c r="AA4" i="14"/>
  <c r="AB56" i="14"/>
  <c r="Y97" i="14"/>
  <c r="AB101" i="14"/>
  <c r="Z67" i="14"/>
  <c r="AC79" i="14"/>
  <c r="AC11" i="14"/>
  <c r="AC111" i="14"/>
  <c r="AA10" i="14"/>
  <c r="AC4" i="14"/>
  <c r="AC29" i="14"/>
  <c r="Y83" i="14"/>
  <c r="AB28" i="14"/>
  <c r="AI13" i="16"/>
  <c r="Y103" i="14"/>
  <c r="AC73" i="14"/>
  <c r="AC70" i="14"/>
  <c r="Z91" i="14"/>
  <c r="AC15" i="14"/>
  <c r="Z97" i="14"/>
  <c r="AC50" i="14"/>
  <c r="AC64" i="14"/>
  <c r="AC5" i="14"/>
  <c r="Y94" i="14"/>
  <c r="AC105" i="14"/>
  <c r="Y99" i="14"/>
  <c r="AC107" i="14"/>
  <c r="AA81" i="14"/>
  <c r="AA103" i="14"/>
  <c r="AG11" i="17"/>
  <c r="Z56" i="14"/>
  <c r="AA94" i="14"/>
  <c r="Z72" i="14"/>
  <c r="AA28" i="14"/>
  <c r="Z40" i="14"/>
  <c r="Y86" i="14"/>
  <c r="AC47" i="14"/>
  <c r="Y11" i="14"/>
  <c r="AA113" i="14"/>
  <c r="Y45" i="14"/>
  <c r="Z4" i="14"/>
  <c r="Z23" i="14"/>
  <c r="Y102" i="14"/>
  <c r="AA34" i="14"/>
  <c r="Y87" i="14"/>
  <c r="Y38" i="14"/>
  <c r="Y54" i="14"/>
  <c r="Y43" i="14"/>
  <c r="AA69" i="14"/>
  <c r="AA24" i="14"/>
  <c r="AB10" i="14"/>
  <c r="AB74" i="14"/>
  <c r="AA70" i="14"/>
  <c r="AG13" i="14"/>
  <c r="AA22" i="14"/>
  <c r="AA53" i="14"/>
  <c r="AC39" i="14"/>
  <c r="AA109" i="14"/>
  <c r="AB15" i="14"/>
  <c r="Z9" i="14"/>
  <c r="AC63" i="14"/>
  <c r="AA79" i="14"/>
  <c r="AC106" i="14"/>
  <c r="AA63" i="14"/>
  <c r="Z27" i="14"/>
  <c r="AB91" i="14"/>
  <c r="Y88" i="14"/>
  <c r="Y61" i="14"/>
  <c r="Z84" i="14"/>
  <c r="AA9" i="14"/>
  <c r="AB65" i="14"/>
  <c r="AI11" i="15"/>
  <c r="Z60" i="14"/>
  <c r="Y18" i="14"/>
  <c r="AB79" i="14"/>
  <c r="AC84" i="14"/>
  <c r="Z48" i="14"/>
  <c r="AA90" i="14"/>
  <c r="AA58" i="14"/>
  <c r="AC33" i="14"/>
  <c r="Y25" i="14"/>
  <c r="AB112" i="14"/>
  <c r="AB95" i="14"/>
  <c r="AC69" i="14"/>
  <c r="Y110" i="14"/>
  <c r="AC85" i="14"/>
  <c r="AG23" i="15"/>
  <c r="Z12" i="14"/>
  <c r="AB12" i="14"/>
  <c r="Z107" i="14"/>
  <c r="AB80" i="14"/>
  <c r="AA15" i="14"/>
  <c r="Z15" i="14"/>
  <c r="AA101" i="14"/>
  <c r="AB71" i="14"/>
  <c r="AA61" i="14"/>
  <c r="Z61" i="14"/>
  <c r="Z69" i="14"/>
  <c r="Y90" i="14"/>
  <c r="AA33" i="14"/>
  <c r="Y5" i="14"/>
  <c r="Y106" i="14"/>
  <c r="Y35" i="14"/>
  <c r="Y39" i="14"/>
  <c r="AA104" i="14"/>
  <c r="AB30" i="14"/>
  <c r="Y14" i="14"/>
  <c r="Z14" i="14"/>
  <c r="Y30" i="14"/>
  <c r="AG12" i="15"/>
  <c r="AB37" i="14"/>
  <c r="AA57" i="14"/>
  <c r="Z17" i="14"/>
  <c r="AA99" i="14"/>
  <c r="Y104" i="14"/>
  <c r="Y23" i="14"/>
  <c r="Y40" i="14"/>
  <c r="Y91" i="14"/>
  <c r="AB113" i="14"/>
  <c r="AB67" i="14"/>
  <c r="Z47" i="14"/>
  <c r="AB33" i="14"/>
  <c r="AB34" i="14"/>
  <c r="AC103" i="14"/>
  <c r="AB5" i="14"/>
  <c r="AC55" i="14"/>
  <c r="AA54" i="14"/>
  <c r="AB27" i="14"/>
  <c r="AA18" i="14"/>
  <c r="AC12" i="14"/>
  <c r="AG13" i="15"/>
  <c r="Y32" i="14"/>
  <c r="AA23" i="14"/>
  <c r="Z81" i="14"/>
  <c r="Y76" i="14"/>
  <c r="Z104" i="14"/>
  <c r="Z10" i="14"/>
  <c r="AA37" i="14"/>
  <c r="Y105" i="14"/>
  <c r="Y41" i="14"/>
  <c r="AB47" i="14"/>
  <c r="Y92" i="14"/>
  <c r="Z85" i="14"/>
  <c r="AC68" i="14"/>
  <c r="AA73" i="14"/>
  <c r="AC113" i="14"/>
  <c r="AA44" i="14"/>
  <c r="Z110" i="14"/>
  <c r="Y71" i="14"/>
  <c r="Y42" i="14"/>
  <c r="Z25" i="14"/>
  <c r="Y108" i="14"/>
  <c r="Z108" i="14"/>
  <c r="AB43" i="14"/>
  <c r="AA75" i="14"/>
  <c r="AC45" i="14"/>
  <c r="AB60" i="14"/>
  <c r="Y4" i="14"/>
  <c r="AA93" i="14"/>
  <c r="AC18" i="14"/>
  <c r="Z42" i="14"/>
  <c r="Z36" i="14"/>
  <c r="Z8" i="14"/>
  <c r="AB70" i="14"/>
  <c r="Y65" i="14"/>
  <c r="AB59" i="14"/>
  <c r="AB13" i="14"/>
  <c r="AA84" i="14"/>
  <c r="AC36" i="14"/>
  <c r="AA89" i="14"/>
  <c r="Y59" i="14"/>
  <c r="Y36" i="14"/>
  <c r="Y33" i="14"/>
  <c r="AC101" i="14"/>
  <c r="Z34" i="14"/>
  <c r="AB32" i="14"/>
  <c r="AB50" i="14"/>
  <c r="AA71" i="14"/>
  <c r="Y84" i="14"/>
  <c r="Y8" i="14"/>
  <c r="AB54" i="14"/>
  <c r="Y64" i="14"/>
  <c r="AB11" i="14"/>
  <c r="Z106" i="14"/>
  <c r="Z74" i="14"/>
  <c r="C21" i="15"/>
  <c r="Z13" i="14"/>
  <c r="AC22" i="14"/>
  <c r="AB92" i="14"/>
  <c r="AB99" i="14"/>
  <c r="AA43" i="14"/>
  <c r="AB8" i="14"/>
  <c r="Y22" i="14"/>
  <c r="O16" i="15"/>
  <c r="Z92" i="14"/>
  <c r="AA38" i="14"/>
  <c r="AB106" i="14"/>
  <c r="AC109" i="14"/>
  <c r="Y62" i="14"/>
  <c r="AA17" i="14"/>
  <c r="AB103" i="14"/>
  <c r="Z37" i="14"/>
  <c r="AB111" i="14"/>
  <c r="AA31" i="14"/>
  <c r="AC89" i="14"/>
  <c r="AC30" i="14"/>
  <c r="Y100" i="14"/>
  <c r="AC27" i="14"/>
  <c r="AC57" i="14"/>
  <c r="AA21" i="14"/>
  <c r="AC67" i="14"/>
  <c r="AB61" i="14"/>
  <c r="Y50" i="14"/>
  <c r="Z28" i="14"/>
  <c r="Z112" i="14"/>
  <c r="Z62" i="14"/>
  <c r="Z55" i="14"/>
  <c r="Z71" i="14"/>
  <c r="AC92" i="14"/>
  <c r="AB24" i="14"/>
  <c r="AB31" i="14"/>
  <c r="Y47" i="14"/>
  <c r="AC25" i="14"/>
  <c r="AC98" i="14"/>
  <c r="Y111" i="14"/>
  <c r="AA77" i="14"/>
  <c r="AC80" i="14"/>
  <c r="AB22" i="14"/>
  <c r="AA100" i="14"/>
  <c r="Y52" i="14"/>
  <c r="Z82" i="14"/>
  <c r="AG14" i="16"/>
  <c r="AA98" i="14"/>
  <c r="AA56" i="14"/>
  <c r="Z45" i="14"/>
  <c r="Y10" i="14"/>
  <c r="Z59" i="14"/>
  <c r="AC66" i="14"/>
  <c r="AC41" i="14"/>
  <c r="AC53" i="14"/>
  <c r="AC21" i="14"/>
  <c r="Z87" i="14"/>
  <c r="Y49" i="14"/>
  <c r="AA105" i="14"/>
  <c r="AC46" i="14"/>
  <c r="Z73" i="14"/>
  <c r="AB72" i="14"/>
  <c r="AB19" i="14"/>
  <c r="AB35" i="14"/>
  <c r="AA60" i="14"/>
  <c r="AA83" i="14"/>
  <c r="Y13" i="14"/>
  <c r="AC26" i="14"/>
  <c r="AA106" i="14"/>
  <c r="AB84" i="14"/>
  <c r="AB9" i="14"/>
  <c r="AC38" i="14"/>
  <c r="Z50" i="14"/>
  <c r="AC48" i="14"/>
  <c r="AC17" i="14"/>
  <c r="Y82" i="14"/>
  <c r="Y80" i="14"/>
  <c r="Z39" i="14"/>
  <c r="AC24" i="14"/>
  <c r="AA68" i="14"/>
  <c r="AA102" i="14"/>
  <c r="AC104" i="14"/>
  <c r="AB26" i="14"/>
  <c r="AB20" i="14"/>
  <c r="AA27" i="14"/>
  <c r="AB44" i="14"/>
  <c r="AA112" i="14"/>
  <c r="Z51" i="14"/>
  <c r="Z57" i="14"/>
  <c r="AB45" i="14"/>
  <c r="AC77" i="14"/>
  <c r="AA8" i="14"/>
  <c r="Z103" i="14"/>
  <c r="Y67" i="14"/>
  <c r="Z65" i="14"/>
  <c r="AA26" i="14"/>
  <c r="Y69" i="14"/>
  <c r="AC62" i="14"/>
  <c r="AB40" i="14"/>
  <c r="AC88" i="14"/>
  <c r="AA97" i="14"/>
  <c r="AC59" i="14"/>
  <c r="Y46" i="14"/>
  <c r="AA46" i="14"/>
  <c r="AA78" i="14"/>
  <c r="AB73" i="14"/>
  <c r="AA16" i="14"/>
  <c r="Y63" i="14"/>
  <c r="AB18" i="14"/>
  <c r="AC99" i="14"/>
  <c r="Y20" i="14"/>
  <c r="AC16" i="14"/>
  <c r="Z43" i="14"/>
  <c r="Y24" i="14"/>
  <c r="AA72" i="14"/>
  <c r="Z6" i="14"/>
  <c r="AC23" i="14"/>
  <c r="Y19" i="14"/>
  <c r="AB58" i="14"/>
  <c r="Z58" i="14"/>
  <c r="AB17" i="14"/>
  <c r="AB42" i="14"/>
  <c r="AA55" i="14"/>
  <c r="Y56" i="14"/>
  <c r="AB21" i="14"/>
  <c r="Y101" i="14"/>
  <c r="AB23" i="14"/>
  <c r="Y89" i="14"/>
  <c r="Y16" i="14"/>
  <c r="AB38" i="14"/>
  <c r="Z98" i="14"/>
  <c r="Z100" i="14"/>
  <c r="Z22" i="14"/>
  <c r="AB86" i="14"/>
  <c r="Z76" i="14"/>
  <c r="AA29" i="14"/>
  <c r="Z77" i="14"/>
  <c r="AC51" i="14"/>
  <c r="AC49" i="14"/>
  <c r="AC6" i="14"/>
  <c r="Z70" i="14"/>
  <c r="AA107" i="14"/>
  <c r="Z49" i="14"/>
  <c r="Y58" i="14"/>
  <c r="AC54" i="14"/>
  <c r="Y81" i="14"/>
  <c r="AA59" i="14"/>
  <c r="AC81" i="14"/>
  <c r="AB6" i="14"/>
  <c r="Z64" i="14"/>
  <c r="AC43" i="14"/>
  <c r="AA76" i="14"/>
  <c r="AA48" i="14"/>
  <c r="AA32" i="14"/>
  <c r="AA87" i="14"/>
  <c r="AA47" i="14"/>
  <c r="AA92" i="14"/>
  <c r="AC71" i="14"/>
  <c r="AB98" i="14"/>
  <c r="AC96" i="14"/>
  <c r="AB97" i="14"/>
  <c r="Y7" i="14"/>
  <c r="Z46" i="14"/>
  <c r="AC28" i="14"/>
  <c r="AC91" i="14"/>
  <c r="AA11" i="14"/>
  <c r="AI13" i="14"/>
  <c r="AG14" i="14"/>
  <c r="AI14" i="14"/>
  <c r="AG15" i="14"/>
  <c r="AI15" i="14"/>
  <c r="AG16" i="14"/>
  <c r="AI16" i="14"/>
  <c r="AG17" i="14"/>
  <c r="AI17" i="14"/>
  <c r="AG18" i="14"/>
  <c r="AG19" i="14"/>
  <c r="AI18" i="14"/>
  <c r="AG20" i="14"/>
  <c r="AI19" i="14"/>
  <c r="AG21" i="14"/>
  <c r="AI20" i="14"/>
  <c r="AG22" i="14"/>
  <c r="AI21" i="14"/>
  <c r="S16" i="15" l="1"/>
  <c r="M16" i="15"/>
  <c r="AK21" i="14"/>
  <c r="AK20" i="14"/>
  <c r="AK19" i="14"/>
  <c r="AK18" i="14"/>
  <c r="AK17" i="14"/>
  <c r="AK16" i="14"/>
  <c r="AK15" i="14"/>
  <c r="AK14" i="14"/>
  <c r="AK13" i="14"/>
  <c r="AK12" i="14"/>
  <c r="AK11" i="15"/>
  <c r="AK11" i="14"/>
  <c r="I21" i="15"/>
  <c r="H21" i="15"/>
  <c r="W33" i="14"/>
  <c r="W113" i="14"/>
  <c r="W56" i="14"/>
  <c r="W92" i="14"/>
  <c r="W22" i="14"/>
  <c r="W80" i="14"/>
  <c r="W31" i="14"/>
  <c r="W64" i="14"/>
  <c r="W4" i="14"/>
  <c r="W73" i="14"/>
  <c r="W90" i="14"/>
  <c r="W85" i="14"/>
  <c r="W30" i="14"/>
  <c r="W108" i="14"/>
  <c r="W47" i="14"/>
  <c r="W46" i="14"/>
  <c r="W11" i="14"/>
  <c r="W58" i="14"/>
  <c r="W32" i="14"/>
  <c r="W79" i="14"/>
  <c r="W76" i="14"/>
  <c r="W77" i="14"/>
  <c r="W51" i="14"/>
  <c r="W86" i="14"/>
  <c r="W26" i="14"/>
  <c r="W95" i="14"/>
  <c r="W29" i="14"/>
  <c r="W44" i="14"/>
  <c r="W57" i="14"/>
  <c r="W75" i="14"/>
  <c r="W16" i="14"/>
  <c r="W94" i="14"/>
  <c r="W45" i="14"/>
  <c r="W78" i="14"/>
  <c r="W12" i="14"/>
  <c r="W87" i="14"/>
  <c r="W98" i="14"/>
  <c r="W96" i="14"/>
  <c r="W41" i="14"/>
  <c r="W5" i="14"/>
  <c r="W25" i="14"/>
  <c r="W91" i="14"/>
  <c r="W36" i="14"/>
  <c r="W24" i="14"/>
  <c r="W37" i="14"/>
  <c r="W93" i="14"/>
  <c r="W84" i="14"/>
  <c r="W88" i="14"/>
  <c r="W59" i="14"/>
  <c r="W97" i="14"/>
  <c r="W34" i="14"/>
  <c r="W109" i="14"/>
  <c r="W40" i="14"/>
  <c r="W52" i="14"/>
  <c r="W38" i="14"/>
  <c r="W27" i="14"/>
  <c r="W14" i="14"/>
  <c r="W70" i="14"/>
  <c r="W100" i="14"/>
  <c r="W89" i="14"/>
  <c r="W20" i="14"/>
  <c r="W101" i="14"/>
  <c r="W106" i="14"/>
  <c r="W110" i="14"/>
  <c r="W55" i="14"/>
  <c r="W6" i="14"/>
  <c r="W39" i="14"/>
  <c r="W99" i="14"/>
  <c r="W48" i="14"/>
  <c r="W74" i="14"/>
  <c r="W28" i="14"/>
  <c r="W19" i="14"/>
  <c r="W66" i="14"/>
  <c r="W102" i="14"/>
  <c r="W67" i="14"/>
  <c r="W111" i="14"/>
  <c r="W42" i="14"/>
  <c r="W7" i="14"/>
  <c r="W54" i="14"/>
  <c r="W60" i="14"/>
  <c r="W49" i="14"/>
  <c r="W35" i="14"/>
  <c r="W61" i="14"/>
  <c r="W10" i="14"/>
  <c r="W15" i="14"/>
  <c r="W105" i="14"/>
  <c r="W104" i="14"/>
  <c r="W112" i="14"/>
  <c r="W8" i="14"/>
  <c r="W69" i="14"/>
  <c r="W17" i="14"/>
  <c r="W53" i="14"/>
  <c r="W107" i="14"/>
  <c r="W62" i="14"/>
  <c r="W82" i="14"/>
  <c r="W71" i="14"/>
  <c r="W103" i="14"/>
  <c r="W83" i="14"/>
  <c r="W13" i="14"/>
  <c r="W23" i="14"/>
  <c r="W9" i="14"/>
  <c r="W50" i="14"/>
  <c r="W21" i="14"/>
  <c r="W65" i="14"/>
  <c r="W68" i="14"/>
  <c r="W63" i="14"/>
  <c r="W43" i="14"/>
  <c r="W72" i="14"/>
  <c r="W18" i="14"/>
  <c r="W81" i="14"/>
  <c r="AM23" i="17"/>
  <c r="AK13" i="16"/>
  <c r="AM13" i="17"/>
  <c r="AG15" i="16"/>
  <c r="J21" i="15"/>
  <c r="AI12" i="15"/>
  <c r="AI23" i="14"/>
  <c r="AI11" i="17"/>
  <c r="O17" i="15"/>
  <c r="U16" i="15"/>
  <c r="AI14" i="16"/>
  <c r="AG23" i="17"/>
  <c r="C22" i="15"/>
  <c r="AG14" i="15"/>
  <c r="AI23" i="15"/>
  <c r="AI22" i="14"/>
  <c r="N17" i="15"/>
  <c r="AG12" i="17"/>
  <c r="AI12" i="17" s="1"/>
  <c r="AG13" i="17"/>
  <c r="T16" i="15"/>
  <c r="AG14" i="17"/>
  <c r="AI13" i="15"/>
  <c r="AI13" i="17"/>
  <c r="AI23" i="16"/>
  <c r="AI14" i="15"/>
  <c r="AG15" i="17"/>
  <c r="AI14" i="17"/>
  <c r="AK12" i="15" l="1"/>
  <c r="S17" i="15"/>
  <c r="M17" i="15"/>
  <c r="AK22" i="14"/>
  <c r="AK13" i="17"/>
  <c r="AK13" i="15"/>
  <c r="AK11" i="17"/>
  <c r="AK12" i="17"/>
  <c r="AK23" i="15"/>
  <c r="AK23" i="16"/>
  <c r="AK23" i="14"/>
  <c r="H22" i="15"/>
  <c r="I22" i="15"/>
  <c r="AM14" i="17"/>
  <c r="AK14" i="17"/>
  <c r="AK14" i="15"/>
  <c r="AK14" i="16"/>
  <c r="AM15" i="17"/>
  <c r="AG15" i="15"/>
  <c r="U17" i="15"/>
  <c r="N18" i="15"/>
  <c r="AI23" i="17"/>
  <c r="AI15" i="15"/>
  <c r="AI15" i="17"/>
  <c r="C23" i="15"/>
  <c r="AG16" i="17"/>
  <c r="AI15" i="16"/>
  <c r="O18" i="15"/>
  <c r="AG16" i="16"/>
  <c r="T17" i="15"/>
  <c r="AG16" i="15"/>
  <c r="J22" i="15"/>
  <c r="S18" i="15" l="1"/>
  <c r="M18" i="15"/>
  <c r="AK15" i="17"/>
  <c r="AK23" i="17"/>
  <c r="I23" i="15"/>
  <c r="H23" i="15"/>
  <c r="AK15" i="16"/>
  <c r="AM16" i="17"/>
  <c r="AK15" i="15"/>
  <c r="AG17" i="16"/>
  <c r="AG17" i="17"/>
  <c r="AI16" i="15"/>
  <c r="AI17" i="17"/>
  <c r="J23" i="15"/>
  <c r="T18" i="15"/>
  <c r="AG17" i="15"/>
  <c r="AI16" i="17"/>
  <c r="O19" i="15"/>
  <c r="C24" i="15"/>
  <c r="AI16" i="16"/>
  <c r="U18" i="15"/>
  <c r="N19" i="15"/>
  <c r="AK16" i="17" l="1"/>
  <c r="S19" i="15"/>
  <c r="M19" i="15"/>
  <c r="I24" i="15"/>
  <c r="H24" i="15"/>
  <c r="AK17" i="17"/>
  <c r="AM17" i="17"/>
  <c r="AK16" i="16"/>
  <c r="AK16" i="15"/>
  <c r="AG18" i="17"/>
  <c r="AG19" i="17" s="1"/>
  <c r="AI17" i="15"/>
  <c r="N20" i="15"/>
  <c r="U19" i="15"/>
  <c r="AG18" i="16"/>
  <c r="AI18" i="17"/>
  <c r="J24" i="15"/>
  <c r="O20" i="15"/>
  <c r="C25" i="15"/>
  <c r="AG18" i="15"/>
  <c r="T19" i="15"/>
  <c r="AI17" i="16"/>
  <c r="S20" i="15" l="1"/>
  <c r="M20" i="15"/>
  <c r="H25" i="15"/>
  <c r="I25" i="15"/>
  <c r="AK17" i="16"/>
  <c r="AK17" i="15"/>
  <c r="AM18" i="17"/>
  <c r="AK18" i="17"/>
  <c r="J25" i="15"/>
  <c r="N21" i="15"/>
  <c r="AI18" i="16"/>
  <c r="C26" i="15"/>
  <c r="AG20" i="17"/>
  <c r="O21" i="15"/>
  <c r="U20" i="15"/>
  <c r="T20" i="15"/>
  <c r="AG19" i="16"/>
  <c r="AI19" i="17"/>
  <c r="AG19" i="15"/>
  <c r="AI18" i="15"/>
  <c r="S21" i="15" l="1"/>
  <c r="M21" i="15"/>
  <c r="I26" i="15"/>
  <c r="H26" i="15"/>
  <c r="AM19" i="17"/>
  <c r="AK19" i="17"/>
  <c r="AK18" i="15"/>
  <c r="AK18" i="16"/>
  <c r="J26" i="15"/>
  <c r="O22" i="15"/>
  <c r="AG20" i="15"/>
  <c r="AI19" i="16"/>
  <c r="AG21" i="17"/>
  <c r="N22" i="15"/>
  <c r="C27" i="15"/>
  <c r="AG20" i="16"/>
  <c r="AI19" i="15"/>
  <c r="AI20" i="17"/>
  <c r="U21" i="15"/>
  <c r="T21" i="15"/>
  <c r="S22" i="15" l="1"/>
  <c r="M22" i="15"/>
  <c r="H27" i="15"/>
  <c r="I27" i="15"/>
  <c r="AK19" i="16"/>
  <c r="AK19" i="15"/>
  <c r="AM20" i="17"/>
  <c r="AK20" i="17"/>
  <c r="AG21" i="15"/>
  <c r="O23" i="15"/>
  <c r="AI20" i="16"/>
  <c r="AI20" i="15"/>
  <c r="AI21" i="17"/>
  <c r="J27" i="15"/>
  <c r="AG21" i="16"/>
  <c r="T22" i="15"/>
  <c r="U22" i="15"/>
  <c r="C28" i="15"/>
  <c r="N23" i="15"/>
  <c r="AG22" i="17"/>
  <c r="S23" i="15" l="1"/>
  <c r="M23" i="15"/>
  <c r="I28" i="15"/>
  <c r="H28" i="15"/>
  <c r="AK20" i="15"/>
  <c r="AK21" i="17"/>
  <c r="AM21" i="17"/>
  <c r="AK20" i="16"/>
  <c r="J28" i="15"/>
  <c r="N24" i="15"/>
  <c r="U23" i="15"/>
  <c r="C29" i="15"/>
  <c r="AG22" i="15"/>
  <c r="T23" i="15"/>
  <c r="AI21" i="15"/>
  <c r="AG22" i="16"/>
  <c r="AI22" i="17"/>
  <c r="O24" i="15"/>
  <c r="AI21" i="16"/>
  <c r="S24" i="15" l="1"/>
  <c r="M24" i="15"/>
  <c r="H29" i="15"/>
  <c r="I29" i="15"/>
  <c r="AM22" i="17"/>
  <c r="AK22" i="17"/>
  <c r="AK21" i="16"/>
  <c r="AK21" i="15"/>
  <c r="J29" i="15"/>
  <c r="C30" i="15"/>
  <c r="N25" i="15"/>
  <c r="T24" i="15"/>
  <c r="O25" i="15"/>
  <c r="AI22" i="15"/>
  <c r="AI22" i="16"/>
  <c r="U24" i="15"/>
  <c r="S25" i="15" l="1"/>
  <c r="M25" i="15"/>
  <c r="H30" i="15"/>
  <c r="I30" i="15"/>
  <c r="AK22" i="16"/>
  <c r="AK22" i="15"/>
  <c r="J30" i="15"/>
  <c r="C31" i="15"/>
  <c r="T25" i="15"/>
  <c r="U25" i="15"/>
  <c r="N26" i="15"/>
  <c r="O26" i="15"/>
  <c r="S26" i="15" l="1"/>
  <c r="M26" i="15"/>
  <c r="I31" i="15"/>
  <c r="H31" i="15"/>
  <c r="J31" i="15"/>
  <c r="T26" i="15"/>
  <c r="U26" i="15"/>
  <c r="C32" i="15"/>
  <c r="O27" i="15"/>
  <c r="N27" i="15"/>
  <c r="S27" i="15" l="1"/>
  <c r="M27" i="15"/>
  <c r="H32" i="15"/>
  <c r="I32" i="15"/>
  <c r="O28" i="15"/>
  <c r="C33" i="15"/>
  <c r="T27" i="15"/>
  <c r="U27" i="15"/>
  <c r="J32" i="15"/>
  <c r="N28" i="15"/>
  <c r="S28" i="15" l="1"/>
  <c r="M28" i="15"/>
  <c r="I33" i="15"/>
  <c r="H33" i="15"/>
  <c r="N29" i="15"/>
  <c r="J33" i="15"/>
  <c r="U28" i="15"/>
  <c r="O29" i="15"/>
  <c r="C34" i="15"/>
  <c r="T28" i="15"/>
  <c r="S29" i="15" l="1"/>
  <c r="M29" i="15"/>
  <c r="I34" i="15"/>
  <c r="H34" i="15"/>
  <c r="T29" i="15"/>
  <c r="O30" i="15"/>
  <c r="C35" i="15"/>
  <c r="U29" i="15"/>
  <c r="J34" i="15"/>
  <c r="N30" i="15"/>
  <c r="S30" i="15" l="1"/>
  <c r="M30" i="15"/>
  <c r="I35" i="15"/>
  <c r="H35" i="15"/>
  <c r="O31" i="15"/>
  <c r="N31" i="15"/>
  <c r="U30" i="15"/>
  <c r="J35" i="15"/>
  <c r="T30" i="15"/>
  <c r="C36" i="15"/>
  <c r="S31" i="15" l="1"/>
  <c r="M31" i="15"/>
  <c r="I36" i="15"/>
  <c r="H36" i="15"/>
  <c r="C37" i="15"/>
  <c r="Y3" i="14"/>
  <c r="AA3" i="14"/>
  <c r="AC3" i="14"/>
  <c r="N32" i="15"/>
  <c r="AB3" i="14"/>
  <c r="T31" i="15"/>
  <c r="O32" i="15"/>
  <c r="Z3" i="14"/>
  <c r="U31" i="15"/>
  <c r="J36" i="15"/>
  <c r="S32" i="15" l="1"/>
  <c r="M32" i="15"/>
  <c r="H37" i="15"/>
  <c r="I37" i="15"/>
  <c r="W3" i="14"/>
  <c r="M33" i="15" l="1"/>
  <c r="U32" i="15"/>
  <c r="AC52" i="17"/>
  <c r="AB55" i="17"/>
  <c r="AA79" i="17"/>
  <c r="Y68" i="17"/>
  <c r="Z44" i="17"/>
  <c r="AB71" i="17"/>
  <c r="Y54" i="17"/>
  <c r="AB20" i="17"/>
  <c r="AA19" i="17"/>
  <c r="Z5" i="17"/>
  <c r="Z29" i="17"/>
  <c r="AB28" i="17"/>
  <c r="AA13" i="17"/>
  <c r="AC49" i="17"/>
  <c r="Y35" i="17"/>
  <c r="AA64" i="17"/>
  <c r="Y27" i="17"/>
  <c r="AA39" i="17"/>
  <c r="Z15" i="17"/>
  <c r="Z61" i="17"/>
  <c r="AB31" i="17"/>
  <c r="Y75" i="17"/>
  <c r="Y64" i="17"/>
  <c r="AC77" i="17"/>
  <c r="AC65" i="17"/>
  <c r="AA31" i="17"/>
  <c r="AC51" i="17"/>
  <c r="AB13" i="17"/>
  <c r="Y53" i="17"/>
  <c r="AB4" i="17"/>
  <c r="Y59" i="17"/>
  <c r="AA50" i="17"/>
  <c r="AC21" i="17"/>
  <c r="AC50" i="17"/>
  <c r="AB82" i="17"/>
  <c r="Y65" i="17"/>
  <c r="Y61" i="17"/>
  <c r="Z36" i="17"/>
  <c r="AA3" i="17"/>
  <c r="AB75" i="17"/>
  <c r="Z39" i="17"/>
  <c r="AC54" i="17"/>
  <c r="Y51" i="17"/>
  <c r="AA15" i="17"/>
  <c r="Y28" i="17"/>
  <c r="AB45" i="17"/>
  <c r="AA24" i="17"/>
  <c r="AB17" i="17"/>
  <c r="Z33" i="17"/>
  <c r="AB84" i="17"/>
  <c r="AA34" i="17"/>
  <c r="Z35" i="17"/>
  <c r="Y55" i="17"/>
  <c r="AA77" i="17"/>
  <c r="Z84" i="17"/>
  <c r="AA57" i="17"/>
  <c r="Y17" i="17"/>
  <c r="AB62" i="17"/>
  <c r="AA60" i="17"/>
  <c r="AB44" i="17"/>
  <c r="AC64" i="17"/>
  <c r="Z58" i="17"/>
  <c r="AB53" i="17"/>
  <c r="AB83" i="17"/>
  <c r="Z81" i="17"/>
  <c r="Z49" i="17"/>
  <c r="AB79" i="17"/>
  <c r="AA5" i="17"/>
  <c r="Z79" i="17"/>
  <c r="AA22" i="17"/>
  <c r="AA80" i="17"/>
  <c r="AB41" i="17"/>
  <c r="AC16" i="17"/>
  <c r="AA18" i="17"/>
  <c r="AC34" i="17"/>
  <c r="AC35" i="17"/>
  <c r="Z26" i="17"/>
  <c r="AC66" i="17"/>
  <c r="AA51" i="17"/>
  <c r="Y4" i="17"/>
  <c r="AB26" i="17"/>
  <c r="AA54" i="17"/>
  <c r="AC31" i="17"/>
  <c r="AA61" i="17"/>
  <c r="AA74" i="17"/>
  <c r="AB52" i="17"/>
  <c r="AC53" i="17"/>
  <c r="AA42" i="17"/>
  <c r="Y34" i="17"/>
  <c r="AB32" i="17"/>
  <c r="Y39" i="17"/>
  <c r="Z38" i="17"/>
  <c r="Z74" i="17"/>
  <c r="X3" i="16" a="1"/>
  <c r="Y79" i="17"/>
  <c r="AB42" i="17"/>
  <c r="AB59" i="17"/>
  <c r="AC56" i="17"/>
  <c r="AB22" i="17"/>
  <c r="Z18" i="17"/>
  <c r="Z64" i="17"/>
  <c r="AA56" i="17"/>
  <c r="AC26" i="17"/>
  <c r="AB15" i="17"/>
  <c r="AC6" i="17"/>
  <c r="AB30" i="17"/>
  <c r="Y13" i="17"/>
  <c r="Z62" i="17"/>
  <c r="Y69" i="17"/>
  <c r="AC19" i="17"/>
  <c r="AB33" i="17"/>
  <c r="Z73" i="17"/>
  <c r="AC14" i="17"/>
  <c r="AB76" i="17"/>
  <c r="AC32" i="17"/>
  <c r="AB23" i="17"/>
  <c r="Y78" i="17"/>
  <c r="Z41" i="17"/>
  <c r="Z71" i="17"/>
  <c r="AA38" i="17"/>
  <c r="AC40" i="17"/>
  <c r="Y30" i="17"/>
  <c r="AA37" i="17"/>
  <c r="AB10" i="17"/>
  <c r="AC45" i="17"/>
  <c r="AB60" i="17"/>
  <c r="AC12" i="17"/>
  <c r="AA16" i="17"/>
  <c r="AA32" i="17"/>
  <c r="Y26" i="17"/>
  <c r="N33" i="15"/>
  <c r="Y57" i="17"/>
  <c r="AB37" i="17"/>
  <c r="Z77" i="17"/>
  <c r="AC37" i="17"/>
  <c r="AA53" i="17"/>
  <c r="AA44" i="17"/>
  <c r="Y10" i="17"/>
  <c r="Z83" i="17"/>
  <c r="AA41" i="17"/>
  <c r="Z68" i="17"/>
  <c r="AC71" i="17"/>
  <c r="AB54" i="17"/>
  <c r="Y56" i="17"/>
  <c r="AA67" i="17"/>
  <c r="Y62" i="17"/>
  <c r="Y14" i="17"/>
  <c r="AB21" i="17"/>
  <c r="AB39" i="17"/>
  <c r="AA46" i="17"/>
  <c r="AA14" i="17"/>
  <c r="Z22" i="17"/>
  <c r="AA7" i="17"/>
  <c r="AB11" i="17"/>
  <c r="AA25" i="17"/>
  <c r="AC38" i="17"/>
  <c r="AB80" i="17"/>
  <c r="AA11" i="17"/>
  <c r="Y8" i="17"/>
  <c r="Z40" i="17"/>
  <c r="Y37" i="17"/>
  <c r="AA72" i="17"/>
  <c r="Z48" i="17"/>
  <c r="Z75" i="17"/>
  <c r="Z17" i="17"/>
  <c r="AC43" i="17"/>
  <c r="AA70" i="17"/>
  <c r="Y72" i="17"/>
  <c r="Y70" i="17"/>
  <c r="AA45" i="17"/>
  <c r="Z27" i="17"/>
  <c r="Z34" i="17"/>
  <c r="Y38" i="17"/>
  <c r="AB16" i="17"/>
  <c r="Y42" i="17"/>
  <c r="AA83" i="17"/>
  <c r="Z42" i="17"/>
  <c r="AB7" i="17"/>
  <c r="Z20" i="17"/>
  <c r="Z60" i="17"/>
  <c r="Z66" i="17"/>
  <c r="AC29" i="17"/>
  <c r="Z45" i="17"/>
  <c r="Z78" i="17"/>
  <c r="Z46" i="17"/>
  <c r="AC27" i="17"/>
  <c r="AB77" i="17"/>
  <c r="Z53" i="17"/>
  <c r="AC75" i="17"/>
  <c r="Z13" i="17"/>
  <c r="Z3" i="17"/>
  <c r="Y52" i="17"/>
  <c r="Y45" i="17"/>
  <c r="AB81" i="17"/>
  <c r="Z76" i="17"/>
  <c r="AB25" i="17"/>
  <c r="AB48" i="17"/>
  <c r="Z4" i="17"/>
  <c r="AC73" i="17"/>
  <c r="AC30" i="17"/>
  <c r="AB57" i="17"/>
  <c r="AA12" i="17"/>
  <c r="AC76" i="17"/>
  <c r="AC62" i="17"/>
  <c r="AB74" i="17"/>
  <c r="Y23" i="17"/>
  <c r="AB63" i="17"/>
  <c r="AA82" i="17"/>
  <c r="Y41" i="17"/>
  <c r="AA69" i="17"/>
  <c r="AB29" i="17"/>
  <c r="AA71" i="17"/>
  <c r="T32" i="15"/>
  <c r="AB72" i="17"/>
  <c r="Z57" i="17"/>
  <c r="Z59" i="17"/>
  <c r="AC60" i="17"/>
  <c r="AC11" i="17"/>
  <c r="Z80" i="17"/>
  <c r="AB78" i="17"/>
  <c r="AA68" i="17"/>
  <c r="Z55" i="17"/>
  <c r="Z70" i="17"/>
  <c r="C38" i="15"/>
  <c r="AB73" i="17"/>
  <c r="AC23" i="17"/>
  <c r="AC67" i="17"/>
  <c r="Z50" i="17"/>
  <c r="AA58" i="17"/>
  <c r="AC48" i="17"/>
  <c r="AB47" i="17"/>
  <c r="Y60" i="17"/>
  <c r="AC15" i="17"/>
  <c r="Y9" i="17"/>
  <c r="AC9" i="17"/>
  <c r="Z16" i="17"/>
  <c r="AB68" i="17"/>
  <c r="AC72" i="17"/>
  <c r="AC69" i="17"/>
  <c r="AB43" i="17"/>
  <c r="Y43" i="17"/>
  <c r="D13" i="1"/>
  <c r="C22" i="1" s="1"/>
  <c r="AB3" i="17"/>
  <c r="AA76" i="17"/>
  <c r="Z19" i="17"/>
  <c r="Y12" i="17"/>
  <c r="AA65" i="17"/>
  <c r="AC74" i="17"/>
  <c r="AA33" i="17"/>
  <c r="AB27" i="17"/>
  <c r="AC5" i="17"/>
  <c r="AB49" i="17"/>
  <c r="AA43" i="17"/>
  <c r="Y58" i="17"/>
  <c r="Y46" i="17"/>
  <c r="AB69" i="17"/>
  <c r="Y73" i="17"/>
  <c r="Y84" i="17"/>
  <c r="Z7" i="17"/>
  <c r="AC83" i="17"/>
  <c r="Y44" i="17"/>
  <c r="AA23" i="17"/>
  <c r="AB5" i="17"/>
  <c r="AA52" i="17"/>
  <c r="Z37" i="17"/>
  <c r="Z9" i="17"/>
  <c r="AC57" i="17"/>
  <c r="AA62" i="17"/>
  <c r="AB24" i="17"/>
  <c r="Z67" i="17"/>
  <c r="AB18" i="17"/>
  <c r="Y47" i="17"/>
  <c r="Z23" i="17"/>
  <c r="Y71" i="17"/>
  <c r="Y49" i="17"/>
  <c r="AC79" i="17"/>
  <c r="AA55" i="17"/>
  <c r="AC36" i="17"/>
  <c r="AB64" i="17"/>
  <c r="Z8" i="17"/>
  <c r="Z10" i="17"/>
  <c r="AB34" i="17"/>
  <c r="Z12" i="17"/>
  <c r="AA21" i="17"/>
  <c r="AC20" i="17"/>
  <c r="AA40" i="17"/>
  <c r="AA9" i="17"/>
  <c r="Y24" i="17"/>
  <c r="Z52" i="17"/>
  <c r="Y20" i="17"/>
  <c r="Z14" i="17"/>
  <c r="AC81" i="17"/>
  <c r="AB67" i="17"/>
  <c r="Z63" i="17"/>
  <c r="AC10" i="17"/>
  <c r="Y40" i="17"/>
  <c r="AA20" i="17"/>
  <c r="Y5" i="17"/>
  <c r="O33" i="15"/>
  <c r="Y81" i="17"/>
  <c r="AA27" i="17"/>
  <c r="AC78" i="17"/>
  <c r="AC59" i="17"/>
  <c r="AB46" i="17"/>
  <c r="AC63" i="17"/>
  <c r="AC28" i="17"/>
  <c r="AC47" i="17"/>
  <c r="AC13" i="17"/>
  <c r="AB50" i="17"/>
  <c r="AA6" i="17"/>
  <c r="AC18" i="17"/>
  <c r="Y29" i="17"/>
  <c r="Y67" i="17"/>
  <c r="AC22" i="17"/>
  <c r="Z31" i="17"/>
  <c r="AC55" i="17"/>
  <c r="Y11" i="17"/>
  <c r="Z65" i="17"/>
  <c r="Z43" i="17"/>
  <c r="Y63" i="17"/>
  <c r="AC7" i="17"/>
  <c r="Y50" i="17"/>
  <c r="Z56" i="17"/>
  <c r="AC84" i="17"/>
  <c r="Y33" i="17"/>
  <c r="Y25" i="17"/>
  <c r="Z32" i="17"/>
  <c r="AA17" i="17"/>
  <c r="Y3" i="17"/>
  <c r="AB65" i="17"/>
  <c r="AB56" i="17"/>
  <c r="Y80" i="17"/>
  <c r="AA84" i="17"/>
  <c r="AC68" i="17"/>
  <c r="AA73" i="17"/>
  <c r="Y48" i="17"/>
  <c r="AC70" i="17"/>
  <c r="Y16" i="17"/>
  <c r="AC25" i="17"/>
  <c r="AC82" i="17"/>
  <c r="Z6" i="17"/>
  <c r="Z51" i="17"/>
  <c r="AD2" i="14" a="1"/>
  <c r="Y18" i="17"/>
  <c r="AB35" i="17"/>
  <c r="Y77" i="17"/>
  <c r="AB9" i="17"/>
  <c r="AA78" i="17"/>
  <c r="AB8" i="17"/>
  <c r="AA36" i="17"/>
  <c r="Y21" i="17"/>
  <c r="AA35" i="17"/>
  <c r="Y22" i="17"/>
  <c r="AB61" i="17"/>
  <c r="AB51" i="17"/>
  <c r="AA26" i="17"/>
  <c r="AC80" i="17"/>
  <c r="AC42" i="17"/>
  <c r="D14" i="1"/>
  <c r="Y19" i="17"/>
  <c r="Y36" i="17"/>
  <c r="AB12" i="17"/>
  <c r="Y76" i="17"/>
  <c r="Z69" i="17"/>
  <c r="Z25" i="17"/>
  <c r="AB36" i="17"/>
  <c r="AC58" i="17"/>
  <c r="AA10" i="17"/>
  <c r="AB66" i="17"/>
  <c r="Z47" i="17"/>
  <c r="AA30" i="17"/>
  <c r="Z28" i="17"/>
  <c r="Z24" i="17"/>
  <c r="AB40" i="17"/>
  <c r="Y83" i="17"/>
  <c r="AC17" i="17"/>
  <c r="AB19" i="17"/>
  <c r="AB14" i="17"/>
  <c r="AA8" i="17"/>
  <c r="AC8" i="17"/>
  <c r="AC39" i="17"/>
  <c r="Z30" i="17"/>
  <c r="Y31" i="17"/>
  <c r="AA29" i="17"/>
  <c r="AC33" i="17"/>
  <c r="Y32" i="17"/>
  <c r="AA63" i="17"/>
  <c r="Y7" i="17"/>
  <c r="AA4" i="17"/>
  <c r="J37" i="15"/>
  <c r="AC46" i="17"/>
  <c r="AA49" i="17"/>
  <c r="Z82" i="17"/>
  <c r="Z54" i="17"/>
  <c r="AC4" i="17"/>
  <c r="Z11" i="17"/>
  <c r="AC24" i="17"/>
  <c r="AA59" i="17"/>
  <c r="Z72" i="17"/>
  <c r="AA66" i="17"/>
  <c r="AB70" i="17"/>
  <c r="AB58" i="17"/>
  <c r="Y6" i="17"/>
  <c r="AA28" i="17"/>
  <c r="AB6" i="17"/>
  <c r="AA47" i="17"/>
  <c r="AC44" i="17"/>
  <c r="AA48" i="17"/>
  <c r="AC3" i="17"/>
  <c r="Y74" i="17"/>
  <c r="AC41" i="17"/>
  <c r="AC61" i="17"/>
  <c r="Y15" i="17"/>
  <c r="Z21" i="17"/>
  <c r="AB38" i="17"/>
  <c r="Y66" i="17"/>
  <c r="Y82" i="17"/>
  <c r="AA75" i="17"/>
  <c r="AA81" i="17"/>
  <c r="W40" i="17" l="1"/>
  <c r="W42" i="17"/>
  <c r="W33" i="17"/>
  <c r="W56" i="17"/>
  <c r="W82" i="17"/>
  <c r="W49" i="17"/>
  <c r="W14" i="17"/>
  <c r="W29" i="17"/>
  <c r="W17" i="17"/>
  <c r="W60" i="17"/>
  <c r="W44" i="17"/>
  <c r="W47" i="17"/>
  <c r="W64" i="17"/>
  <c r="W83" i="17"/>
  <c r="W73" i="17"/>
  <c r="W77" i="17"/>
  <c r="I38" i="15"/>
  <c r="H38" i="15"/>
  <c r="M34" i="15" s="1"/>
  <c r="W5" i="17"/>
  <c r="W39" i="17"/>
  <c r="W68" i="17"/>
  <c r="W54" i="17"/>
  <c r="W74" i="17"/>
  <c r="W23" i="17"/>
  <c r="W13" i="17"/>
  <c r="W43" i="17"/>
  <c r="W36" i="17"/>
  <c r="W75" i="17"/>
  <c r="W20" i="17"/>
  <c r="W35" i="17"/>
  <c r="W15" i="17"/>
  <c r="S33" i="15"/>
  <c r="W57" i="17"/>
  <c r="W24" i="17"/>
  <c r="W46" i="17"/>
  <c r="W27" i="17"/>
  <c r="W63" i="17"/>
  <c r="W66" i="17"/>
  <c r="W8" i="17"/>
  <c r="W50" i="17"/>
  <c r="W67" i="17"/>
  <c r="W22" i="17"/>
  <c r="W84" i="17"/>
  <c r="W62" i="17"/>
  <c r="W81" i="17"/>
  <c r="W28" i="17"/>
  <c r="W26" i="17"/>
  <c r="W19" i="17"/>
  <c r="W48" i="17"/>
  <c r="W18" i="17"/>
  <c r="W7" i="17"/>
  <c r="W6" i="17"/>
  <c r="W71" i="17"/>
  <c r="W59" i="17"/>
  <c r="W53" i="17"/>
  <c r="W45" i="17"/>
  <c r="W30" i="17"/>
  <c r="W72" i="17"/>
  <c r="W4" i="17"/>
  <c r="W10" i="17"/>
  <c r="X38" i="16"/>
  <c r="X45" i="16"/>
  <c r="X91" i="16"/>
  <c r="X77" i="16"/>
  <c r="X6" i="16"/>
  <c r="X26" i="16"/>
  <c r="X7" i="16"/>
  <c r="X62" i="16"/>
  <c r="X76" i="16"/>
  <c r="X27" i="16"/>
  <c r="X10" i="16"/>
  <c r="X71" i="16"/>
  <c r="X74" i="16"/>
  <c r="X59" i="16"/>
  <c r="X64" i="16"/>
  <c r="X29" i="16"/>
  <c r="X53" i="16"/>
  <c r="X75" i="16"/>
  <c r="X70" i="16"/>
  <c r="X22" i="16"/>
  <c r="X58" i="16"/>
  <c r="X57" i="16"/>
  <c r="X63" i="16"/>
  <c r="X44" i="16"/>
  <c r="X87" i="16"/>
  <c r="X31" i="16"/>
  <c r="X73" i="16"/>
  <c r="X32" i="16"/>
  <c r="X8" i="16"/>
  <c r="X20" i="16"/>
  <c r="X67" i="16"/>
  <c r="X17" i="16"/>
  <c r="X3" i="16"/>
  <c r="X25" i="16"/>
  <c r="X92" i="16"/>
  <c r="X47" i="16"/>
  <c r="X83" i="16"/>
  <c r="X36" i="16"/>
  <c r="X5" i="16"/>
  <c r="X56" i="16"/>
  <c r="X89" i="16"/>
  <c r="X68" i="16"/>
  <c r="X60" i="16"/>
  <c r="X82" i="16"/>
  <c r="X61" i="16"/>
  <c r="X41" i="16"/>
  <c r="X11" i="16"/>
  <c r="X49" i="16"/>
  <c r="X95" i="16"/>
  <c r="X34" i="16"/>
  <c r="X55" i="16"/>
  <c r="X84" i="16"/>
  <c r="X15" i="16"/>
  <c r="X42" i="16"/>
  <c r="X88" i="16"/>
  <c r="X30" i="16"/>
  <c r="X18" i="16"/>
  <c r="X16" i="16"/>
  <c r="X69" i="16"/>
  <c r="X86" i="16"/>
  <c r="X52" i="16"/>
  <c r="X23" i="16"/>
  <c r="X12" i="16"/>
  <c r="X50" i="16"/>
  <c r="X28" i="16"/>
  <c r="X46" i="16"/>
  <c r="X9" i="16"/>
  <c r="X37" i="16"/>
  <c r="X66" i="16"/>
  <c r="X40" i="16"/>
  <c r="X72" i="16"/>
  <c r="X43" i="16"/>
  <c r="X65" i="16"/>
  <c r="X54" i="16"/>
  <c r="X51" i="16"/>
  <c r="X85" i="16"/>
  <c r="X90" i="16"/>
  <c r="X48" i="16"/>
  <c r="X19" i="16"/>
  <c r="X78" i="16"/>
  <c r="X81" i="16"/>
  <c r="X21" i="16"/>
  <c r="X33" i="16"/>
  <c r="X80" i="16"/>
  <c r="X14" i="16"/>
  <c r="X94" i="16"/>
  <c r="X13" i="16"/>
  <c r="X39" i="16"/>
  <c r="X4" i="16"/>
  <c r="X93" i="16"/>
  <c r="X79" i="16"/>
  <c r="X24" i="16"/>
  <c r="X35" i="16"/>
  <c r="W21" i="17"/>
  <c r="W69" i="17"/>
  <c r="W55" i="17"/>
  <c r="W9" i="17"/>
  <c r="W25" i="17"/>
  <c r="W11" i="17"/>
  <c r="W76" i="17"/>
  <c r="W31" i="17"/>
  <c r="W52" i="17"/>
  <c r="W65" i="17"/>
  <c r="W58" i="17"/>
  <c r="W3" i="17"/>
  <c r="W79" i="17"/>
  <c r="W32" i="17"/>
  <c r="W16" i="17"/>
  <c r="W80" i="17"/>
  <c r="W51" i="17"/>
  <c r="W41" i="17"/>
  <c r="W38" i="17"/>
  <c r="W78" i="17"/>
  <c r="W61" i="17"/>
  <c r="W70" i="17"/>
  <c r="W34" i="17"/>
  <c r="W37" i="17"/>
  <c r="W12" i="17"/>
  <c r="AD48" i="14"/>
  <c r="AD54" i="14"/>
  <c r="AD41" i="14"/>
  <c r="AD5" i="14"/>
  <c r="AD91" i="14"/>
  <c r="AD30" i="14"/>
  <c r="AD84" i="14"/>
  <c r="AD59" i="14"/>
  <c r="AD88" i="14"/>
  <c r="AD7" i="14"/>
  <c r="AD52" i="14"/>
  <c r="AD28" i="14"/>
  <c r="AD25" i="14"/>
  <c r="AD12" i="14"/>
  <c r="AD32" i="14"/>
  <c r="AD99" i="14"/>
  <c r="AD66" i="14"/>
  <c r="AD36" i="14"/>
  <c r="AD42" i="14"/>
  <c r="AD45" i="14"/>
  <c r="AD73" i="14"/>
  <c r="AD112" i="14"/>
  <c r="AD19" i="14"/>
  <c r="AD56" i="14"/>
  <c r="AD111" i="14"/>
  <c r="AD11" i="14"/>
  <c r="AD18" i="14"/>
  <c r="AD90" i="14"/>
  <c r="AD51" i="14"/>
  <c r="AD109" i="14"/>
  <c r="AD27" i="14"/>
  <c r="AD10" i="14"/>
  <c r="AD9" i="14"/>
  <c r="AD44" i="14"/>
  <c r="AD21" i="14"/>
  <c r="AD62" i="14"/>
  <c r="AD24" i="14"/>
  <c r="AD65" i="14"/>
  <c r="AD67" i="14"/>
  <c r="AD92" i="14"/>
  <c r="AD46" i="14"/>
  <c r="AD89" i="14"/>
  <c r="AD47" i="14"/>
  <c r="AD13" i="14"/>
  <c r="AD17" i="14"/>
  <c r="AD110" i="14"/>
  <c r="AD78" i="14"/>
  <c r="AD94" i="14"/>
  <c r="AD37" i="14"/>
  <c r="AD34" i="14"/>
  <c r="AD14" i="14"/>
  <c r="AD79" i="14"/>
  <c r="AD22" i="14"/>
  <c r="AD85" i="14"/>
  <c r="AD63" i="14"/>
  <c r="AD82" i="14"/>
  <c r="AD38" i="14"/>
  <c r="AD105" i="14"/>
  <c r="AD113" i="14"/>
  <c r="AD77" i="14"/>
  <c r="AD20" i="14"/>
  <c r="AD68" i="14"/>
  <c r="AD39" i="14"/>
  <c r="AD35" i="14"/>
  <c r="AD102" i="14"/>
  <c r="AD60" i="14"/>
  <c r="AD53" i="14"/>
  <c r="AD86" i="14"/>
  <c r="AD8" i="14"/>
  <c r="AD6" i="14"/>
  <c r="AD2" i="14"/>
  <c r="AD96" i="14"/>
  <c r="AD87" i="14"/>
  <c r="AD97" i="14"/>
  <c r="AD103" i="14"/>
  <c r="AD4" i="14"/>
  <c r="AD43" i="14"/>
  <c r="AD80" i="14"/>
  <c r="AD70" i="14"/>
  <c r="AD75" i="14"/>
  <c r="AD23" i="14"/>
  <c r="AD16" i="14"/>
  <c r="AD98" i="14"/>
  <c r="AD26" i="14"/>
  <c r="AD83" i="14"/>
  <c r="AD72" i="14"/>
  <c r="AD40" i="14"/>
  <c r="AD64" i="14"/>
  <c r="AD76" i="14"/>
  <c r="AD33" i="14"/>
  <c r="AD100" i="14"/>
  <c r="AD106" i="14"/>
  <c r="AD58" i="14"/>
  <c r="AD74" i="14"/>
  <c r="AD29" i="14"/>
  <c r="AD93" i="14"/>
  <c r="AD49" i="14"/>
  <c r="AD101" i="14"/>
  <c r="AD61" i="14"/>
  <c r="AD57" i="14"/>
  <c r="AD3" i="14"/>
  <c r="AD95" i="14"/>
  <c r="AD31" i="14"/>
  <c r="AD81" i="14"/>
  <c r="AD104" i="14"/>
  <c r="AD108" i="14"/>
  <c r="AD107" i="14"/>
  <c r="AD50" i="14"/>
  <c r="AD15" i="14"/>
  <c r="AD69" i="14"/>
  <c r="AD55" i="14"/>
  <c r="AD71" i="14"/>
  <c r="AB68" i="16"/>
  <c r="AC37" i="16"/>
  <c r="Z7" i="16"/>
  <c r="AC44" i="16"/>
  <c r="Z67" i="16"/>
  <c r="Y41" i="16"/>
  <c r="Y89" i="16"/>
  <c r="Y72" i="16"/>
  <c r="AC8" i="16"/>
  <c r="Z88" i="16"/>
  <c r="Y30" i="16"/>
  <c r="Y55" i="16"/>
  <c r="Y20" i="16"/>
  <c r="AC82" i="16"/>
  <c r="Y15" i="16"/>
  <c r="AB12" i="16"/>
  <c r="AB30" i="16"/>
  <c r="AA88" i="16"/>
  <c r="AA94" i="16"/>
  <c r="Z12" i="16"/>
  <c r="AB36" i="16"/>
  <c r="Y11" i="16"/>
  <c r="Y12" i="16"/>
  <c r="AB42" i="16"/>
  <c r="Z29" i="16"/>
  <c r="Y82" i="16"/>
  <c r="Z3" i="16"/>
  <c r="AB84" i="16"/>
  <c r="AB59" i="16"/>
  <c r="AA7" i="16"/>
  <c r="AB5" i="16"/>
  <c r="Z43" i="16"/>
  <c r="Y36" i="16"/>
  <c r="AA89" i="16"/>
  <c r="AA23" i="16"/>
  <c r="AA56" i="16"/>
  <c r="Z87" i="16"/>
  <c r="Z95" i="16"/>
  <c r="AB40" i="16"/>
  <c r="AC34" i="16"/>
  <c r="AB46" i="16"/>
  <c r="Z91" i="16"/>
  <c r="AA84" i="16"/>
  <c r="AB6" i="16"/>
  <c r="Y64" i="16"/>
  <c r="AA76" i="16"/>
  <c r="AA16" i="16"/>
  <c r="AA6" i="16"/>
  <c r="AB73" i="16"/>
  <c r="AB49" i="16"/>
  <c r="Z17" i="16"/>
  <c r="AA11" i="16"/>
  <c r="Y48" i="16"/>
  <c r="AA10" i="16"/>
  <c r="AC57" i="16"/>
  <c r="AC28" i="16"/>
  <c r="AC23" i="16"/>
  <c r="AC72" i="16"/>
  <c r="AA48" i="16"/>
  <c r="AB27" i="16"/>
  <c r="I29" i="1"/>
  <c r="AA69" i="16"/>
  <c r="Y71" i="16"/>
  <c r="AA75" i="16"/>
  <c r="AA53" i="16"/>
  <c r="Y14" i="16"/>
  <c r="Z21" i="16"/>
  <c r="Z28" i="16"/>
  <c r="AC16" i="16"/>
  <c r="Y17" i="16"/>
  <c r="Y83" i="16"/>
  <c r="AC68" i="16"/>
  <c r="AC32" i="16"/>
  <c r="Z70" i="16"/>
  <c r="AC79" i="16"/>
  <c r="Z63" i="16"/>
  <c r="AA54" i="16"/>
  <c r="AC51" i="16"/>
  <c r="AB50" i="16"/>
  <c r="Z75" i="16"/>
  <c r="Y79" i="16"/>
  <c r="Y32" i="16"/>
  <c r="AB71" i="16"/>
  <c r="AA51" i="16"/>
  <c r="Z41" i="16"/>
  <c r="AB88" i="16"/>
  <c r="AB31" i="16"/>
  <c r="Y37" i="16"/>
  <c r="AB51" i="16"/>
  <c r="Y58" i="16"/>
  <c r="Y18" i="16"/>
  <c r="AA12" i="16"/>
  <c r="Y39" i="16"/>
  <c r="Z53" i="16"/>
  <c r="Z35" i="16"/>
  <c r="AC85" i="16"/>
  <c r="Y33" i="16"/>
  <c r="AA15" i="16"/>
  <c r="AB7" i="16"/>
  <c r="AA67" i="16"/>
  <c r="AA41" i="16"/>
  <c r="AB25" i="16"/>
  <c r="Y47" i="16"/>
  <c r="AB34" i="16"/>
  <c r="AC62" i="16"/>
  <c r="AC10" i="16"/>
  <c r="AB74" i="16"/>
  <c r="Y76" i="16"/>
  <c r="Z24" i="16"/>
  <c r="Z20" i="16"/>
  <c r="AA28" i="16"/>
  <c r="AA47" i="16"/>
  <c r="Z94" i="16"/>
  <c r="AB77" i="16"/>
  <c r="AC33" i="16"/>
  <c r="Z38" i="16"/>
  <c r="AB21" i="16"/>
  <c r="Z61" i="16"/>
  <c r="AC74" i="16"/>
  <c r="AA78" i="16"/>
  <c r="AC61" i="16"/>
  <c r="Y59" i="16"/>
  <c r="AA9" i="16"/>
  <c r="AB32" i="16"/>
  <c r="D25" i="1"/>
  <c r="AB45" i="16"/>
  <c r="Y52" i="16"/>
  <c r="AB93" i="16"/>
  <c r="AC6" i="16"/>
  <c r="AC95" i="16"/>
  <c r="AB52" i="16"/>
  <c r="Y5" i="16"/>
  <c r="AB83" i="16"/>
  <c r="Z33" i="16"/>
  <c r="Y51" i="16"/>
  <c r="AB95" i="16"/>
  <c r="AA49" i="16"/>
  <c r="Y88" i="16"/>
  <c r="Z93" i="16"/>
  <c r="AA8" i="16"/>
  <c r="AA30" i="16"/>
  <c r="AA74" i="16"/>
  <c r="AB55" i="16"/>
  <c r="Z26" i="16"/>
  <c r="Z85" i="16"/>
  <c r="AA52" i="16"/>
  <c r="AC19" i="16"/>
  <c r="Y95" i="16"/>
  <c r="AA29" i="16"/>
  <c r="Z11" i="16"/>
  <c r="AC89" i="16"/>
  <c r="AA73" i="16"/>
  <c r="AB79" i="16"/>
  <c r="AC81" i="16"/>
  <c r="Y10" i="16"/>
  <c r="AB47" i="16"/>
  <c r="AB3" i="16"/>
  <c r="Z60" i="16"/>
  <c r="AC11" i="16"/>
  <c r="AC48" i="16"/>
  <c r="AB53" i="16"/>
  <c r="AC64" i="16"/>
  <c r="U33" i="15"/>
  <c r="AA50" i="16"/>
  <c r="AB78" i="16"/>
  <c r="AA31" i="16"/>
  <c r="Z59" i="16"/>
  <c r="AA95" i="16"/>
  <c r="AB38" i="16"/>
  <c r="Y4" i="16"/>
  <c r="Z83" i="16"/>
  <c r="AC58" i="16"/>
  <c r="Z32" i="16"/>
  <c r="AA83" i="16"/>
  <c r="Y92" i="16"/>
  <c r="Z49" i="16"/>
  <c r="Y45" i="16"/>
  <c r="AC5" i="16"/>
  <c r="AA44" i="16"/>
  <c r="AB92" i="16"/>
  <c r="AC84" i="16"/>
  <c r="Z66" i="16"/>
  <c r="Y60" i="16"/>
  <c r="J38" i="15"/>
  <c r="Z55" i="16"/>
  <c r="AC41" i="16"/>
  <c r="AA4" i="16"/>
  <c r="AC46" i="16"/>
  <c r="Y75" i="16"/>
  <c r="Z48" i="16"/>
  <c r="Y77" i="16"/>
  <c r="Z56" i="16"/>
  <c r="H38" i="1"/>
  <c r="AB8" i="16"/>
  <c r="Y9" i="16"/>
  <c r="Y73" i="16"/>
  <c r="AA26" i="16"/>
  <c r="AA34" i="16"/>
  <c r="AC69" i="16"/>
  <c r="AA64" i="16"/>
  <c r="AC40" i="16"/>
  <c r="Z58" i="16"/>
  <c r="Z8" i="16"/>
  <c r="AA13" i="16"/>
  <c r="Y43" i="16"/>
  <c r="AA55" i="16"/>
  <c r="AC38" i="16"/>
  <c r="Z77" i="16"/>
  <c r="AA36" i="16"/>
  <c r="Z68" i="16"/>
  <c r="Y74" i="16"/>
  <c r="AC21" i="16"/>
  <c r="Z62" i="16"/>
  <c r="AB20" i="16"/>
  <c r="AA20" i="16"/>
  <c r="Y24" i="16"/>
  <c r="AC12" i="16"/>
  <c r="Z22" i="16"/>
  <c r="Y86" i="16"/>
  <c r="N34" i="15"/>
  <c r="Z76" i="16"/>
  <c r="AB29" i="16"/>
  <c r="AC3" i="16"/>
  <c r="AC53" i="16"/>
  <c r="AB26" i="16"/>
  <c r="AB11" i="16"/>
  <c r="Y31" i="16"/>
  <c r="Y87" i="16"/>
  <c r="Y13" i="16"/>
  <c r="AA58" i="16"/>
  <c r="AD2" i="17" a="1"/>
  <c r="AC93" i="16"/>
  <c r="AB80" i="16"/>
  <c r="AB86" i="16"/>
  <c r="AB44" i="16"/>
  <c r="AA70" i="16"/>
  <c r="Y35" i="16"/>
  <c r="Z45" i="16"/>
  <c r="AB28" i="16"/>
  <c r="AC26" i="16"/>
  <c r="AC65" i="16"/>
  <c r="AC83" i="16"/>
  <c r="AA46" i="16"/>
  <c r="Z27" i="16"/>
  <c r="Z6" i="16"/>
  <c r="Z57" i="16"/>
  <c r="AC45" i="16"/>
  <c r="AB60" i="16"/>
  <c r="C39" i="15"/>
  <c r="AA42" i="16"/>
  <c r="AC60" i="16"/>
  <c r="AA5" i="16"/>
  <c r="Y62" i="16"/>
  <c r="Z14" i="16"/>
  <c r="AB39" i="16"/>
  <c r="AC14" i="16"/>
  <c r="AA39" i="16"/>
  <c r="AB54" i="16"/>
  <c r="D22" i="1"/>
  <c r="AB58" i="16"/>
  <c r="Y91" i="16"/>
  <c r="Y49" i="16"/>
  <c r="AC75" i="16"/>
  <c r="AB43" i="16"/>
  <c r="AC90" i="16"/>
  <c r="Z19" i="16"/>
  <c r="O34" i="15"/>
  <c r="AC9" i="16"/>
  <c r="AC22" i="16"/>
  <c r="Z25" i="16"/>
  <c r="Z92" i="16"/>
  <c r="AC70" i="16"/>
  <c r="AA66" i="16"/>
  <c r="AB91" i="16"/>
  <c r="Y57" i="16"/>
  <c r="AB87" i="16"/>
  <c r="AC42" i="16"/>
  <c r="AB22" i="16"/>
  <c r="Z34" i="16"/>
  <c r="AB57" i="16"/>
  <c r="AA45" i="16"/>
  <c r="AA59" i="16"/>
  <c r="AC80" i="16"/>
  <c r="Z69" i="16"/>
  <c r="AB61" i="16"/>
  <c r="T33" i="15"/>
  <c r="Z73" i="16"/>
  <c r="Z50" i="16"/>
  <c r="Y90" i="16"/>
  <c r="AA17" i="16"/>
  <c r="Z10" i="16"/>
  <c r="AA40" i="16"/>
  <c r="Z65" i="16"/>
  <c r="AA24" i="16"/>
  <c r="AC29" i="16"/>
  <c r="AC63" i="16"/>
  <c r="AC92" i="16"/>
  <c r="AC77" i="16"/>
  <c r="Z90" i="16"/>
  <c r="Y67" i="16"/>
  <c r="AC25" i="16"/>
  <c r="AA79" i="16"/>
  <c r="AA32" i="16"/>
  <c r="AA77" i="16"/>
  <c r="AA92" i="16"/>
  <c r="Y42" i="16"/>
  <c r="Y8" i="16"/>
  <c r="AA33" i="16"/>
  <c r="AB62" i="16"/>
  <c r="AB4" i="16"/>
  <c r="AC7" i="16"/>
  <c r="AB82" i="16"/>
  <c r="AC15" i="16"/>
  <c r="Y44" i="16"/>
  <c r="Y19" i="16"/>
  <c r="AA90" i="16"/>
  <c r="Y25" i="16"/>
  <c r="Z36" i="16"/>
  <c r="AC88" i="16"/>
  <c r="AB14" i="16"/>
  <c r="AB67" i="16"/>
  <c r="AA57" i="16"/>
  <c r="Z86" i="16"/>
  <c r="Y3" i="16"/>
  <c r="Z51" i="16"/>
  <c r="Y69" i="16"/>
  <c r="AB15" i="16"/>
  <c r="Z64" i="16"/>
  <c r="AB64" i="16"/>
  <c r="AB18" i="16"/>
  <c r="AA93" i="16"/>
  <c r="Y16" i="16"/>
  <c r="AC67" i="16"/>
  <c r="Y7" i="16"/>
  <c r="AB23" i="16"/>
  <c r="AC76" i="16"/>
  <c r="AA72" i="16"/>
  <c r="Y53" i="16"/>
  <c r="Y84" i="16"/>
  <c r="AA60" i="16"/>
  <c r="AC24" i="16"/>
  <c r="AB37" i="16"/>
  <c r="AB89" i="16"/>
  <c r="AA14" i="16"/>
  <c r="Z13" i="16"/>
  <c r="Z84" i="16"/>
  <c r="C21" i="1"/>
  <c r="AA38" i="16"/>
  <c r="Y6" i="16"/>
  <c r="AB24" i="16"/>
  <c r="AC30" i="16"/>
  <c r="AA91" i="16"/>
  <c r="AA37" i="16"/>
  <c r="AC52" i="16"/>
  <c r="AB35" i="16"/>
  <c r="AC20" i="16"/>
  <c r="Z54" i="16"/>
  <c r="Z31" i="16"/>
  <c r="AC94" i="16"/>
  <c r="Y40" i="16"/>
  <c r="AC66" i="16"/>
  <c r="Z30" i="16"/>
  <c r="Y78" i="16"/>
  <c r="AB48" i="16"/>
  <c r="AB41" i="16"/>
  <c r="AC59" i="16"/>
  <c r="Z71" i="16"/>
  <c r="AB90" i="16"/>
  <c r="AA87" i="16"/>
  <c r="D29" i="1"/>
  <c r="Z9" i="16"/>
  <c r="AA43" i="16"/>
  <c r="AA80" i="16"/>
  <c r="Z44" i="16"/>
  <c r="Y46" i="16"/>
  <c r="Z40" i="16"/>
  <c r="AC13" i="16"/>
  <c r="AB76" i="16"/>
  <c r="AA82" i="16"/>
  <c r="AB72" i="16"/>
  <c r="Z47" i="16"/>
  <c r="AA22" i="16"/>
  <c r="Z5" i="16"/>
  <c r="AA71" i="16"/>
  <c r="AC73" i="16"/>
  <c r="AC56" i="16"/>
  <c r="AB70" i="16"/>
  <c r="AA63" i="16"/>
  <c r="Z82" i="16"/>
  <c r="Z78" i="16"/>
  <c r="AC43" i="16"/>
  <c r="Z72" i="16"/>
  <c r="AA86" i="16"/>
  <c r="Y70" i="16"/>
  <c r="AC71" i="16"/>
  <c r="Z42" i="16"/>
  <c r="AC78" i="16"/>
  <c r="AB10" i="16"/>
  <c r="AB9" i="16"/>
  <c r="AC31" i="16"/>
  <c r="AC17" i="16"/>
  <c r="AC55" i="16"/>
  <c r="Y34" i="16"/>
  <c r="Y66" i="16"/>
  <c r="AA85" i="16"/>
  <c r="AC91" i="16"/>
  <c r="AA21" i="16"/>
  <c r="AC47" i="16"/>
  <c r="Y61" i="16"/>
  <c r="AB33" i="16"/>
  <c r="Z37" i="16"/>
  <c r="Y27" i="16"/>
  <c r="Z4" i="16"/>
  <c r="AC50" i="16"/>
  <c r="Z89" i="16"/>
  <c r="AA27" i="16"/>
  <c r="AA3" i="16"/>
  <c r="Z80" i="16"/>
  <c r="AA18" i="16"/>
  <c r="AB69" i="16"/>
  <c r="AC39" i="16"/>
  <c r="AC4" i="16"/>
  <c r="AC35" i="16"/>
  <c r="AC36" i="16"/>
  <c r="Z15" i="16"/>
  <c r="Y85" i="16"/>
  <c r="AB85" i="16"/>
  <c r="Y63" i="16"/>
  <c r="AC54" i="16"/>
  <c r="Y29" i="16"/>
  <c r="Y23" i="16"/>
  <c r="Z79" i="16"/>
  <c r="Y65" i="16"/>
  <c r="AA35" i="16"/>
  <c r="Z23" i="16"/>
  <c r="AC86" i="16"/>
  <c r="Z39" i="16"/>
  <c r="AB94" i="16"/>
  <c r="AA68" i="16"/>
  <c r="AC27" i="16"/>
  <c r="AA81" i="16"/>
  <c r="Y28" i="16"/>
  <c r="AB66" i="16"/>
  <c r="AA65" i="16"/>
  <c r="Z18" i="16"/>
  <c r="AB56" i="16"/>
  <c r="Y81" i="16"/>
  <c r="Z16" i="16"/>
  <c r="AA61" i="16"/>
  <c r="Y54" i="16"/>
  <c r="AB75" i="16"/>
  <c r="AB19" i="16"/>
  <c r="AB13" i="16"/>
  <c r="AB63" i="16"/>
  <c r="AA19" i="16"/>
  <c r="Y50" i="16"/>
  <c r="Z52" i="16"/>
  <c r="Y93" i="16"/>
  <c r="Y80" i="16"/>
  <c r="Y38" i="16"/>
  <c r="Y26" i="16"/>
  <c r="Y21" i="16"/>
  <c r="AC49" i="16"/>
  <c r="AB17" i="16"/>
  <c r="Z74" i="16"/>
  <c r="AB16" i="16"/>
  <c r="AC18" i="16"/>
  <c r="AA25" i="16"/>
  <c r="Y22" i="16"/>
  <c r="Y94" i="16"/>
  <c r="AB81" i="16"/>
  <c r="Z81" i="16"/>
  <c r="AA62" i="16"/>
  <c r="Z46" i="16"/>
  <c r="AC87" i="16"/>
  <c r="AB65" i="16"/>
  <c r="Y68" i="16"/>
  <c r="Y56" i="16"/>
  <c r="I30" i="1"/>
  <c r="C38" i="1"/>
  <c r="AD2" i="16" a="1"/>
  <c r="C37" i="1"/>
  <c r="D37" i="1" s="1"/>
  <c r="S34" i="15" l="1"/>
  <c r="AD10" i="17"/>
  <c r="AD17" i="17"/>
  <c r="AD83" i="17"/>
  <c r="AD59" i="17"/>
  <c r="AD39" i="17"/>
  <c r="AD72" i="17"/>
  <c r="AD31" i="17"/>
  <c r="AD6" i="17"/>
  <c r="AD65" i="17"/>
  <c r="AD80" i="17"/>
  <c r="AD79" i="17"/>
  <c r="AD9" i="17"/>
  <c r="AD64" i="17"/>
  <c r="AD42" i="17"/>
  <c r="AD52" i="17"/>
  <c r="AD51" i="17"/>
  <c r="AD53" i="17"/>
  <c r="AD34" i="17"/>
  <c r="AD12" i="17"/>
  <c r="AD15" i="17"/>
  <c r="AD76" i="17"/>
  <c r="AD69" i="17"/>
  <c r="AD66" i="17"/>
  <c r="AD24" i="17"/>
  <c r="AD23" i="17"/>
  <c r="AD4" i="17"/>
  <c r="AD40" i="17"/>
  <c r="AD57" i="17"/>
  <c r="AD46" i="17"/>
  <c r="AD44" i="17"/>
  <c r="AD19" i="17"/>
  <c r="AD75" i="17"/>
  <c r="AD54" i="17"/>
  <c r="AD11" i="17"/>
  <c r="AD84" i="17"/>
  <c r="AD81" i="17"/>
  <c r="AD37" i="17"/>
  <c r="AD22" i="17"/>
  <c r="AD28" i="17"/>
  <c r="AD62" i="17"/>
  <c r="AD32" i="17"/>
  <c r="AD16" i="17"/>
  <c r="AD55" i="17"/>
  <c r="AD71" i="17"/>
  <c r="AD74" i="17"/>
  <c r="AD8" i="17"/>
  <c r="AD73" i="17"/>
  <c r="AD67" i="17"/>
  <c r="AD3" i="17"/>
  <c r="AD56" i="17"/>
  <c r="AD29" i="17"/>
  <c r="AD82" i="17"/>
  <c r="AD60" i="17"/>
  <c r="AD50" i="17"/>
  <c r="AD21" i="17"/>
  <c r="AD41" i="17"/>
  <c r="AD61" i="17"/>
  <c r="AD48" i="17"/>
  <c r="AD13" i="17"/>
  <c r="AD30" i="17"/>
  <c r="AD63" i="17"/>
  <c r="AD26" i="17"/>
  <c r="AD77" i="17"/>
  <c r="AD45" i="17"/>
  <c r="AD78" i="17"/>
  <c r="AD38" i="17"/>
  <c r="AD47" i="17"/>
  <c r="AD18" i="17"/>
  <c r="AD49" i="17"/>
  <c r="AD43" i="17"/>
  <c r="AD68" i="17"/>
  <c r="AD7" i="17"/>
  <c r="AD2" i="17"/>
  <c r="AD25" i="17"/>
  <c r="AD36" i="17"/>
  <c r="AD20" i="17"/>
  <c r="AD27" i="17"/>
  <c r="AD70" i="17"/>
  <c r="AD14" i="17"/>
  <c r="AD33" i="17"/>
  <c r="AD58" i="17"/>
  <c r="AD35" i="17"/>
  <c r="AD5" i="17"/>
  <c r="W83" i="16"/>
  <c r="W57" i="16"/>
  <c r="W49" i="16"/>
  <c r="W23" i="16"/>
  <c r="W33" i="16"/>
  <c r="W54" i="16"/>
  <c r="W24" i="16"/>
  <c r="W35" i="16"/>
  <c r="W21" i="16"/>
  <c r="W16" i="16"/>
  <c r="W74" i="16"/>
  <c r="W81" i="16"/>
  <c r="W66" i="16"/>
  <c r="W89" i="16"/>
  <c r="W93" i="16"/>
  <c r="W22" i="16"/>
  <c r="W72" i="16"/>
  <c r="W42" i="16"/>
  <c r="W65" i="16"/>
  <c r="W28" i="16"/>
  <c r="W91" i="16"/>
  <c r="W29" i="16"/>
  <c r="W50" i="16"/>
  <c r="W13" i="16"/>
  <c r="W55" i="16"/>
  <c r="W20" i="16"/>
  <c r="W82" i="16"/>
  <c r="W36" i="16"/>
  <c r="W90" i="16"/>
  <c r="W58" i="16"/>
  <c r="W70" i="16"/>
  <c r="W63" i="16"/>
  <c r="W19" i="16"/>
  <c r="AD79" i="16"/>
  <c r="AD63" i="16"/>
  <c r="AD65" i="16"/>
  <c r="AD87" i="16"/>
  <c r="AD45" i="16"/>
  <c r="AD4" i="16"/>
  <c r="AD58" i="16"/>
  <c r="AD9" i="16"/>
  <c r="AD89" i="16"/>
  <c r="AD57" i="16"/>
  <c r="AD21" i="16"/>
  <c r="AD68" i="16"/>
  <c r="AD49" i="16"/>
  <c r="AD62" i="16"/>
  <c r="AD53" i="16"/>
  <c r="AD43" i="16"/>
  <c r="AD10" i="16"/>
  <c r="AD30" i="16"/>
  <c r="AD55" i="16"/>
  <c r="AD23" i="16"/>
  <c r="AD22" i="16"/>
  <c r="AD17" i="16"/>
  <c r="AD69" i="16"/>
  <c r="AD77" i="16"/>
  <c r="AD40" i="16"/>
  <c r="AD73" i="16"/>
  <c r="AD74" i="16"/>
  <c r="AD48" i="16"/>
  <c r="AD95" i="16"/>
  <c r="AD16" i="16"/>
  <c r="AD35" i="16"/>
  <c r="AD38" i="16"/>
  <c r="AD66" i="16"/>
  <c r="AD7" i="16"/>
  <c r="AD54" i="16"/>
  <c r="AD51" i="16"/>
  <c r="AD72" i="16"/>
  <c r="AD78" i="16"/>
  <c r="AD93" i="16"/>
  <c r="AD71" i="16"/>
  <c r="AD56" i="16"/>
  <c r="AD20" i="16"/>
  <c r="AD75" i="16"/>
  <c r="AD83" i="16"/>
  <c r="AD11" i="16"/>
  <c r="AD31" i="16"/>
  <c r="AD84" i="16"/>
  <c r="AD59" i="16"/>
  <c r="AD2" i="16"/>
  <c r="AD41" i="16"/>
  <c r="AD42" i="16"/>
  <c r="AD27" i="16"/>
  <c r="AD6" i="16"/>
  <c r="AD24" i="16"/>
  <c r="AD50" i="16"/>
  <c r="AD34" i="16"/>
  <c r="AD14" i="16"/>
  <c r="AD44" i="16"/>
  <c r="AD29" i="16"/>
  <c r="AD92" i="16"/>
  <c r="AD82" i="16"/>
  <c r="AD5" i="16"/>
  <c r="AD25" i="16"/>
  <c r="AD61" i="16"/>
  <c r="AD33" i="16"/>
  <c r="AD3" i="16"/>
  <c r="AD80" i="16"/>
  <c r="AD70" i="16"/>
  <c r="AD47" i="16"/>
  <c r="AD64" i="16"/>
  <c r="AD91" i="16"/>
  <c r="AD32" i="16"/>
  <c r="AD67" i="16"/>
  <c r="AD37" i="16"/>
  <c r="AD15" i="16"/>
  <c r="AD86" i="16"/>
  <c r="AD52" i="16"/>
  <c r="AD81" i="16"/>
  <c r="AD36" i="16"/>
  <c r="AD46" i="16"/>
  <c r="AD13" i="16"/>
  <c r="AD94" i="16"/>
  <c r="AD19" i="16"/>
  <c r="AD39" i="16"/>
  <c r="AD85" i="16"/>
  <c r="AD26" i="16"/>
  <c r="AD28" i="16"/>
  <c r="AD8" i="16"/>
  <c r="AD88" i="16"/>
  <c r="AD12" i="16"/>
  <c r="AD90" i="16"/>
  <c r="AD18" i="16"/>
  <c r="AD60" i="16"/>
  <c r="AD76" i="16"/>
  <c r="W9" i="16"/>
  <c r="W77" i="16"/>
  <c r="W80" i="16"/>
  <c r="W60" i="16"/>
  <c r="H39" i="15"/>
  <c r="I39" i="15"/>
  <c r="W84" i="16"/>
  <c r="W69" i="16"/>
  <c r="W41" i="16"/>
  <c r="W53" i="16"/>
  <c r="W88" i="16"/>
  <c r="W68" i="16"/>
  <c r="W86" i="16"/>
  <c r="W32" i="16"/>
  <c r="W47" i="16"/>
  <c r="W46" i="16"/>
  <c r="W43" i="16"/>
  <c r="W64" i="16"/>
  <c r="W14" i="16"/>
  <c r="W30" i="16"/>
  <c r="W12" i="16"/>
  <c r="W8" i="16"/>
  <c r="W38" i="16"/>
  <c r="W34" i="16"/>
  <c r="W48" i="16"/>
  <c r="W11" i="16"/>
  <c r="W73" i="16"/>
  <c r="W94" i="16"/>
  <c r="W52" i="16"/>
  <c r="W67" i="16"/>
  <c r="W44" i="16"/>
  <c r="W26" i="16"/>
  <c r="W7" i="16"/>
  <c r="W51" i="16"/>
  <c r="W10" i="16"/>
  <c r="W62" i="16"/>
  <c r="W40" i="16"/>
  <c r="W61" i="16"/>
  <c r="W71" i="16"/>
  <c r="W85" i="16"/>
  <c r="W39" i="16"/>
  <c r="W25" i="16"/>
  <c r="W92" i="16"/>
  <c r="W5" i="16"/>
  <c r="W37" i="16"/>
  <c r="W4" i="16"/>
  <c r="W27" i="16"/>
  <c r="W3" i="16"/>
  <c r="W15" i="16"/>
  <c r="W56" i="16"/>
  <c r="W6" i="16"/>
  <c r="W76" i="16"/>
  <c r="W95" i="16"/>
  <c r="W17" i="16"/>
  <c r="W45" i="16"/>
  <c r="W59" i="16"/>
  <c r="W75" i="16"/>
  <c r="W18" i="16"/>
  <c r="W79" i="16"/>
  <c r="W31" i="16"/>
  <c r="W87" i="16"/>
  <c r="W78" i="16"/>
  <c r="H37" i="1"/>
  <c r="N35" i="15"/>
  <c r="D21" i="1"/>
  <c r="U34" i="15"/>
  <c r="I37" i="1"/>
  <c r="O35" i="15"/>
  <c r="D41" i="1"/>
  <c r="I41" i="1"/>
  <c r="I38" i="1"/>
  <c r="T34" i="15"/>
  <c r="D30" i="1"/>
  <c r="D38" i="1"/>
  <c r="C40" i="15"/>
  <c r="J39" i="15"/>
  <c r="S35" i="15" l="1"/>
  <c r="M35" i="15"/>
  <c r="H40" i="15"/>
  <c r="I40" i="15"/>
  <c r="J40" i="15"/>
  <c r="T35" i="15"/>
  <c r="C41" i="15"/>
  <c r="U35" i="15"/>
  <c r="O36" i="15"/>
  <c r="N36" i="15"/>
  <c r="S36" i="15" l="1"/>
  <c r="M36" i="15"/>
  <c r="I41" i="15"/>
  <c r="H41" i="15"/>
  <c r="U36" i="15"/>
  <c r="T36" i="15"/>
  <c r="O37" i="15"/>
  <c r="N37" i="15"/>
  <c r="J41" i="15"/>
  <c r="S37" i="15" l="1"/>
  <c r="M37" i="15"/>
  <c r="U37" i="15"/>
  <c r="X3" i="15" a="1"/>
  <c r="T37" i="15"/>
  <c r="X80" i="15" l="1"/>
  <c r="X21" i="15"/>
  <c r="X63" i="15"/>
  <c r="X36" i="15"/>
  <c r="X78" i="15"/>
  <c r="X58" i="15"/>
  <c r="X49" i="15"/>
  <c r="X27" i="15"/>
  <c r="X40" i="15"/>
  <c r="X44" i="15"/>
  <c r="X38" i="15"/>
  <c r="X46" i="15"/>
  <c r="X31" i="15"/>
  <c r="X77" i="15"/>
  <c r="X10" i="15"/>
  <c r="X52" i="15"/>
  <c r="X26" i="15"/>
  <c r="X7" i="15"/>
  <c r="X37" i="15"/>
  <c r="X43" i="15"/>
  <c r="X30" i="15"/>
  <c r="X82" i="15"/>
  <c r="X19" i="15"/>
  <c r="X87" i="15"/>
  <c r="X99" i="15"/>
  <c r="X6" i="15"/>
  <c r="X57" i="15"/>
  <c r="X93" i="15"/>
  <c r="X8" i="15"/>
  <c r="X96" i="15"/>
  <c r="X72" i="15"/>
  <c r="X71" i="15"/>
  <c r="X62" i="15"/>
  <c r="X70" i="15"/>
  <c r="X28" i="15"/>
  <c r="X92" i="15"/>
  <c r="X33" i="15"/>
  <c r="X47" i="15"/>
  <c r="X106" i="15"/>
  <c r="X79" i="15"/>
  <c r="X22" i="15"/>
  <c r="X100" i="15"/>
  <c r="X94" i="15"/>
  <c r="X88" i="15"/>
  <c r="X23" i="15"/>
  <c r="X54" i="15"/>
  <c r="X107" i="15"/>
  <c r="X69" i="15"/>
  <c r="X104" i="15"/>
  <c r="X89" i="15"/>
  <c r="X109" i="15"/>
  <c r="X102" i="15"/>
  <c r="X39" i="15"/>
  <c r="X16" i="15"/>
  <c r="X105" i="15"/>
  <c r="X4" i="15"/>
  <c r="X76" i="15"/>
  <c r="X53" i="15"/>
  <c r="X68" i="15"/>
  <c r="X15" i="15"/>
  <c r="X85" i="15"/>
  <c r="X74" i="15"/>
  <c r="X83" i="15"/>
  <c r="X5" i="15"/>
  <c r="X66" i="15"/>
  <c r="X61" i="15"/>
  <c r="X50" i="15"/>
  <c r="X3" i="15"/>
  <c r="X17" i="15"/>
  <c r="X48" i="15"/>
  <c r="X101" i="15"/>
  <c r="X42" i="15"/>
  <c r="X108" i="15"/>
  <c r="X34" i="15"/>
  <c r="X97" i="15"/>
  <c r="X98" i="15"/>
  <c r="X11" i="15"/>
  <c r="X110" i="15"/>
  <c r="X67" i="15"/>
  <c r="X75" i="15"/>
  <c r="X73" i="15"/>
  <c r="X65" i="15"/>
  <c r="X20" i="15"/>
  <c r="X13" i="15"/>
  <c r="X35" i="15"/>
  <c r="X12" i="15"/>
  <c r="X111" i="15"/>
  <c r="X64" i="15"/>
  <c r="X25" i="15"/>
  <c r="X103" i="15"/>
  <c r="X18" i="15"/>
  <c r="X91" i="15"/>
  <c r="X86" i="15"/>
  <c r="X59" i="15"/>
  <c r="X24" i="15"/>
  <c r="X84" i="15"/>
  <c r="X90" i="15"/>
  <c r="X41" i="15"/>
  <c r="X95" i="15"/>
  <c r="X9" i="15"/>
  <c r="X32" i="15"/>
  <c r="X51" i="15"/>
  <c r="X81" i="15"/>
  <c r="X14" i="15"/>
  <c r="X29" i="15"/>
  <c r="X60" i="15"/>
  <c r="X45" i="15"/>
  <c r="X55" i="15"/>
  <c r="X56" i="15"/>
  <c r="AC46" i="15"/>
  <c r="AA7" i="15"/>
  <c r="AA41" i="15"/>
  <c r="AA71" i="15"/>
  <c r="AC4" i="15"/>
  <c r="Y49" i="15"/>
  <c r="Z66" i="15"/>
  <c r="AB83" i="15"/>
  <c r="AB101" i="15"/>
  <c r="Z103" i="15"/>
  <c r="AA43" i="15"/>
  <c r="AB37" i="15"/>
  <c r="Y76" i="15"/>
  <c r="AC100" i="15"/>
  <c r="AB30" i="15"/>
  <c r="Z57" i="15"/>
  <c r="AC45" i="15"/>
  <c r="Y21" i="15"/>
  <c r="Z75" i="15"/>
  <c r="Y101" i="15"/>
  <c r="Y61" i="15"/>
  <c r="Y80" i="15"/>
  <c r="AC25" i="15"/>
  <c r="AC60" i="15"/>
  <c r="Y64" i="15"/>
  <c r="Z38" i="15"/>
  <c r="Y11" i="15"/>
  <c r="AA54" i="15"/>
  <c r="AC93" i="15"/>
  <c r="Y8" i="15"/>
  <c r="Z28" i="15"/>
  <c r="Z36" i="15"/>
  <c r="AB44" i="15"/>
  <c r="AB17" i="15"/>
  <c r="AB4" i="15"/>
  <c r="AA69" i="15"/>
  <c r="Z14" i="15"/>
  <c r="AC11" i="15"/>
  <c r="Y110" i="15"/>
  <c r="AA29" i="15"/>
  <c r="Y30" i="15"/>
  <c r="Z49" i="15"/>
  <c r="Y47" i="15"/>
  <c r="AA88" i="15"/>
  <c r="Z96" i="15"/>
  <c r="Y3" i="15"/>
  <c r="Y34" i="15"/>
  <c r="Y94" i="15"/>
  <c r="Y104" i="15"/>
  <c r="AC51" i="15"/>
  <c r="Z44" i="15"/>
  <c r="Y83" i="15"/>
  <c r="Z24" i="15"/>
  <c r="AC79" i="15"/>
  <c r="AC96" i="15"/>
  <c r="AC98" i="15"/>
  <c r="AB78" i="15"/>
  <c r="Y53" i="15"/>
  <c r="AA111" i="15"/>
  <c r="AA35" i="15"/>
  <c r="AC16" i="15"/>
  <c r="AC15" i="15"/>
  <c r="Z60" i="15"/>
  <c r="AB28" i="15"/>
  <c r="Y31" i="15"/>
  <c r="AA68" i="15"/>
  <c r="Z56" i="15"/>
  <c r="AB63" i="15"/>
  <c r="AA4" i="15"/>
  <c r="AB64" i="15"/>
  <c r="AC58" i="15"/>
  <c r="AB43" i="15"/>
  <c r="AC41" i="15"/>
  <c r="AB108" i="15"/>
  <c r="Y29" i="15"/>
  <c r="AA14" i="15"/>
  <c r="AB89" i="15"/>
  <c r="Y86" i="15"/>
  <c r="AA94" i="15"/>
  <c r="AB79" i="15"/>
  <c r="Y93" i="15"/>
  <c r="Z63" i="15"/>
  <c r="AC104" i="15"/>
  <c r="AA21" i="15"/>
  <c r="Y6" i="15"/>
  <c r="AB33" i="15"/>
  <c r="Z25" i="15"/>
  <c r="AB84" i="15"/>
  <c r="Z33" i="15"/>
  <c r="AC52" i="15"/>
  <c r="Z50" i="15"/>
  <c r="AA31" i="15"/>
  <c r="AA106" i="15"/>
  <c r="AA80" i="15"/>
  <c r="AA73" i="15"/>
  <c r="AA72" i="15"/>
  <c r="AC85" i="15"/>
  <c r="AA99" i="15"/>
  <c r="Z19" i="15"/>
  <c r="AA105" i="15"/>
  <c r="AA18" i="15"/>
  <c r="Z43" i="15"/>
  <c r="Z102" i="15"/>
  <c r="Z7" i="15"/>
  <c r="AA95" i="15"/>
  <c r="Z34" i="15"/>
  <c r="AA16" i="15"/>
  <c r="AC111" i="15"/>
  <c r="Z69" i="15"/>
  <c r="Z31" i="15"/>
  <c r="AC74" i="15"/>
  <c r="AC44" i="15"/>
  <c r="AC55" i="15"/>
  <c r="Z17" i="15"/>
  <c r="AA27" i="15"/>
  <c r="AA13" i="15"/>
  <c r="AA23" i="15"/>
  <c r="Y87" i="15"/>
  <c r="Y18" i="15"/>
  <c r="Z87" i="15"/>
  <c r="Z9" i="15"/>
  <c r="Y35" i="15"/>
  <c r="Y65" i="15"/>
  <c r="AA12" i="15"/>
  <c r="Y107" i="15"/>
  <c r="AB51" i="15"/>
  <c r="AB41" i="15"/>
  <c r="AC67" i="15"/>
  <c r="AB26" i="15"/>
  <c r="AA11" i="15"/>
  <c r="AA47" i="15"/>
  <c r="Z32" i="15"/>
  <c r="Z94" i="15"/>
  <c r="Y4" i="15"/>
  <c r="AC84" i="15"/>
  <c r="AB67" i="15"/>
  <c r="Y46" i="15"/>
  <c r="AA98" i="15"/>
  <c r="Z98" i="15"/>
  <c r="Y54" i="15"/>
  <c r="AA81" i="15"/>
  <c r="Y43" i="15"/>
  <c r="Y16" i="15"/>
  <c r="AC99" i="15"/>
  <c r="AC43" i="15"/>
  <c r="AB16" i="15"/>
  <c r="AA45" i="15"/>
  <c r="Z15" i="15"/>
  <c r="Z37" i="15"/>
  <c r="Z105" i="15"/>
  <c r="Z107" i="15"/>
  <c r="AC107" i="15"/>
  <c r="Y82" i="15"/>
  <c r="AC7" i="15"/>
  <c r="Y9" i="15"/>
  <c r="AA79" i="15"/>
  <c r="AA33" i="15"/>
  <c r="AA107" i="15"/>
  <c r="Y79" i="15"/>
  <c r="Z5" i="15"/>
  <c r="AC31" i="15"/>
  <c r="AB36" i="15"/>
  <c r="AC68" i="15"/>
  <c r="AC10" i="15"/>
  <c r="AA61" i="15"/>
  <c r="AA109" i="15"/>
  <c r="Z55" i="15"/>
  <c r="AC73" i="15"/>
  <c r="Y67" i="15"/>
  <c r="AA40" i="15"/>
  <c r="Z78" i="15"/>
  <c r="Y38" i="15"/>
  <c r="AB18" i="15"/>
  <c r="Y90" i="15"/>
  <c r="Y10" i="15"/>
  <c r="AA53" i="15"/>
  <c r="AB75" i="15"/>
  <c r="AB57" i="15"/>
  <c r="Y20" i="15"/>
  <c r="AB49" i="15"/>
  <c r="AB92" i="15"/>
  <c r="AA77" i="15"/>
  <c r="AA91" i="15"/>
  <c r="AA62" i="15"/>
  <c r="AB68" i="15"/>
  <c r="Y91" i="15"/>
  <c r="AC69" i="15"/>
  <c r="AB82" i="15"/>
  <c r="AA55" i="15"/>
  <c r="AC65" i="15"/>
  <c r="Z29" i="15"/>
  <c r="AB98" i="15"/>
  <c r="Y106" i="15"/>
  <c r="Y85" i="15"/>
  <c r="AB93" i="15"/>
  <c r="Y60" i="15"/>
  <c r="AB72" i="15"/>
  <c r="Y96" i="15"/>
  <c r="AC64" i="15"/>
  <c r="Y39" i="15"/>
  <c r="Z58" i="15"/>
  <c r="AB80" i="15"/>
  <c r="Y58" i="15"/>
  <c r="Y59" i="15"/>
  <c r="AB22" i="15"/>
  <c r="AA84" i="15"/>
  <c r="AC13" i="15"/>
  <c r="Z23" i="15"/>
  <c r="Y92" i="15"/>
  <c r="AB15" i="15"/>
  <c r="AC56" i="15"/>
  <c r="AC37" i="15"/>
  <c r="AA20" i="15"/>
  <c r="AC80" i="15"/>
  <c r="AC34" i="15"/>
  <c r="AC59" i="15"/>
  <c r="AA15" i="15"/>
  <c r="AC105" i="15"/>
  <c r="AB73" i="15"/>
  <c r="Z77" i="15"/>
  <c r="Z91" i="15"/>
  <c r="Z108" i="15"/>
  <c r="Z6" i="15"/>
  <c r="Z101" i="15"/>
  <c r="AC27" i="15"/>
  <c r="AA30" i="15"/>
  <c r="AA74" i="15"/>
  <c r="AA3" i="15"/>
  <c r="AA8" i="15"/>
  <c r="AB24" i="15"/>
  <c r="AB90" i="15"/>
  <c r="Z67" i="15"/>
  <c r="Y102" i="15"/>
  <c r="Y56" i="15"/>
  <c r="Z83" i="15"/>
  <c r="Z74" i="15"/>
  <c r="Z35" i="15"/>
  <c r="AB71" i="15"/>
  <c r="AB91" i="15"/>
  <c r="AA64" i="15"/>
  <c r="AB69" i="15"/>
  <c r="Z81" i="15"/>
  <c r="AC18" i="15"/>
  <c r="Y62" i="15"/>
  <c r="AA103" i="15"/>
  <c r="AC19" i="15"/>
  <c r="Z84" i="15"/>
  <c r="Z92" i="15"/>
  <c r="Z76" i="15"/>
  <c r="AB85" i="15"/>
  <c r="Y26" i="15"/>
  <c r="AC72" i="15"/>
  <c r="AC81" i="15"/>
  <c r="Z53" i="15"/>
  <c r="Z110" i="15"/>
  <c r="AB94" i="15"/>
  <c r="AA9" i="15"/>
  <c r="AB25" i="15"/>
  <c r="AB52" i="15"/>
  <c r="Z13" i="15"/>
  <c r="AC6" i="15"/>
  <c r="Y97" i="15"/>
  <c r="AA100" i="15"/>
  <c r="Y27" i="15"/>
  <c r="AA56" i="15"/>
  <c r="Y36" i="15"/>
  <c r="AB13" i="15"/>
  <c r="Y103" i="15"/>
  <c r="AB99" i="15"/>
  <c r="Y66" i="15"/>
  <c r="AC94" i="15"/>
  <c r="AA25" i="15"/>
  <c r="AB14" i="15"/>
  <c r="Z80" i="15"/>
  <c r="Z88" i="15"/>
  <c r="Y41" i="15"/>
  <c r="Y72" i="15"/>
  <c r="AC24" i="15"/>
  <c r="AC49" i="15"/>
  <c r="AC78" i="15"/>
  <c r="AB35" i="15"/>
  <c r="Z18" i="15"/>
  <c r="AB6" i="15"/>
  <c r="Z61" i="15"/>
  <c r="AA102" i="15"/>
  <c r="Z41" i="15"/>
  <c r="Y25" i="15"/>
  <c r="AB48" i="15"/>
  <c r="AC8" i="15"/>
  <c r="Z70" i="15"/>
  <c r="AB46" i="15"/>
  <c r="Y77" i="15"/>
  <c r="Y84" i="15"/>
  <c r="Y19" i="15"/>
  <c r="AC30" i="15"/>
  <c r="AC32" i="15"/>
  <c r="AB45" i="15"/>
  <c r="AB100" i="15"/>
  <c r="Y50" i="15"/>
  <c r="Z95" i="15"/>
  <c r="AC36" i="15"/>
  <c r="AA17" i="15"/>
  <c r="AB60" i="15"/>
  <c r="Y5" i="15"/>
  <c r="AA39" i="15"/>
  <c r="AC92" i="15"/>
  <c r="AC71" i="15"/>
  <c r="AC47" i="15"/>
  <c r="Z99" i="15"/>
  <c r="AC54" i="15"/>
  <c r="AC102" i="15"/>
  <c r="Z30" i="15"/>
  <c r="AC109" i="15"/>
  <c r="AB29" i="15"/>
  <c r="AC87" i="15"/>
  <c r="Y7" i="15"/>
  <c r="AB47" i="15"/>
  <c r="AA49" i="15"/>
  <c r="AC86" i="15"/>
  <c r="AB55" i="15"/>
  <c r="Z11" i="15"/>
  <c r="AB20" i="15"/>
  <c r="AC89" i="15"/>
  <c r="Z65" i="15"/>
  <c r="Y98" i="15"/>
  <c r="AB8" i="15"/>
  <c r="AC110" i="15"/>
  <c r="Z68" i="15"/>
  <c r="Z97" i="15"/>
  <c r="AA108" i="15"/>
  <c r="Z72" i="15"/>
  <c r="Z82" i="15"/>
  <c r="Y57" i="15"/>
  <c r="AA59" i="15"/>
  <c r="AA58" i="15"/>
  <c r="AB7" i="15"/>
  <c r="AC70" i="15"/>
  <c r="Y23" i="15"/>
  <c r="Y105" i="15"/>
  <c r="AC50" i="15"/>
  <c r="AA32" i="15"/>
  <c r="AB38" i="15"/>
  <c r="Z90" i="15"/>
  <c r="AC106" i="15"/>
  <c r="Z12" i="15"/>
  <c r="AB3" i="15"/>
  <c r="AB81" i="15"/>
  <c r="AA63" i="15"/>
  <c r="AC97" i="15"/>
  <c r="Y13" i="15"/>
  <c r="AC77" i="15"/>
  <c r="AB11" i="15"/>
  <c r="AA96" i="15"/>
  <c r="Z39" i="15"/>
  <c r="Y68" i="15"/>
  <c r="AC66" i="15"/>
  <c r="AB111" i="15"/>
  <c r="AB39" i="15"/>
  <c r="Y99" i="15"/>
  <c r="AA34" i="15"/>
  <c r="AA66" i="15"/>
  <c r="AA10" i="15"/>
  <c r="AC35" i="15"/>
  <c r="AB61" i="15"/>
  <c r="AA36" i="15"/>
  <c r="Z79" i="15"/>
  <c r="AC108" i="15"/>
  <c r="Y22" i="15"/>
  <c r="AA85" i="15"/>
  <c r="AC3" i="15"/>
  <c r="AA60" i="15"/>
  <c r="Y100" i="15"/>
  <c r="Y48" i="15"/>
  <c r="AC17" i="15"/>
  <c r="AC103" i="15"/>
  <c r="AA97" i="15"/>
  <c r="Z64" i="15"/>
  <c r="AB65" i="15"/>
  <c r="AC22" i="15"/>
  <c r="Z42" i="15"/>
  <c r="AB66" i="15"/>
  <c r="Y69" i="15"/>
  <c r="AC42" i="15"/>
  <c r="AA90" i="15"/>
  <c r="Z46" i="15"/>
  <c r="AC63" i="15"/>
  <c r="AA52" i="15"/>
  <c r="AB96" i="15"/>
  <c r="AA82" i="15"/>
  <c r="Y70" i="15"/>
  <c r="AA5" i="15"/>
  <c r="Y51" i="15"/>
  <c r="AB40" i="15"/>
  <c r="AA104" i="15"/>
  <c r="Z27" i="15"/>
  <c r="Y44" i="15"/>
  <c r="AB104" i="15"/>
  <c r="Z59" i="15"/>
  <c r="AC83" i="15"/>
  <c r="AC75" i="15"/>
  <c r="AC82" i="15"/>
  <c r="AB88" i="15"/>
  <c r="AA110" i="15"/>
  <c r="AA48" i="15"/>
  <c r="AB76" i="15"/>
  <c r="Y42" i="15"/>
  <c r="AC48" i="15"/>
  <c r="Z45" i="15"/>
  <c r="Y55" i="15"/>
  <c r="Z62" i="15"/>
  <c r="AA37" i="15"/>
  <c r="AB23" i="15"/>
  <c r="AB59" i="15"/>
  <c r="AC29" i="15"/>
  <c r="AA19" i="15"/>
  <c r="AA101" i="15"/>
  <c r="AA22" i="15"/>
  <c r="AB32" i="15"/>
  <c r="AA24" i="15"/>
  <c r="AB110" i="15"/>
  <c r="AA6" i="15"/>
  <c r="Y15" i="15"/>
  <c r="AB70" i="15"/>
  <c r="AC53" i="15"/>
  <c r="AC76" i="15"/>
  <c r="AC101" i="15"/>
  <c r="AB103" i="15"/>
  <c r="AB95" i="15"/>
  <c r="Z104" i="15"/>
  <c r="AB10" i="15"/>
  <c r="Y81" i="15"/>
  <c r="Z52" i="15"/>
  <c r="Z22" i="15"/>
  <c r="AA70" i="15"/>
  <c r="Z10" i="15"/>
  <c r="AC26" i="15"/>
  <c r="AC33" i="15"/>
  <c r="AC38" i="15"/>
  <c r="Z54" i="15"/>
  <c r="Y78" i="15"/>
  <c r="Y109" i="15"/>
  <c r="Y89" i="15"/>
  <c r="AA42" i="15"/>
  <c r="Z20" i="15"/>
  <c r="AC91" i="15"/>
  <c r="Z100" i="15"/>
  <c r="AB50" i="15"/>
  <c r="AA92" i="15"/>
  <c r="Y71" i="15"/>
  <c r="AB109" i="15"/>
  <c r="AB77" i="15"/>
  <c r="AA65" i="15"/>
  <c r="Z47" i="15"/>
  <c r="AB34" i="15"/>
  <c r="AB86" i="15"/>
  <c r="Y12" i="15"/>
  <c r="Z111" i="15"/>
  <c r="Y88" i="15"/>
  <c r="AC90" i="15"/>
  <c r="AB97" i="15"/>
  <c r="AB106" i="15"/>
  <c r="AA50" i="15"/>
  <c r="Z8" i="15"/>
  <c r="AC28" i="15"/>
  <c r="Y74" i="15"/>
  <c r="AB58" i="15"/>
  <c r="AB102" i="15"/>
  <c r="Z109" i="15"/>
  <c r="Z86" i="15"/>
  <c r="AC40" i="15"/>
  <c r="AB107" i="15"/>
  <c r="AB5" i="15"/>
  <c r="AA89" i="15"/>
  <c r="Z106" i="15"/>
  <c r="Y73" i="15"/>
  <c r="AC21" i="15"/>
  <c r="AC57" i="15"/>
  <c r="Z4" i="15"/>
  <c r="Z21" i="15"/>
  <c r="AC23" i="15"/>
  <c r="Y33" i="15"/>
  <c r="Z16" i="15"/>
  <c r="AC39" i="15"/>
  <c r="AB53" i="15"/>
  <c r="AA44" i="15"/>
  <c r="Y52" i="15"/>
  <c r="AB62" i="15"/>
  <c r="Y45" i="15"/>
  <c r="AC5" i="15"/>
  <c r="AB31" i="15"/>
  <c r="AA87" i="15"/>
  <c r="AC20" i="15"/>
  <c r="Y14" i="15"/>
  <c r="Y17" i="15"/>
  <c r="Y37" i="15"/>
  <c r="Z3" i="15"/>
  <c r="AA28" i="15"/>
  <c r="AB105" i="15"/>
  <c r="AB54" i="15"/>
  <c r="AB19" i="15"/>
  <c r="Y63" i="15"/>
  <c r="Y108" i="15"/>
  <c r="Y32" i="15"/>
  <c r="Y111" i="15"/>
  <c r="Z26" i="15"/>
  <c r="Z51" i="15"/>
  <c r="Z89" i="15"/>
  <c r="AB42" i="15"/>
  <c r="AA86" i="15"/>
  <c r="AA51" i="15"/>
  <c r="AA46" i="15"/>
  <c r="Z85" i="15"/>
  <c r="AA93" i="15"/>
  <c r="AB9" i="15"/>
  <c r="AA38" i="15"/>
  <c r="Z71" i="15"/>
  <c r="AB74" i="15"/>
  <c r="AA67" i="15"/>
  <c r="Y75" i="15"/>
  <c r="AB21" i="15"/>
  <c r="AA78" i="15"/>
  <c r="Z73" i="15"/>
  <c r="Y24" i="15"/>
  <c r="Z40" i="15"/>
  <c r="AB87" i="15"/>
  <c r="AA75" i="15"/>
  <c r="Y28" i="15"/>
  <c r="AC95" i="15"/>
  <c r="AB56" i="15"/>
  <c r="AC61" i="15"/>
  <c r="AC9" i="15"/>
  <c r="AA83" i="15"/>
  <c r="Y95" i="15"/>
  <c r="AA76" i="15"/>
  <c r="AC12" i="15"/>
  <c r="AC14" i="15"/>
  <c r="AC88" i="15"/>
  <c r="Y40" i="15"/>
  <c r="AC62" i="15"/>
  <c r="Z93" i="15"/>
  <c r="AB27" i="15"/>
  <c r="AA57" i="15"/>
  <c r="AA26" i="15"/>
  <c r="AB12" i="15"/>
  <c r="Z48" i="15"/>
  <c r="W14" i="15" l="1"/>
  <c r="W84" i="15"/>
  <c r="W64" i="15"/>
  <c r="W75" i="15"/>
  <c r="W42" i="15"/>
  <c r="W5" i="15"/>
  <c r="W4" i="15"/>
  <c r="W69" i="15"/>
  <c r="W79" i="15"/>
  <c r="W71" i="15"/>
  <c r="W87" i="15"/>
  <c r="W52" i="15"/>
  <c r="W27" i="15"/>
  <c r="W81" i="15"/>
  <c r="W24" i="15"/>
  <c r="W111" i="15"/>
  <c r="W67" i="15"/>
  <c r="W101" i="15"/>
  <c r="W83" i="15"/>
  <c r="W105" i="15"/>
  <c r="W107" i="15"/>
  <c r="W106" i="15"/>
  <c r="W72" i="15"/>
  <c r="W19" i="15"/>
  <c r="W10" i="15"/>
  <c r="W49" i="15"/>
  <c r="W51" i="15"/>
  <c r="W59" i="15"/>
  <c r="W12" i="15"/>
  <c r="W110" i="15"/>
  <c r="W48" i="15"/>
  <c r="W74" i="15"/>
  <c r="W16" i="15"/>
  <c r="W54" i="15"/>
  <c r="W47" i="15"/>
  <c r="W96" i="15"/>
  <c r="W82" i="15"/>
  <c r="W77" i="15"/>
  <c r="W58" i="15"/>
  <c r="W56" i="15"/>
  <c r="W32" i="15"/>
  <c r="W86" i="15"/>
  <c r="W35" i="15"/>
  <c r="W11" i="15"/>
  <c r="W17" i="15"/>
  <c r="W85" i="15"/>
  <c r="W39" i="15"/>
  <c r="W23" i="15"/>
  <c r="W33" i="15"/>
  <c r="W8" i="15"/>
  <c r="W30" i="15"/>
  <c r="W31" i="15"/>
  <c r="W78" i="15"/>
  <c r="W55" i="15"/>
  <c r="W9" i="15"/>
  <c r="W91" i="15"/>
  <c r="W13" i="15"/>
  <c r="W98" i="15"/>
  <c r="W3" i="15"/>
  <c r="W15" i="15"/>
  <c r="W102" i="15"/>
  <c r="W88" i="15"/>
  <c r="W92" i="15"/>
  <c r="W93" i="15"/>
  <c r="W43" i="15"/>
  <c r="W46" i="15"/>
  <c r="W36" i="15"/>
  <c r="W45" i="15"/>
  <c r="W95" i="15"/>
  <c r="W18" i="15"/>
  <c r="W20" i="15"/>
  <c r="W97" i="15"/>
  <c r="W50" i="15"/>
  <c r="W68" i="15"/>
  <c r="W109" i="15"/>
  <c r="W94" i="15"/>
  <c r="W28" i="15"/>
  <c r="W57" i="15"/>
  <c r="W37" i="15"/>
  <c r="W38" i="15"/>
  <c r="W63" i="15"/>
  <c r="W60" i="15"/>
  <c r="W41" i="15"/>
  <c r="W103" i="15"/>
  <c r="W65" i="15"/>
  <c r="W34" i="15"/>
  <c r="W61" i="15"/>
  <c r="W53" i="15"/>
  <c r="W89" i="15"/>
  <c r="W100" i="15"/>
  <c r="W70" i="15"/>
  <c r="W6" i="15"/>
  <c r="W7" i="15"/>
  <c r="W44" i="15"/>
  <c r="W21" i="15"/>
  <c r="W29" i="15"/>
  <c r="W90" i="15"/>
  <c r="W25" i="15"/>
  <c r="W73" i="15"/>
  <c r="W108" i="15"/>
  <c r="W66" i="15"/>
  <c r="W76" i="15"/>
  <c r="W104" i="15"/>
  <c r="W22" i="15"/>
  <c r="W62" i="15"/>
  <c r="W99" i="15"/>
  <c r="W26" i="15"/>
  <c r="W40" i="15"/>
  <c r="W80" i="15"/>
  <c r="C23" i="1" l="1"/>
  <c r="H23" i="1"/>
  <c r="C39" i="1"/>
  <c r="H39" i="1"/>
  <c r="I13" i="1"/>
  <c r="AD2" i="15" s="1" a="1"/>
  <c r="H22" i="1"/>
  <c r="I22" i="1"/>
  <c r="I25" i="1"/>
  <c r="H21" i="1"/>
  <c r="I21" i="1"/>
  <c r="I14" i="1"/>
  <c r="D39" i="1"/>
  <c r="I23" i="1"/>
  <c r="I39" i="1"/>
  <c r="D23" i="1"/>
  <c r="AD22" i="15" l="1"/>
  <c r="AD76" i="15"/>
  <c r="AD15" i="15"/>
  <c r="AD54" i="15"/>
  <c r="AD18" i="15"/>
  <c r="AD63" i="15"/>
  <c r="AD102" i="15"/>
  <c r="AD109" i="15"/>
  <c r="AD14" i="15"/>
  <c r="AD92" i="15"/>
  <c r="AD56" i="15"/>
  <c r="AD19" i="15"/>
  <c r="AD75" i="15"/>
  <c r="AD104" i="15"/>
  <c r="AD39" i="15"/>
  <c r="AD33" i="15"/>
  <c r="AD97" i="15"/>
  <c r="AD60" i="15"/>
  <c r="AD73" i="15"/>
  <c r="AD77" i="15"/>
  <c r="AD108" i="15"/>
  <c r="AD90" i="15"/>
  <c r="AD82" i="15"/>
  <c r="AD12" i="15"/>
  <c r="AD91" i="15"/>
  <c r="AD70" i="15"/>
  <c r="AD85" i="15"/>
  <c r="AD35" i="15"/>
  <c r="AD110" i="15"/>
  <c r="AD8" i="15"/>
  <c r="AD23" i="15"/>
  <c r="AD100" i="15"/>
  <c r="AD105" i="15"/>
  <c r="AD34" i="15"/>
  <c r="AD51" i="15"/>
  <c r="AD17" i="15"/>
  <c r="AD87" i="15"/>
  <c r="AD10" i="15"/>
  <c r="AD96" i="15"/>
  <c r="AD103" i="15"/>
  <c r="AD3" i="15"/>
  <c r="AD7" i="15"/>
  <c r="AD4" i="15"/>
  <c r="AD28" i="15"/>
  <c r="AD36" i="15"/>
  <c r="AD25" i="15"/>
  <c r="AD94" i="15"/>
  <c r="AD13" i="15"/>
  <c r="AD50" i="15"/>
  <c r="AD26" i="15"/>
  <c r="AD81" i="15"/>
  <c r="AD16" i="15"/>
  <c r="AD37" i="15"/>
  <c r="AD5" i="15"/>
  <c r="AD84" i="15"/>
  <c r="AD44" i="15"/>
  <c r="AD107" i="15"/>
  <c r="AD45" i="15"/>
  <c r="AD74" i="15"/>
  <c r="AD71" i="15"/>
  <c r="AD64" i="15"/>
  <c r="AD38" i="15"/>
  <c r="AD95" i="15"/>
  <c r="AD80" i="15"/>
  <c r="AD89" i="15"/>
  <c r="AD61" i="15"/>
  <c r="AD24" i="15"/>
  <c r="AD2" i="15"/>
  <c r="AD31" i="15"/>
  <c r="AD9" i="15"/>
  <c r="AD29" i="15"/>
  <c r="AD43" i="15"/>
  <c r="AD69" i="15"/>
  <c r="AD48" i="15"/>
  <c r="AD88" i="15"/>
  <c r="AD111" i="15"/>
  <c r="AD72" i="15"/>
  <c r="AD20" i="15"/>
  <c r="AD40" i="15"/>
  <c r="AD101" i="15"/>
  <c r="AD99" i="15"/>
  <c r="AD27" i="15"/>
  <c r="AD41" i="15"/>
  <c r="AD83" i="15"/>
  <c r="AD62" i="15"/>
  <c r="AD32" i="15"/>
  <c r="AD86" i="15"/>
  <c r="AD52" i="15"/>
  <c r="AD66" i="15"/>
  <c r="AD47" i="15"/>
  <c r="AD65" i="15"/>
  <c r="AD30" i="15"/>
  <c r="AD55" i="15"/>
  <c r="AD59" i="15"/>
  <c r="AD67" i="15"/>
  <c r="AD98" i="15"/>
  <c r="AD68" i="15"/>
  <c r="AD21" i="15"/>
  <c r="AD11" i="15"/>
  <c r="AD106" i="15"/>
  <c r="AD53" i="15"/>
  <c r="AD79" i="15"/>
  <c r="AD42" i="15"/>
  <c r="AD57" i="15"/>
  <c r="AD78" i="15"/>
  <c r="AD49" i="15"/>
  <c r="AD58" i="15"/>
  <c r="AD93" i="15"/>
  <c r="AD46" i="15"/>
  <c r="AD6" i="15"/>
  <c r="Y112" i="15" l="1"/>
  <c r="Y114" i="14"/>
  <c r="Y85" i="17"/>
  <c r="Y96" i="16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<sst xmlns="http://schemas.openxmlformats.org/spreadsheetml/2006/main" count="2035" uniqueCount="165">
  <si>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</si>
  <si>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</si>
  <si>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</si>
  <si>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</si>
  <si>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</si>
  <si>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</si>
  <si>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</si>
  <si>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</si>
  <si>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</si>
  <si>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</si>
  <si>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</si>
  <si>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</si>
  <si>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</si>
  <si>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</si>
  <si>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</si>
  <si>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</si>
  <si>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</si>
  <si>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</si>
  <si>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</si>
  <si>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</si>
  <si>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</si>
  <si>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</si>
  <si>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</si>
  <si>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</si>
  <si>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</si>
  <si>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</si>
  <si>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</si>
  <si>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</si>
  <si>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</si>
  <si>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</si>
  <si>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</si>
  <si>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</si>
  <si>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</si>
  <si>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</si>
  <si>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</si>
  <si>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</si>
  <si>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</si>
  <si>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</si>
  <si>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</si>
  <si>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</si>
  <si>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</si>
  <si>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</si>
  <si>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</si>
  <si>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</si>
  <si>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</si>
  <si>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</si>
  <si>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</si>
  <si>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</si>
  <si>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</si>
  <si>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</si>
  <si>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</si>
  <si>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</si>
  <si>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</si>
  <si>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</si>
  <si>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</si>
  <si>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</si>
  <si>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</si>
  <si>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</si>
  <si>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</si>
  <si>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</si>
  <si>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</si>
  <si>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</si>
  <si>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</si>
  <si>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</si>
  <si>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</si>
  <si>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</si>
  <si>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</si>
  <si>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</si>
  <si>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</si>
  <si>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</si>
  <si>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</si>
  <si>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</si>
  <si>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</si>
  <si>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</si>
  <si>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</si>
  <si>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</si>
  <si>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</si>
  <si>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</si>
  <si>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</si>
  <si>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</si>
  <si>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</si>
  <si>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</si>
  <si>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</si>
  <si>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</si>
  <si>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</si>
  <si>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</si>
  <si>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</si>
  <si>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</si>
  <si>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</si>
  <si>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</si>
  <si>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</si>
  <si>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</si>
  <si>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</si>
  <si>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</si>
  <si>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</si>
  <si>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</si>
  <si>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</si>
  <si>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</si>
  <si>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</si>
  <si>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</si>
  <si>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</si>
  <si>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</si>
  <si>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</si>
  <si>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</si>
  <si>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</si>
  <si>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</si>
  <si>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</si>
  <si>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</si>
  <si>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</si>
  <si>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</si>
  <si>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</si>
  <si>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</si>
  <si>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</si>
  <si>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</si>
  <si>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</si>
  <si>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</si>
  <si>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</si>
  <si>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</si>
  <si>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</si>
  <si>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</si>
  <si>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</si>
  <si>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</si>
  <si>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</si>
  <si>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</si>
  <si>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</si>
  <si>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</si>
  <si>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</si>
  <si>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</si>
  <si>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tau</t>
  </si>
  <si>
    <t>Size</t>
  </si>
  <si>
    <t>AUD</t>
  </si>
  <si>
    <t>Australia</t>
  </si>
  <si>
    <t>Aonia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</si>
  <si>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</si>
  <si>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</si>
  <si>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</si>
  <si>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</si>
  <si>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</si>
  <si>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</si>
  <si>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</si>
  <si>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</si>
  <si>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</si>
  <si>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</si>
  <si>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</si>
  <si>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</si>
  <si>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</si>
  <si>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</si>
  <si>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</si>
  <si>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</si>
  <si>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</si>
  <si>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</si>
  <si>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MTOIS</t>
  </si>
  <si>
    <t>BBSW</t>
  </si>
  <si>
    <t>Half-Month Modified Following</t>
  </si>
  <si>
    <t>Actual/365 (Fixed)</t>
  </si>
  <si>
    <t>ASX</t>
  </si>
  <si>
    <t>Quarterly</t>
  </si>
  <si>
    <t>QM</t>
  </si>
  <si>
    <t>3AB</t>
  </si>
  <si>
    <t>Semiannual</t>
  </si>
  <si>
    <t>SM</t>
  </si>
  <si>
    <t>6AB</t>
  </si>
  <si>
    <t>CheckExtrapolation</t>
  </si>
  <si>
    <t>Instruments List</t>
  </si>
  <si>
    <t>Rate 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</si>
</sst>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196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0" fontId="5" fillId="3" borderId="8" xfId="0" applyFont="1" applyFill="1" applyBorder="1"/>
    <xf numFmtId="168" fontId="5" fillId="3" borderId="8" xfId="0" applyNumberFormat="1" applyFont="1" applyFill="1" applyBorder="1"/>
    <xf numFmtId="167" fontId="5" fillId="3" borderId="8" xfId="0" applyNumberFormat="1" applyFont="1" applyFill="1" applyBorder="1"/>
    <xf numFmtId="167" fontId="5" fillId="6" borderId="8" xfId="0" applyNumberFormat="1" applyFont="1" applyFill="1" applyBorder="1"/>
    <xf numFmtId="0" fontId="5" fillId="3" borderId="6" xfId="0" applyFont="1" applyFill="1" applyBorder="1"/>
    <xf numFmtId="168" fontId="5" fillId="3" borderId="6" xfId="0" applyNumberFormat="1" applyFont="1" applyFill="1" applyBorder="1"/>
    <xf numFmtId="167" fontId="5" fillId="3" borderId="6" xfId="0" applyNumberFormat="1" applyFont="1" applyFill="1" applyBorder="1"/>
    <xf numFmtId="167" fontId="5" fillId="6" borderId="6" xfId="0" applyNumberFormat="1" applyFont="1" applyFill="1" applyBorder="1"/>
    <xf numFmtId="0" fontId="5" fillId="3" borderId="1" xfId="0" applyFont="1" applyFill="1" applyBorder="1"/>
    <xf numFmtId="168" fontId="5" fillId="3" borderId="1" xfId="0" applyNumberFormat="1" applyFont="1" applyFill="1" applyBorder="1"/>
    <xf numFmtId="167" fontId="5" fillId="3" borderId="1" xfId="0" applyNumberFormat="1" applyFont="1" applyFill="1" applyBorder="1"/>
    <xf numFmtId="167" fontId="5" fillId="6" borderId="1" xfId="0" applyNumberFormat="1" applyFont="1" applyFill="1" applyBorder="1"/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8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5" fontId="5" fillId="8" borderId="0" xfId="0" applyNumberFormat="1" applyFont="1" applyFill="1"/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80" fontId="5" fillId="3" borderId="8" xfId="0" applyNumberFormat="1" applyFont="1" applyFill="1" applyBorder="1"/>
    <xf numFmtId="180" fontId="5" fillId="3" borderId="6" xfId="0" applyNumberFormat="1" applyFont="1" applyFill="1" applyBorder="1"/>
    <xf numFmtId="180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73" fontId="3" fillId="9" borderId="2" xfId="1" applyNumberFormat="1" applyFont="1" applyFill="1" applyBorder="1" applyAlignment="1">
      <alignment horizontal="center"/>
    </xf>
    <xf numFmtId="179" fontId="5" fillId="8" borderId="0" xfId="0" applyNumberFormat="1" applyFont="1" applyFill="1"/>
    <xf numFmtId="0" fontId="3" fillId="2" borderId="6" xfId="3" applyFont="1" applyFill="1" applyBorder="1" applyAlignment="1">
      <alignment horizontal="right"/>
    </xf>
    <xf numFmtId="0" fontId="3" fillId="2" borderId="10" xfId="3" applyFont="1" applyFill="1" applyBorder="1"/>
    <xf numFmtId="0" fontId="3" fillId="2" borderId="8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167" fontId="5" fillId="11" borderId="8" xfId="0" applyNumberFormat="1" applyFont="1" applyFill="1" applyBorder="1" applyAlignment="1"/>
    <xf numFmtId="0" fontId="5" fillId="11" borderId="6" xfId="0" applyFont="1" applyFill="1" applyBorder="1" applyAlignment="1"/>
    <xf numFmtId="165" fontId="5" fillId="11" borderId="8" xfId="0" applyNumberFormat="1" applyFont="1" applyFill="1" applyBorder="1" applyAlignment="1"/>
    <xf numFmtId="165" fontId="5" fillId="11" borderId="8" xfId="0" applyNumberFormat="1" applyFont="1" applyFill="1" applyBorder="1"/>
    <xf numFmtId="166" fontId="5" fillId="11" borderId="8" xfId="0" applyNumberFormat="1" applyFont="1" applyFill="1" applyBorder="1" applyAlignment="1">
      <alignment horizontal="center"/>
    </xf>
    <xf numFmtId="165" fontId="5" fillId="11" borderId="6" xfId="0" applyNumberFormat="1" applyFont="1" applyFill="1" applyBorder="1"/>
    <xf numFmtId="166" fontId="5" fillId="11" borderId="6" xfId="0" applyNumberFormat="1" applyFont="1" applyFill="1" applyBorder="1" applyAlignment="1">
      <alignment horizontal="center"/>
    </xf>
    <xf numFmtId="165" fontId="5" fillId="11" borderId="1" xfId="0" applyNumberFormat="1" applyFont="1" applyFill="1" applyBorder="1"/>
    <xf numFmtId="0" fontId="5" fillId="11" borderId="1" xfId="0" applyFont="1" applyFill="1" applyBorder="1" applyAlignment="1"/>
    <xf numFmtId="166" fontId="5" fillId="11" borderId="1" xfId="0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>
      <alignment horizontal="center"/>
    </xf>
    <xf numFmtId="166" fontId="5" fillId="12" borderId="6" xfId="0" applyNumberFormat="1" applyFont="1" applyFill="1" applyBorder="1" applyAlignment="1">
      <alignment horizontal="center"/>
    </xf>
    <xf numFmtId="166" fontId="5" fillId="12" borderId="1" xfId="0" applyNumberFormat="1" applyFont="1" applyFill="1" applyBorder="1" applyAlignment="1">
      <alignment horizontal="center"/>
    </xf>
    <xf numFmtId="165" fontId="5" fillId="11" borderId="6" xfId="0" applyNumberFormat="1" applyFont="1" applyFill="1" applyBorder="1" applyAlignment="1"/>
    <xf numFmtId="167" fontId="5" fillId="11" borderId="6" xfId="0" applyNumberFormat="1" applyFont="1" applyFill="1" applyBorder="1" applyAlignment="1"/>
    <xf numFmtId="167" fontId="5" fillId="11" borderId="1" xfId="0" applyNumberFormat="1" applyFont="1" applyFill="1" applyBorder="1" applyAlignment="1"/>
    <xf numFmtId="164" fontId="5" fillId="11" borderId="6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/>
    <xf numFmtId="0" fontId="3" fillId="2" borderId="2" xfId="3" applyFont="1" applyFill="1" applyBorder="1" applyAlignment="1">
      <alignment horizontal="right"/>
    </xf>
    <xf numFmtId="0" fontId="3" fillId="2" borderId="15" xfId="3" applyFont="1" applyFill="1" applyBorder="1"/>
    <xf numFmtId="167" fontId="3" fillId="10" borderId="8" xfId="1" applyNumberFormat="1" applyFont="1" applyFill="1" applyBorder="1" applyAlignment="1">
      <alignment horizontal="right"/>
    </xf>
    <xf numFmtId="167" fontId="3" fillId="10" borderId="1" xfId="1" applyNumberFormat="1" applyFont="1" applyFill="1" applyBorder="1" applyAlignment="1">
      <alignment horizontal="right"/>
    </xf>
    <xf numFmtId="167" fontId="3" fillId="10" borderId="6" xfId="1" applyNumberFormat="1" applyFont="1" applyFill="1" applyBorder="1" applyAlignment="1">
      <alignment horizontal="right"/>
    </xf>
    <xf numFmtId="0" fontId="3" fillId="10" borderId="6" xfId="1" applyNumberFormat="1" applyFont="1" applyFill="1" applyBorder="1" applyAlignment="1">
      <alignment horizontal="center" vertical="center"/>
    </xf>
    <xf numFmtId="0" fontId="3" fillId="10" borderId="1" xfId="1" applyNumberFormat="1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Test\Test_QuantLibXL\Data2\XLS\AUD\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sheetDataSet>
      <sheetData sheetId="0"/>
      <sheetData sheetId="1">
        <row r="4">
          <cell r="J4" t="str">
            <v>AUDON#0000</v>
          </cell>
        </row>
        <row r="5">
          <cell r="J5" t="str">
            <v>AUD1M#0000</v>
          </cell>
        </row>
        <row r="7">
          <cell r="J7" t="str">
            <v>AUD3M#0000</v>
          </cell>
        </row>
        <row r="10">
          <cell r="J10" t="str">
            <v>AUD6M#0000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4" customWidth="1"/>
    <col min="3" max="3" width="20.28515625" style="44" bestFit="1" customWidth="1"/>
    <col min="4" max="4" width="30.7109375" style="44" customWidth="1"/>
    <col min="5" max="7" width="2.7109375" style="44" customWidth="1"/>
    <col min="8" max="8" width="20.28515625" style="44" bestFit="1" customWidth="1"/>
    <col min="9" max="9" width="30.7109375" style="44" customWidth="1"/>
    <col min="10" max="10" width="2.7109375" style="44" customWidth="1"/>
    <col min="11" max="13" width="9.140625" style="44"/>
    <col min="14" max="14" width="9.7109375" style="44" bestFit="1" customWidth="1"/>
    <col min="15" max="16384" width="9.140625" style="44"/>
  </cols>
  <sheetData>
    <row r="2" spans="1:10" x14ac:dyDescent="0.2">
      <c r="B2" s="76"/>
      <c r="C2" s="77"/>
      <c r="D2" s="77"/>
      <c r="E2" s="78"/>
      <c r="G2" s="76"/>
      <c r="H2" s="77"/>
      <c r="I2" s="77"/>
      <c r="J2" s="78"/>
    </row>
    <row r="3" spans="1:10" ht="11.25" customHeight="1" x14ac:dyDescent="0.2">
      <c r="B3" s="81"/>
      <c r="C3" s="10" t="s">
        <v>21</v>
      </c>
      <c r="D3" s="75" t="s">
        <v>130</v>
      </c>
      <c r="E3" s="79"/>
      <c r="G3" s="81"/>
      <c r="H3" s="10" t="s">
        <v>29</v>
      </c>
      <c r="I3" s="11">
        <f>_xll.qlSettingsEvaluationDate(Trigger)</f>
        <v>42681</v>
      </c>
      <c r="J3" s="79"/>
    </row>
    <row r="4" spans="1:10" ht="11.25" customHeight="1" x14ac:dyDescent="0.2">
      <c r="B4" s="81"/>
      <c r="C4" s="12" t="s">
        <v>18</v>
      </c>
      <c r="D4" s="14" t="b">
        <v>1</v>
      </c>
      <c r="E4" s="79"/>
      <c r="G4" s="81"/>
      <c r="H4" s="12" t="s">
        <v>30</v>
      </c>
      <c r="I4" s="13">
        <f>_xll.qlCalendarAdvance(Calendar,Evaluationdate,"1D","F",,Trigger)</f>
        <v>42682</v>
      </c>
      <c r="J4" s="79"/>
    </row>
    <row r="5" spans="1:10" ht="11.25" customHeight="1" x14ac:dyDescent="0.2">
      <c r="A5" s="46"/>
      <c r="B5" s="82"/>
      <c r="C5" s="17" t="s">
        <v>17</v>
      </c>
      <c r="D5" s="18"/>
      <c r="E5" s="79"/>
      <c r="G5" s="81"/>
      <c r="H5" s="12" t="s">
        <v>13</v>
      </c>
      <c r="I5" s="13" t="s">
        <v>131</v>
      </c>
      <c r="J5" s="79"/>
    </row>
    <row r="6" spans="1:10" ht="11.25" customHeight="1" x14ac:dyDescent="0.2">
      <c r="A6" s="46"/>
      <c r="B6" s="82"/>
      <c r="C6" s="12" t="s">
        <v>19</v>
      </c>
      <c r="D6" s="14" t="b">
        <v>1</v>
      </c>
      <c r="E6" s="79"/>
      <c r="G6" s="81"/>
      <c r="H6" s="144"/>
      <c r="I6" s="144"/>
      <c r="J6" s="79"/>
    </row>
    <row r="7" spans="1:10" ht="11.25" customHeight="1" x14ac:dyDescent="0.2">
      <c r="A7" s="46"/>
      <c r="B7" s="82"/>
      <c r="C7" s="12" t="s">
        <v>20</v>
      </c>
      <c r="D7" s="15" t="str">
        <f>Currency&amp;"ON"</f>
        <v>AUDON</v>
      </c>
      <c r="E7" s="79"/>
      <c r="G7" s="81"/>
      <c r="H7" s="10" t="s">
        <v>34</v>
      </c>
      <c r="I7" s="140" t="s">
        <v>152</v>
      </c>
      <c r="J7" s="79"/>
    </row>
    <row r="8" spans="1:10" ht="11.25" customHeight="1" x14ac:dyDescent="0.2">
      <c r="A8" s="46"/>
      <c r="B8" s="83"/>
      <c r="C8" s="16" t="s">
        <v>75</v>
      </c>
      <c r="D8" s="161" t="s">
        <v>76</v>
      </c>
      <c r="E8" s="79"/>
      <c r="G8" s="81"/>
      <c r="H8" s="12" t="s">
        <v>71</v>
      </c>
      <c r="I8" s="141" t="s">
        <v>72</v>
      </c>
      <c r="J8" s="79"/>
    </row>
    <row r="9" spans="1:10" ht="11.25" customHeight="1" x14ac:dyDescent="0.2">
      <c r="B9" s="83"/>
      <c r="C9" s="143"/>
      <c r="D9" s="143"/>
      <c r="E9" s="79"/>
      <c r="G9" s="81"/>
      <c r="H9" s="16" t="s">
        <v>126</v>
      </c>
      <c r="I9" s="142" t="s">
        <v>125</v>
      </c>
      <c r="J9" s="79"/>
    </row>
    <row r="10" spans="1:10" ht="11.25" customHeight="1" x14ac:dyDescent="0.2">
      <c r="B10" s="84"/>
      <c r="C10" s="85"/>
      <c r="D10" s="86"/>
      <c r="E10" s="80"/>
      <c r="G10" s="84"/>
      <c r="H10" s="85"/>
      <c r="I10" s="86"/>
      <c r="J10" s="80"/>
    </row>
    <row r="11" spans="1:10" ht="11.25" customHeight="1" x14ac:dyDescent="0.2"/>
    <row r="12" spans="1:10" x14ac:dyDescent="0.2">
      <c r="B12" s="33"/>
      <c r="C12" s="34"/>
      <c r="D12" s="34"/>
      <c r="E12" s="35"/>
      <c r="G12" s="33"/>
      <c r="H12" s="34"/>
      <c r="I12" s="34"/>
      <c r="J12" s="35"/>
    </row>
    <row r="13" spans="1:10" x14ac:dyDescent="0.2">
      <c r="B13" s="20"/>
      <c r="C13" s="19" t="s">
        <v>9</v>
      </c>
      <c r="D13" s="37" t="str">
        <f>_xll.qlPiecewiseYieldCurve($D$15,$D$16,Calendar,_xll.ohPack(RateHelpersON),,,,D17,D18,D19,Permanent,,ObjectOverwrite)</f>
        <v>_AUDON#0037</v>
      </c>
      <c r="E13" s="38"/>
      <c r="G13" s="20"/>
      <c r="H13" s="19" t="s">
        <v>9</v>
      </c>
      <c r="I13" s="37" t="str">
        <f>_xll.qlPiecewiseYieldCurve(I15,I16,Calendar,_xll.ohPack(RateHelpers3M),,,,I17,I18,I19,Permanent,,ObjectOverwrite)</f>
        <v>_AUD3M#0003</v>
      </c>
      <c r="J13" s="38"/>
    </row>
    <row r="14" spans="1:10" x14ac:dyDescent="0.2">
      <c r="B14" s="20"/>
      <c r="C14" s="21" t="s">
        <v>10</v>
      </c>
      <c r="D14" s="39" t="str">
        <f>_xll.ohRangeRetrieveError(YieldCurve_ON)</f>
        <v/>
      </c>
      <c r="E14" s="38"/>
      <c r="G14" s="20"/>
      <c r="H14" s="21" t="s">
        <v>10</v>
      </c>
      <c r="I14" s="39" t="str">
        <f>_xll.ohRangeRetrieveError(YieldCurve_3M)</f>
        <v/>
      </c>
      <c r="J14" s="38"/>
    </row>
    <row r="15" spans="1:10" x14ac:dyDescent="0.2">
      <c r="B15" s="20"/>
      <c r="C15" s="19" t="s">
        <v>11</v>
      </c>
      <c r="D15" s="22" t="str">
        <f>"_"&amp;Currency&amp;"ON"</f>
        <v>_AUDON</v>
      </c>
      <c r="E15" s="38"/>
      <c r="G15" s="20"/>
      <c r="H15" s="19" t="s">
        <v>11</v>
      </c>
      <c r="I15" s="22" t="str">
        <f>"_"&amp;Currency&amp;"3M"</f>
        <v>_AUD3M</v>
      </c>
      <c r="J15" s="38"/>
    </row>
    <row r="16" spans="1:10" x14ac:dyDescent="0.2">
      <c r="B16" s="20"/>
      <c r="C16" s="23" t="s">
        <v>12</v>
      </c>
      <c r="D16" s="24">
        <v>0</v>
      </c>
      <c r="E16" s="38"/>
      <c r="G16" s="20"/>
      <c r="H16" s="23" t="s">
        <v>12</v>
      </c>
      <c r="I16" s="24">
        <v>0</v>
      </c>
      <c r="J16" s="38"/>
    </row>
    <row r="17" spans="1:10" x14ac:dyDescent="0.2">
      <c r="B17" s="20"/>
      <c r="C17" s="23" t="s">
        <v>14</v>
      </c>
      <c r="D17" s="25"/>
      <c r="E17" s="38"/>
      <c r="G17" s="20"/>
      <c r="H17" s="23" t="s">
        <v>14</v>
      </c>
      <c r="I17" s="25"/>
      <c r="J17" s="38"/>
    </row>
    <row r="18" spans="1:10" x14ac:dyDescent="0.2">
      <c r="B18" s="20"/>
      <c r="C18" s="23" t="s">
        <v>15</v>
      </c>
      <c r="D18" s="26" t="s">
        <v>31</v>
      </c>
      <c r="E18" s="38"/>
      <c r="G18" s="20"/>
      <c r="H18" s="23" t="s">
        <v>15</v>
      </c>
      <c r="I18" s="26" t="s">
        <v>31</v>
      </c>
      <c r="J18" s="38"/>
    </row>
    <row r="19" spans="1:10" x14ac:dyDescent="0.2">
      <c r="B19" s="20"/>
      <c r="C19" s="21" t="s">
        <v>16</v>
      </c>
      <c r="D19" s="27" t="s">
        <v>36</v>
      </c>
      <c r="E19" s="38"/>
      <c r="G19" s="20"/>
      <c r="H19" s="21" t="s">
        <v>16</v>
      </c>
      <c r="I19" s="27" t="s">
        <v>36</v>
      </c>
      <c r="J19" s="38"/>
    </row>
    <row r="20" spans="1:10" x14ac:dyDescent="0.2">
      <c r="B20" s="20"/>
      <c r="C20" s="28"/>
      <c r="D20" s="28"/>
      <c r="E20" s="38"/>
      <c r="G20" s="20"/>
      <c r="H20" s="28"/>
      <c r="I20" s="28"/>
      <c r="J20" s="38"/>
    </row>
    <row r="21" spans="1:10" x14ac:dyDescent="0.2">
      <c r="B21" s="20"/>
      <c r="C21" s="29">
        <f>_xll.qlTermStructureReferenceDate(YieldCurve_ON)</f>
        <v>42681</v>
      </c>
      <c r="D21" s="30">
        <f>_xll.qlYieldTSDiscount(YieldCurve_ON,C21,,Trigger)</f>
        <v>1</v>
      </c>
      <c r="E21" s="38"/>
      <c r="G21" s="20"/>
      <c r="H21" s="29">
        <f>_xll.qlTermStructureReferenceDate(YieldCurve_3M)</f>
        <v>42681</v>
      </c>
      <c r="I21" s="30">
        <f>_xll.qlYieldTSDiscount(YieldCurve_3M,H21,,Trigger)</f>
        <v>1</v>
      </c>
      <c r="J21" s="38"/>
    </row>
    <row r="22" spans="1:10" x14ac:dyDescent="0.2">
      <c r="B22" s="20"/>
      <c r="C22" s="31">
        <f>_xll.qlTermStructureMaxDate(YieldCurve_ON,Trigger)</f>
        <v>53639</v>
      </c>
      <c r="D22" s="32">
        <f>_xll.qlYieldTSDiscount(YieldCurve_ON,C22,,Trigger)</f>
        <v>0.47338956497095275</v>
      </c>
      <c r="E22" s="38"/>
      <c r="G22" s="20"/>
      <c r="H22" s="31">
        <f>_xll.qlTermStructureMaxDate(YieldCurve_3M,Trigger)</f>
        <v>53639</v>
      </c>
      <c r="I22" s="32">
        <f>_xll.qlYieldTSDiscount(YieldCurve_3M,H22,,Trigger)</f>
        <v>0.43716879925970792</v>
      </c>
      <c r="J22" s="38"/>
    </row>
    <row r="23" spans="1:10" x14ac:dyDescent="0.2">
      <c r="B23" s="20"/>
      <c r="C23" s="31" t="str">
        <f>[1]BBSW!$J$4</f>
        <v>AUDON#0000</v>
      </c>
      <c r="D23" s="32" t="b">
        <f>_xll.qlRelinkableHandleLinkTo(C23,D13,Trigger)</f>
        <v>1</v>
      </c>
      <c r="E23" s="38"/>
      <c r="G23" s="20"/>
      <c r="H23" s="31" t="str">
        <f>[1]BBSW!$J$7</f>
        <v>AUD3M#0000</v>
      </c>
      <c r="I23" s="32" t="b">
        <f>_xll.qlRelinkableHandleLinkTo(H23,I13,Trigger)</f>
        <v>1</v>
      </c>
      <c r="J23" s="38"/>
    </row>
    <row r="24" spans="1:10" x14ac:dyDescent="0.2">
      <c r="B24" s="20"/>
      <c r="C24" s="163" t="s">
        <v>117</v>
      </c>
      <c r="D24" s="164" t="b">
        <v>1</v>
      </c>
      <c r="E24" s="38"/>
      <c r="G24" s="20"/>
      <c r="H24" s="163" t="s">
        <v>117</v>
      </c>
      <c r="I24" s="164" t="b">
        <v>0</v>
      </c>
      <c r="J24" s="38"/>
    </row>
    <row r="25" spans="1:10" x14ac:dyDescent="0.2">
      <c r="B25" s="20"/>
      <c r="C25" s="188" t="s">
        <v>162</v>
      </c>
      <c r="D25" s="189" t="b">
        <f>_xll.qlExtrapolatorEnableExtrapolation(YieldCurve_ON,D24,Trigger)</f>
        <v>1</v>
      </c>
      <c r="E25" s="38"/>
      <c r="G25" s="20"/>
      <c r="H25" s="188" t="s">
        <v>162</v>
      </c>
      <c r="I25" s="189" t="b">
        <f>_xll.qlExtrapolatorEnableExtrapolation(YieldCurve_3M,I24,Trigger)</f>
        <v>1</v>
      </c>
      <c r="J25" s="38"/>
    </row>
    <row r="26" spans="1:10" x14ac:dyDescent="0.2">
      <c r="B26" s="40"/>
      <c r="C26" s="41"/>
      <c r="D26" s="41"/>
      <c r="E26" s="42"/>
      <c r="G26" s="40"/>
      <c r="H26" s="41"/>
      <c r="I26" s="41"/>
      <c r="J26" s="42"/>
    </row>
    <row r="27" spans="1:10" x14ac:dyDescent="0.2">
      <c r="A27" s="46"/>
      <c r="B27" s="46"/>
      <c r="C27" s="46"/>
      <c r="D27" s="46"/>
      <c r="E27" s="46"/>
      <c r="G27" s="46"/>
      <c r="H27" s="46"/>
      <c r="I27" s="46"/>
      <c r="J27" s="46"/>
    </row>
    <row r="28" spans="1:10" x14ac:dyDescent="0.2">
      <c r="B28" s="33"/>
      <c r="C28" s="43"/>
      <c r="D28" s="43"/>
      <c r="E28" s="35"/>
      <c r="F28" s="45"/>
      <c r="G28" s="33"/>
      <c r="H28" s="34"/>
      <c r="I28" s="34"/>
      <c r="J28" s="35"/>
    </row>
    <row r="29" spans="1:10" x14ac:dyDescent="0.2">
      <c r="B29" s="36"/>
      <c r="C29" s="19" t="s">
        <v>9</v>
      </c>
      <c r="D29" s="37" t="str">
        <f>_xll.qlPiecewiseYieldCurve(D31,D32,Calendar,_xll.ohPack(RateHelpers6M),,,,D33,D34,D35,Permanent,,ObjectOverwrite)</f>
        <v>_AUD6M#0003</v>
      </c>
      <c r="E29" s="38"/>
      <c r="F29" s="45"/>
      <c r="G29" s="20"/>
      <c r="H29" s="19" t="s">
        <v>9</v>
      </c>
      <c r="I29" s="37" t="str">
        <f>_xll.qlPiecewiseYieldCurve(I31,I32,Calendar,_xll.ohPack(RateHelpers1M),,,,I33,I34,I35,Permanent,,ObjectOverwrite)</f>
        <v>_AUD1M#0003</v>
      </c>
      <c r="J29" s="38"/>
    </row>
    <row r="30" spans="1:10" x14ac:dyDescent="0.2">
      <c r="B30" s="36"/>
      <c r="C30" s="21" t="s">
        <v>10</v>
      </c>
      <c r="D30" s="39" t="str">
        <f>_xll.ohRangeRetrieveError(YieldCurve_6M)</f>
        <v/>
      </c>
      <c r="E30" s="38"/>
      <c r="F30" s="45"/>
      <c r="G30" s="20"/>
      <c r="H30" s="21" t="s">
        <v>10</v>
      </c>
      <c r="I30" s="39" t="str">
        <f>_xll.ohRangeRetrieveError(YieldCurve_1M)</f>
        <v/>
      </c>
      <c r="J30" s="38"/>
    </row>
    <row r="31" spans="1:10" x14ac:dyDescent="0.2">
      <c r="B31" s="20"/>
      <c r="C31" s="19" t="s">
        <v>11</v>
      </c>
      <c r="D31" s="22" t="str">
        <f>"_"&amp;Currency&amp;"6M"</f>
        <v>_AUD6M</v>
      </c>
      <c r="E31" s="38"/>
      <c r="F31" s="45"/>
      <c r="G31" s="20"/>
      <c r="H31" s="19" t="s">
        <v>11</v>
      </c>
      <c r="I31" s="22" t="str">
        <f>"_"&amp;Currency&amp;"1M"</f>
        <v>_AUD1M</v>
      </c>
      <c r="J31" s="38"/>
    </row>
    <row r="32" spans="1:10" x14ac:dyDescent="0.2">
      <c r="B32" s="20"/>
      <c r="C32" s="23" t="s">
        <v>12</v>
      </c>
      <c r="D32" s="24">
        <v>0</v>
      </c>
      <c r="E32" s="38"/>
      <c r="F32" s="45"/>
      <c r="G32" s="20"/>
      <c r="H32" s="23" t="s">
        <v>12</v>
      </c>
      <c r="I32" s="24">
        <v>0</v>
      </c>
      <c r="J32" s="38"/>
    </row>
    <row r="33" spans="2:10" x14ac:dyDescent="0.2">
      <c r="B33" s="20"/>
      <c r="C33" s="23" t="s">
        <v>14</v>
      </c>
      <c r="D33" s="25"/>
      <c r="E33" s="38"/>
      <c r="F33" s="45"/>
      <c r="G33" s="20"/>
      <c r="H33" s="23" t="s">
        <v>14</v>
      </c>
      <c r="I33" s="25"/>
      <c r="J33" s="38"/>
    </row>
    <row r="34" spans="2:10" x14ac:dyDescent="0.2">
      <c r="B34" s="20"/>
      <c r="C34" s="23" t="s">
        <v>15</v>
      </c>
      <c r="D34" s="26" t="s">
        <v>31</v>
      </c>
      <c r="E34" s="38"/>
      <c r="F34" s="45"/>
      <c r="G34" s="20"/>
      <c r="H34" s="23" t="s">
        <v>15</v>
      </c>
      <c r="I34" s="26" t="s">
        <v>31</v>
      </c>
      <c r="J34" s="38"/>
    </row>
    <row r="35" spans="2:10" x14ac:dyDescent="0.2">
      <c r="B35" s="20"/>
      <c r="C35" s="21" t="s">
        <v>16</v>
      </c>
      <c r="D35" s="27" t="s">
        <v>36</v>
      </c>
      <c r="E35" s="38"/>
      <c r="F35" s="45"/>
      <c r="G35" s="20"/>
      <c r="H35" s="21" t="s">
        <v>16</v>
      </c>
      <c r="I35" s="27" t="s">
        <v>36</v>
      </c>
      <c r="J35" s="38"/>
    </row>
    <row r="36" spans="2:10" x14ac:dyDescent="0.2">
      <c r="B36" s="20"/>
      <c r="C36" s="28"/>
      <c r="D36" s="28"/>
      <c r="E36" s="38"/>
      <c r="F36" s="45"/>
      <c r="G36" s="20"/>
      <c r="H36" s="28"/>
      <c r="I36" s="28"/>
      <c r="J36" s="38"/>
    </row>
    <row r="37" spans="2:10" x14ac:dyDescent="0.2">
      <c r="B37" s="20"/>
      <c r="C37" s="29">
        <f>_xll.qlTermStructureReferenceDate(YieldCurve_6M)</f>
        <v>42681</v>
      </c>
      <c r="D37" s="30">
        <f>_xll.qlYieldTSDiscount(YieldCurve_6M,C37,,Trigger)</f>
        <v>1</v>
      </c>
      <c r="E37" s="38"/>
      <c r="F37" s="45"/>
      <c r="G37" s="20"/>
      <c r="H37" s="29">
        <f>_xll.qlTermStructureReferenceDate(YieldCurve_1M)</f>
        <v>42681</v>
      </c>
      <c r="I37" s="30">
        <f>_xll.qlYieldTSDiscount(YieldCurve_1M,H37,,Trigger)</f>
        <v>1</v>
      </c>
      <c r="J37" s="38"/>
    </row>
    <row r="38" spans="2:10" x14ac:dyDescent="0.2">
      <c r="B38" s="20"/>
      <c r="C38" s="31">
        <f>_xll.qlTermStructureMaxDate(YieldCurve_6M,Trigger)</f>
        <v>53639</v>
      </c>
      <c r="D38" s="32">
        <f>_xll.qlYieldTSDiscount(YieldCurve_6M,C38,,Trigger)</f>
        <v>0.42818526891817699</v>
      </c>
      <c r="E38" s="38"/>
      <c r="F38" s="45"/>
      <c r="G38" s="20"/>
      <c r="H38" s="31">
        <f>_xll.qlTermStructureMaxDate(YieldCurve_1M,Trigger)</f>
        <v>53639</v>
      </c>
      <c r="I38" s="32">
        <f>_xll.qlYieldTSDiscount(YieldCurve_1M,H38,,Trigger)</f>
        <v>0.45128946323615488</v>
      </c>
      <c r="J38" s="38"/>
    </row>
    <row r="39" spans="2:10" x14ac:dyDescent="0.2">
      <c r="B39" s="20"/>
      <c r="C39" s="31" t="str">
        <f>[1]BBSW!$J$10</f>
        <v>AUD6M#0000</v>
      </c>
      <c r="D39" s="32" t="b">
        <f>_xll.qlRelinkableHandleLinkTo(C39,D29,Trigger)</f>
        <v>1</v>
      </c>
      <c r="E39" s="38"/>
      <c r="F39" s="45"/>
      <c r="G39" s="20"/>
      <c r="H39" s="31" t="str">
        <f>[1]BBSW!$J$5</f>
        <v>AUD1M#0000</v>
      </c>
      <c r="I39" s="32" t="b">
        <f>_xll.qlRelinkableHandleLinkTo(H39,I29,Trigger)</f>
        <v>1</v>
      </c>
      <c r="J39" s="38"/>
    </row>
    <row r="40" spans="2:10" x14ac:dyDescent="0.2">
      <c r="B40" s="20"/>
      <c r="C40" s="163" t="s">
        <v>117</v>
      </c>
      <c r="D40" s="164" t="b">
        <v>0</v>
      </c>
      <c r="E40" s="38"/>
      <c r="F40" s="45"/>
      <c r="G40" s="20"/>
      <c r="H40" s="163" t="s">
        <v>117</v>
      </c>
      <c r="I40" s="164" t="b">
        <v>0</v>
      </c>
      <c r="J40" s="38"/>
    </row>
    <row r="41" spans="2:10" x14ac:dyDescent="0.2">
      <c r="B41" s="20"/>
      <c r="C41" s="188" t="s">
        <v>162</v>
      </c>
      <c r="D41" s="189" t="b">
        <f>_xll.qlExtrapolatorEnableExtrapolation(YieldCurve_6M,D40,Trigger)</f>
        <v>1</v>
      </c>
      <c r="E41" s="38"/>
      <c r="F41" s="45"/>
      <c r="G41" s="20"/>
      <c r="H41" s="188" t="s">
        <v>162</v>
      </c>
      <c r="I41" s="189" t="b">
        <f>_xll.qlExtrapolatorEnableExtrapolation(YieldCurve_1M,I40,Trigger)</f>
        <v>1</v>
      </c>
      <c r="J41" s="38"/>
    </row>
    <row r="42" spans="2:10" x14ac:dyDescent="0.2">
      <c r="B42" s="40"/>
      <c r="C42" s="41"/>
      <c r="D42" s="41"/>
      <c r="E42" s="42"/>
      <c r="F42" s="45"/>
      <c r="G42" s="40"/>
      <c r="H42" s="41"/>
      <c r="I42" s="41"/>
      <c r="J42" s="42"/>
    </row>
    <row r="43" spans="2:10" x14ac:dyDescent="0.2">
      <c r="F43" s="45"/>
    </row>
    <row r="44" spans="2:10" x14ac:dyDescent="0.2">
      <c r="F44" s="45"/>
    </row>
    <row r="45" spans="2:10" x14ac:dyDescent="0.2">
      <c r="F45" s="45"/>
    </row>
  </sheetData>
  <dataValidations count="6">
    <dataValidation type="list" allowBlank="1" showInputMessage="1" showErrorMessage="1" sqref="D34 D18 I18 I34">
      <formula1>"Discount,ZeroYield,ForwardRate"</formula1>
    </dataValidation>
    <dataValidation type="list" allowBlank="1" showInputMessage="1" showErrorMessage="1" sqref="D35 D19 I19 I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I5">
      <formula1>"NullCalendar,Australia,China,HongKong::HKEx,Sweden,CzechRepublic::PSE,Poland,Hungary,SouthKorea::KRX,Israel::Settlement"</formula1>
    </dataValidation>
    <dataValidation type="list" allowBlank="1" showInputMessage="1" showErrorMessage="1" sqref="D24 I24 D40 I40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117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4" hidden="1" customWidth="1" outlineLevel="1"/>
    <col min="2" max="2" width="5.7109375" style="49" hidden="1" customWidth="1" outlineLevel="1"/>
    <col min="3" max="3" width="5.7109375" style="48" hidden="1" customWidth="1" outlineLevel="1"/>
    <col min="4" max="4" width="10.7109375" style="48" hidden="1" customWidth="1" outlineLevel="1"/>
    <col min="5" max="5" width="30.7109375" style="48" hidden="1" customWidth="1" outlineLevel="1"/>
    <col min="6" max="6" width="20.7109375" style="48" hidden="1" customWidth="1" outlineLevel="1"/>
    <col min="7" max="7" width="15.7109375" style="50" hidden="1" customWidth="1" outlineLevel="1"/>
    <col min="8" max="8" width="20.7109375" style="44" hidden="1" customWidth="1" outlineLevel="1"/>
    <col min="9" max="9" width="25.7109375" style="44" hidden="1" customWidth="1" outlineLevel="1"/>
    <col min="10" max="10" width="15.7109375" style="95" hidden="1" customWidth="1" outlineLevel="1"/>
    <col min="11" max="11" width="2.7109375" style="44" customWidth="1" collapsed="1"/>
    <col min="12" max="12" width="5.7109375" style="44" hidden="1" customWidth="1" outlineLevel="1"/>
    <col min="13" max="13" width="20.7109375" style="95" hidden="1" customWidth="1" outlineLevel="1"/>
    <col min="14" max="18" width="8.7109375" style="95" hidden="1" customWidth="1" outlineLevel="1"/>
    <col min="19" max="19" width="15.7109375" style="95" hidden="1" customWidth="1" outlineLevel="1"/>
    <col min="20" max="21" width="10.7109375" style="95" hidden="1" customWidth="1" outlineLevel="1"/>
    <col min="22" max="22" width="2.7109375" style="46" hidden="1" customWidth="1" outlineLevel="1"/>
    <col min="23" max="23" width="6" style="44" customWidth="1" collapsed="1"/>
    <col min="24" max="24" width="10.140625" style="44" hidden="1" customWidth="1" outlineLevel="1"/>
    <col min="25" max="25" width="24.7109375" style="44" customWidth="1" collapsed="1"/>
    <col min="26" max="27" width="9.7109375" style="44" customWidth="1"/>
    <col min="28" max="29" width="17.28515625" style="44" bestFit="1" customWidth="1"/>
    <col min="30" max="30" width="12" style="44" bestFit="1" customWidth="1"/>
    <col min="31" max="32" width="2.7109375" style="44" customWidth="1"/>
    <col min="33" max="33" width="24.42578125" style="44" bestFit="1" customWidth="1"/>
    <col min="34" max="34" width="24.42578125" style="44" hidden="1" customWidth="1" outlineLevel="1"/>
    <col min="35" max="35" width="7" style="44" hidden="1" customWidth="1" outlineLevel="1"/>
    <col min="36" max="36" width="11" style="44" hidden="1" customWidth="1" outlineLevel="1"/>
    <col min="37" max="37" width="9" style="44" bestFit="1" customWidth="1" collapsed="1"/>
    <col min="38" max="38" width="10" style="44" customWidth="1"/>
    <col min="39" max="40" width="24.42578125" style="44" bestFit="1" customWidth="1"/>
    <col min="41" max="16384" width="9.140625" style="44"/>
  </cols>
  <sheetData>
    <row r="1" spans="1:39" ht="18" customHeight="1" x14ac:dyDescent="0.2">
      <c r="G1" s="48" t="s">
        <v>132</v>
      </c>
      <c r="L1" s="63" t="s">
        <v>163</v>
      </c>
      <c r="M1" s="98"/>
      <c r="N1" s="98"/>
      <c r="O1" s="98"/>
      <c r="P1" s="98" t="s">
        <v>164</v>
      </c>
      <c r="Q1" s="98"/>
      <c r="R1" s="98"/>
      <c r="S1" s="98"/>
      <c r="T1" s="98"/>
      <c r="U1" s="90"/>
      <c r="V1" s="87"/>
      <c r="W1" s="68" t="str">
        <f>Currency&amp;"OIS"</f>
        <v>AUDOIS</v>
      </c>
      <c r="X1" s="62"/>
      <c r="Y1" s="62"/>
      <c r="Z1" s="64"/>
      <c r="AA1" s="64"/>
      <c r="AB1" s="62"/>
      <c r="AC1" s="62"/>
      <c r="AD1" s="66" t="s">
        <v>31</v>
      </c>
    </row>
    <row r="2" spans="1:39" ht="21.75" customHeight="1" x14ac:dyDescent="0.2">
      <c r="A2" s="61" t="s">
        <v>8</v>
      </c>
      <c r="B2" s="61" t="s">
        <v>28</v>
      </c>
      <c r="C2" s="61" t="s">
        <v>77</v>
      </c>
      <c r="D2" s="61" t="s">
        <v>127</v>
      </c>
      <c r="E2" s="61" t="s">
        <v>33</v>
      </c>
      <c r="F2" s="61" t="s">
        <v>114</v>
      </c>
      <c r="G2" s="61" t="s">
        <v>4</v>
      </c>
      <c r="H2" s="61" t="s">
        <v>1</v>
      </c>
      <c r="I2" s="61"/>
      <c r="J2" s="61" t="s">
        <v>24</v>
      </c>
      <c r="L2" s="67" t="s">
        <v>8</v>
      </c>
      <c r="M2" s="67" t="s">
        <v>78</v>
      </c>
      <c r="N2" s="67" t="s">
        <v>81</v>
      </c>
      <c r="O2" s="67" t="s">
        <v>83</v>
      </c>
      <c r="P2" s="67" t="s">
        <v>79</v>
      </c>
      <c r="Q2" s="67" t="s">
        <v>80</v>
      </c>
      <c r="R2" s="67" t="s">
        <v>82</v>
      </c>
      <c r="S2" s="67" t="s">
        <v>24</v>
      </c>
      <c r="T2" s="67" t="s">
        <v>22</v>
      </c>
      <c r="U2" s="67" t="s">
        <v>75</v>
      </c>
      <c r="V2" s="87"/>
      <c r="W2" s="67" t="s">
        <v>8</v>
      </c>
      <c r="X2" s="67" t="s">
        <v>24</v>
      </c>
      <c r="Y2" s="67" t="s">
        <v>78</v>
      </c>
      <c r="Z2" s="69" t="s">
        <v>23</v>
      </c>
      <c r="AA2" s="69" t="s">
        <v>83</v>
      </c>
      <c r="AB2" s="67" t="s">
        <v>22</v>
      </c>
      <c r="AC2" s="67" t="s">
        <v>75</v>
      </c>
      <c r="AD2" s="70">
        <f t="array" ref="AD2:AD113">_xll.qlPiecewiseYieldCurveData(YieldCurve_ON,Trigger)</f>
        <v>1</v>
      </c>
      <c r="AE2" s="146"/>
      <c r="AG2" s="147" t="s">
        <v>84</v>
      </c>
      <c r="AH2" s="148"/>
      <c r="AI2" s="148"/>
      <c r="AJ2" s="148"/>
      <c r="AK2" s="149"/>
    </row>
    <row r="3" spans="1:39" ht="11.25" customHeight="1" x14ac:dyDescent="0.2">
      <c r="A3" s="51" t="s">
        <v>26</v>
      </c>
      <c r="B3" s="52" t="s">
        <v>37</v>
      </c>
      <c r="C3" s="53">
        <v>0</v>
      </c>
      <c r="D3" s="116"/>
      <c r="E3" s="116"/>
      <c r="F3" s="116"/>
      <c r="G3" s="53" t="str">
        <f>$G$1</f>
        <v>Aonia</v>
      </c>
      <c r="H3" s="55" t="str">
        <f>Currency&amp;$B3&amp;"D"&amp;QuoteSuffix</f>
        <v>AUDOND_Quote</v>
      </c>
      <c r="I3" s="190"/>
      <c r="J3" s="165" t="str">
        <f>IF(P3,_xll.qlDepositRateHelper(,H3,G3,Permanent,Trigger,ObjectOverwrite),"--")</f>
        <v>--</v>
      </c>
      <c r="K3" s="47"/>
      <c r="L3" s="173" t="str">
        <f>A3</f>
        <v>Dp</v>
      </c>
      <c r="M3" s="182" t="str">
        <f>H3</f>
        <v>AUDOND_Quote</v>
      </c>
      <c r="N3" s="174">
        <f>IFERROR(_xll.qlQuoteValue(H3),"--")</f>
        <v>0</v>
      </c>
      <c r="O3" s="179"/>
      <c r="P3" s="91" t="b">
        <v>0</v>
      </c>
      <c r="Q3" s="88">
        <v>70</v>
      </c>
      <c r="R3" s="88">
        <v>1</v>
      </c>
      <c r="S3" s="88" t="str">
        <f>J3</f>
        <v>--</v>
      </c>
      <c r="T3" s="92" t="str">
        <f>IFERROR(_xll.qlRateHelperEarliestDate(S3,Trigger),"--")</f>
        <v>--</v>
      </c>
      <c r="U3" s="92" t="str">
        <f>IFERROR(_xll.qlRateHelperPillarDate(S3,Trigger),"--")</f>
        <v>--</v>
      </c>
      <c r="W3" s="3" t="str">
        <f t="shared" ref="W3:W34" si="0">IFERROR(INDEX($L$3:$L$113,MATCH(Y3,$M$3:$M$113,0),1),"")</f>
        <v>OIS</v>
      </c>
      <c r="X3" s="3" t="str">
        <f t="array" ref="X3:X113">_xll.qlRateHelperSelection(_xll.ohFilter(RateHelpers,IncludeFlag),_xll.ohFilter(Priority,IncludeFlag),AK3,AK4,AK5,AK6,_xll.ohFilter(MinDistance,IncludeFlag),Trigger)</f>
        <v>obj_00252</v>
      </c>
      <c r="Y3" s="3" t="str">
        <f>IFERROR(_xll.qlRateHelperQuoteName(X3,Trigger),"")</f>
        <v>AUDOISSW_Quote</v>
      </c>
      <c r="Z3" s="65">
        <f>IFERROR(_xll.qlRateHelperRate(X3,Trigger),"")</f>
        <v>1.4999999999999999E-2</v>
      </c>
      <c r="AA3" s="9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42682</v>
      </c>
      <c r="AC3" s="4">
        <f>IFERROR(_xll.qlRateHelperPillarDate(X3,Trigger),"")</f>
        <v>42689</v>
      </c>
      <c r="AD3" s="71">
        <v>0.99967135452629763</v>
      </c>
      <c r="AE3" s="146"/>
      <c r="AG3" s="99" t="s">
        <v>85</v>
      </c>
      <c r="AK3" s="100">
        <v>0</v>
      </c>
    </row>
    <row r="4" spans="1:39" ht="11.25" customHeight="1" x14ac:dyDescent="0.2">
      <c r="A4" s="51" t="s">
        <v>26</v>
      </c>
      <c r="B4" s="52" t="s">
        <v>73</v>
      </c>
      <c r="C4" s="53">
        <v>1</v>
      </c>
      <c r="D4" s="54" t="b">
        <v>1</v>
      </c>
      <c r="E4" s="54" t="s">
        <v>153</v>
      </c>
      <c r="F4" s="54" t="s">
        <v>154</v>
      </c>
      <c r="G4" s="53" t="str">
        <f>_xll.qlOvernightIndex(,,C4,Currency,Calendar,F4,,Permanent,Trigger,ObjectOverwrite)</f>
        <v>obj_00210#0004</v>
      </c>
      <c r="H4" s="55" t="str">
        <f>Currency&amp;$B4&amp;"D"&amp;QuoteSuffix</f>
        <v>AUDTND_Quote</v>
      </c>
      <c r="I4" s="190"/>
      <c r="J4" s="165" t="str">
        <f>IF(P4,_xll.qlDepositRateHelper(,H4,G4,Permanent,Trigger,ObjectOverwrite),"--")</f>
        <v>--</v>
      </c>
      <c r="K4" s="46"/>
      <c r="L4" s="173" t="str">
        <f>A4</f>
        <v>Dp</v>
      </c>
      <c r="M4" s="182" t="str">
        <f t="shared" ref="M4:M5" si="1">H4</f>
        <v>AUDTND_Quote</v>
      </c>
      <c r="N4" s="174">
        <f>IFERROR(_xll.qlQuoteValue(H4),"--")</f>
        <v>1.9E-2</v>
      </c>
      <c r="O4" s="179"/>
      <c r="P4" s="91" t="b">
        <v>0</v>
      </c>
      <c r="Q4" s="88">
        <v>70</v>
      </c>
      <c r="R4" s="88">
        <v>1</v>
      </c>
      <c r="S4" s="88" t="str">
        <f>J4</f>
        <v>--</v>
      </c>
      <c r="T4" s="92" t="str">
        <f>IFERROR(_xll.qlRateHelperEarliestDate(S4,Trigger),"--")</f>
        <v>--</v>
      </c>
      <c r="U4" s="92" t="str">
        <f>IFERROR(_xll.qlRateHelperPillarDate(S4,Trigger),"--")</f>
        <v>--</v>
      </c>
      <c r="W4" s="3" t="str">
        <f t="shared" si="0"/>
        <v>OIS</v>
      </c>
      <c r="X4" s="3" t="str">
        <v>obj_0021f</v>
      </c>
      <c r="Y4" s="3" t="str">
        <f>IFERROR(_xll.qlRateHelperQuoteName(X4,Trigger),"")</f>
        <v>AUDOIS1M_Quote</v>
      </c>
      <c r="Z4" s="65">
        <f>IFERROR(_xll.qlRateHelperRate(X4,Trigger),"")</f>
        <v>1.4999999999999999E-2</v>
      </c>
      <c r="AA4" s="9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42682</v>
      </c>
      <c r="AC4" s="4">
        <f>IFERROR(_xll.qlRateHelperPillarDate(X4,Trigger),"")</f>
        <v>42712</v>
      </c>
      <c r="AD4" s="71">
        <v>0.99872762318894348</v>
      </c>
      <c r="AE4" s="146"/>
      <c r="AG4" s="99" t="s">
        <v>86</v>
      </c>
      <c r="AK4" s="100">
        <v>0</v>
      </c>
    </row>
    <row r="5" spans="1:39" ht="11.25" customHeight="1" x14ac:dyDescent="0.2">
      <c r="A5" s="1" t="s">
        <v>26</v>
      </c>
      <c r="B5" s="7" t="s">
        <v>74</v>
      </c>
      <c r="C5" s="6">
        <v>2</v>
      </c>
      <c r="D5" s="8" t="b">
        <v>1</v>
      </c>
      <c r="E5" s="8" t="s">
        <v>153</v>
      </c>
      <c r="F5" s="8" t="s">
        <v>154</v>
      </c>
      <c r="G5" s="6" t="str">
        <f>_xll.qlOvernightIndex(,,C5,Currency,Calendar,F5,,Permanent,Trigger,ObjectOverwrite)</f>
        <v>obj_0020f#0004</v>
      </c>
      <c r="H5" s="2" t="str">
        <f>Currency&amp;$B5&amp;"D"&amp;QuoteSuffix</f>
        <v>AUDSND_Quote</v>
      </c>
      <c r="I5" s="191"/>
      <c r="J5" s="166" t="str">
        <f>IF(P5,_xll.qlDepositRateHelper(,H5,G5,Permanent,Trigger,ObjectOverwrite),"--")</f>
        <v>--</v>
      </c>
      <c r="K5" s="46"/>
      <c r="L5" s="173" t="str">
        <f>A5</f>
        <v>Dp</v>
      </c>
      <c r="M5" s="182" t="str">
        <f t="shared" si="1"/>
        <v>AUDSND_Quote</v>
      </c>
      <c r="N5" s="174">
        <f>IFERROR(_xll.qlQuoteValue(H5),"--")</f>
        <v>2.0250000000000001E-2</v>
      </c>
      <c r="O5" s="179"/>
      <c r="P5" s="91" t="b">
        <v>0</v>
      </c>
      <c r="Q5" s="88">
        <v>70</v>
      </c>
      <c r="R5" s="88">
        <v>1</v>
      </c>
      <c r="S5" s="88" t="str">
        <f>J5</f>
        <v>--</v>
      </c>
      <c r="T5" s="92" t="str">
        <f>IFERROR(_xll.qlRateHelperEarliestDate(S5,Trigger),"--")</f>
        <v>--</v>
      </c>
      <c r="U5" s="92" t="str">
        <f>IFERROR(_xll.qlRateHelperPillarDate(S5,Trigger),"--")</f>
        <v>--</v>
      </c>
      <c r="W5" s="3" t="str">
        <f t="shared" si="0"/>
        <v>OIS</v>
      </c>
      <c r="X5" s="3" t="str">
        <v>obj_0022c</v>
      </c>
      <c r="Y5" s="3" t="str">
        <f>IFERROR(_xll.qlRateHelperQuoteName(X5,Trigger),"")</f>
        <v>AUDOIS2M_Quote</v>
      </c>
      <c r="Z5" s="65">
        <f>IFERROR(_xll.qlRateHelperRate(X5,Trigger),"")</f>
        <v>1.4900000000000002E-2</v>
      </c>
      <c r="AA5" s="9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42682</v>
      </c>
      <c r="AC5" s="4">
        <f>IFERROR(_xll.qlRateHelperPillarDate(X5,Trigger),"")</f>
        <v>42744</v>
      </c>
      <c r="AD5" s="71">
        <v>0.99743446557556004</v>
      </c>
      <c r="AE5" s="146"/>
      <c r="AF5" s="74"/>
      <c r="AG5" s="99" t="s">
        <v>87</v>
      </c>
      <c r="AK5" s="100">
        <v>0</v>
      </c>
    </row>
    <row r="6" spans="1:39" ht="11.25" customHeight="1" x14ac:dyDescent="0.2">
      <c r="G6" s="48" t="s">
        <v>70</v>
      </c>
      <c r="K6" s="46"/>
      <c r="L6" s="171" t="str">
        <f t="shared" ref="L6:L37" si="2">A8</f>
        <v>OIS</v>
      </c>
      <c r="M6" s="168" t="str">
        <f>H8</f>
        <v>AUDOISSW_Quote</v>
      </c>
      <c r="N6" s="172">
        <f>IFERROR(_xll.qlQuoteValue(H8),"--")</f>
        <v>1.4999999999999999E-2</v>
      </c>
      <c r="O6" s="178"/>
      <c r="P6" s="119" t="b">
        <v>1</v>
      </c>
      <c r="Q6" s="118">
        <v>50</v>
      </c>
      <c r="R6" s="118">
        <v>1</v>
      </c>
      <c r="S6" s="118" t="str">
        <f t="shared" ref="S6:S37" si="3">J8</f>
        <v>obj_00252#0003</v>
      </c>
      <c r="T6" s="120">
        <f>IFERROR(_xll.qlRateHelperEarliestDate(S6,Trigger),"--")</f>
        <v>42682</v>
      </c>
      <c r="U6" s="120">
        <f>IFERROR(_xll.qlRateHelperPillarDate(S6,Trigger),"--")</f>
        <v>42689</v>
      </c>
      <c r="W6" s="3" t="str">
        <f t="shared" si="0"/>
        <v>OIS</v>
      </c>
      <c r="X6" s="3" t="str">
        <v>obj_00222</v>
      </c>
      <c r="Y6" s="3" t="str">
        <f>IFERROR(_xll.qlRateHelperQuoteName(X6,Trigger),"")</f>
        <v>AUDOIS3M_Quote</v>
      </c>
      <c r="Z6" s="65">
        <f>IFERROR(_xll.qlRateHelperRate(X6,Trigger),"")</f>
        <v>1.4900000000000002E-2</v>
      </c>
      <c r="AA6" s="9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42682</v>
      </c>
      <c r="AC6" s="4">
        <f>IFERROR(_xll.qlRateHelperPillarDate(X6,Trigger),"")</f>
        <v>42774</v>
      </c>
      <c r="AD6" s="71">
        <v>0.99621752032199062</v>
      </c>
      <c r="AE6" s="146"/>
      <c r="AG6" s="99" t="s">
        <v>88</v>
      </c>
      <c r="AK6" s="101" t="s">
        <v>89</v>
      </c>
    </row>
    <row r="7" spans="1:39" ht="11.25" customHeight="1" x14ac:dyDescent="0.2">
      <c r="A7" s="61" t="s">
        <v>8</v>
      </c>
      <c r="B7" s="61" t="s">
        <v>28</v>
      </c>
      <c r="C7" s="61" t="s">
        <v>77</v>
      </c>
      <c r="D7" s="61"/>
      <c r="E7" s="61"/>
      <c r="F7" s="61"/>
      <c r="G7" s="61" t="s">
        <v>4</v>
      </c>
      <c r="H7" s="61" t="s">
        <v>1</v>
      </c>
      <c r="I7" s="61"/>
      <c r="J7" s="61" t="s">
        <v>24</v>
      </c>
      <c r="K7" s="46"/>
      <c r="L7" s="173" t="str">
        <f t="shared" si="2"/>
        <v>OIS</v>
      </c>
      <c r="M7" s="182" t="str">
        <f t="shared" ref="M7:M59" si="4">H9</f>
        <v>AUDOIS2W_Quote</v>
      </c>
      <c r="N7" s="174" t="str">
        <f>IFERROR(_xll.qlQuoteValue(H9),"--")</f>
        <v>--</v>
      </c>
      <c r="O7" s="179"/>
      <c r="P7" s="91" t="b">
        <v>0</v>
      </c>
      <c r="Q7" s="88">
        <v>50</v>
      </c>
      <c r="R7" s="88">
        <v>1</v>
      </c>
      <c r="S7" s="88" t="str">
        <f t="shared" si="3"/>
        <v>--</v>
      </c>
      <c r="T7" s="92" t="str">
        <f>IFERROR(_xll.qlRateHelperEarliestDate(S7,Trigger),"--")</f>
        <v>--</v>
      </c>
      <c r="U7" s="92" t="str">
        <f>IFERROR(_xll.qlRateHelperPillarDate(S7,Trigger),"--")</f>
        <v>--</v>
      </c>
      <c r="W7" s="3" t="str">
        <f t="shared" si="0"/>
        <v>OIS</v>
      </c>
      <c r="X7" s="3" t="str">
        <v>obj_00224</v>
      </c>
      <c r="Y7" s="3" t="str">
        <f>IFERROR(_xll.qlRateHelperQuoteName(X7,Trigger),"")</f>
        <v>AUDOIS4M_Quote</v>
      </c>
      <c r="Z7" s="65">
        <f>IFERROR(_xll.qlRateHelperRate(X7,Trigger),"")</f>
        <v>1.4849999999999999E-2</v>
      </c>
      <c r="AA7" s="9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42682</v>
      </c>
      <c r="AC7" s="4">
        <f>IFERROR(_xll.qlRateHelperPillarDate(X7,Trigger),"")</f>
        <v>42802</v>
      </c>
      <c r="AD7" s="71">
        <v>0.99510065895922462</v>
      </c>
      <c r="AE7" s="146"/>
    </row>
    <row r="8" spans="1:39" ht="11.25" customHeight="1" x14ac:dyDescent="0.2">
      <c r="A8" s="51" t="s">
        <v>70</v>
      </c>
      <c r="B8" s="52" t="s">
        <v>38</v>
      </c>
      <c r="C8" s="53">
        <v>1</v>
      </c>
      <c r="D8" s="193"/>
      <c r="E8" s="193"/>
      <c r="F8" s="193"/>
      <c r="G8" s="59" t="str">
        <f>$G$1</f>
        <v>Aonia</v>
      </c>
      <c r="H8" s="55" t="str">
        <f t="shared" ref="H8:H39" si="5">Currency&amp;$G$6&amp;IF($B8="1W","SW",$B8)&amp;QuoteSuffix</f>
        <v>AUDOISSW_Quote</v>
      </c>
      <c r="I8" s="190"/>
      <c r="J8" s="165" t="str">
        <f>IF(P6,_xll.qlOISRateHelper(,C8,B8,H8,$G8,,Permanent,Trigger,ObjectOverwrite),"--")</f>
        <v>obj_00252#0003</v>
      </c>
      <c r="K8" s="46"/>
      <c r="L8" s="173" t="str">
        <f t="shared" si="2"/>
        <v>OIS</v>
      </c>
      <c r="M8" s="182" t="str">
        <f t="shared" si="4"/>
        <v>AUDOIS3W_Quote</v>
      </c>
      <c r="N8" s="174" t="str">
        <f>IFERROR(_xll.qlQuoteValue(H10),"--")</f>
        <v>--</v>
      </c>
      <c r="O8" s="179"/>
      <c r="P8" s="91" t="b">
        <v>0</v>
      </c>
      <c r="Q8" s="88">
        <v>50</v>
      </c>
      <c r="R8" s="88">
        <v>1</v>
      </c>
      <c r="S8" s="88" t="str">
        <f t="shared" si="3"/>
        <v>--</v>
      </c>
      <c r="T8" s="92" t="str">
        <f>IFERROR(_xll.qlRateHelperEarliestDate(S8,Trigger),"--")</f>
        <v>--</v>
      </c>
      <c r="U8" s="92" t="str">
        <f>IFERROR(_xll.qlRateHelperPillarDate(S8,Trigger),"--")</f>
        <v>--</v>
      </c>
      <c r="W8" s="3" t="str">
        <f t="shared" si="0"/>
        <v>OIS</v>
      </c>
      <c r="X8" s="3" t="str">
        <v>obj_00228</v>
      </c>
      <c r="Y8" s="3" t="str">
        <f>IFERROR(_xll.qlRateHelperQuoteName(X8,Trigger),"")</f>
        <v>AUDOIS5M_Quote</v>
      </c>
      <c r="Z8" s="65">
        <f>IFERROR(_xll.qlRateHelperRate(X8,Trigger),"")</f>
        <v>1.4750000000000001E-2</v>
      </c>
      <c r="AA8" s="9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42682</v>
      </c>
      <c r="AC8" s="4">
        <f>IFERROR(_xll.qlRateHelperPillarDate(X8,Trigger),"")</f>
        <v>42835</v>
      </c>
      <c r="AD8" s="71">
        <v>0.99381429992609471</v>
      </c>
      <c r="AE8" s="146"/>
    </row>
    <row r="9" spans="1:39" ht="11.25" customHeight="1" x14ac:dyDescent="0.2">
      <c r="A9" s="56" t="s">
        <v>70</v>
      </c>
      <c r="B9" s="57" t="s">
        <v>39</v>
      </c>
      <c r="C9" s="58">
        <v>1</v>
      </c>
      <c r="D9" s="193"/>
      <c r="E9" s="193"/>
      <c r="F9" s="193"/>
      <c r="G9" s="59" t="str">
        <f t="shared" ref="G9:G61" si="6">$G$1</f>
        <v>Aonia</v>
      </c>
      <c r="H9" s="60" t="str">
        <f t="shared" si="5"/>
        <v>AUDOIS2W_Quote</v>
      </c>
      <c r="I9" s="192"/>
      <c r="J9" s="167" t="str">
        <f>IF(P7,_xll.qlOISRateHelper(,C9,B9,H9,$G9,,Permanent,Trigger,ObjectOverwrite),"--")</f>
        <v>--</v>
      </c>
      <c r="K9" s="46"/>
      <c r="L9" s="173" t="str">
        <f t="shared" si="2"/>
        <v>OIS</v>
      </c>
      <c r="M9" s="182" t="str">
        <f t="shared" si="4"/>
        <v>AUDOIS1M_Quote</v>
      </c>
      <c r="N9" s="174">
        <f>IFERROR(_xll.qlQuoteValue(H11),"--")</f>
        <v>1.4999999999999999E-2</v>
      </c>
      <c r="O9" s="179"/>
      <c r="P9" s="91" t="b">
        <v>1</v>
      </c>
      <c r="Q9" s="88">
        <v>50</v>
      </c>
      <c r="R9" s="88">
        <v>1</v>
      </c>
      <c r="S9" s="88" t="str">
        <f t="shared" si="3"/>
        <v>obj_0021f#0004</v>
      </c>
      <c r="T9" s="92">
        <f>IFERROR(_xll.qlRateHelperEarliestDate(S9,Trigger),"--")</f>
        <v>42682</v>
      </c>
      <c r="U9" s="92">
        <f>IFERROR(_xll.qlRateHelperPillarDate(S9,Trigger),"--")</f>
        <v>42712</v>
      </c>
      <c r="W9" s="3" t="str">
        <f t="shared" si="0"/>
        <v>OIS</v>
      </c>
      <c r="X9" s="3" t="str">
        <v>obj_00231</v>
      </c>
      <c r="Y9" s="3" t="str">
        <f>IFERROR(_xll.qlRateHelperQuoteName(X9,Trigger),"")</f>
        <v>AUDOIS6M_Quote</v>
      </c>
      <c r="Z9" s="65">
        <f>IFERROR(_xll.qlRateHelperRate(X9,Trigger),"")</f>
        <v>1.4690000000000002E-2</v>
      </c>
      <c r="AA9" s="9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42682</v>
      </c>
      <c r="AC9" s="4">
        <f>IFERROR(_xll.qlRateHelperPillarDate(X9,Trigger),"")</f>
        <v>42863</v>
      </c>
      <c r="AD9" s="71">
        <v>0.9927272801546636</v>
      </c>
      <c r="AE9" s="146"/>
      <c r="AH9" s="44" t="s">
        <v>124</v>
      </c>
    </row>
    <row r="10" spans="1:39" ht="11.25" customHeight="1" x14ac:dyDescent="0.2">
      <c r="A10" s="56" t="s">
        <v>70</v>
      </c>
      <c r="B10" s="57" t="s">
        <v>40</v>
      </c>
      <c r="C10" s="58">
        <v>1</v>
      </c>
      <c r="D10" s="193"/>
      <c r="E10" s="193"/>
      <c r="F10" s="193"/>
      <c r="G10" s="59" t="str">
        <f t="shared" si="6"/>
        <v>Aonia</v>
      </c>
      <c r="H10" s="60" t="str">
        <f t="shared" si="5"/>
        <v>AUDOIS3W_Quote</v>
      </c>
      <c r="I10" s="192"/>
      <c r="J10" s="167" t="str">
        <f>IF(P8,_xll.qlOISRateHelper(,C10,B10,H10,$G10,,Permanent,Trigger,ObjectOverwrite),"--")</f>
        <v>--</v>
      </c>
      <c r="K10" s="46"/>
      <c r="L10" s="173" t="str">
        <f t="shared" si="2"/>
        <v>OIS</v>
      </c>
      <c r="M10" s="182" t="str">
        <f t="shared" si="4"/>
        <v>AUDOIS2M_Quote</v>
      </c>
      <c r="N10" s="174">
        <f>IFERROR(_xll.qlQuoteValue(H12),"--")</f>
        <v>1.4900000000000002E-2</v>
      </c>
      <c r="O10" s="179"/>
      <c r="P10" s="91" t="b">
        <v>1</v>
      </c>
      <c r="Q10" s="88">
        <v>50</v>
      </c>
      <c r="R10" s="88">
        <v>1</v>
      </c>
      <c r="S10" s="88" t="str">
        <f t="shared" si="3"/>
        <v>obj_0022c#0003</v>
      </c>
      <c r="T10" s="92">
        <f>IFERROR(_xll.qlRateHelperEarliestDate(S10,Trigger),"--")</f>
        <v>42682</v>
      </c>
      <c r="U10" s="92">
        <f>IFERROR(_xll.qlRateHelperPillarDate(S10,Trigger),"--")</f>
        <v>42744</v>
      </c>
      <c r="W10" s="3" t="str">
        <f t="shared" si="0"/>
        <v>OIS</v>
      </c>
      <c r="X10" s="3" t="str">
        <v>obj_0022e</v>
      </c>
      <c r="Y10" s="3" t="str">
        <f>IFERROR(_xll.qlRateHelperQuoteName(X10,Trigger),"")</f>
        <v>AUDOIS9M_Quote</v>
      </c>
      <c r="Z10" s="65">
        <f>IFERROR(_xll.qlRateHelperRate(X10,Trigger),"")</f>
        <v>1.455E-2</v>
      </c>
      <c r="AA10" s="9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42682</v>
      </c>
      <c r="AC10" s="4">
        <f>IFERROR(_xll.qlRateHelperPillarDate(X10,Trigger),"")</f>
        <v>42955</v>
      </c>
      <c r="AD10" s="71">
        <v>0.98919392668086914</v>
      </c>
      <c r="AE10" s="146"/>
      <c r="AF10" s="67" t="s">
        <v>118</v>
      </c>
      <c r="AG10" s="67" t="s">
        <v>119</v>
      </c>
      <c r="AH10" s="67" t="s">
        <v>120</v>
      </c>
      <c r="AI10" s="67" t="s">
        <v>128</v>
      </c>
      <c r="AJ10" s="67" t="s">
        <v>121</v>
      </c>
      <c r="AK10" s="67" t="s">
        <v>129</v>
      </c>
      <c r="AL10" s="67" t="s">
        <v>122</v>
      </c>
      <c r="AM10" s="67" t="s">
        <v>123</v>
      </c>
    </row>
    <row r="11" spans="1:39" ht="11.25" customHeight="1" x14ac:dyDescent="0.2">
      <c r="A11" s="56" t="s">
        <v>70</v>
      </c>
      <c r="B11" s="57" t="s">
        <v>2</v>
      </c>
      <c r="C11" s="58">
        <v>1</v>
      </c>
      <c r="D11" s="193"/>
      <c r="E11" s="193"/>
      <c r="F11" s="193"/>
      <c r="G11" s="59" t="str">
        <f t="shared" si="6"/>
        <v>Aonia</v>
      </c>
      <c r="H11" s="60" t="str">
        <f t="shared" si="5"/>
        <v>AUDOIS1M_Quote</v>
      </c>
      <c r="I11" s="192"/>
      <c r="J11" s="167" t="str">
        <f>IF(P9,_xll.qlOISRateHelper(,C11,B11,H11,$G11,,Permanent,Trigger,ObjectOverwrite),"--")</f>
        <v>obj_0021f#0004</v>
      </c>
      <c r="K11" s="46"/>
      <c r="L11" s="173" t="str">
        <f t="shared" si="2"/>
        <v>OIS</v>
      </c>
      <c r="M11" s="182" t="str">
        <f t="shared" si="4"/>
        <v>AUDOIS3M_Quote</v>
      </c>
      <c r="N11" s="174">
        <f>IFERROR(_xll.qlQuoteValue(H13),"--")</f>
        <v>1.4900000000000002E-2</v>
      </c>
      <c r="O11" s="179"/>
      <c r="P11" s="91" t="b">
        <v>1</v>
      </c>
      <c r="Q11" s="88">
        <v>50</v>
      </c>
      <c r="R11" s="88">
        <v>1</v>
      </c>
      <c r="S11" s="88" t="str">
        <f t="shared" si="3"/>
        <v>obj_00222#0004</v>
      </c>
      <c r="T11" s="92">
        <f>IFERROR(_xll.qlRateHelperEarliestDate(S11,Trigger),"--")</f>
        <v>42682</v>
      </c>
      <c r="U11" s="92">
        <f>IFERROR(_xll.qlRateHelperPillarDate(S11,Trigger),"--")</f>
        <v>42774</v>
      </c>
      <c r="W11" s="3" t="str">
        <f t="shared" si="0"/>
        <v>OIS</v>
      </c>
      <c r="X11" s="3" t="str">
        <v>obj_0032d</v>
      </c>
      <c r="Y11" s="3" t="str">
        <f>IFERROR(_xll.qlRateHelperQuoteName(X11,Trigger),"")</f>
        <v>AUDOIS12M_Quote</v>
      </c>
      <c r="Z11" s="65">
        <f>IFERROR(_xll.qlRateHelperRate(X11,Trigger),"")</f>
        <v>1.4449999999999998E-2</v>
      </c>
      <c r="AA11" s="9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42682</v>
      </c>
      <c r="AC11" s="4">
        <f>IFERROR(_xll.qlRateHelperPillarDate(X11,Trigger),"")</f>
        <v>43047</v>
      </c>
      <c r="AD11" s="71">
        <v>0.98571534448961184</v>
      </c>
      <c r="AE11" s="146"/>
      <c r="AF11" s="128">
        <v>1</v>
      </c>
      <c r="AG11" s="129">
        <f>_xll.qlCalendarEndOfMonth(Calendar,Settlementdate,Trigger)</f>
        <v>42704</v>
      </c>
      <c r="AH11" s="128" t="str">
        <f t="shared" ref="AH11:AH23" si="7">Currency&amp;$AH$9&amp;AF11&amp;JumpSuffix&amp;QuoteSuffix</f>
        <v>AUDJump1_SYNTHON_Quote</v>
      </c>
      <c r="AI11" s="150">
        <f>_xll.qlDayCounterYearFraction("actual/360",AG11,_xll.qlCalendarAdvance(Calendar,AG11,"1D",,,Trigger))</f>
        <v>2.7777777777777779E-3</v>
      </c>
      <c r="AJ11" s="130" t="e">
        <f>IF(_xll.qlQuoteIsValid(AH11,Trigger),_xll.qlQuoteValue(AH11,Trigger),1)</f>
        <v>#NUM!</v>
      </c>
      <c r="AK11" s="153" t="e">
        <f>-LN(AJ11)/AI11</f>
        <v>#NUM!</v>
      </c>
      <c r="AL11" s="131"/>
      <c r="AM11" s="130" t="str">
        <f>IF(ISBLANK(AL11),AH11,EXP(-AL11*AI11))</f>
        <v>AUDJump1_SYNTHON_Quote</v>
      </c>
    </row>
    <row r="12" spans="1:39" ht="11.25" customHeight="1" x14ac:dyDescent="0.2">
      <c r="A12" s="56" t="s">
        <v>70</v>
      </c>
      <c r="B12" s="57" t="s">
        <v>41</v>
      </c>
      <c r="C12" s="58">
        <v>1</v>
      </c>
      <c r="D12" s="193"/>
      <c r="E12" s="193"/>
      <c r="F12" s="193"/>
      <c r="G12" s="59" t="str">
        <f t="shared" si="6"/>
        <v>Aonia</v>
      </c>
      <c r="H12" s="60" t="str">
        <f t="shared" si="5"/>
        <v>AUDOIS2M_Quote</v>
      </c>
      <c r="I12" s="192"/>
      <c r="J12" s="167" t="str">
        <f>IF(P10,_xll.qlOISRateHelper(,C12,B12,H12,$G12,,Permanent,Trigger,ObjectOverwrite),"--")</f>
        <v>obj_0022c#0003</v>
      </c>
      <c r="K12" s="46"/>
      <c r="L12" s="173" t="str">
        <f t="shared" si="2"/>
        <v>OIS</v>
      </c>
      <c r="M12" s="182" t="str">
        <f t="shared" si="4"/>
        <v>AUDOIS4M_Quote</v>
      </c>
      <c r="N12" s="174">
        <f>IFERROR(_xll.qlQuoteValue(H14),"--")</f>
        <v>1.4849999999999999E-2</v>
      </c>
      <c r="O12" s="179"/>
      <c r="P12" s="91" t="b">
        <v>1</v>
      </c>
      <c r="Q12" s="88">
        <v>50</v>
      </c>
      <c r="R12" s="88">
        <v>1</v>
      </c>
      <c r="S12" s="88" t="str">
        <f t="shared" si="3"/>
        <v>obj_00224#0004</v>
      </c>
      <c r="T12" s="92">
        <f>IFERROR(_xll.qlRateHelperEarliestDate(S12,Trigger),"--")</f>
        <v>42682</v>
      </c>
      <c r="U12" s="92">
        <f>IFERROR(_xll.qlRateHelperPillarDate(S12,Trigger),"--")</f>
        <v>42802</v>
      </c>
      <c r="W12" s="3" t="str">
        <f t="shared" si="0"/>
        <v>OIS</v>
      </c>
      <c r="X12" s="3" t="str">
        <v>obj_0032e</v>
      </c>
      <c r="Y12" s="3" t="str">
        <f>IFERROR(_xll.qlRateHelperQuoteName(X12,Trigger),"")</f>
        <v>AUDOIS18M_Quote</v>
      </c>
      <c r="Z12" s="65">
        <f>IFERROR(_xll.qlRateHelperRate(X12,Trigger),"")</f>
        <v>1.455E-2</v>
      </c>
      <c r="AA12" s="9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42682</v>
      </c>
      <c r="AC12" s="4">
        <f>IFERROR(_xll.qlRateHelperPillarDate(X12,Trigger),"")</f>
        <v>43228</v>
      </c>
      <c r="AD12" s="71">
        <v>0.97855817841024428</v>
      </c>
      <c r="AE12" s="146"/>
      <c r="AF12" s="132">
        <v>2</v>
      </c>
      <c r="AG12" s="133">
        <f>_xll.qlCalendarEndOfMonth(Calendar,_xll.qlCalendarAdvance(Calendar,AG11,"1m","mf",TRUE),Trigger)</f>
        <v>42734</v>
      </c>
      <c r="AH12" s="132" t="str">
        <f t="shared" si="7"/>
        <v>AUDJump2_SYNTHON_Quote</v>
      </c>
      <c r="AI12" s="151">
        <f>_xll.qlDayCounterYearFraction("actual/360",AG12,_xll.qlCalendarAdvance(Calendar,AG12,"1D",,,Trigger))</f>
        <v>8.3333333333333332E-3</v>
      </c>
      <c r="AJ12" s="134" t="e">
        <f>IF(_xll.qlQuoteIsValid(AH12,Trigger),_xll.qlQuoteValue(AH12,Trigger),1)</f>
        <v>#NUM!</v>
      </c>
      <c r="AK12" s="154" t="e">
        <f t="shared" ref="AK12:AK23" si="8">-LN(AJ12)/AI12</f>
        <v>#NUM!</v>
      </c>
      <c r="AL12" s="135"/>
      <c r="AM12" s="134" t="str">
        <f t="shared" ref="AM12:AM23" si="9">IF(ISBLANK(AL12),AH12,EXP(-AL12*AI12))</f>
        <v>AUDJump2_SYNTHON_Quote</v>
      </c>
    </row>
    <row r="13" spans="1:39" ht="11.25" customHeight="1" x14ac:dyDescent="0.2">
      <c r="A13" s="56" t="s">
        <v>70</v>
      </c>
      <c r="B13" s="57" t="s">
        <v>0</v>
      </c>
      <c r="C13" s="58">
        <v>1</v>
      </c>
      <c r="D13" s="193"/>
      <c r="E13" s="193"/>
      <c r="F13" s="193"/>
      <c r="G13" s="59" t="str">
        <f t="shared" si="6"/>
        <v>Aonia</v>
      </c>
      <c r="H13" s="60" t="str">
        <f t="shared" si="5"/>
        <v>AUDOIS3M_Quote</v>
      </c>
      <c r="I13" s="192"/>
      <c r="J13" s="167" t="str">
        <f>IF(P11,_xll.qlOISRateHelper(,C13,B13,H13,$G13,,Permanent,Trigger,ObjectOverwrite),"--")</f>
        <v>obj_00222#0004</v>
      </c>
      <c r="K13" s="46"/>
      <c r="L13" s="173" t="str">
        <f t="shared" si="2"/>
        <v>OIS</v>
      </c>
      <c r="M13" s="182" t="str">
        <f t="shared" si="4"/>
        <v>AUDOIS5M_Quote</v>
      </c>
      <c r="N13" s="174">
        <f>IFERROR(_xll.qlQuoteValue(H15),"--")</f>
        <v>1.4750000000000001E-2</v>
      </c>
      <c r="O13" s="179"/>
      <c r="P13" s="91" t="b">
        <v>1</v>
      </c>
      <c r="Q13" s="88">
        <v>50</v>
      </c>
      <c r="R13" s="88">
        <v>1</v>
      </c>
      <c r="S13" s="88" t="str">
        <f t="shared" si="3"/>
        <v>obj_00228#0004</v>
      </c>
      <c r="T13" s="92">
        <f>IFERROR(_xll.qlRateHelperEarliestDate(S13,Trigger),"--")</f>
        <v>42682</v>
      </c>
      <c r="U13" s="92">
        <f>IFERROR(_xll.qlRateHelperPillarDate(S13,Trigger),"--")</f>
        <v>42835</v>
      </c>
      <c r="W13" s="3" t="str">
        <f t="shared" si="0"/>
        <v>OIS</v>
      </c>
      <c r="X13" s="3" t="str">
        <v>obj_0032f</v>
      </c>
      <c r="Y13" s="3" t="str">
        <f>IFERROR(_xll.qlRateHelperQuoteName(X13,Trigger),"")</f>
        <v>AUDOIS2Y_Quote</v>
      </c>
      <c r="Z13" s="65">
        <f>IFERROR(_xll.qlRateHelperRate(X13,Trigger),"")</f>
        <v>1.485E-2</v>
      </c>
      <c r="AA13" s="9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42682</v>
      </c>
      <c r="AC13" s="4">
        <f>IFERROR(_xll.qlRateHelperPillarDate(X13,Trigger),"")</f>
        <v>43412</v>
      </c>
      <c r="AD13" s="71">
        <v>0.9709031466244431</v>
      </c>
      <c r="AE13" s="146"/>
      <c r="AF13" s="132">
        <v>3</v>
      </c>
      <c r="AG13" s="133">
        <f>_xll.qlCalendarEndOfMonth(Calendar,_xll.qlCalendarAdvance(Calendar,AG12,"1m","mf",TRUE),Trigger)</f>
        <v>42766</v>
      </c>
      <c r="AH13" s="132" t="str">
        <f t="shared" si="7"/>
        <v>AUDJump3_SYNTHON_Quote</v>
      </c>
      <c r="AI13" s="151">
        <f>_xll.qlDayCounterYearFraction("actual/360",AG13,_xll.qlCalendarAdvance(Calendar,AG13,"1D",,,Trigger))</f>
        <v>2.7777777777777779E-3</v>
      </c>
      <c r="AJ13" s="134" t="e">
        <f>IF(_xll.qlQuoteIsValid(AH13,Trigger),_xll.qlQuoteValue(AH13,Trigger),1)</f>
        <v>#NUM!</v>
      </c>
      <c r="AK13" s="154" t="e">
        <f t="shared" si="8"/>
        <v>#NUM!</v>
      </c>
      <c r="AL13" s="135"/>
      <c r="AM13" s="134" t="str">
        <f t="shared" si="9"/>
        <v>AUDJump3_SYNTHON_Quote</v>
      </c>
    </row>
    <row r="14" spans="1:39" ht="11.25" customHeight="1" x14ac:dyDescent="0.2">
      <c r="A14" s="56" t="s">
        <v>70</v>
      </c>
      <c r="B14" s="57" t="s">
        <v>42</v>
      </c>
      <c r="C14" s="58">
        <v>1</v>
      </c>
      <c r="D14" s="193"/>
      <c r="E14" s="193"/>
      <c r="F14" s="193"/>
      <c r="G14" s="59" t="str">
        <f t="shared" si="6"/>
        <v>Aonia</v>
      </c>
      <c r="H14" s="60" t="str">
        <f t="shared" si="5"/>
        <v>AUDOIS4M_Quote</v>
      </c>
      <c r="I14" s="192"/>
      <c r="J14" s="167" t="str">
        <f>IF(P12,_xll.qlOISRateHelper(,C14,B14,H14,$G14,,Permanent,Trigger,ObjectOverwrite),"--")</f>
        <v>obj_00224#0004</v>
      </c>
      <c r="K14" s="46"/>
      <c r="L14" s="173" t="str">
        <f t="shared" si="2"/>
        <v>OIS</v>
      </c>
      <c r="M14" s="182" t="str">
        <f t="shared" si="4"/>
        <v>AUDOIS6M_Quote</v>
      </c>
      <c r="N14" s="174">
        <f>IFERROR(_xll.qlQuoteValue(H16),"--")</f>
        <v>1.4690000000000002E-2</v>
      </c>
      <c r="O14" s="179"/>
      <c r="P14" s="91" t="b">
        <v>1</v>
      </c>
      <c r="Q14" s="88">
        <v>50</v>
      </c>
      <c r="R14" s="88">
        <v>1</v>
      </c>
      <c r="S14" s="88" t="str">
        <f t="shared" si="3"/>
        <v>obj_00231#0003</v>
      </c>
      <c r="T14" s="92">
        <f>IFERROR(_xll.qlRateHelperEarliestDate(S14,Trigger),"--")</f>
        <v>42682</v>
      </c>
      <c r="U14" s="92">
        <f>IFERROR(_xll.qlRateHelperPillarDate(S14,Trigger),"--")</f>
        <v>42863</v>
      </c>
      <c r="W14" s="3" t="str">
        <f t="shared" si="0"/>
        <v>OIS</v>
      </c>
      <c r="X14" s="3" t="str">
        <v>obj_00330</v>
      </c>
      <c r="Y14" s="3" t="str">
        <f>IFERROR(_xll.qlRateHelperQuoteName(X14,Trigger),"")</f>
        <v>AUDOIS3Y_Quote</v>
      </c>
      <c r="Z14" s="65">
        <f>IFERROR(_xll.qlRateHelperRate(X14,Trigger),"")</f>
        <v>1.5600000000000001E-2</v>
      </c>
      <c r="AA14" s="9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42682</v>
      </c>
      <c r="AC14" s="4">
        <f>IFERROR(_xll.qlRateHelperPillarDate(X14,Trigger),"")</f>
        <v>43777</v>
      </c>
      <c r="AD14" s="71">
        <v>0.95454478412377664</v>
      </c>
      <c r="AE14" s="146"/>
      <c r="AF14" s="132">
        <v>4</v>
      </c>
      <c r="AG14" s="133">
        <f>_xll.qlCalendarEndOfMonth(Calendar,_xll.qlCalendarAdvance(Calendar,AG13,"1m","mf",TRUE),Trigger)</f>
        <v>42794</v>
      </c>
      <c r="AH14" s="132" t="str">
        <f t="shared" si="7"/>
        <v>AUDJump4_SYNTHON_Quote</v>
      </c>
      <c r="AI14" s="151">
        <f>_xll.qlDayCounterYearFraction("actual/360",AG14,_xll.qlCalendarAdvance(Calendar,AG14,"1D",,,Trigger))</f>
        <v>2.7777777777777779E-3</v>
      </c>
      <c r="AJ14" s="134" t="e">
        <f>IF(_xll.qlQuoteIsValid(AH14,Trigger),_xll.qlQuoteValue(AH14,Trigger),1)</f>
        <v>#NUM!</v>
      </c>
      <c r="AK14" s="154" t="e">
        <f t="shared" si="8"/>
        <v>#NUM!</v>
      </c>
      <c r="AL14" s="135"/>
      <c r="AM14" s="134" t="str">
        <f t="shared" si="9"/>
        <v>AUDJump4_SYNTHON_Quote</v>
      </c>
    </row>
    <row r="15" spans="1:39" ht="11.25" customHeight="1" x14ac:dyDescent="0.2">
      <c r="A15" s="56" t="s">
        <v>70</v>
      </c>
      <c r="B15" s="57" t="s">
        <v>43</v>
      </c>
      <c r="C15" s="58">
        <v>1</v>
      </c>
      <c r="D15" s="193"/>
      <c r="E15" s="193"/>
      <c r="F15" s="193"/>
      <c r="G15" s="59" t="str">
        <f t="shared" si="6"/>
        <v>Aonia</v>
      </c>
      <c r="H15" s="60" t="str">
        <f t="shared" si="5"/>
        <v>AUDOIS5M_Quote</v>
      </c>
      <c r="I15" s="192"/>
      <c r="J15" s="167" t="str">
        <f>IF(P13,_xll.qlOISRateHelper(,C15,B15,H15,$G15,,Permanent,Trigger,ObjectOverwrite),"--")</f>
        <v>obj_00228#0004</v>
      </c>
      <c r="K15" s="46"/>
      <c r="L15" s="173" t="str">
        <f t="shared" si="2"/>
        <v>OIS</v>
      </c>
      <c r="M15" s="182" t="str">
        <f t="shared" si="4"/>
        <v>AUDOIS7M_Quote</v>
      </c>
      <c r="N15" s="174" t="str">
        <f>IFERROR(_xll.qlQuoteValue(H17),"--")</f>
        <v>--</v>
      </c>
      <c r="O15" s="179"/>
      <c r="P15" s="91" t="b">
        <v>0</v>
      </c>
      <c r="Q15" s="88">
        <v>50</v>
      </c>
      <c r="R15" s="88">
        <v>1</v>
      </c>
      <c r="S15" s="88" t="str">
        <f t="shared" si="3"/>
        <v>--</v>
      </c>
      <c r="T15" s="92" t="str">
        <f>IFERROR(_xll.qlRateHelperEarliestDate(S15,Trigger),"--")</f>
        <v>--</v>
      </c>
      <c r="U15" s="92" t="str">
        <f>IFERROR(_xll.qlRateHelperPillarDate(S15,Trigger),"--")</f>
        <v>--</v>
      </c>
      <c r="W15" s="3" t="str">
        <f t="shared" si="0"/>
        <v>OIS</v>
      </c>
      <c r="X15" s="3" t="str">
        <v>obj_0033e</v>
      </c>
      <c r="Y15" s="3" t="str">
        <f>IFERROR(_xll.qlRateHelperQuoteName(X15,Trigger),"")</f>
        <v>AUDOIS4Y_Quote</v>
      </c>
      <c r="Z15" s="65">
        <f>IFERROR(_xll.qlRateHelperRate(X15,Trigger),"")</f>
        <v>1.6299999999999999E-2</v>
      </c>
      <c r="AA15" s="9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42682</v>
      </c>
      <c r="AC15" s="4">
        <f>IFERROR(_xll.qlRateHelperPillarDate(X15,Trigger),"")</f>
        <v>44144</v>
      </c>
      <c r="AD15" s="71">
        <v>0.9371477599279191</v>
      </c>
      <c r="AE15" s="146"/>
      <c r="AF15" s="132">
        <v>5</v>
      </c>
      <c r="AG15" s="133">
        <f>_xll.qlCalendarEndOfMonth(Calendar,_xll.qlCalendarAdvance(Calendar,AG14,"1m","mf",TRUE),Trigger)</f>
        <v>42825</v>
      </c>
      <c r="AH15" s="132" t="str">
        <f t="shared" si="7"/>
        <v>AUDJump5_SYNTHON_Quote</v>
      </c>
      <c r="AI15" s="151">
        <f>_xll.qlDayCounterYearFraction("actual/360",AG15,_xll.qlCalendarAdvance(Calendar,AG15,"1D",,,Trigger))</f>
        <v>8.3333333333333332E-3</v>
      </c>
      <c r="AJ15" s="134" t="e">
        <f>IF(_xll.qlQuoteIsValid(AH15,Trigger),_xll.qlQuoteValue(AH15,Trigger),1)</f>
        <v>#NUM!</v>
      </c>
      <c r="AK15" s="154" t="e">
        <f t="shared" si="8"/>
        <v>#NUM!</v>
      </c>
      <c r="AL15" s="135"/>
      <c r="AM15" s="134" t="str">
        <f t="shared" si="9"/>
        <v>AUDJump5_SYNTHON_Quote</v>
      </c>
    </row>
    <row r="16" spans="1:39" ht="11.25" customHeight="1" x14ac:dyDescent="0.2">
      <c r="A16" s="56" t="s">
        <v>70</v>
      </c>
      <c r="B16" s="57" t="s">
        <v>3</v>
      </c>
      <c r="C16" s="58">
        <v>1</v>
      </c>
      <c r="D16" s="193"/>
      <c r="E16" s="193"/>
      <c r="F16" s="193"/>
      <c r="G16" s="59" t="str">
        <f t="shared" si="6"/>
        <v>Aonia</v>
      </c>
      <c r="H16" s="60" t="str">
        <f t="shared" si="5"/>
        <v>AUDOIS6M_Quote</v>
      </c>
      <c r="I16" s="192"/>
      <c r="J16" s="167" t="str">
        <f>IF(P14,_xll.qlOISRateHelper(,C16,B16,H16,$G16,,Permanent,Trigger,ObjectOverwrite),"--")</f>
        <v>obj_00231#0003</v>
      </c>
      <c r="K16" s="46"/>
      <c r="L16" s="173" t="str">
        <f t="shared" si="2"/>
        <v>OIS</v>
      </c>
      <c r="M16" s="182" t="str">
        <f t="shared" si="4"/>
        <v>AUDOIS8M_Quote</v>
      </c>
      <c r="N16" s="174" t="str">
        <f>IFERROR(_xll.qlQuoteValue(H18),"--")</f>
        <v>--</v>
      </c>
      <c r="O16" s="179"/>
      <c r="P16" s="91" t="b">
        <v>0</v>
      </c>
      <c r="Q16" s="88">
        <v>50</v>
      </c>
      <c r="R16" s="88">
        <v>1</v>
      </c>
      <c r="S16" s="88" t="str">
        <f t="shared" si="3"/>
        <v>--</v>
      </c>
      <c r="T16" s="92" t="str">
        <f>IFERROR(_xll.qlRateHelperEarliestDate(S16,Trigger),"--")</f>
        <v>--</v>
      </c>
      <c r="U16" s="92" t="str">
        <f>IFERROR(_xll.qlRateHelperPillarDate(S16,Trigger),"--")</f>
        <v>--</v>
      </c>
      <c r="W16" s="3" t="str">
        <f t="shared" si="0"/>
        <v>OIS</v>
      </c>
      <c r="X16" s="3" t="str">
        <v>obj_00352</v>
      </c>
      <c r="Y16" s="3" t="str">
        <f>IFERROR(_xll.qlRateHelperQuoteName(X16,Trigger),"")</f>
        <v>AUDOIS5Y_Quote</v>
      </c>
      <c r="Z16" s="65">
        <f>IFERROR(_xll.qlRateHelperRate(X16,Trigger),"")</f>
        <v>1.7080000000000001E-2</v>
      </c>
      <c r="AA16" s="9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42682</v>
      </c>
      <c r="AC16" s="4">
        <f>IFERROR(_xll.qlRateHelperPillarDate(X16,Trigger),"")</f>
        <v>44508</v>
      </c>
      <c r="AD16" s="71">
        <v>0.91849712176925791</v>
      </c>
      <c r="AE16" s="146"/>
      <c r="AF16" s="132">
        <v>6</v>
      </c>
      <c r="AG16" s="133">
        <f>_xll.qlCalendarEndOfMonth(Calendar,_xll.qlCalendarAdvance(Calendar,AG15,"1m","mf",TRUE),Trigger)</f>
        <v>42853</v>
      </c>
      <c r="AH16" s="132" t="str">
        <f t="shared" si="7"/>
        <v>AUDJump6_SYNTHON_Quote</v>
      </c>
      <c r="AI16" s="151">
        <f>_xll.qlDayCounterYearFraction("actual/360",AG16,_xll.qlCalendarAdvance(Calendar,AG16,"1D",,,Trigger))</f>
        <v>8.3333333333333332E-3</v>
      </c>
      <c r="AJ16" s="134" t="e">
        <f>IF(_xll.qlQuoteIsValid(AH16,Trigger),_xll.qlQuoteValue(AH16,Trigger),1)</f>
        <v>#NUM!</v>
      </c>
      <c r="AK16" s="154" t="e">
        <f t="shared" si="8"/>
        <v>#NUM!</v>
      </c>
      <c r="AL16" s="135"/>
      <c r="AM16" s="134" t="str">
        <f t="shared" si="9"/>
        <v>AUDJump6_SYNTHON_Quote</v>
      </c>
    </row>
    <row r="17" spans="1:39" ht="11.25" customHeight="1" x14ac:dyDescent="0.2">
      <c r="A17" s="56" t="s">
        <v>70</v>
      </c>
      <c r="B17" s="57" t="s">
        <v>44</v>
      </c>
      <c r="C17" s="58">
        <v>1</v>
      </c>
      <c r="D17" s="193"/>
      <c r="E17" s="193"/>
      <c r="F17" s="193"/>
      <c r="G17" s="59" t="str">
        <f t="shared" si="6"/>
        <v>Aonia</v>
      </c>
      <c r="H17" s="60" t="str">
        <f t="shared" si="5"/>
        <v>AUDOIS7M_Quote</v>
      </c>
      <c r="I17" s="192"/>
      <c r="J17" s="167" t="str">
        <f>IF(P15,_xll.qlOISRateHelper(,C17,B17,H17,$G17,,Permanent,Trigger,ObjectOverwrite),"--")</f>
        <v>--</v>
      </c>
      <c r="K17" s="46"/>
      <c r="L17" s="173" t="str">
        <f t="shared" si="2"/>
        <v>OIS</v>
      </c>
      <c r="M17" s="182" t="str">
        <f t="shared" si="4"/>
        <v>AUDOIS9M_Quote</v>
      </c>
      <c r="N17" s="174">
        <f>IFERROR(_xll.qlQuoteValue(H19),"--")</f>
        <v>1.455E-2</v>
      </c>
      <c r="O17" s="179"/>
      <c r="P17" s="91" t="b">
        <v>1</v>
      </c>
      <c r="Q17" s="88">
        <v>50</v>
      </c>
      <c r="R17" s="88">
        <v>1</v>
      </c>
      <c r="S17" s="88" t="str">
        <f t="shared" si="3"/>
        <v>obj_0022e#0003</v>
      </c>
      <c r="T17" s="92">
        <f>IFERROR(_xll.qlRateHelperEarliestDate(S17,Trigger),"--")</f>
        <v>42682</v>
      </c>
      <c r="U17" s="92">
        <f>IFERROR(_xll.qlRateHelperPillarDate(S17,Trigger),"--")</f>
        <v>42955</v>
      </c>
      <c r="W17" s="3" t="str">
        <f t="shared" si="0"/>
        <v>OIS</v>
      </c>
      <c r="X17" s="3" t="str">
        <v>obj_0034f</v>
      </c>
      <c r="Y17" s="3" t="str">
        <f>IFERROR(_xll.qlRateHelperQuoteName(X17,Trigger),"")</f>
        <v>AUDOIS6Y_Quote</v>
      </c>
      <c r="Z17" s="65">
        <f>IFERROR(_xll.qlRateHelperRate(X17,Trigger),"")</f>
        <v>1.788E-2</v>
      </c>
      <c r="AA17" s="9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42682</v>
      </c>
      <c r="AC17" s="4">
        <f>IFERROR(_xll.qlRateHelperPillarDate(X17,Trigger),"")</f>
        <v>44873</v>
      </c>
      <c r="AD17" s="71">
        <v>0.89861435566384174</v>
      </c>
      <c r="AE17" s="146"/>
      <c r="AF17" s="132">
        <v>7</v>
      </c>
      <c r="AG17" s="133">
        <f>_xll.qlCalendarEndOfMonth(Calendar,_xll.qlCalendarAdvance(Calendar,AG16,"1m","mf",TRUE),Trigger)</f>
        <v>42886</v>
      </c>
      <c r="AH17" s="132" t="str">
        <f t="shared" si="7"/>
        <v>AUDJump7_SYNTHON_Quote</v>
      </c>
      <c r="AI17" s="151">
        <f>_xll.qlDayCounterYearFraction("actual/360",AG17,_xll.qlCalendarAdvance(Calendar,AG17,"1D",,,Trigger))</f>
        <v>2.7777777777777779E-3</v>
      </c>
      <c r="AJ17" s="134" t="e">
        <f>IF(_xll.qlQuoteIsValid(AH17,Trigger),_xll.qlQuoteValue(AH17,Trigger),1)</f>
        <v>#NUM!</v>
      </c>
      <c r="AK17" s="154" t="e">
        <f t="shared" si="8"/>
        <v>#NUM!</v>
      </c>
      <c r="AL17" s="135"/>
      <c r="AM17" s="134" t="str">
        <f t="shared" si="9"/>
        <v>AUDJump7_SYNTHON_Quote</v>
      </c>
    </row>
    <row r="18" spans="1:39" ht="11.25" customHeight="1" x14ac:dyDescent="0.2">
      <c r="A18" s="56" t="s">
        <v>70</v>
      </c>
      <c r="B18" s="57" t="s">
        <v>45</v>
      </c>
      <c r="C18" s="58">
        <v>1</v>
      </c>
      <c r="D18" s="193"/>
      <c r="E18" s="193"/>
      <c r="F18" s="193"/>
      <c r="G18" s="59" t="str">
        <f t="shared" si="6"/>
        <v>Aonia</v>
      </c>
      <c r="H18" s="60" t="str">
        <f t="shared" si="5"/>
        <v>AUDOIS8M_Quote</v>
      </c>
      <c r="I18" s="192"/>
      <c r="J18" s="167" t="str">
        <f>IF(P16,_xll.qlOISRateHelper(,C18,B18,H18,$G18,,Permanent,Trigger,ObjectOverwrite),"--")</f>
        <v>--</v>
      </c>
      <c r="K18" s="46"/>
      <c r="L18" s="173" t="str">
        <f t="shared" si="2"/>
        <v>OIS</v>
      </c>
      <c r="M18" s="182" t="str">
        <f t="shared" si="4"/>
        <v>AUDOIS10M_Quote</v>
      </c>
      <c r="N18" s="174" t="str">
        <f>IFERROR(_xll.qlQuoteValue(H20),"--")</f>
        <v>--</v>
      </c>
      <c r="O18" s="179"/>
      <c r="P18" s="91" t="b">
        <v>0</v>
      </c>
      <c r="Q18" s="88">
        <v>50</v>
      </c>
      <c r="R18" s="88">
        <v>1</v>
      </c>
      <c r="S18" s="88" t="str">
        <f t="shared" si="3"/>
        <v>--</v>
      </c>
      <c r="T18" s="92" t="str">
        <f>IFERROR(_xll.qlRateHelperEarliestDate(S18,Trigger),"--")</f>
        <v>--</v>
      </c>
      <c r="U18" s="92" t="str">
        <f>IFERROR(_xll.qlRateHelperPillarDate(S18,Trigger),"--")</f>
        <v>--</v>
      </c>
      <c r="W18" s="3" t="str">
        <f t="shared" si="0"/>
        <v>OIS</v>
      </c>
      <c r="X18" s="3" t="str">
        <v>obj_00334</v>
      </c>
      <c r="Y18" s="3" t="str">
        <f>IFERROR(_xll.qlRateHelperQuoteName(X18,Trigger),"")</f>
        <v>AUDOIS7Y_Quote</v>
      </c>
      <c r="Z18" s="65">
        <f>IFERROR(_xll.qlRateHelperRate(X18,Trigger),"")</f>
        <v>1.8650000000000003E-2</v>
      </c>
      <c r="AA18" s="96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42682</v>
      </c>
      <c r="AC18" s="4">
        <f>IFERROR(_xll.qlRateHelperPillarDate(X18,Trigger),"")</f>
        <v>45238</v>
      </c>
      <c r="AD18" s="71">
        <v>0.87787754772229376</v>
      </c>
      <c r="AE18" s="146"/>
      <c r="AF18" s="132">
        <v>8</v>
      </c>
      <c r="AG18" s="133">
        <f>_xll.qlCalendarEndOfMonth(Calendar,_xll.qlCalendarAdvance(Calendar,AG17,"1m","mf",TRUE),Trigger)</f>
        <v>42916</v>
      </c>
      <c r="AH18" s="132" t="str">
        <f t="shared" si="7"/>
        <v>AUDJump8_SYNTHON_Quote</v>
      </c>
      <c r="AI18" s="151">
        <f>_xll.qlDayCounterYearFraction("actual/360",AG18,_xll.qlCalendarAdvance(Calendar,AG18,"1D",,,Trigger))</f>
        <v>8.3333333333333332E-3</v>
      </c>
      <c r="AJ18" s="134" t="e">
        <f>IF(_xll.qlQuoteIsValid(AH18,Trigger),_xll.qlQuoteValue(AH18,Trigger),1)</f>
        <v>#NUM!</v>
      </c>
      <c r="AK18" s="154" t="e">
        <f t="shared" si="8"/>
        <v>#NUM!</v>
      </c>
      <c r="AL18" s="135"/>
      <c r="AM18" s="134" t="str">
        <f t="shared" si="9"/>
        <v>AUDJump8_SYNTHON_Quote</v>
      </c>
    </row>
    <row r="19" spans="1:39" ht="11.25" customHeight="1" x14ac:dyDescent="0.2">
      <c r="A19" s="56" t="s">
        <v>70</v>
      </c>
      <c r="B19" s="57" t="s">
        <v>46</v>
      </c>
      <c r="C19" s="58">
        <v>1</v>
      </c>
      <c r="D19" s="193"/>
      <c r="E19" s="193"/>
      <c r="F19" s="193"/>
      <c r="G19" s="59" t="str">
        <f t="shared" si="6"/>
        <v>Aonia</v>
      </c>
      <c r="H19" s="60" t="str">
        <f t="shared" si="5"/>
        <v>AUDOIS9M_Quote</v>
      </c>
      <c r="I19" s="192"/>
      <c r="J19" s="167" t="str">
        <f>IF(P17,_xll.qlOISRateHelper(,C19,B19,H19,$G19,,Permanent,Trigger,ObjectOverwrite),"--")</f>
        <v>obj_0022e#0003</v>
      </c>
      <c r="K19" s="46"/>
      <c r="L19" s="173" t="str">
        <f t="shared" si="2"/>
        <v>OIS</v>
      </c>
      <c r="M19" s="182" t="str">
        <f t="shared" si="4"/>
        <v>AUDOIS11M_Quote</v>
      </c>
      <c r="N19" s="174" t="str">
        <f>IFERROR(_xll.qlQuoteValue(H21),"--")</f>
        <v>--</v>
      </c>
      <c r="O19" s="179"/>
      <c r="P19" s="91" t="b">
        <v>0</v>
      </c>
      <c r="Q19" s="88">
        <v>50</v>
      </c>
      <c r="R19" s="88">
        <v>1</v>
      </c>
      <c r="S19" s="88" t="str">
        <f t="shared" si="3"/>
        <v>--</v>
      </c>
      <c r="T19" s="92" t="str">
        <f>IFERROR(_xll.qlRateHelperEarliestDate(S19,Trigger),"--")</f>
        <v>--</v>
      </c>
      <c r="U19" s="92" t="str">
        <f>IFERROR(_xll.qlRateHelperPillarDate(S19,Trigger),"--")</f>
        <v>--</v>
      </c>
      <c r="W19" s="3" t="str">
        <f t="shared" si="0"/>
        <v>OIS</v>
      </c>
      <c r="X19" s="3" t="str">
        <v>obj_0033a</v>
      </c>
      <c r="Y19" s="3" t="str">
        <f>IFERROR(_xll.qlRateHelperQuoteName(X19,Trigger),"")</f>
        <v>AUDOIS8Y_Quote</v>
      </c>
      <c r="Z19" s="65">
        <f>IFERROR(_xll.qlRateHelperRate(X19,Trigger),"")</f>
        <v>1.9279999999999999E-2</v>
      </c>
      <c r="AA19" s="96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42682</v>
      </c>
      <c r="AC19" s="4">
        <f>IFERROR(_xll.qlRateHelperPillarDate(X19,Trigger),"")</f>
        <v>45604</v>
      </c>
      <c r="AD19" s="71">
        <v>0.85718187442072136</v>
      </c>
      <c r="AE19" s="146"/>
      <c r="AF19" s="132">
        <v>9</v>
      </c>
      <c r="AG19" s="133">
        <f>_xll.qlCalendarEndOfMonth(Calendar,_xll.qlCalendarAdvance(Calendar,AG18,"1m","mf",TRUE),Trigger)</f>
        <v>42947</v>
      </c>
      <c r="AH19" s="132" t="str">
        <f t="shared" si="7"/>
        <v>AUDJump9_SYNTHON_Quote</v>
      </c>
      <c r="AI19" s="151">
        <f>_xll.qlDayCounterYearFraction("actual/360",AG19,_xll.qlCalendarAdvance(Calendar,AG19,"1D",,,Trigger))</f>
        <v>2.7777777777777779E-3</v>
      </c>
      <c r="AJ19" s="134" t="e">
        <f>IF(_xll.qlQuoteIsValid(AH19,Trigger),_xll.qlQuoteValue(AH19,Trigger),1)</f>
        <v>#NUM!</v>
      </c>
      <c r="AK19" s="154" t="e">
        <f t="shared" si="8"/>
        <v>#NUM!</v>
      </c>
      <c r="AL19" s="135"/>
      <c r="AM19" s="134" t="str">
        <f t="shared" si="9"/>
        <v>AUDJump9_SYNTHON_Quote</v>
      </c>
    </row>
    <row r="20" spans="1:39" ht="11.25" customHeight="1" x14ac:dyDescent="0.2">
      <c r="A20" s="56" t="s">
        <v>70</v>
      </c>
      <c r="B20" s="57" t="s">
        <v>47</v>
      </c>
      <c r="C20" s="58">
        <v>1</v>
      </c>
      <c r="D20" s="193"/>
      <c r="E20" s="193"/>
      <c r="F20" s="193"/>
      <c r="G20" s="59" t="str">
        <f t="shared" si="6"/>
        <v>Aonia</v>
      </c>
      <c r="H20" s="60" t="str">
        <f t="shared" si="5"/>
        <v>AUDOIS10M_Quote</v>
      </c>
      <c r="I20" s="192"/>
      <c r="J20" s="167" t="str">
        <f>IF(P18,_xll.qlOISRateHelper(,C20,B20,H20,$G20,,Permanent,Trigger,ObjectOverwrite),"--")</f>
        <v>--</v>
      </c>
      <c r="K20" s="46"/>
      <c r="L20" s="173" t="str">
        <f t="shared" si="2"/>
        <v>OIS</v>
      </c>
      <c r="M20" s="182" t="str">
        <f t="shared" si="4"/>
        <v>AUDOIS12M_Quote</v>
      </c>
      <c r="N20" s="174">
        <f>IFERROR(_xll.qlQuoteValue(H22),"--")</f>
        <v>1.4449999999999998E-2</v>
      </c>
      <c r="O20" s="179"/>
      <c r="P20" s="91" t="b">
        <v>1</v>
      </c>
      <c r="Q20" s="88">
        <v>50</v>
      </c>
      <c r="R20" s="88">
        <v>1</v>
      </c>
      <c r="S20" s="88" t="str">
        <f t="shared" si="3"/>
        <v>obj_0032d#0004</v>
      </c>
      <c r="T20" s="92">
        <f>IFERROR(_xll.qlRateHelperEarliestDate(S20,Trigger),"--")</f>
        <v>42682</v>
      </c>
      <c r="U20" s="92">
        <f>IFERROR(_xll.qlRateHelperPillarDate(S20,Trigger),"--")</f>
        <v>43047</v>
      </c>
      <c r="W20" s="3" t="str">
        <f t="shared" si="0"/>
        <v>OIS</v>
      </c>
      <c r="X20" s="3" t="str">
        <v>obj_0033f</v>
      </c>
      <c r="Y20" s="3" t="str">
        <f>IFERROR(_xll.qlRateHelperQuoteName(X20,Trigger),"")</f>
        <v>AUDOIS9Y_Quote</v>
      </c>
      <c r="Z20" s="65">
        <f>IFERROR(_xll.qlRateHelperRate(X20,Trigger),"")</f>
        <v>1.993E-2</v>
      </c>
      <c r="AA20" s="96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42682</v>
      </c>
      <c r="AC20" s="4">
        <f>IFERROR(_xll.qlRateHelperPillarDate(X20,Trigger),"")</f>
        <v>45971</v>
      </c>
      <c r="AD20" s="71">
        <v>0.83562310937596951</v>
      </c>
      <c r="AE20" s="146"/>
      <c r="AF20" s="132">
        <v>10</v>
      </c>
      <c r="AG20" s="133">
        <f>_xll.qlCalendarEndOfMonth(Calendar,_xll.qlCalendarAdvance(Calendar,AG19,"1m","mf",TRUE),Trigger)</f>
        <v>42978</v>
      </c>
      <c r="AH20" s="132" t="str">
        <f t="shared" si="7"/>
        <v>AUDJump10_SYNTHON_Quote</v>
      </c>
      <c r="AI20" s="151">
        <f>_xll.qlDayCounterYearFraction("actual/360",AG20,_xll.qlCalendarAdvance(Calendar,AG20,"1D",,,Trigger))</f>
        <v>2.7777777777777779E-3</v>
      </c>
      <c r="AJ20" s="134" t="e">
        <f>IF(_xll.qlQuoteIsValid(AH20,Trigger),_xll.qlQuoteValue(AH20,Trigger),1)</f>
        <v>#NUM!</v>
      </c>
      <c r="AK20" s="154" t="e">
        <f t="shared" si="8"/>
        <v>#NUM!</v>
      </c>
      <c r="AL20" s="135"/>
      <c r="AM20" s="134" t="str">
        <f t="shared" si="9"/>
        <v>AUDJump10_SYNTHON_Quote</v>
      </c>
    </row>
    <row r="21" spans="1:39" ht="11.25" customHeight="1" x14ac:dyDescent="0.2">
      <c r="A21" s="56" t="s">
        <v>70</v>
      </c>
      <c r="B21" s="57" t="s">
        <v>48</v>
      </c>
      <c r="C21" s="58">
        <v>1</v>
      </c>
      <c r="D21" s="193"/>
      <c r="E21" s="193"/>
      <c r="F21" s="193"/>
      <c r="G21" s="59" t="str">
        <f t="shared" si="6"/>
        <v>Aonia</v>
      </c>
      <c r="H21" s="60" t="str">
        <f t="shared" si="5"/>
        <v>AUDOIS11M_Quote</v>
      </c>
      <c r="I21" s="192"/>
      <c r="J21" s="167" t="str">
        <f>IF(P19,_xll.qlOISRateHelper(,C21,B21,H21,$G21,,Permanent,Trigger,ObjectOverwrite),"--")</f>
        <v>--</v>
      </c>
      <c r="K21" s="46"/>
      <c r="L21" s="173" t="str">
        <f t="shared" si="2"/>
        <v>OIS</v>
      </c>
      <c r="M21" s="182" t="str">
        <f t="shared" si="4"/>
        <v>AUDOIS13M_Quote</v>
      </c>
      <c r="N21" s="174" t="str">
        <f>IFERROR(_xll.qlQuoteValue(H23),"--")</f>
        <v>--</v>
      </c>
      <c r="O21" s="179"/>
      <c r="P21" s="91" t="b">
        <v>0</v>
      </c>
      <c r="Q21" s="88">
        <v>50</v>
      </c>
      <c r="R21" s="88">
        <v>1</v>
      </c>
      <c r="S21" s="88" t="str">
        <f t="shared" si="3"/>
        <v>--</v>
      </c>
      <c r="T21" s="92" t="str">
        <f>IFERROR(_xll.qlRateHelperEarliestDate(S21,Trigger),"--")</f>
        <v>--</v>
      </c>
      <c r="U21" s="92" t="str">
        <f>IFERROR(_xll.qlRateHelperPillarDate(S21,Trigger),"--")</f>
        <v>--</v>
      </c>
      <c r="W21" s="3" t="str">
        <f t="shared" si="0"/>
        <v>OIS</v>
      </c>
      <c r="X21" s="3" t="str">
        <v>obj_00345</v>
      </c>
      <c r="Y21" s="3" t="str">
        <f>IFERROR(_xll.qlRateHelperQuoteName(X21,Trigger),"")</f>
        <v>AUDOIS10Y_Quote</v>
      </c>
      <c r="Z21" s="65">
        <f>IFERROR(_xll.qlRateHelperRate(X21,Trigger),"")</f>
        <v>2.0550000000000002E-2</v>
      </c>
      <c r="AA21" s="96" t="str">
        <f>IF(ISERROR(_xll.qlSwapRateHelperSpread($X21)),IF(ISERROR(_xll.qlFuturesRateHelperConvexityAdjustment($X21)),"",_xll.qlFuturesRateHelperConvexityAdjustment($X21)),_xll.qlSwapRateHelperSpread($X21))</f>
        <v/>
      </c>
      <c r="AB21" s="4">
        <f>IFERROR(_xll.qlRateHelperEarliestDate(X21,Trigger),"")</f>
        <v>42682</v>
      </c>
      <c r="AC21" s="4">
        <f>IFERROR(_xll.qlRateHelperPillarDate(X21,Trigger),"")</f>
        <v>46335</v>
      </c>
      <c r="AD21" s="71">
        <v>0.81383237050001689</v>
      </c>
      <c r="AE21" s="146"/>
      <c r="AF21" s="132">
        <v>11</v>
      </c>
      <c r="AG21" s="133">
        <f>_xll.qlCalendarEndOfMonth(Calendar,_xll.qlCalendarAdvance(Calendar,AG20,"1m","mf",TRUE),Trigger)</f>
        <v>43007</v>
      </c>
      <c r="AH21" s="132" t="str">
        <f t="shared" si="7"/>
        <v>AUDJump11_SYNTHON_Quote</v>
      </c>
      <c r="AI21" s="151">
        <f>_xll.qlDayCounterYearFraction("actual/360",AG21,_xll.qlCalendarAdvance(Calendar,AG21,"1D",,,Trigger))</f>
        <v>1.1111111111111112E-2</v>
      </c>
      <c r="AJ21" s="134" t="e">
        <f>IF(_xll.qlQuoteIsValid(AH21,Trigger),_xll.qlQuoteValue(AH21,Trigger),1)</f>
        <v>#NUM!</v>
      </c>
      <c r="AK21" s="154" t="e">
        <f t="shared" si="8"/>
        <v>#NUM!</v>
      </c>
      <c r="AL21" s="135"/>
      <c r="AM21" s="134" t="str">
        <f t="shared" si="9"/>
        <v>AUDJump11_SYNTHON_Quote</v>
      </c>
    </row>
    <row r="22" spans="1:39" ht="11.25" customHeight="1" x14ac:dyDescent="0.2">
      <c r="A22" s="56" t="s">
        <v>70</v>
      </c>
      <c r="B22" s="57" t="s">
        <v>115</v>
      </c>
      <c r="C22" s="58">
        <v>1</v>
      </c>
      <c r="D22" s="193"/>
      <c r="E22" s="193"/>
      <c r="F22" s="193"/>
      <c r="G22" s="59" t="str">
        <f t="shared" si="6"/>
        <v>Aonia</v>
      </c>
      <c r="H22" s="60" t="str">
        <f t="shared" si="5"/>
        <v>AUDOIS12M_Quote</v>
      </c>
      <c r="I22" s="192"/>
      <c r="J22" s="167" t="str">
        <f>IF(P20,_xll.qlOISRateHelper(,C22,B22,H22,$G22,,Permanent,Trigger,ObjectOverwrite),"--")</f>
        <v>obj_0032d#0004</v>
      </c>
      <c r="L22" s="173" t="str">
        <f t="shared" si="2"/>
        <v>OIS</v>
      </c>
      <c r="M22" s="182" t="str">
        <f t="shared" si="4"/>
        <v>AUDOIS14M_Quote</v>
      </c>
      <c r="N22" s="174" t="str">
        <f>IFERROR(_xll.qlQuoteValue(H24),"--")</f>
        <v>--</v>
      </c>
      <c r="O22" s="179"/>
      <c r="P22" s="91" t="b">
        <v>0</v>
      </c>
      <c r="Q22" s="88">
        <v>50</v>
      </c>
      <c r="R22" s="88">
        <v>1</v>
      </c>
      <c r="S22" s="88" t="str">
        <f t="shared" si="3"/>
        <v>--</v>
      </c>
      <c r="T22" s="92" t="str">
        <f>IFERROR(_xll.qlRateHelperEarliestDate(S22,Trigger),"--")</f>
        <v>--</v>
      </c>
      <c r="U22" s="92" t="str">
        <f>IFERROR(_xll.qlRateHelperPillarDate(S22,Trigger),"--")</f>
        <v>--</v>
      </c>
      <c r="W22" s="3" t="str">
        <f t="shared" si="0"/>
        <v>OIS</v>
      </c>
      <c r="X22" s="3" t="str">
        <v>obj_0034a</v>
      </c>
      <c r="Y22" s="3" t="str">
        <f>IFERROR(_xll.qlRateHelperQuoteName(X22,Trigger),"")</f>
        <v>AUDOIS12Y_Quote</v>
      </c>
      <c r="Z22" s="65">
        <f>IFERROR(_xll.qlRateHelperRate(X22,Trigger),"")</f>
        <v>2.1550000000000003E-2</v>
      </c>
      <c r="AA22" s="96" t="str">
        <f>IF(ISERROR(_xll.qlSwapRateHelperSpread($X22)),IF(ISERROR(_xll.qlFuturesRateHelperConvexityAdjustment($X22)),"",_xll.qlFuturesRateHelperConvexityAdjustment($X22)),_xll.qlSwapRateHelperSpread($X22))</f>
        <v/>
      </c>
      <c r="AB22" s="4">
        <f>IFERROR(_xll.qlRateHelperEarliestDate(X22,Trigger),"")</f>
        <v>42682</v>
      </c>
      <c r="AC22" s="4">
        <f>IFERROR(_xll.qlRateHelperPillarDate(X22,Trigger),"")</f>
        <v>47065</v>
      </c>
      <c r="AD22" s="71">
        <v>0.77108419150063212</v>
      </c>
      <c r="AE22" s="146"/>
      <c r="AF22" s="132">
        <v>12</v>
      </c>
      <c r="AG22" s="133">
        <f>_xll.qlCalendarEndOfMonth(Calendar,_xll.qlCalendarAdvance(Calendar,AG21,"1m","mf",TRUE),Trigger)</f>
        <v>43039</v>
      </c>
      <c r="AH22" s="132" t="str">
        <f t="shared" si="7"/>
        <v>AUDJump12_SYNTHON_Quote</v>
      </c>
      <c r="AI22" s="151">
        <f>_xll.qlDayCounterYearFraction("actual/360",AG22,_xll.qlCalendarAdvance(Calendar,AG22,"1D",,,Trigger))</f>
        <v>2.7777777777777779E-3</v>
      </c>
      <c r="AJ22" s="134" t="e">
        <f>IF(_xll.qlQuoteIsValid(AH22,Trigger),_xll.qlQuoteValue(AH22,Trigger),1)</f>
        <v>#NUM!</v>
      </c>
      <c r="AK22" s="154" t="e">
        <f t="shared" si="8"/>
        <v>#NUM!</v>
      </c>
      <c r="AL22" s="135"/>
      <c r="AM22" s="134" t="str">
        <f t="shared" si="9"/>
        <v>AUDJump12_SYNTHON_Quote</v>
      </c>
    </row>
    <row r="23" spans="1:39" ht="11.25" customHeight="1" x14ac:dyDescent="0.2">
      <c r="A23" s="56" t="s">
        <v>70</v>
      </c>
      <c r="B23" s="57" t="s">
        <v>133</v>
      </c>
      <c r="C23" s="58">
        <v>1</v>
      </c>
      <c r="D23" s="193"/>
      <c r="E23" s="193"/>
      <c r="F23" s="193"/>
      <c r="G23" s="59" t="str">
        <f t="shared" si="6"/>
        <v>Aonia</v>
      </c>
      <c r="H23" s="60" t="str">
        <f t="shared" si="5"/>
        <v>AUDOIS13M_Quote</v>
      </c>
      <c r="I23" s="192"/>
      <c r="J23" s="167" t="str">
        <f>IF(P21,_xll.qlOISRateHelper(,C23,B23,H23,$G23,,Permanent,Trigger,ObjectOverwrite),"--")</f>
        <v>--</v>
      </c>
      <c r="L23" s="173" t="str">
        <f t="shared" si="2"/>
        <v>OIS</v>
      </c>
      <c r="M23" s="182" t="str">
        <f t="shared" si="4"/>
        <v>AUDOIS15M_Quote</v>
      </c>
      <c r="N23" s="174" t="str">
        <f>IFERROR(_xll.qlQuoteValue(H25),"--")</f>
        <v>--</v>
      </c>
      <c r="O23" s="179"/>
      <c r="P23" s="91" t="b">
        <v>0</v>
      </c>
      <c r="Q23" s="88">
        <v>50</v>
      </c>
      <c r="R23" s="88">
        <v>1</v>
      </c>
      <c r="S23" s="88" t="str">
        <f t="shared" si="3"/>
        <v>--</v>
      </c>
      <c r="T23" s="92" t="str">
        <f>IFERROR(_xll.qlRateHelperEarliestDate(S23,Trigger),"--")</f>
        <v>--</v>
      </c>
      <c r="U23" s="92" t="str">
        <f>IFERROR(_xll.qlRateHelperPillarDate(S23,Trigger),"--")</f>
        <v>--</v>
      </c>
      <c r="W23" s="3" t="str">
        <f t="shared" si="0"/>
        <v>OIS</v>
      </c>
      <c r="X23" s="3" t="str">
        <v>obj_0034e</v>
      </c>
      <c r="Y23" s="3" t="str">
        <f>IFERROR(_xll.qlRateHelperQuoteName(X23,Trigger),"")</f>
        <v>AUDOIS15Y_Quote</v>
      </c>
      <c r="Z23" s="65">
        <f>IFERROR(_xll.qlRateHelperRate(X23,Trigger),"")</f>
        <v>2.2700000000000001E-2</v>
      </c>
      <c r="AA23" s="96" t="str">
        <f>IF(ISERROR(_xll.qlSwapRateHelperSpread($X23)),IF(ISERROR(_xll.qlFuturesRateHelperConvexityAdjustment($X23)),"",_xll.qlFuturesRateHelperConvexityAdjustment($X23)),_xll.qlSwapRateHelperSpread($X23))</f>
        <v/>
      </c>
      <c r="AB23" s="4">
        <f>IFERROR(_xll.qlRateHelperEarliestDate(X23,Trigger),"")</f>
        <v>42682</v>
      </c>
      <c r="AC23" s="4">
        <f>IFERROR(_xll.qlRateHelperPillarDate(X23,Trigger),"")</f>
        <v>48162</v>
      </c>
      <c r="AD23" s="71">
        <v>0.70910157962857656</v>
      </c>
      <c r="AE23" s="146"/>
      <c r="AF23" s="136">
        <v>13</v>
      </c>
      <c r="AG23" s="137">
        <f>_xll.qlCalendarAdjust(Calendar,DATE(YEAR(AG11)+1,12,31),"preceding",Trigger)</f>
        <v>43098</v>
      </c>
      <c r="AH23" s="136" t="str">
        <f t="shared" si="7"/>
        <v>AUDJump13_SYNTHON_Quote</v>
      </c>
      <c r="AI23" s="152">
        <f>_xll.qlDayCounterYearFraction("actual/360",AG23,_xll.qlCalendarAdvance(Calendar,AG23,"1D",,,Trigger))</f>
        <v>1.1111111111111112E-2</v>
      </c>
      <c r="AJ23" s="138" t="e">
        <f>IF(_xll.qlQuoteIsValid(AH23,Trigger),_xll.qlQuoteValue(AH23,Trigger),1)</f>
        <v>#NUM!</v>
      </c>
      <c r="AK23" s="155" t="e">
        <f t="shared" si="8"/>
        <v>#NUM!</v>
      </c>
      <c r="AL23" s="139"/>
      <c r="AM23" s="138" t="str">
        <f t="shared" si="9"/>
        <v>AUDJump13_SYNTHON_Quote</v>
      </c>
    </row>
    <row r="24" spans="1:39" ht="11.25" customHeight="1" x14ac:dyDescent="0.2">
      <c r="A24" s="56" t="s">
        <v>70</v>
      </c>
      <c r="B24" s="57" t="s">
        <v>134</v>
      </c>
      <c r="C24" s="58">
        <v>1</v>
      </c>
      <c r="D24" s="193"/>
      <c r="E24" s="193"/>
      <c r="F24" s="193"/>
      <c r="G24" s="59" t="str">
        <f t="shared" si="6"/>
        <v>Aonia</v>
      </c>
      <c r="H24" s="60" t="str">
        <f t="shared" si="5"/>
        <v>AUDOIS14M_Quote</v>
      </c>
      <c r="I24" s="192"/>
      <c r="J24" s="167" t="str">
        <f>IF(P22,_xll.qlOISRateHelper(,C24,B24,H24,$G24,,Permanent,Trigger,ObjectOverwrite),"--")</f>
        <v>--</v>
      </c>
      <c r="L24" s="173" t="str">
        <f t="shared" si="2"/>
        <v>OIS</v>
      </c>
      <c r="M24" s="182" t="str">
        <f t="shared" si="4"/>
        <v>AUDOIS16M_Quote</v>
      </c>
      <c r="N24" s="174" t="str">
        <f>IFERROR(_xll.qlQuoteValue(H26),"--")</f>
        <v>--</v>
      </c>
      <c r="O24" s="179"/>
      <c r="P24" s="91" t="b">
        <v>0</v>
      </c>
      <c r="Q24" s="88">
        <v>50</v>
      </c>
      <c r="R24" s="88">
        <v>1</v>
      </c>
      <c r="S24" s="88" t="str">
        <f t="shared" si="3"/>
        <v>--</v>
      </c>
      <c r="T24" s="92" t="str">
        <f>IFERROR(_xll.qlRateHelperEarliestDate(S24,Trigger),"--")</f>
        <v>--</v>
      </c>
      <c r="U24" s="92" t="str">
        <f>IFERROR(_xll.qlRateHelperPillarDate(S24,Trigger),"--")</f>
        <v>--</v>
      </c>
      <c r="W24" s="3" t="str">
        <f t="shared" si="0"/>
        <v>OIS</v>
      </c>
      <c r="X24" s="3" t="str">
        <v>obj_00353</v>
      </c>
      <c r="Y24" s="3" t="str">
        <f>IFERROR(_xll.qlRateHelperQuoteName(X24,Trigger),"")</f>
        <v>AUDOIS20Y_Quote</v>
      </c>
      <c r="Z24" s="65">
        <f>IFERROR(_xll.qlRateHelperRate(X24,Trigger),"")</f>
        <v>2.3849999999999996E-2</v>
      </c>
      <c r="AA24" s="96" t="str">
        <f>IF(ISERROR(_xll.qlSwapRateHelperSpread($X24)),IF(ISERROR(_xll.qlFuturesRateHelperConvexityAdjustment($X24)),"",_xll.qlFuturesRateHelperConvexityAdjustment($X24)),_xll.qlSwapRateHelperSpread($X24))</f>
        <v/>
      </c>
      <c r="AB24" s="4">
        <f>IFERROR(_xll.qlRateHelperEarliestDate(X24,Trigger),"")</f>
        <v>42682</v>
      </c>
      <c r="AC24" s="4">
        <f>IFERROR(_xll.qlRateHelperPillarDate(X24,Trigger),"")</f>
        <v>49989</v>
      </c>
      <c r="AD24" s="71">
        <v>0.61647110009887718</v>
      </c>
      <c r="AE24" s="146"/>
    </row>
    <row r="25" spans="1:39" ht="11.25" customHeight="1" x14ac:dyDescent="0.2">
      <c r="A25" s="56" t="s">
        <v>70</v>
      </c>
      <c r="B25" s="57" t="s">
        <v>49</v>
      </c>
      <c r="C25" s="58">
        <v>1</v>
      </c>
      <c r="D25" s="193"/>
      <c r="E25" s="193"/>
      <c r="F25" s="193"/>
      <c r="G25" s="59" t="str">
        <f t="shared" si="6"/>
        <v>Aonia</v>
      </c>
      <c r="H25" s="60" t="str">
        <f t="shared" si="5"/>
        <v>AUDOIS15M_Quote</v>
      </c>
      <c r="I25" s="192"/>
      <c r="J25" s="167" t="str">
        <f>IF(P23,_xll.qlOISRateHelper(,C25,B25,H25,$G25,,Permanent,Trigger,ObjectOverwrite),"--")</f>
        <v>--</v>
      </c>
      <c r="L25" s="173" t="str">
        <f t="shared" si="2"/>
        <v>OIS</v>
      </c>
      <c r="M25" s="182" t="str">
        <f t="shared" si="4"/>
        <v>AUDOIS17M_Quote</v>
      </c>
      <c r="N25" s="174" t="str">
        <f>IFERROR(_xll.qlQuoteValue(H27),"--")</f>
        <v>--</v>
      </c>
      <c r="O25" s="179"/>
      <c r="P25" s="91" t="b">
        <v>0</v>
      </c>
      <c r="Q25" s="88">
        <v>50</v>
      </c>
      <c r="R25" s="88">
        <v>1</v>
      </c>
      <c r="S25" s="88" t="str">
        <f t="shared" si="3"/>
        <v>--</v>
      </c>
      <c r="T25" s="92" t="str">
        <f>IFERROR(_xll.qlRateHelperEarliestDate(S25,Trigger),"--")</f>
        <v>--</v>
      </c>
      <c r="U25" s="92" t="str">
        <f>IFERROR(_xll.qlRateHelperPillarDate(S25,Trigger),"--")</f>
        <v>--</v>
      </c>
      <c r="W25" s="3" t="str">
        <f t="shared" si="0"/>
        <v>OIS</v>
      </c>
      <c r="X25" s="3" t="str">
        <v>obj_00336</v>
      </c>
      <c r="Y25" s="3" t="str">
        <f>IFERROR(_xll.qlRateHelperQuoteName(X25,Trigger),"")</f>
        <v>AUDOIS25Y_Quote</v>
      </c>
      <c r="Z25" s="65">
        <f>IFERROR(_xll.qlRateHelperRate(X25,Trigger),"")</f>
        <v>2.4479999999999998E-2</v>
      </c>
      <c r="AA25" s="96" t="str">
        <f>IF(ISERROR(_xll.qlSwapRateHelperSpread($X25)),IF(ISERROR(_xll.qlFuturesRateHelperConvexityAdjustment($X25)),"",_xll.qlFuturesRateHelperConvexityAdjustment($X25)),_xll.qlSwapRateHelperSpread($X25))</f>
        <v/>
      </c>
      <c r="AB25" s="4">
        <f>IFERROR(_xll.qlRateHelperEarliestDate(X25,Trigger),"")</f>
        <v>42682</v>
      </c>
      <c r="AC25" s="4">
        <f>IFERROR(_xll.qlRateHelperPillarDate(X25,Trigger),"")</f>
        <v>51813</v>
      </c>
      <c r="AD25" s="71">
        <v>0.536918462507599</v>
      </c>
      <c r="AE25" s="146"/>
    </row>
    <row r="26" spans="1:39" ht="11.25" customHeight="1" x14ac:dyDescent="0.2">
      <c r="A26" s="56" t="s">
        <v>70</v>
      </c>
      <c r="B26" s="57" t="s">
        <v>135</v>
      </c>
      <c r="C26" s="58">
        <v>1</v>
      </c>
      <c r="D26" s="193"/>
      <c r="E26" s="193"/>
      <c r="F26" s="193"/>
      <c r="G26" s="59" t="str">
        <f t="shared" si="6"/>
        <v>Aonia</v>
      </c>
      <c r="H26" s="60" t="str">
        <f t="shared" si="5"/>
        <v>AUDOIS16M_Quote</v>
      </c>
      <c r="I26" s="192"/>
      <c r="J26" s="167" t="str">
        <f>IF(P24,_xll.qlOISRateHelper(,C26,B26,H26,$G26,,Permanent,Trigger,ObjectOverwrite),"--")</f>
        <v>--</v>
      </c>
      <c r="L26" s="173" t="str">
        <f t="shared" si="2"/>
        <v>OIS</v>
      </c>
      <c r="M26" s="182" t="str">
        <f t="shared" si="4"/>
        <v>AUDOIS18M_Quote</v>
      </c>
      <c r="N26" s="174">
        <f>IFERROR(_xll.qlQuoteValue(H28),"--")</f>
        <v>1.455E-2</v>
      </c>
      <c r="O26" s="179"/>
      <c r="P26" s="91" t="b">
        <v>1</v>
      </c>
      <c r="Q26" s="88">
        <v>50</v>
      </c>
      <c r="R26" s="88">
        <v>1</v>
      </c>
      <c r="S26" s="88" t="str">
        <f t="shared" si="3"/>
        <v>obj_0032e#0004</v>
      </c>
      <c r="T26" s="92">
        <f>IFERROR(_xll.qlRateHelperEarliestDate(S26,Trigger),"--")</f>
        <v>42682</v>
      </c>
      <c r="U26" s="92">
        <f>IFERROR(_xll.qlRateHelperPillarDate(S26,Trigger),"--")</f>
        <v>43228</v>
      </c>
      <c r="W26" s="3" t="str">
        <f t="shared" si="0"/>
        <v>OIS</v>
      </c>
      <c r="X26" s="3" t="str">
        <v>obj_0033b</v>
      </c>
      <c r="Y26" s="3" t="str">
        <f>IFERROR(_xll.qlRateHelperQuoteName(X26,Trigger),"")</f>
        <v>AUDOIS30Y_Quote</v>
      </c>
      <c r="Z26" s="65">
        <f>IFERROR(_xll.qlRateHelperRate(X26,Trigger),"")</f>
        <v>2.46E-2</v>
      </c>
      <c r="AA26" s="96" t="str">
        <f>IF(ISERROR(_xll.qlSwapRateHelperSpread($X26)),IF(ISERROR(_xll.qlFuturesRateHelperConvexityAdjustment($X26)),"",_xll.qlFuturesRateHelperConvexityAdjustment($X26)),_xll.qlSwapRateHelperSpread($X26))</f>
        <v/>
      </c>
      <c r="AB26" s="4">
        <f>IFERROR(_xll.qlRateHelperEarliestDate(X26,Trigger),"")</f>
        <v>42682</v>
      </c>
      <c r="AC26" s="4">
        <f>IFERROR(_xll.qlRateHelperPillarDate(X26,Trigger),"")</f>
        <v>53639</v>
      </c>
      <c r="AD26" s="71">
        <v>0.47338956497095275</v>
      </c>
      <c r="AE26" s="146"/>
    </row>
    <row r="27" spans="1:39" ht="11.25" customHeight="1" x14ac:dyDescent="0.2">
      <c r="A27" s="56" t="s">
        <v>70</v>
      </c>
      <c r="B27" s="57" t="s">
        <v>136</v>
      </c>
      <c r="C27" s="58">
        <v>1</v>
      </c>
      <c r="D27" s="193"/>
      <c r="E27" s="193"/>
      <c r="F27" s="193"/>
      <c r="G27" s="59" t="str">
        <f t="shared" si="6"/>
        <v>Aonia</v>
      </c>
      <c r="H27" s="60" t="str">
        <f t="shared" si="5"/>
        <v>AUDOIS17M_Quote</v>
      </c>
      <c r="I27" s="192"/>
      <c r="J27" s="167" t="str">
        <f>IF(P25,_xll.qlOISRateHelper(,C27,B27,H27,$G27,,Permanent,Trigger,ObjectOverwrite),"--")</f>
        <v>--</v>
      </c>
      <c r="L27" s="173" t="str">
        <f t="shared" si="2"/>
        <v>OIS</v>
      </c>
      <c r="M27" s="182" t="str">
        <f t="shared" si="4"/>
        <v>AUDOIS19M_Quote</v>
      </c>
      <c r="N27" s="174" t="str">
        <f>IFERROR(_xll.qlQuoteValue(H29),"--")</f>
        <v>--</v>
      </c>
      <c r="O27" s="179"/>
      <c r="P27" s="91" t="b">
        <v>0</v>
      </c>
      <c r="Q27" s="88">
        <v>50</v>
      </c>
      <c r="R27" s="88">
        <v>1</v>
      </c>
      <c r="S27" s="88" t="str">
        <f t="shared" si="3"/>
        <v>--</v>
      </c>
      <c r="T27" s="92" t="str">
        <f>IFERROR(_xll.qlRateHelperEarliestDate(S27,Trigger),"--")</f>
        <v>--</v>
      </c>
      <c r="U27" s="92" t="str">
        <f>IFERROR(_xll.qlRateHelperPillarDate(S27,Trigger),"--")</f>
        <v>--</v>
      </c>
      <c r="W27" s="3" t="str">
        <f t="shared" si="0"/>
        <v/>
      </c>
      <c r="X27" s="3" t="e">
        <v>#N/A</v>
      </c>
      <c r="Y27" s="3" t="str">
        <f>IFERROR(_xll.qlRateHelperQuoteName(X27,Trigger),"")</f>
        <v/>
      </c>
      <c r="Z27" s="65" t="str">
        <f>IFERROR(_xll.qlRateHelperRate(X27,Trigger),"")</f>
        <v/>
      </c>
      <c r="AA27" s="96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1" t="e">
        <v>#N/A</v>
      </c>
      <c r="AE27" s="146"/>
    </row>
    <row r="28" spans="1:39" ht="11.25" customHeight="1" x14ac:dyDescent="0.2">
      <c r="A28" s="56" t="s">
        <v>70</v>
      </c>
      <c r="B28" s="57" t="s">
        <v>50</v>
      </c>
      <c r="C28" s="58">
        <v>1</v>
      </c>
      <c r="D28" s="193"/>
      <c r="E28" s="193"/>
      <c r="F28" s="193"/>
      <c r="G28" s="59" t="str">
        <f t="shared" si="6"/>
        <v>Aonia</v>
      </c>
      <c r="H28" s="60" t="str">
        <f t="shared" si="5"/>
        <v>AUDOIS18M_Quote</v>
      </c>
      <c r="I28" s="192"/>
      <c r="J28" s="167" t="str">
        <f>IF(P26,_xll.qlOISRateHelper(,C28,B28,H28,$G28,,Permanent,Trigger,ObjectOverwrite),"--")</f>
        <v>obj_0032e#0004</v>
      </c>
      <c r="L28" s="173" t="str">
        <f t="shared" si="2"/>
        <v>OIS</v>
      </c>
      <c r="M28" s="182" t="str">
        <f t="shared" si="4"/>
        <v>AUDOIS20M_Quote</v>
      </c>
      <c r="N28" s="174" t="str">
        <f>IFERROR(_xll.qlQuoteValue(H30),"--")</f>
        <v>--</v>
      </c>
      <c r="O28" s="179"/>
      <c r="P28" s="91" t="b">
        <v>0</v>
      </c>
      <c r="Q28" s="88">
        <v>50</v>
      </c>
      <c r="R28" s="88">
        <v>1</v>
      </c>
      <c r="S28" s="88" t="str">
        <f t="shared" si="3"/>
        <v>--</v>
      </c>
      <c r="T28" s="92" t="str">
        <f>IFERROR(_xll.qlRateHelperEarliestDate(S28,Trigger),"--")</f>
        <v>--</v>
      </c>
      <c r="U28" s="92" t="str">
        <f>IFERROR(_xll.qlRateHelperPillarDate(S28,Trigger),"--")</f>
        <v>--</v>
      </c>
      <c r="W28" s="3" t="str">
        <f t="shared" si="0"/>
        <v/>
      </c>
      <c r="X28" s="3" t="e">
        <v>#N/A</v>
      </c>
      <c r="Y28" s="3" t="str">
        <f>IFERROR(_xll.qlRateHelperQuoteName(X28,Trigger),"")</f>
        <v/>
      </c>
      <c r="Z28" s="65" t="str">
        <f>IFERROR(_xll.qlRateHelperRate(X28,Trigger),"")</f>
        <v/>
      </c>
      <c r="AA28" s="9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1" t="e">
        <v>#N/A</v>
      </c>
      <c r="AE28" s="146"/>
    </row>
    <row r="29" spans="1:39" ht="11.25" customHeight="1" x14ac:dyDescent="0.2">
      <c r="A29" s="56" t="s">
        <v>70</v>
      </c>
      <c r="B29" s="57" t="s">
        <v>137</v>
      </c>
      <c r="C29" s="58">
        <v>1</v>
      </c>
      <c r="D29" s="193"/>
      <c r="E29" s="193"/>
      <c r="F29" s="193"/>
      <c r="G29" s="59" t="str">
        <f t="shared" si="6"/>
        <v>Aonia</v>
      </c>
      <c r="H29" s="60" t="str">
        <f t="shared" si="5"/>
        <v>AUDOIS19M_Quote</v>
      </c>
      <c r="I29" s="192"/>
      <c r="J29" s="167" t="str">
        <f>IF(P27,_xll.qlOISRateHelper(,C29,B29,H29,$G29,,Permanent,Trigger,ObjectOverwrite),"--")</f>
        <v>--</v>
      </c>
      <c r="L29" s="173" t="str">
        <f t="shared" si="2"/>
        <v>OIS</v>
      </c>
      <c r="M29" s="182" t="str">
        <f t="shared" si="4"/>
        <v>AUDOIS21M_Quote</v>
      </c>
      <c r="N29" s="174" t="str">
        <f>IFERROR(_xll.qlQuoteValue(H31),"--")</f>
        <v>--</v>
      </c>
      <c r="O29" s="179"/>
      <c r="P29" s="91" t="b">
        <v>0</v>
      </c>
      <c r="Q29" s="88">
        <v>50</v>
      </c>
      <c r="R29" s="88">
        <v>1</v>
      </c>
      <c r="S29" s="88" t="str">
        <f t="shared" si="3"/>
        <v>--</v>
      </c>
      <c r="T29" s="92" t="str">
        <f>IFERROR(_xll.qlRateHelperEarliestDate(S29,Trigger),"--")</f>
        <v>--</v>
      </c>
      <c r="U29" s="92" t="str">
        <f>IFERROR(_xll.qlRateHelperPillarDate(S29,Trigger),"--")</f>
        <v>--</v>
      </c>
      <c r="W29" s="3" t="str">
        <f t="shared" si="0"/>
        <v/>
      </c>
      <c r="X29" s="3" t="e">
        <v>#N/A</v>
      </c>
      <c r="Y29" s="3" t="str">
        <f>IFERROR(_xll.qlRateHelperQuoteName(X29,Trigger),"")</f>
        <v/>
      </c>
      <c r="Z29" s="65" t="str">
        <f>IFERROR(_xll.qlRateHelperRate(X29,Trigger),"")</f>
        <v/>
      </c>
      <c r="AA29" s="9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1" t="e">
        <v>#N/A</v>
      </c>
      <c r="AE29" s="146"/>
    </row>
    <row r="30" spans="1:39" ht="11.25" customHeight="1" x14ac:dyDescent="0.2">
      <c r="A30" s="56" t="s">
        <v>70</v>
      </c>
      <c r="B30" s="57" t="s">
        <v>138</v>
      </c>
      <c r="C30" s="58">
        <v>1</v>
      </c>
      <c r="D30" s="193"/>
      <c r="E30" s="193"/>
      <c r="F30" s="193"/>
      <c r="G30" s="59" t="str">
        <f t="shared" si="6"/>
        <v>Aonia</v>
      </c>
      <c r="H30" s="60" t="str">
        <f t="shared" si="5"/>
        <v>AUDOIS20M_Quote</v>
      </c>
      <c r="I30" s="192"/>
      <c r="J30" s="167" t="str">
        <f>IF(P28,_xll.qlOISRateHelper(,C30,B30,H30,$G30,,Permanent,Trigger,ObjectOverwrite),"--")</f>
        <v>--</v>
      </c>
      <c r="L30" s="173" t="str">
        <f t="shared" si="2"/>
        <v>OIS</v>
      </c>
      <c r="M30" s="182" t="str">
        <f t="shared" si="4"/>
        <v>AUDOIS22M_Quote</v>
      </c>
      <c r="N30" s="174" t="str">
        <f>IFERROR(_xll.qlQuoteValue(H32),"--")</f>
        <v>--</v>
      </c>
      <c r="O30" s="179"/>
      <c r="P30" s="91" t="b">
        <v>0</v>
      </c>
      <c r="Q30" s="88">
        <v>50</v>
      </c>
      <c r="R30" s="88">
        <v>1</v>
      </c>
      <c r="S30" s="88" t="str">
        <f t="shared" si="3"/>
        <v>--</v>
      </c>
      <c r="T30" s="92" t="str">
        <f>IFERROR(_xll.qlRateHelperEarliestDate(S30,Trigger),"--")</f>
        <v>--</v>
      </c>
      <c r="U30" s="92" t="str">
        <f>IFERROR(_xll.qlRateHelperPillarDate(S30,Trigger),"--")</f>
        <v>--</v>
      </c>
      <c r="W30" s="3" t="str">
        <f t="shared" si="0"/>
        <v/>
      </c>
      <c r="X30" s="3" t="e">
        <v>#N/A</v>
      </c>
      <c r="Y30" s="3" t="str">
        <f>IFERROR(_xll.qlRateHelperQuoteName(X30,Trigger),"")</f>
        <v/>
      </c>
      <c r="Z30" s="65" t="str">
        <f>IFERROR(_xll.qlRateHelperRate(X30,Trigger),"")</f>
        <v/>
      </c>
      <c r="AA30" s="9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1" t="e">
        <v>#N/A</v>
      </c>
      <c r="AE30" s="146"/>
    </row>
    <row r="31" spans="1:39" ht="11.25" customHeight="1" x14ac:dyDescent="0.2">
      <c r="A31" s="56" t="s">
        <v>70</v>
      </c>
      <c r="B31" s="57" t="s">
        <v>51</v>
      </c>
      <c r="C31" s="58">
        <v>1</v>
      </c>
      <c r="D31" s="193"/>
      <c r="E31" s="193"/>
      <c r="F31" s="193"/>
      <c r="G31" s="59" t="str">
        <f t="shared" si="6"/>
        <v>Aonia</v>
      </c>
      <c r="H31" s="60" t="str">
        <f t="shared" si="5"/>
        <v>AUDOIS21M_Quote</v>
      </c>
      <c r="I31" s="192"/>
      <c r="J31" s="167" t="str">
        <f>IF(P29,_xll.qlOISRateHelper(,C31,B31,H31,$G31,,Permanent,Trigger,ObjectOverwrite),"--")</f>
        <v>--</v>
      </c>
      <c r="L31" s="173" t="str">
        <f t="shared" si="2"/>
        <v>OIS</v>
      </c>
      <c r="M31" s="182" t="str">
        <f t="shared" si="4"/>
        <v>AUDOIS23M_Quote</v>
      </c>
      <c r="N31" s="174" t="str">
        <f>IFERROR(_xll.qlQuoteValue(H33),"--")</f>
        <v>--</v>
      </c>
      <c r="O31" s="179"/>
      <c r="P31" s="91" t="b">
        <v>0</v>
      </c>
      <c r="Q31" s="88">
        <v>50</v>
      </c>
      <c r="R31" s="88">
        <v>1</v>
      </c>
      <c r="S31" s="88" t="str">
        <f t="shared" si="3"/>
        <v>--</v>
      </c>
      <c r="T31" s="92" t="str">
        <f>IFERROR(_xll.qlRateHelperEarliestDate(S31,Trigger),"--")</f>
        <v>--</v>
      </c>
      <c r="U31" s="92" t="str">
        <f>IFERROR(_xll.qlRateHelperPillarDate(S31,Trigger),"--")</f>
        <v>--</v>
      </c>
      <c r="W31" s="3" t="str">
        <f t="shared" si="0"/>
        <v/>
      </c>
      <c r="X31" s="3" t="e">
        <v>#N/A</v>
      </c>
      <c r="Y31" s="3" t="str">
        <f>IFERROR(_xll.qlRateHelperQuoteName(X31,Trigger),"")</f>
        <v/>
      </c>
      <c r="Z31" s="65" t="str">
        <f>IFERROR(_xll.qlRateHelperRate(X31,Trigger),"")</f>
        <v/>
      </c>
      <c r="AA31" s="9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1" t="e">
        <v>#N/A</v>
      </c>
      <c r="AE31" s="146"/>
    </row>
    <row r="32" spans="1:39" ht="11.25" customHeight="1" x14ac:dyDescent="0.2">
      <c r="A32" s="56" t="s">
        <v>70</v>
      </c>
      <c r="B32" s="57" t="s">
        <v>139</v>
      </c>
      <c r="C32" s="58">
        <v>1</v>
      </c>
      <c r="D32" s="193"/>
      <c r="E32" s="193"/>
      <c r="F32" s="193"/>
      <c r="G32" s="59" t="str">
        <f t="shared" si="6"/>
        <v>Aonia</v>
      </c>
      <c r="H32" s="60" t="str">
        <f t="shared" si="5"/>
        <v>AUDOIS22M_Quote</v>
      </c>
      <c r="I32" s="192"/>
      <c r="J32" s="167" t="str">
        <f>IF(P30,_xll.qlOISRateHelper(,C32,B32,H32,$G32,,Permanent,Trigger,ObjectOverwrite),"--")</f>
        <v>--</v>
      </c>
      <c r="L32" s="173" t="str">
        <f t="shared" si="2"/>
        <v>OIS</v>
      </c>
      <c r="M32" s="182" t="str">
        <f t="shared" si="4"/>
        <v>AUDOIS2Y_Quote</v>
      </c>
      <c r="N32" s="174">
        <f>IFERROR(_xll.qlQuoteValue(H34),"--")</f>
        <v>1.485E-2</v>
      </c>
      <c r="O32" s="179"/>
      <c r="P32" s="91" t="b">
        <v>1</v>
      </c>
      <c r="Q32" s="88">
        <v>50</v>
      </c>
      <c r="R32" s="88">
        <v>1</v>
      </c>
      <c r="S32" s="88" t="str">
        <f t="shared" si="3"/>
        <v>obj_0032f#0004</v>
      </c>
      <c r="T32" s="92">
        <f>IFERROR(_xll.qlRateHelperEarliestDate(S32,Trigger),"--")</f>
        <v>42682</v>
      </c>
      <c r="U32" s="92">
        <f>IFERROR(_xll.qlRateHelperPillarDate(S32,Trigger),"--")</f>
        <v>43412</v>
      </c>
      <c r="W32" s="3" t="str">
        <f t="shared" si="0"/>
        <v/>
      </c>
      <c r="X32" s="3" t="e">
        <v>#N/A</v>
      </c>
      <c r="Y32" s="3" t="str">
        <f>IFERROR(_xll.qlRateHelperQuoteName(X32,Trigger),"")</f>
        <v/>
      </c>
      <c r="Z32" s="65" t="str">
        <f>IFERROR(_xll.qlRateHelperRate(X32,Trigger),"")</f>
        <v/>
      </c>
      <c r="AA32" s="9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1" t="e">
        <v>#N/A</v>
      </c>
      <c r="AE32" s="146"/>
    </row>
    <row r="33" spans="1:31" ht="11.25" customHeight="1" x14ac:dyDescent="0.2">
      <c r="A33" s="56" t="s">
        <v>70</v>
      </c>
      <c r="B33" s="57" t="s">
        <v>140</v>
      </c>
      <c r="C33" s="58">
        <v>1</v>
      </c>
      <c r="D33" s="193"/>
      <c r="E33" s="193"/>
      <c r="F33" s="193"/>
      <c r="G33" s="59" t="str">
        <f t="shared" si="6"/>
        <v>Aonia</v>
      </c>
      <c r="H33" s="60" t="str">
        <f t="shared" si="5"/>
        <v>AUDOIS23M_Quote</v>
      </c>
      <c r="I33" s="192"/>
      <c r="J33" s="167" t="str">
        <f>IF(P31,_xll.qlOISRateHelper(,C33,B33,H33,$G33,,Permanent,Trigger,ObjectOverwrite),"--")</f>
        <v>--</v>
      </c>
      <c r="L33" s="173" t="str">
        <f t="shared" si="2"/>
        <v>OIS</v>
      </c>
      <c r="M33" s="182" t="str">
        <f t="shared" si="4"/>
        <v>AUDOIS27M_Quote</v>
      </c>
      <c r="N33" s="174" t="str">
        <f>IFERROR(_xll.qlQuoteValue(H35),"--")</f>
        <v>--</v>
      </c>
      <c r="O33" s="179"/>
      <c r="P33" s="91" t="b">
        <v>0</v>
      </c>
      <c r="Q33" s="88">
        <v>50</v>
      </c>
      <c r="R33" s="88">
        <v>1</v>
      </c>
      <c r="S33" s="88" t="str">
        <f t="shared" si="3"/>
        <v>--</v>
      </c>
      <c r="T33" s="92" t="str">
        <f>IFERROR(_xll.qlRateHelperEarliestDate(S33,Trigger),"--")</f>
        <v>--</v>
      </c>
      <c r="U33" s="92" t="str">
        <f>IFERROR(_xll.qlRateHelperPillarDate(S33,Trigger),"--")</f>
        <v>--</v>
      </c>
      <c r="W33" s="3" t="str">
        <f t="shared" si="0"/>
        <v/>
      </c>
      <c r="X33" s="3" t="e">
        <v>#N/A</v>
      </c>
      <c r="Y33" s="3" t="str">
        <f>IFERROR(_xll.qlRateHelperQuoteName(X33,Trigger),"")</f>
        <v/>
      </c>
      <c r="Z33" s="65" t="str">
        <f>IFERROR(_xll.qlRateHelperRate(X33,Trigger),"")</f>
        <v/>
      </c>
      <c r="AA33" s="9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1" t="e">
        <v>#N/A</v>
      </c>
      <c r="AE33" s="146"/>
    </row>
    <row r="34" spans="1:31" ht="11.25" customHeight="1" x14ac:dyDescent="0.2">
      <c r="A34" s="56" t="s">
        <v>70</v>
      </c>
      <c r="B34" s="57" t="s">
        <v>52</v>
      </c>
      <c r="C34" s="58">
        <v>1</v>
      </c>
      <c r="D34" s="193"/>
      <c r="E34" s="193"/>
      <c r="F34" s="193"/>
      <c r="G34" s="59" t="str">
        <f t="shared" si="6"/>
        <v>Aonia</v>
      </c>
      <c r="H34" s="60" t="str">
        <f t="shared" si="5"/>
        <v>AUDOIS2Y_Quote</v>
      </c>
      <c r="I34" s="192"/>
      <c r="J34" s="167" t="str">
        <f>IF(P32,_xll.qlOISRateHelper(,C34,B34,H34,$G34,,Permanent,Trigger,ObjectOverwrite),"--")</f>
        <v>obj_0032f#0004</v>
      </c>
      <c r="L34" s="173" t="str">
        <f t="shared" si="2"/>
        <v>OIS</v>
      </c>
      <c r="M34" s="182" t="str">
        <f t="shared" si="4"/>
        <v>AUDOIS30M_Quote</v>
      </c>
      <c r="N34" s="174" t="str">
        <f>IFERROR(_xll.qlQuoteValue(H36),"--")</f>
        <v>--</v>
      </c>
      <c r="O34" s="179"/>
      <c r="P34" s="91" t="b">
        <v>0</v>
      </c>
      <c r="Q34" s="88">
        <v>50</v>
      </c>
      <c r="R34" s="88">
        <v>1</v>
      </c>
      <c r="S34" s="88" t="str">
        <f t="shared" si="3"/>
        <v>--</v>
      </c>
      <c r="T34" s="92" t="str">
        <f>IFERROR(_xll.qlRateHelperEarliestDate(S34,Trigger),"--")</f>
        <v>--</v>
      </c>
      <c r="U34" s="92" t="str">
        <f>IFERROR(_xll.qlRateHelperPillarDate(S34,Trigger),"--")</f>
        <v>--</v>
      </c>
      <c r="W34" s="3" t="str">
        <f t="shared" si="0"/>
        <v/>
      </c>
      <c r="X34" s="3" t="e">
        <v>#N/A</v>
      </c>
      <c r="Y34" s="3" t="str">
        <f>IFERROR(_xll.qlRateHelperQuoteName(X34,Trigger),"")</f>
        <v/>
      </c>
      <c r="Z34" s="65" t="str">
        <f>IFERROR(_xll.qlRateHelperRate(X34,Trigger),"")</f>
        <v/>
      </c>
      <c r="AA34" s="9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1" t="e">
        <v>#N/A</v>
      </c>
      <c r="AE34" s="146"/>
    </row>
    <row r="35" spans="1:31" ht="11.25" customHeight="1" x14ac:dyDescent="0.2">
      <c r="A35" s="56" t="s">
        <v>70</v>
      </c>
      <c r="B35" s="57" t="s">
        <v>141</v>
      </c>
      <c r="C35" s="58">
        <v>1</v>
      </c>
      <c r="D35" s="193"/>
      <c r="E35" s="193"/>
      <c r="F35" s="193"/>
      <c r="G35" s="59" t="str">
        <f t="shared" si="6"/>
        <v>Aonia</v>
      </c>
      <c r="H35" s="60" t="str">
        <f t="shared" si="5"/>
        <v>AUDOIS27M_Quote</v>
      </c>
      <c r="I35" s="192"/>
      <c r="J35" s="167" t="str">
        <f>IF(P33,_xll.qlOISRateHelper(,C35,B35,H35,$G35,,Permanent,Trigger,ObjectOverwrite),"--")</f>
        <v>--</v>
      </c>
      <c r="L35" s="173" t="str">
        <f t="shared" si="2"/>
        <v>OIS</v>
      </c>
      <c r="M35" s="182" t="str">
        <f t="shared" si="4"/>
        <v>AUDOIS33M_Quote</v>
      </c>
      <c r="N35" s="174" t="str">
        <f>IFERROR(_xll.qlQuoteValue(H37),"--")</f>
        <v>--</v>
      </c>
      <c r="O35" s="179"/>
      <c r="P35" s="91" t="b">
        <v>0</v>
      </c>
      <c r="Q35" s="88">
        <v>50</v>
      </c>
      <c r="R35" s="88">
        <v>1</v>
      </c>
      <c r="S35" s="88" t="str">
        <f t="shared" si="3"/>
        <v>--</v>
      </c>
      <c r="T35" s="92" t="str">
        <f>IFERROR(_xll.qlRateHelperEarliestDate(S35,Trigger),"--")</f>
        <v>--</v>
      </c>
      <c r="U35" s="92" t="str">
        <f>IFERROR(_xll.qlRateHelperPillarDate(S35,Trigger),"--")</f>
        <v>--</v>
      </c>
      <c r="W35" s="3" t="str">
        <f t="shared" ref="W35:W66" si="10">IFERROR(INDEX($L$3:$L$113,MATCH(Y35,$M$3:$M$113,0),1),"")</f>
        <v/>
      </c>
      <c r="X35" s="3" t="e">
        <v>#N/A</v>
      </c>
      <c r="Y35" s="3" t="str">
        <f>IFERROR(_xll.qlRateHelperQuoteName(X35,Trigger),"")</f>
        <v/>
      </c>
      <c r="Z35" s="65" t="str">
        <f>IFERROR(_xll.qlRateHelperRate(X35,Trigger),"")</f>
        <v/>
      </c>
      <c r="AA35" s="9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1" t="e">
        <v>#N/A</v>
      </c>
      <c r="AE35" s="146"/>
    </row>
    <row r="36" spans="1:31" ht="11.25" customHeight="1" x14ac:dyDescent="0.2">
      <c r="A36" s="56" t="s">
        <v>70</v>
      </c>
      <c r="B36" s="57" t="s">
        <v>142</v>
      </c>
      <c r="C36" s="58">
        <v>1</v>
      </c>
      <c r="D36" s="193"/>
      <c r="E36" s="193"/>
      <c r="F36" s="193"/>
      <c r="G36" s="59" t="str">
        <f t="shared" si="6"/>
        <v>Aonia</v>
      </c>
      <c r="H36" s="60" t="str">
        <f t="shared" si="5"/>
        <v>AUDOIS30M_Quote</v>
      </c>
      <c r="I36" s="192"/>
      <c r="J36" s="167" t="str">
        <f>IF(P34,_xll.qlOISRateHelper(,C36,B36,H36,$G36,,Permanent,Trigger,ObjectOverwrite),"--")</f>
        <v>--</v>
      </c>
      <c r="L36" s="173" t="str">
        <f t="shared" si="2"/>
        <v>OIS</v>
      </c>
      <c r="M36" s="182" t="str">
        <f t="shared" si="4"/>
        <v>AUDOIS3Y_Quote</v>
      </c>
      <c r="N36" s="174">
        <f>IFERROR(_xll.qlQuoteValue(H38),"--")</f>
        <v>1.5600000000000001E-2</v>
      </c>
      <c r="O36" s="179"/>
      <c r="P36" s="91" t="b">
        <v>1</v>
      </c>
      <c r="Q36" s="88">
        <v>50</v>
      </c>
      <c r="R36" s="88">
        <v>1</v>
      </c>
      <c r="S36" s="88" t="str">
        <f t="shared" si="3"/>
        <v>obj_00330#0004</v>
      </c>
      <c r="T36" s="92">
        <f>IFERROR(_xll.qlRateHelperEarliestDate(S36,Trigger),"--")</f>
        <v>42682</v>
      </c>
      <c r="U36" s="92">
        <f>IFERROR(_xll.qlRateHelperPillarDate(S36,Trigger),"--")</f>
        <v>43777</v>
      </c>
      <c r="W36" s="3" t="str">
        <f t="shared" si="10"/>
        <v/>
      </c>
      <c r="X36" s="3" t="e">
        <v>#N/A</v>
      </c>
      <c r="Y36" s="3" t="str">
        <f>IFERROR(_xll.qlRateHelperQuoteName(X36,Trigger),"")</f>
        <v/>
      </c>
      <c r="Z36" s="65" t="str">
        <f>IFERROR(_xll.qlRateHelperRate(X36,Trigger),"")</f>
        <v/>
      </c>
      <c r="AA36" s="9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1" t="e">
        <v>#N/A</v>
      </c>
      <c r="AE36" s="146"/>
    </row>
    <row r="37" spans="1:31" ht="11.25" customHeight="1" x14ac:dyDescent="0.2">
      <c r="A37" s="56" t="s">
        <v>70</v>
      </c>
      <c r="B37" s="57" t="s">
        <v>143</v>
      </c>
      <c r="C37" s="58">
        <v>1</v>
      </c>
      <c r="D37" s="193"/>
      <c r="E37" s="193"/>
      <c r="F37" s="193"/>
      <c r="G37" s="59" t="str">
        <f t="shared" si="6"/>
        <v>Aonia</v>
      </c>
      <c r="H37" s="60" t="str">
        <f t="shared" si="5"/>
        <v>AUDOIS33M_Quote</v>
      </c>
      <c r="I37" s="192"/>
      <c r="J37" s="167" t="str">
        <f>IF(P35,_xll.qlOISRateHelper(,C37,B37,H37,$G37,,Permanent,Trigger,ObjectOverwrite),"--")</f>
        <v>--</v>
      </c>
      <c r="L37" s="173" t="str">
        <f t="shared" si="2"/>
        <v>OIS</v>
      </c>
      <c r="M37" s="182" t="str">
        <f t="shared" si="4"/>
        <v>AUDOIS39M_Quote</v>
      </c>
      <c r="N37" s="174" t="str">
        <f>IFERROR(_xll.qlQuoteValue(H39),"--")</f>
        <v>--</v>
      </c>
      <c r="O37" s="179"/>
      <c r="P37" s="91" t="b">
        <v>0</v>
      </c>
      <c r="Q37" s="88">
        <v>50</v>
      </c>
      <c r="R37" s="88">
        <v>1</v>
      </c>
      <c r="S37" s="88" t="str">
        <f t="shared" si="3"/>
        <v>--</v>
      </c>
      <c r="T37" s="92" t="str">
        <f>IFERROR(_xll.qlRateHelperEarliestDate(S37,Trigger),"--")</f>
        <v>--</v>
      </c>
      <c r="U37" s="92" t="str">
        <f>IFERROR(_xll.qlRateHelperPillarDate(S37,Trigger),"--")</f>
        <v>--</v>
      </c>
      <c r="W37" s="3" t="str">
        <f t="shared" si="10"/>
        <v/>
      </c>
      <c r="X37" s="3" t="e">
        <v>#N/A</v>
      </c>
      <c r="Y37" s="3" t="str">
        <f>IFERROR(_xll.qlRateHelperQuoteName(X37,Trigger),"")</f>
        <v/>
      </c>
      <c r="Z37" s="65" t="str">
        <f>IFERROR(_xll.qlRateHelperRate(X37,Trigger),"")</f>
        <v/>
      </c>
      <c r="AA37" s="9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1" t="e">
        <v>#N/A</v>
      </c>
      <c r="AE37" s="146"/>
    </row>
    <row r="38" spans="1:31" ht="11.25" customHeight="1" x14ac:dyDescent="0.2">
      <c r="A38" s="56" t="s">
        <v>70</v>
      </c>
      <c r="B38" s="57" t="s">
        <v>53</v>
      </c>
      <c r="C38" s="58">
        <v>1</v>
      </c>
      <c r="D38" s="193"/>
      <c r="E38" s="193"/>
      <c r="F38" s="193"/>
      <c r="G38" s="59" t="str">
        <f t="shared" si="6"/>
        <v>Aonia</v>
      </c>
      <c r="H38" s="60" t="str">
        <f t="shared" si="5"/>
        <v>AUDOIS3Y_Quote</v>
      </c>
      <c r="I38" s="192"/>
      <c r="J38" s="167" t="str">
        <f>IF(P36,_xll.qlOISRateHelper(,C38,B38,H38,$G38,,Permanent,Trigger,ObjectOverwrite),"--")</f>
        <v>obj_00330#0004</v>
      </c>
      <c r="L38" s="173" t="str">
        <f t="shared" ref="L38:L59" si="11">A40</f>
        <v>OIS</v>
      </c>
      <c r="M38" s="182" t="str">
        <f t="shared" si="4"/>
        <v>AUDOIS42M_Quote</v>
      </c>
      <c r="N38" s="174" t="str">
        <f>IFERROR(_xll.qlQuoteValue(H40),"--")</f>
        <v>--</v>
      </c>
      <c r="O38" s="179"/>
      <c r="P38" s="91" t="b">
        <v>0</v>
      </c>
      <c r="Q38" s="88">
        <v>50</v>
      </c>
      <c r="R38" s="88">
        <v>1</v>
      </c>
      <c r="S38" s="88" t="str">
        <f t="shared" ref="S38:S59" si="12">J40</f>
        <v>--</v>
      </c>
      <c r="T38" s="92" t="str">
        <f>IFERROR(_xll.qlRateHelperEarliestDate(S38,Trigger),"--")</f>
        <v>--</v>
      </c>
      <c r="U38" s="92" t="str">
        <f>IFERROR(_xll.qlRateHelperPillarDate(S38,Trigger),"--")</f>
        <v>--</v>
      </c>
      <c r="W38" s="3" t="str">
        <f t="shared" si="10"/>
        <v/>
      </c>
      <c r="X38" s="3" t="e">
        <v>#N/A</v>
      </c>
      <c r="Y38" s="3" t="str">
        <f>IFERROR(_xll.qlRateHelperQuoteName(X38,Trigger),"")</f>
        <v/>
      </c>
      <c r="Z38" s="65" t="str">
        <f>IFERROR(_xll.qlRateHelperRate(X38,Trigger),"")</f>
        <v/>
      </c>
      <c r="AA38" s="9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1" t="e">
        <v>#N/A</v>
      </c>
    </row>
    <row r="39" spans="1:31" ht="11.25" customHeight="1" x14ac:dyDescent="0.2">
      <c r="A39" s="56" t="s">
        <v>70</v>
      </c>
      <c r="B39" s="57" t="s">
        <v>144</v>
      </c>
      <c r="C39" s="58">
        <v>1</v>
      </c>
      <c r="D39" s="193"/>
      <c r="E39" s="193"/>
      <c r="F39" s="193"/>
      <c r="G39" s="59" t="str">
        <f t="shared" si="6"/>
        <v>Aonia</v>
      </c>
      <c r="H39" s="60" t="str">
        <f t="shared" si="5"/>
        <v>AUDOIS39M_Quote</v>
      </c>
      <c r="I39" s="192"/>
      <c r="J39" s="167" t="str">
        <f>IF(P37,_xll.qlOISRateHelper(,C39,B39,H39,$G39,,Permanent,Trigger,ObjectOverwrite),"--")</f>
        <v>--</v>
      </c>
      <c r="L39" s="173" t="str">
        <f t="shared" si="11"/>
        <v>OIS</v>
      </c>
      <c r="M39" s="182" t="str">
        <f t="shared" si="4"/>
        <v>AUDOIS45M_Quote</v>
      </c>
      <c r="N39" s="174" t="str">
        <f>IFERROR(_xll.qlQuoteValue(H41),"--")</f>
        <v>--</v>
      </c>
      <c r="O39" s="179"/>
      <c r="P39" s="91" t="b">
        <v>0</v>
      </c>
      <c r="Q39" s="88">
        <v>50</v>
      </c>
      <c r="R39" s="88">
        <v>1</v>
      </c>
      <c r="S39" s="88" t="str">
        <f t="shared" si="12"/>
        <v>--</v>
      </c>
      <c r="T39" s="92" t="str">
        <f>IFERROR(_xll.qlRateHelperEarliestDate(S39,Trigger),"--")</f>
        <v>--</v>
      </c>
      <c r="U39" s="92" t="str">
        <f>IFERROR(_xll.qlRateHelperPillarDate(S39,Trigger),"--")</f>
        <v>--</v>
      </c>
      <c r="W39" s="3" t="str">
        <f t="shared" si="10"/>
        <v/>
      </c>
      <c r="X39" s="3" t="e">
        <v>#N/A</v>
      </c>
      <c r="Y39" s="3" t="str">
        <f>IFERROR(_xll.qlRateHelperQuoteName(X39,Trigger),"")</f>
        <v/>
      </c>
      <c r="Z39" s="65" t="str">
        <f>IFERROR(_xll.qlRateHelperRate(X39,Trigger),"")</f>
        <v/>
      </c>
      <c r="AA39" s="9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1" t="e">
        <v>#N/A</v>
      </c>
    </row>
    <row r="40" spans="1:31" ht="11.25" customHeight="1" x14ac:dyDescent="0.2">
      <c r="A40" s="56" t="s">
        <v>70</v>
      </c>
      <c r="B40" s="57" t="s">
        <v>145</v>
      </c>
      <c r="C40" s="58">
        <v>1</v>
      </c>
      <c r="D40" s="193"/>
      <c r="E40" s="193"/>
      <c r="F40" s="193"/>
      <c r="G40" s="59" t="str">
        <f t="shared" si="6"/>
        <v>Aonia</v>
      </c>
      <c r="H40" s="60" t="str">
        <f t="shared" ref="H40:H61" si="13">Currency&amp;$G$6&amp;IF($B40="1W","SW",$B40)&amp;QuoteSuffix</f>
        <v>AUDOIS42M_Quote</v>
      </c>
      <c r="I40" s="192"/>
      <c r="J40" s="167" t="str">
        <f>IF(P38,_xll.qlOISRateHelper(,C40,B40,H40,$G40,,Permanent,Trigger,ObjectOverwrite),"--")</f>
        <v>--</v>
      </c>
      <c r="L40" s="173" t="str">
        <f t="shared" si="11"/>
        <v>OIS</v>
      </c>
      <c r="M40" s="182" t="str">
        <f t="shared" si="4"/>
        <v>AUDOIS4Y_Quote</v>
      </c>
      <c r="N40" s="174">
        <f>IFERROR(_xll.qlQuoteValue(H42),"--")</f>
        <v>1.6299999999999999E-2</v>
      </c>
      <c r="O40" s="179"/>
      <c r="P40" s="91" t="b">
        <v>1</v>
      </c>
      <c r="Q40" s="88">
        <v>50</v>
      </c>
      <c r="R40" s="88">
        <v>1</v>
      </c>
      <c r="S40" s="88" t="str">
        <f t="shared" si="12"/>
        <v>obj_0033e#0002</v>
      </c>
      <c r="T40" s="92">
        <f>IFERROR(_xll.qlRateHelperEarliestDate(S40,Trigger),"--")</f>
        <v>42682</v>
      </c>
      <c r="U40" s="92">
        <f>IFERROR(_xll.qlRateHelperPillarDate(S40,Trigger),"--")</f>
        <v>44144</v>
      </c>
      <c r="W40" s="3" t="str">
        <f t="shared" si="10"/>
        <v/>
      </c>
      <c r="X40" s="3" t="e">
        <v>#N/A</v>
      </c>
      <c r="Y40" s="3" t="str">
        <f>IFERROR(_xll.qlRateHelperQuoteName(X40,Trigger),"")</f>
        <v/>
      </c>
      <c r="Z40" s="65" t="str">
        <f>IFERROR(_xll.qlRateHelperRate(X40,Trigger),"")</f>
        <v/>
      </c>
      <c r="AA40" s="9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1" t="e">
        <v>#N/A</v>
      </c>
    </row>
    <row r="41" spans="1:31" ht="11.25" customHeight="1" x14ac:dyDescent="0.2">
      <c r="A41" s="56" t="s">
        <v>70</v>
      </c>
      <c r="B41" s="57" t="s">
        <v>146</v>
      </c>
      <c r="C41" s="58">
        <v>1</v>
      </c>
      <c r="D41" s="193"/>
      <c r="E41" s="193"/>
      <c r="F41" s="193"/>
      <c r="G41" s="59" t="str">
        <f t="shared" si="6"/>
        <v>Aonia</v>
      </c>
      <c r="H41" s="60" t="str">
        <f t="shared" si="13"/>
        <v>AUDOIS45M_Quote</v>
      </c>
      <c r="I41" s="192"/>
      <c r="J41" s="167" t="str">
        <f>IF(P39,_xll.qlOISRateHelper(,C41,B41,H41,$G41,,Permanent,Trigger,ObjectOverwrite),"--")</f>
        <v>--</v>
      </c>
      <c r="L41" s="173" t="str">
        <f t="shared" si="11"/>
        <v>OIS</v>
      </c>
      <c r="M41" s="182" t="str">
        <f t="shared" si="4"/>
        <v>AUDOIS51M_Quote</v>
      </c>
      <c r="N41" s="174" t="str">
        <f>IFERROR(_xll.qlQuoteValue(H43),"--")</f>
        <v>--</v>
      </c>
      <c r="O41" s="179"/>
      <c r="P41" s="91" t="b">
        <v>0</v>
      </c>
      <c r="Q41" s="88">
        <v>50</v>
      </c>
      <c r="R41" s="88">
        <v>1</v>
      </c>
      <c r="S41" s="88" t="str">
        <f t="shared" si="12"/>
        <v>--</v>
      </c>
      <c r="T41" s="92" t="str">
        <f>IFERROR(_xll.qlRateHelperEarliestDate(S41,Trigger),"--")</f>
        <v>--</v>
      </c>
      <c r="U41" s="92" t="str">
        <f>IFERROR(_xll.qlRateHelperPillarDate(S41,Trigger),"--")</f>
        <v>--</v>
      </c>
      <c r="W41" s="3" t="str">
        <f t="shared" si="10"/>
        <v/>
      </c>
      <c r="X41" s="3" t="e">
        <v>#N/A</v>
      </c>
      <c r="Y41" s="3" t="str">
        <f>IFERROR(_xll.qlRateHelperQuoteName(X41,Trigger),"")</f>
        <v/>
      </c>
      <c r="Z41" s="65" t="str">
        <f>IFERROR(_xll.qlRateHelperRate(X41,Trigger),"")</f>
        <v/>
      </c>
      <c r="AA41" s="9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1" t="e">
        <v>#N/A</v>
      </c>
    </row>
    <row r="42" spans="1:31" ht="11.25" customHeight="1" x14ac:dyDescent="0.2">
      <c r="A42" s="56" t="s">
        <v>70</v>
      </c>
      <c r="B42" s="57" t="s">
        <v>54</v>
      </c>
      <c r="C42" s="58">
        <v>1</v>
      </c>
      <c r="D42" s="193"/>
      <c r="E42" s="193"/>
      <c r="F42" s="193"/>
      <c r="G42" s="59" t="str">
        <f t="shared" si="6"/>
        <v>Aonia</v>
      </c>
      <c r="H42" s="60" t="str">
        <f t="shared" si="13"/>
        <v>AUDOIS4Y_Quote</v>
      </c>
      <c r="I42" s="192"/>
      <c r="J42" s="167" t="str">
        <f>IF(P40,_xll.qlOISRateHelper(,C42,B42,H42,$G42,,Permanent,Trigger,ObjectOverwrite),"--")</f>
        <v>obj_0033e#0002</v>
      </c>
      <c r="L42" s="173" t="str">
        <f t="shared" si="11"/>
        <v>OIS</v>
      </c>
      <c r="M42" s="182" t="str">
        <f t="shared" si="4"/>
        <v>AUDOIS54M_Quote</v>
      </c>
      <c r="N42" s="174" t="str">
        <f>IFERROR(_xll.qlQuoteValue(H44),"--")</f>
        <v>--</v>
      </c>
      <c r="O42" s="179"/>
      <c r="P42" s="91" t="b">
        <v>0</v>
      </c>
      <c r="Q42" s="88">
        <v>50</v>
      </c>
      <c r="R42" s="88">
        <v>1</v>
      </c>
      <c r="S42" s="88" t="str">
        <f t="shared" si="12"/>
        <v>--</v>
      </c>
      <c r="T42" s="92" t="str">
        <f>IFERROR(_xll.qlRateHelperEarliestDate(S42,Trigger),"--")</f>
        <v>--</v>
      </c>
      <c r="U42" s="92" t="str">
        <f>IFERROR(_xll.qlRateHelperPillarDate(S42,Trigger),"--")</f>
        <v>--</v>
      </c>
      <c r="W42" s="3" t="str">
        <f t="shared" si="10"/>
        <v/>
      </c>
      <c r="X42" s="3" t="e">
        <v>#N/A</v>
      </c>
      <c r="Y42" s="3" t="str">
        <f>IFERROR(_xll.qlRateHelperQuoteName(X42,Trigger),"")</f>
        <v/>
      </c>
      <c r="Z42" s="65" t="str">
        <f>IFERROR(_xll.qlRateHelperRate(X42,Trigger),"")</f>
        <v/>
      </c>
      <c r="AA42" s="9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1" t="e">
        <v>#N/A</v>
      </c>
    </row>
    <row r="43" spans="1:31" ht="11.25" customHeight="1" x14ac:dyDescent="0.2">
      <c r="A43" s="56" t="s">
        <v>70</v>
      </c>
      <c r="B43" s="57" t="s">
        <v>147</v>
      </c>
      <c r="C43" s="58">
        <v>1</v>
      </c>
      <c r="D43" s="193"/>
      <c r="E43" s="193"/>
      <c r="F43" s="193"/>
      <c r="G43" s="59" t="str">
        <f t="shared" si="6"/>
        <v>Aonia</v>
      </c>
      <c r="H43" s="60" t="str">
        <f t="shared" si="13"/>
        <v>AUDOIS51M_Quote</v>
      </c>
      <c r="I43" s="192"/>
      <c r="J43" s="167" t="str">
        <f>IF(P41,_xll.qlOISRateHelper(,C43,B43,H43,$G43,,Permanent,Trigger,ObjectOverwrite),"--")</f>
        <v>--</v>
      </c>
      <c r="L43" s="173" t="str">
        <f t="shared" si="11"/>
        <v>OIS</v>
      </c>
      <c r="M43" s="182" t="str">
        <f t="shared" si="4"/>
        <v>AUDOIS57M_Quote</v>
      </c>
      <c r="N43" s="174" t="str">
        <f>IFERROR(_xll.qlQuoteValue(H45),"--")</f>
        <v>--</v>
      </c>
      <c r="O43" s="179"/>
      <c r="P43" s="91" t="b">
        <v>0</v>
      </c>
      <c r="Q43" s="88">
        <v>50</v>
      </c>
      <c r="R43" s="88">
        <v>1</v>
      </c>
      <c r="S43" s="88" t="str">
        <f t="shared" si="12"/>
        <v>--</v>
      </c>
      <c r="T43" s="92" t="str">
        <f>IFERROR(_xll.qlRateHelperEarliestDate(S43,Trigger),"--")</f>
        <v>--</v>
      </c>
      <c r="U43" s="92" t="str">
        <f>IFERROR(_xll.qlRateHelperPillarDate(S43,Trigger),"--")</f>
        <v>--</v>
      </c>
      <c r="W43" s="3" t="str">
        <f t="shared" si="10"/>
        <v/>
      </c>
      <c r="X43" s="3" t="e">
        <v>#N/A</v>
      </c>
      <c r="Y43" s="3" t="str">
        <f>IFERROR(_xll.qlRateHelperQuoteName(X43,Trigger),"")</f>
        <v/>
      </c>
      <c r="Z43" s="65" t="str">
        <f>IFERROR(_xll.qlRateHelperRate(X43,Trigger),"")</f>
        <v/>
      </c>
      <c r="AA43" s="9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1" t="e">
        <v>#N/A</v>
      </c>
    </row>
    <row r="44" spans="1:31" ht="11.25" customHeight="1" x14ac:dyDescent="0.2">
      <c r="A44" s="56" t="s">
        <v>70</v>
      </c>
      <c r="B44" s="57" t="s">
        <v>148</v>
      </c>
      <c r="C44" s="58">
        <v>1</v>
      </c>
      <c r="D44" s="193"/>
      <c r="E44" s="193"/>
      <c r="F44" s="193"/>
      <c r="G44" s="59" t="str">
        <f t="shared" si="6"/>
        <v>Aonia</v>
      </c>
      <c r="H44" s="60" t="str">
        <f t="shared" si="13"/>
        <v>AUDOIS54M_Quote</v>
      </c>
      <c r="I44" s="192"/>
      <c r="J44" s="167" t="str">
        <f>IF(P42,_xll.qlOISRateHelper(,C44,B44,H44,$G44,,Permanent,Trigger,ObjectOverwrite),"--")</f>
        <v>--</v>
      </c>
      <c r="L44" s="173" t="str">
        <f t="shared" si="11"/>
        <v>OIS</v>
      </c>
      <c r="M44" s="182" t="str">
        <f t="shared" si="4"/>
        <v>AUDOIS5Y_Quote</v>
      </c>
      <c r="N44" s="174">
        <f>IFERROR(_xll.qlQuoteValue(H46),"--")</f>
        <v>1.7080000000000001E-2</v>
      </c>
      <c r="O44" s="179"/>
      <c r="P44" s="91" t="b">
        <v>1</v>
      </c>
      <c r="Q44" s="88">
        <v>50</v>
      </c>
      <c r="R44" s="88">
        <v>1</v>
      </c>
      <c r="S44" s="88" t="str">
        <f t="shared" si="12"/>
        <v>obj_00352#0002</v>
      </c>
      <c r="T44" s="92">
        <f>IFERROR(_xll.qlRateHelperEarliestDate(S44,Trigger),"--")</f>
        <v>42682</v>
      </c>
      <c r="U44" s="92">
        <f>IFERROR(_xll.qlRateHelperPillarDate(S44,Trigger),"--")</f>
        <v>44508</v>
      </c>
      <c r="W44" s="3" t="str">
        <f t="shared" si="10"/>
        <v/>
      </c>
      <c r="X44" s="3" t="e">
        <v>#N/A</v>
      </c>
      <c r="Y44" s="3" t="str">
        <f>IFERROR(_xll.qlRateHelperQuoteName(X44,Trigger),"")</f>
        <v/>
      </c>
      <c r="Z44" s="65" t="str">
        <f>IFERROR(_xll.qlRateHelperRate(X44,Trigger),"")</f>
        <v/>
      </c>
      <c r="AA44" s="9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1" t="e">
        <v>#N/A</v>
      </c>
    </row>
    <row r="45" spans="1:31" ht="11.25" customHeight="1" x14ac:dyDescent="0.2">
      <c r="A45" s="56" t="s">
        <v>70</v>
      </c>
      <c r="B45" s="57" t="s">
        <v>149</v>
      </c>
      <c r="C45" s="58">
        <v>1</v>
      </c>
      <c r="D45" s="193"/>
      <c r="E45" s="193"/>
      <c r="F45" s="193"/>
      <c r="G45" s="59" t="str">
        <f t="shared" si="6"/>
        <v>Aonia</v>
      </c>
      <c r="H45" s="60" t="str">
        <f t="shared" si="13"/>
        <v>AUDOIS57M_Quote</v>
      </c>
      <c r="I45" s="192"/>
      <c r="J45" s="167" t="str">
        <f>IF(P43,_xll.qlOISRateHelper(,C45,B45,H45,$G45,,Permanent,Trigger,ObjectOverwrite),"--")</f>
        <v>--</v>
      </c>
      <c r="L45" s="173" t="str">
        <f t="shared" si="11"/>
        <v>OIS</v>
      </c>
      <c r="M45" s="182" t="str">
        <f t="shared" si="4"/>
        <v>AUDOIS6Y_Quote</v>
      </c>
      <c r="N45" s="174">
        <f>IFERROR(_xll.qlQuoteValue(H47),"--")</f>
        <v>1.788E-2</v>
      </c>
      <c r="O45" s="179"/>
      <c r="P45" s="91" t="b">
        <v>1</v>
      </c>
      <c r="Q45" s="88">
        <v>50</v>
      </c>
      <c r="R45" s="88">
        <v>1</v>
      </c>
      <c r="S45" s="88" t="str">
        <f t="shared" si="12"/>
        <v>obj_0034f#0002</v>
      </c>
      <c r="T45" s="92">
        <f>IFERROR(_xll.qlRateHelperEarliestDate(S45,Trigger),"--")</f>
        <v>42682</v>
      </c>
      <c r="U45" s="92">
        <f>IFERROR(_xll.qlRateHelperPillarDate(S45,Trigger),"--")</f>
        <v>44873</v>
      </c>
      <c r="W45" s="3" t="str">
        <f t="shared" si="10"/>
        <v/>
      </c>
      <c r="X45" s="3" t="e">
        <v>#N/A</v>
      </c>
      <c r="Y45" s="3" t="str">
        <f>IFERROR(_xll.qlRateHelperQuoteName(X45,Trigger),"")</f>
        <v/>
      </c>
      <c r="Z45" s="65" t="str">
        <f>IFERROR(_xll.qlRateHelperRate(X45,Trigger),"")</f>
        <v/>
      </c>
      <c r="AA45" s="9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1" t="e">
        <v>#N/A</v>
      </c>
    </row>
    <row r="46" spans="1:31" ht="11.25" customHeight="1" x14ac:dyDescent="0.2">
      <c r="A46" s="56" t="s">
        <v>70</v>
      </c>
      <c r="B46" s="57" t="s">
        <v>55</v>
      </c>
      <c r="C46" s="58">
        <v>1</v>
      </c>
      <c r="D46" s="193"/>
      <c r="E46" s="193"/>
      <c r="F46" s="193"/>
      <c r="G46" s="59" t="str">
        <f t="shared" si="6"/>
        <v>Aonia</v>
      </c>
      <c r="H46" s="60" t="str">
        <f t="shared" si="13"/>
        <v>AUDOIS5Y_Quote</v>
      </c>
      <c r="I46" s="192"/>
      <c r="J46" s="167" t="str">
        <f>IF(P44,_xll.qlOISRateHelper(,C46,B46,H46,$G46,,Permanent,Trigger,ObjectOverwrite),"--")</f>
        <v>obj_00352#0002</v>
      </c>
      <c r="L46" s="173" t="str">
        <f t="shared" si="11"/>
        <v>OIS</v>
      </c>
      <c r="M46" s="182" t="str">
        <f t="shared" si="4"/>
        <v>AUDOIS7Y_Quote</v>
      </c>
      <c r="N46" s="174">
        <f>IFERROR(_xll.qlQuoteValue(H48),"--")</f>
        <v>1.8650000000000003E-2</v>
      </c>
      <c r="O46" s="179"/>
      <c r="P46" s="91" t="b">
        <v>1</v>
      </c>
      <c r="Q46" s="88">
        <v>50</v>
      </c>
      <c r="R46" s="88">
        <v>1</v>
      </c>
      <c r="S46" s="88" t="str">
        <f t="shared" si="12"/>
        <v>obj_00334#0002</v>
      </c>
      <c r="T46" s="92">
        <f>IFERROR(_xll.qlRateHelperEarliestDate(S46,Trigger),"--")</f>
        <v>42682</v>
      </c>
      <c r="U46" s="92">
        <f>IFERROR(_xll.qlRateHelperPillarDate(S46,Trigger),"--")</f>
        <v>45238</v>
      </c>
      <c r="W46" s="3" t="str">
        <f t="shared" si="10"/>
        <v/>
      </c>
      <c r="X46" s="3" t="e">
        <v>#N/A</v>
      </c>
      <c r="Y46" s="3" t="str">
        <f>IFERROR(_xll.qlRateHelperQuoteName(X46,Trigger),"")</f>
        <v/>
      </c>
      <c r="Z46" s="65" t="str">
        <f>IFERROR(_xll.qlRateHelperRate(X46,Trigger),"")</f>
        <v/>
      </c>
      <c r="AA46" s="9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1" t="e">
        <v>#N/A</v>
      </c>
    </row>
    <row r="47" spans="1:31" ht="11.25" customHeight="1" x14ac:dyDescent="0.2">
      <c r="A47" s="56" t="s">
        <v>70</v>
      </c>
      <c r="B47" s="57" t="s">
        <v>56</v>
      </c>
      <c r="C47" s="58">
        <v>1</v>
      </c>
      <c r="D47" s="193"/>
      <c r="E47" s="193"/>
      <c r="F47" s="193"/>
      <c r="G47" s="59" t="str">
        <f t="shared" si="6"/>
        <v>Aonia</v>
      </c>
      <c r="H47" s="60" t="str">
        <f t="shared" si="13"/>
        <v>AUDOIS6Y_Quote</v>
      </c>
      <c r="I47" s="192"/>
      <c r="J47" s="167" t="str">
        <f>IF(P45,_xll.qlOISRateHelper(,C47,B47,H47,$G47,,Permanent,Trigger,ObjectOverwrite),"--")</f>
        <v>obj_0034f#0002</v>
      </c>
      <c r="L47" s="173" t="str">
        <f t="shared" si="11"/>
        <v>OIS</v>
      </c>
      <c r="M47" s="182" t="str">
        <f t="shared" si="4"/>
        <v>AUDOIS8Y_Quote</v>
      </c>
      <c r="N47" s="174">
        <f>IFERROR(_xll.qlQuoteValue(H49),"--")</f>
        <v>1.9279999999999999E-2</v>
      </c>
      <c r="O47" s="179"/>
      <c r="P47" s="91" t="b">
        <v>1</v>
      </c>
      <c r="Q47" s="88">
        <v>50</v>
      </c>
      <c r="R47" s="88">
        <v>1</v>
      </c>
      <c r="S47" s="88" t="str">
        <f t="shared" si="12"/>
        <v>obj_0033a#0002</v>
      </c>
      <c r="T47" s="92">
        <f>IFERROR(_xll.qlRateHelperEarliestDate(S47,Trigger),"--")</f>
        <v>42682</v>
      </c>
      <c r="U47" s="92">
        <f>IFERROR(_xll.qlRateHelperPillarDate(S47,Trigger),"--")</f>
        <v>45604</v>
      </c>
      <c r="W47" s="3" t="str">
        <f t="shared" si="10"/>
        <v/>
      </c>
      <c r="X47" s="3" t="e">
        <v>#N/A</v>
      </c>
      <c r="Y47" s="3" t="str">
        <f>IFERROR(_xll.qlRateHelperQuoteName(X47,Trigger),"")</f>
        <v/>
      </c>
      <c r="Z47" s="65" t="str">
        <f>IFERROR(_xll.qlRateHelperRate(X47,Trigger),"")</f>
        <v/>
      </c>
      <c r="AA47" s="9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1" t="e">
        <v>#N/A</v>
      </c>
    </row>
    <row r="48" spans="1:31" ht="11.25" customHeight="1" x14ac:dyDescent="0.2">
      <c r="A48" s="56" t="s">
        <v>70</v>
      </c>
      <c r="B48" s="57" t="s">
        <v>57</v>
      </c>
      <c r="C48" s="58">
        <v>1</v>
      </c>
      <c r="D48" s="193"/>
      <c r="E48" s="193"/>
      <c r="F48" s="193"/>
      <c r="G48" s="59" t="str">
        <f t="shared" si="6"/>
        <v>Aonia</v>
      </c>
      <c r="H48" s="60" t="str">
        <f t="shared" si="13"/>
        <v>AUDOIS7Y_Quote</v>
      </c>
      <c r="I48" s="192"/>
      <c r="J48" s="167" t="str">
        <f>IF(P46,_xll.qlOISRateHelper(,C48,B48,H48,$G48,,Permanent,Trigger,ObjectOverwrite),"--")</f>
        <v>obj_00334#0002</v>
      </c>
      <c r="L48" s="173" t="str">
        <f t="shared" si="11"/>
        <v>OIS</v>
      </c>
      <c r="M48" s="182" t="str">
        <f t="shared" si="4"/>
        <v>AUDOIS9Y_Quote</v>
      </c>
      <c r="N48" s="174">
        <f>IFERROR(_xll.qlQuoteValue(H50),"--")</f>
        <v>1.993E-2</v>
      </c>
      <c r="O48" s="179"/>
      <c r="P48" s="91" t="b">
        <v>1</v>
      </c>
      <c r="Q48" s="88">
        <v>50</v>
      </c>
      <c r="R48" s="88">
        <v>1</v>
      </c>
      <c r="S48" s="88" t="str">
        <f t="shared" si="12"/>
        <v>obj_0033f#0002</v>
      </c>
      <c r="T48" s="92">
        <f>IFERROR(_xll.qlRateHelperEarliestDate(S48,Trigger),"--")</f>
        <v>42682</v>
      </c>
      <c r="U48" s="92">
        <f>IFERROR(_xll.qlRateHelperPillarDate(S48,Trigger),"--")</f>
        <v>45971</v>
      </c>
      <c r="W48" s="3" t="str">
        <f t="shared" si="10"/>
        <v/>
      </c>
      <c r="X48" s="3" t="e">
        <v>#N/A</v>
      </c>
      <c r="Y48" s="3" t="str">
        <f>IFERROR(_xll.qlRateHelperQuoteName(X48,Trigger),"")</f>
        <v/>
      </c>
      <c r="Z48" s="65" t="str">
        <f>IFERROR(_xll.qlRateHelperRate(X48,Trigger),"")</f>
        <v/>
      </c>
      <c r="AA48" s="9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1" t="e">
        <v>#N/A</v>
      </c>
    </row>
    <row r="49" spans="1:30" ht="11.25" customHeight="1" x14ac:dyDescent="0.2">
      <c r="A49" s="56" t="s">
        <v>70</v>
      </c>
      <c r="B49" s="57" t="s">
        <v>58</v>
      </c>
      <c r="C49" s="58">
        <v>1</v>
      </c>
      <c r="D49" s="193"/>
      <c r="E49" s="193"/>
      <c r="F49" s="193"/>
      <c r="G49" s="59" t="str">
        <f t="shared" si="6"/>
        <v>Aonia</v>
      </c>
      <c r="H49" s="60" t="str">
        <f t="shared" si="13"/>
        <v>AUDOIS8Y_Quote</v>
      </c>
      <c r="I49" s="192"/>
      <c r="J49" s="167" t="str">
        <f>IF(P47,_xll.qlOISRateHelper(,C49,B49,H49,$G49,,Permanent,Trigger,ObjectOverwrite),"--")</f>
        <v>obj_0033a#0002</v>
      </c>
      <c r="L49" s="173" t="str">
        <f t="shared" si="11"/>
        <v>OIS</v>
      </c>
      <c r="M49" s="182" t="str">
        <f t="shared" si="4"/>
        <v>AUDOIS10Y_Quote</v>
      </c>
      <c r="N49" s="174">
        <f>IFERROR(_xll.qlQuoteValue(H51),"--")</f>
        <v>2.0550000000000002E-2</v>
      </c>
      <c r="O49" s="179"/>
      <c r="P49" s="91" t="b">
        <v>1</v>
      </c>
      <c r="Q49" s="88">
        <v>50</v>
      </c>
      <c r="R49" s="88">
        <v>1</v>
      </c>
      <c r="S49" s="88" t="str">
        <f t="shared" si="12"/>
        <v>obj_00345#0002</v>
      </c>
      <c r="T49" s="92">
        <f>IFERROR(_xll.qlRateHelperEarliestDate(S49,Trigger),"--")</f>
        <v>42682</v>
      </c>
      <c r="U49" s="92">
        <f>IFERROR(_xll.qlRateHelperPillarDate(S49,Trigger),"--")</f>
        <v>46335</v>
      </c>
      <c r="W49" s="3" t="str">
        <f t="shared" si="10"/>
        <v/>
      </c>
      <c r="X49" s="3" t="e">
        <v>#N/A</v>
      </c>
      <c r="Y49" s="3" t="str">
        <f>IFERROR(_xll.qlRateHelperQuoteName(X49,Trigger),"")</f>
        <v/>
      </c>
      <c r="Z49" s="65" t="str">
        <f>IFERROR(_xll.qlRateHelperRate(X49,Trigger),"")</f>
        <v/>
      </c>
      <c r="AA49" s="9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1" t="e">
        <v>#N/A</v>
      </c>
    </row>
    <row r="50" spans="1:30" ht="11.25" customHeight="1" x14ac:dyDescent="0.2">
      <c r="A50" s="56" t="s">
        <v>70</v>
      </c>
      <c r="B50" s="57" t="s">
        <v>59</v>
      </c>
      <c r="C50" s="58">
        <v>1</v>
      </c>
      <c r="D50" s="193"/>
      <c r="E50" s="193"/>
      <c r="F50" s="193"/>
      <c r="G50" s="59" t="str">
        <f t="shared" si="6"/>
        <v>Aonia</v>
      </c>
      <c r="H50" s="60" t="str">
        <f t="shared" si="13"/>
        <v>AUDOIS9Y_Quote</v>
      </c>
      <c r="I50" s="192"/>
      <c r="J50" s="167" t="str">
        <f>IF(P48,_xll.qlOISRateHelper(,C50,B50,H50,$G50,,Permanent,Trigger,ObjectOverwrite),"--")</f>
        <v>obj_0033f#0002</v>
      </c>
      <c r="L50" s="173" t="str">
        <f t="shared" si="11"/>
        <v>OIS</v>
      </c>
      <c r="M50" s="182" t="str">
        <f t="shared" si="4"/>
        <v>AUDOIS12Y_Quote</v>
      </c>
      <c r="N50" s="174">
        <f>IFERROR(_xll.qlQuoteValue(H52),"--")</f>
        <v>2.1550000000000003E-2</v>
      </c>
      <c r="O50" s="179"/>
      <c r="P50" s="91" t="b">
        <v>1</v>
      </c>
      <c r="Q50" s="88">
        <v>50</v>
      </c>
      <c r="R50" s="88">
        <v>1</v>
      </c>
      <c r="S50" s="88" t="str">
        <f t="shared" si="12"/>
        <v>obj_0034a#0002</v>
      </c>
      <c r="T50" s="92">
        <f>IFERROR(_xll.qlRateHelperEarliestDate(S50,Trigger),"--")</f>
        <v>42682</v>
      </c>
      <c r="U50" s="92">
        <f>IFERROR(_xll.qlRateHelperPillarDate(S50,Trigger),"--")</f>
        <v>47065</v>
      </c>
      <c r="W50" s="3" t="str">
        <f t="shared" si="10"/>
        <v/>
      </c>
      <c r="X50" s="3" t="e">
        <v>#N/A</v>
      </c>
      <c r="Y50" s="3" t="str">
        <f>IFERROR(_xll.qlRateHelperQuoteName(X50,Trigger),"")</f>
        <v/>
      </c>
      <c r="Z50" s="65" t="str">
        <f>IFERROR(_xll.qlRateHelperRate(X50,Trigger),"")</f>
        <v/>
      </c>
      <c r="AA50" s="9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1" t="e">
        <v>#N/A</v>
      </c>
    </row>
    <row r="51" spans="1:30" ht="11.25" customHeight="1" x14ac:dyDescent="0.2">
      <c r="A51" s="56" t="s">
        <v>70</v>
      </c>
      <c r="B51" s="57" t="s">
        <v>60</v>
      </c>
      <c r="C51" s="58">
        <v>1</v>
      </c>
      <c r="D51" s="193"/>
      <c r="E51" s="193"/>
      <c r="F51" s="193"/>
      <c r="G51" s="59" t="str">
        <f t="shared" si="6"/>
        <v>Aonia</v>
      </c>
      <c r="H51" s="60" t="str">
        <f t="shared" si="13"/>
        <v>AUDOIS10Y_Quote</v>
      </c>
      <c r="I51" s="192"/>
      <c r="J51" s="167" t="str">
        <f>IF(P49,_xll.qlOISRateHelper(,C51,B51,H51,$G51,,Permanent,Trigger,ObjectOverwrite),"--")</f>
        <v>obj_00345#0002</v>
      </c>
      <c r="L51" s="173" t="str">
        <f t="shared" si="11"/>
        <v>OIS</v>
      </c>
      <c r="M51" s="182" t="str">
        <f t="shared" si="4"/>
        <v>AUDOIS15Y_Quote</v>
      </c>
      <c r="N51" s="174">
        <f>IFERROR(_xll.qlQuoteValue(H53),"--")</f>
        <v>2.2700000000000001E-2</v>
      </c>
      <c r="O51" s="179"/>
      <c r="P51" s="91" t="b">
        <v>1</v>
      </c>
      <c r="Q51" s="88">
        <v>50</v>
      </c>
      <c r="R51" s="88">
        <v>1</v>
      </c>
      <c r="S51" s="88" t="str">
        <f t="shared" si="12"/>
        <v>obj_0034e#0002</v>
      </c>
      <c r="T51" s="92">
        <f>IFERROR(_xll.qlRateHelperEarliestDate(S51,Trigger),"--")</f>
        <v>42682</v>
      </c>
      <c r="U51" s="92">
        <f>IFERROR(_xll.qlRateHelperPillarDate(S51,Trigger),"--")</f>
        <v>48162</v>
      </c>
      <c r="W51" s="3" t="str">
        <f t="shared" si="10"/>
        <v/>
      </c>
      <c r="X51" s="3" t="e">
        <v>#N/A</v>
      </c>
      <c r="Y51" s="3" t="str">
        <f>IFERROR(_xll.qlRateHelperQuoteName(X51,Trigger),"")</f>
        <v/>
      </c>
      <c r="Z51" s="65" t="str">
        <f>IFERROR(_xll.qlRateHelperRate(X51,Trigger),"")</f>
        <v/>
      </c>
      <c r="AA51" s="9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1" t="e">
        <v>#N/A</v>
      </c>
    </row>
    <row r="52" spans="1:30" ht="11.25" customHeight="1" x14ac:dyDescent="0.2">
      <c r="A52" s="56" t="s">
        <v>70</v>
      </c>
      <c r="B52" s="57" t="s">
        <v>61</v>
      </c>
      <c r="C52" s="58">
        <v>1</v>
      </c>
      <c r="D52" s="193"/>
      <c r="E52" s="193"/>
      <c r="F52" s="193"/>
      <c r="G52" s="59" t="str">
        <f t="shared" si="6"/>
        <v>Aonia</v>
      </c>
      <c r="H52" s="60" t="str">
        <f t="shared" si="13"/>
        <v>AUDOIS12Y_Quote</v>
      </c>
      <c r="I52" s="192"/>
      <c r="J52" s="167" t="str">
        <f>IF(P50,_xll.qlOISRateHelper(,C52,B52,H52,$G52,,Permanent,Trigger,ObjectOverwrite),"--")</f>
        <v>obj_0034a#0002</v>
      </c>
      <c r="L52" s="173" t="str">
        <f t="shared" si="11"/>
        <v>OIS</v>
      </c>
      <c r="M52" s="182" t="str">
        <f t="shared" si="4"/>
        <v>AUDOIS20Y_Quote</v>
      </c>
      <c r="N52" s="174">
        <f>IFERROR(_xll.qlQuoteValue(H54),"--")</f>
        <v>2.3849999999999996E-2</v>
      </c>
      <c r="O52" s="179"/>
      <c r="P52" s="91" t="b">
        <v>1</v>
      </c>
      <c r="Q52" s="88">
        <v>50</v>
      </c>
      <c r="R52" s="88">
        <v>1</v>
      </c>
      <c r="S52" s="88" t="str">
        <f t="shared" si="12"/>
        <v>obj_00353#0002</v>
      </c>
      <c r="T52" s="92">
        <f>IFERROR(_xll.qlRateHelperEarliestDate(S52,Trigger),"--")</f>
        <v>42682</v>
      </c>
      <c r="U52" s="92">
        <f>IFERROR(_xll.qlRateHelperPillarDate(S52,Trigger),"--")</f>
        <v>49989</v>
      </c>
      <c r="W52" s="3" t="str">
        <f t="shared" si="10"/>
        <v/>
      </c>
      <c r="X52" s="3" t="e">
        <v>#N/A</v>
      </c>
      <c r="Y52" s="3" t="str">
        <f>IFERROR(_xll.qlRateHelperQuoteName(X52,Trigger),"")</f>
        <v/>
      </c>
      <c r="Z52" s="65" t="str">
        <f>IFERROR(_xll.qlRateHelperRate(X52,Trigger),"")</f>
        <v/>
      </c>
      <c r="AA52" s="9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1" t="e">
        <v>#N/A</v>
      </c>
    </row>
    <row r="53" spans="1:30" ht="11.25" customHeight="1" x14ac:dyDescent="0.2">
      <c r="A53" s="56" t="s">
        <v>70</v>
      </c>
      <c r="B53" s="57" t="s">
        <v>62</v>
      </c>
      <c r="C53" s="58">
        <v>1</v>
      </c>
      <c r="D53" s="193"/>
      <c r="E53" s="193"/>
      <c r="F53" s="193"/>
      <c r="G53" s="59" t="str">
        <f t="shared" si="6"/>
        <v>Aonia</v>
      </c>
      <c r="H53" s="60" t="str">
        <f t="shared" si="13"/>
        <v>AUDOIS15Y_Quote</v>
      </c>
      <c r="I53" s="192"/>
      <c r="J53" s="167" t="str">
        <f>IF(P51,_xll.qlOISRateHelper(,C53,B53,H53,$G53,,Permanent,Trigger,ObjectOverwrite),"--")</f>
        <v>obj_0034e#0002</v>
      </c>
      <c r="L53" s="173" t="str">
        <f t="shared" si="11"/>
        <v>OIS</v>
      </c>
      <c r="M53" s="182" t="str">
        <f t="shared" si="4"/>
        <v>AUDOIS25Y_Quote</v>
      </c>
      <c r="N53" s="174">
        <f>IFERROR(_xll.qlQuoteValue(H55),"--")</f>
        <v>2.4479999999999998E-2</v>
      </c>
      <c r="O53" s="179"/>
      <c r="P53" s="91" t="b">
        <v>1</v>
      </c>
      <c r="Q53" s="88">
        <v>50</v>
      </c>
      <c r="R53" s="88">
        <v>1</v>
      </c>
      <c r="S53" s="88" t="str">
        <f t="shared" si="12"/>
        <v>obj_00336#0002</v>
      </c>
      <c r="T53" s="92">
        <f>IFERROR(_xll.qlRateHelperEarliestDate(S53,Trigger),"--")</f>
        <v>42682</v>
      </c>
      <c r="U53" s="92">
        <f>IFERROR(_xll.qlRateHelperPillarDate(S53,Trigger),"--")</f>
        <v>51813</v>
      </c>
      <c r="W53" s="3" t="str">
        <f t="shared" si="10"/>
        <v/>
      </c>
      <c r="X53" s="3" t="e">
        <v>#N/A</v>
      </c>
      <c r="Y53" s="3" t="str">
        <f>IFERROR(_xll.qlRateHelperQuoteName(X53,Trigger),"")</f>
        <v/>
      </c>
      <c r="Z53" s="65" t="str">
        <f>IFERROR(_xll.qlRateHelperRate(X53,Trigger),"")</f>
        <v/>
      </c>
      <c r="AA53" s="9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1" t="e">
        <v>#N/A</v>
      </c>
    </row>
    <row r="54" spans="1:30" ht="11.25" customHeight="1" x14ac:dyDescent="0.2">
      <c r="A54" s="56" t="s">
        <v>70</v>
      </c>
      <c r="B54" s="57" t="s">
        <v>63</v>
      </c>
      <c r="C54" s="58">
        <v>1</v>
      </c>
      <c r="D54" s="193"/>
      <c r="E54" s="193"/>
      <c r="F54" s="193"/>
      <c r="G54" s="59" t="str">
        <f t="shared" si="6"/>
        <v>Aonia</v>
      </c>
      <c r="H54" s="60" t="str">
        <f t="shared" si="13"/>
        <v>AUDOIS20Y_Quote</v>
      </c>
      <c r="I54" s="192"/>
      <c r="J54" s="167" t="str">
        <f>IF(P52,_xll.qlOISRateHelper(,C54,B54,H54,$G54,,Permanent,Trigger,ObjectOverwrite),"--")</f>
        <v>obj_00353#0002</v>
      </c>
      <c r="L54" s="173" t="str">
        <f t="shared" si="11"/>
        <v>OIS</v>
      </c>
      <c r="M54" s="182" t="str">
        <f t="shared" si="4"/>
        <v>AUDOIS27Y_Quote</v>
      </c>
      <c r="N54" s="174" t="str">
        <f>IFERROR(_xll.qlQuoteValue(H56),"--")</f>
        <v>--</v>
      </c>
      <c r="O54" s="179"/>
      <c r="P54" s="91" t="b">
        <v>0</v>
      </c>
      <c r="Q54" s="88">
        <v>50</v>
      </c>
      <c r="R54" s="88">
        <v>1</v>
      </c>
      <c r="S54" s="88" t="str">
        <f t="shared" si="12"/>
        <v>--</v>
      </c>
      <c r="T54" s="92" t="str">
        <f>IFERROR(_xll.qlRateHelperEarliestDate(S54,Trigger),"--")</f>
        <v>--</v>
      </c>
      <c r="U54" s="92" t="str">
        <f>IFERROR(_xll.qlRateHelperPillarDate(S54,Trigger),"--")</f>
        <v>--</v>
      </c>
      <c r="W54" s="3" t="str">
        <f t="shared" si="10"/>
        <v/>
      </c>
      <c r="X54" s="3" t="e">
        <v>#N/A</v>
      </c>
      <c r="Y54" s="3" t="str">
        <f>IFERROR(_xll.qlRateHelperQuoteName(X54,Trigger),"")</f>
        <v/>
      </c>
      <c r="Z54" s="65" t="str">
        <f>IFERROR(_xll.qlRateHelperRate(X54,Trigger),"")</f>
        <v/>
      </c>
      <c r="AA54" s="9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1" t="e">
        <v>#N/A</v>
      </c>
    </row>
    <row r="55" spans="1:30" ht="11.25" customHeight="1" x14ac:dyDescent="0.2">
      <c r="A55" s="56" t="s">
        <v>70</v>
      </c>
      <c r="B55" s="57" t="s">
        <v>64</v>
      </c>
      <c r="C55" s="58">
        <v>1</v>
      </c>
      <c r="D55" s="193"/>
      <c r="E55" s="193"/>
      <c r="F55" s="193"/>
      <c r="G55" s="59" t="str">
        <f t="shared" si="6"/>
        <v>Aonia</v>
      </c>
      <c r="H55" s="60" t="str">
        <f t="shared" si="13"/>
        <v>AUDOIS25Y_Quote</v>
      </c>
      <c r="I55" s="192"/>
      <c r="J55" s="167" t="str">
        <f>IF(P53,_xll.qlOISRateHelper(,C55,B55,H55,$G55,,Permanent,Trigger,ObjectOverwrite),"--")</f>
        <v>obj_00336#0002</v>
      </c>
      <c r="L55" s="173" t="str">
        <f t="shared" si="11"/>
        <v>OIS</v>
      </c>
      <c r="M55" s="182" t="str">
        <f t="shared" si="4"/>
        <v>AUDOIS30Y_Quote</v>
      </c>
      <c r="N55" s="174">
        <f>IFERROR(_xll.qlQuoteValue(H57),"--")</f>
        <v>2.46E-2</v>
      </c>
      <c r="O55" s="179"/>
      <c r="P55" s="91" t="b">
        <v>1</v>
      </c>
      <c r="Q55" s="88">
        <v>50</v>
      </c>
      <c r="R55" s="88">
        <v>1</v>
      </c>
      <c r="S55" s="88" t="str">
        <f t="shared" si="12"/>
        <v>obj_0033b#0002</v>
      </c>
      <c r="T55" s="92">
        <f>IFERROR(_xll.qlRateHelperEarliestDate(S55,Trigger),"--")</f>
        <v>42682</v>
      </c>
      <c r="U55" s="92">
        <f>IFERROR(_xll.qlRateHelperPillarDate(S55,Trigger),"--")</f>
        <v>53639</v>
      </c>
      <c r="W55" s="3" t="str">
        <f t="shared" si="10"/>
        <v/>
      </c>
      <c r="X55" s="3" t="e">
        <v>#N/A</v>
      </c>
      <c r="Y55" s="3" t="str">
        <f>IFERROR(_xll.qlRateHelperQuoteName(X55,Trigger),"")</f>
        <v/>
      </c>
      <c r="Z55" s="65" t="str">
        <f>IFERROR(_xll.qlRateHelperRate(X55,Trigger),"")</f>
        <v/>
      </c>
      <c r="AA55" s="9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1" t="e">
        <v>#N/A</v>
      </c>
    </row>
    <row r="56" spans="1:30" ht="11.25" customHeight="1" x14ac:dyDescent="0.2">
      <c r="A56" s="56" t="s">
        <v>70</v>
      </c>
      <c r="B56" s="57" t="s">
        <v>65</v>
      </c>
      <c r="C56" s="58">
        <v>1</v>
      </c>
      <c r="D56" s="193"/>
      <c r="E56" s="193"/>
      <c r="F56" s="193"/>
      <c r="G56" s="59" t="str">
        <f t="shared" si="6"/>
        <v>Aonia</v>
      </c>
      <c r="H56" s="60" t="str">
        <f t="shared" si="13"/>
        <v>AUDOIS27Y_Quote</v>
      </c>
      <c r="I56" s="192"/>
      <c r="J56" s="167" t="str">
        <f>IF(P54,_xll.qlOISRateHelper(,C56,B56,H56,$G56,,Permanent,Trigger,ObjectOverwrite),"--")</f>
        <v>--</v>
      </c>
      <c r="L56" s="173" t="str">
        <f t="shared" si="11"/>
        <v>OIS</v>
      </c>
      <c r="M56" s="182" t="str">
        <f t="shared" si="4"/>
        <v>AUDOIS35Y_Quote</v>
      </c>
      <c r="N56" s="174" t="str">
        <f>IFERROR(_xll.qlQuoteValue(H58),"--")</f>
        <v>--</v>
      </c>
      <c r="O56" s="179"/>
      <c r="P56" s="91" t="b">
        <v>0</v>
      </c>
      <c r="Q56" s="88">
        <v>50</v>
      </c>
      <c r="R56" s="88">
        <v>1</v>
      </c>
      <c r="S56" s="88" t="str">
        <f t="shared" si="12"/>
        <v>--</v>
      </c>
      <c r="T56" s="92" t="str">
        <f>IFERROR(_xll.qlRateHelperEarliestDate(S56,Trigger),"--")</f>
        <v>--</v>
      </c>
      <c r="U56" s="92" t="str">
        <f>IFERROR(_xll.qlRateHelperPillarDate(S56,Trigger),"--")</f>
        <v>--</v>
      </c>
      <c r="W56" s="3" t="str">
        <f t="shared" si="10"/>
        <v/>
      </c>
      <c r="X56" s="3" t="e">
        <v>#N/A</v>
      </c>
      <c r="Y56" s="3" t="str">
        <f>IFERROR(_xll.qlRateHelperQuoteName(X56,Trigger),"")</f>
        <v/>
      </c>
      <c r="Z56" s="65" t="str">
        <f>IFERROR(_xll.qlRateHelperRate(X56,Trigger),"")</f>
        <v/>
      </c>
      <c r="AA56" s="9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1" t="e">
        <v>#N/A</v>
      </c>
    </row>
    <row r="57" spans="1:30" ht="11.25" customHeight="1" x14ac:dyDescent="0.2">
      <c r="A57" s="56" t="s">
        <v>70</v>
      </c>
      <c r="B57" s="57" t="s">
        <v>66</v>
      </c>
      <c r="C57" s="58">
        <v>1</v>
      </c>
      <c r="D57" s="193"/>
      <c r="E57" s="193"/>
      <c r="F57" s="193"/>
      <c r="G57" s="59" t="str">
        <f t="shared" si="6"/>
        <v>Aonia</v>
      </c>
      <c r="H57" s="60" t="str">
        <f t="shared" si="13"/>
        <v>AUDOIS30Y_Quote</v>
      </c>
      <c r="I57" s="192"/>
      <c r="J57" s="167" t="str">
        <f>IF(P55,_xll.qlOISRateHelper(,C57,B57,H57,$G57,,Permanent,Trigger,ObjectOverwrite),"--")</f>
        <v>obj_0033b#0002</v>
      </c>
      <c r="L57" s="173" t="str">
        <f t="shared" si="11"/>
        <v>OIS</v>
      </c>
      <c r="M57" s="182" t="str">
        <f t="shared" si="4"/>
        <v>AUDOIS40Y_Quote</v>
      </c>
      <c r="N57" s="174" t="str">
        <f>IFERROR(_xll.qlQuoteValue(H59),"--")</f>
        <v>--</v>
      </c>
      <c r="O57" s="179"/>
      <c r="P57" s="91" t="b">
        <v>0</v>
      </c>
      <c r="Q57" s="88">
        <v>50</v>
      </c>
      <c r="R57" s="88">
        <v>1</v>
      </c>
      <c r="S57" s="88" t="str">
        <f t="shared" si="12"/>
        <v>--</v>
      </c>
      <c r="T57" s="92" t="str">
        <f>IFERROR(_xll.qlRateHelperEarliestDate(S57,Trigger),"--")</f>
        <v>--</v>
      </c>
      <c r="U57" s="92" t="str">
        <f>IFERROR(_xll.qlRateHelperPillarDate(S57,Trigger),"--")</f>
        <v>--</v>
      </c>
      <c r="W57" s="3" t="str">
        <f t="shared" si="10"/>
        <v/>
      </c>
      <c r="X57" s="3" t="e">
        <v>#N/A</v>
      </c>
      <c r="Y57" s="3" t="str">
        <f>IFERROR(_xll.qlRateHelperQuoteName(X57,Trigger),"")</f>
        <v/>
      </c>
      <c r="Z57" s="65" t="str">
        <f>IFERROR(_xll.qlRateHelperRate(X57,Trigger),"")</f>
        <v/>
      </c>
      <c r="AA57" s="9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1" t="e">
        <v>#N/A</v>
      </c>
    </row>
    <row r="58" spans="1:30" ht="11.25" customHeight="1" x14ac:dyDescent="0.2">
      <c r="A58" s="56" t="s">
        <v>70</v>
      </c>
      <c r="B58" s="57" t="s">
        <v>67</v>
      </c>
      <c r="C58" s="58">
        <v>1</v>
      </c>
      <c r="D58" s="193"/>
      <c r="E58" s="193"/>
      <c r="F58" s="193"/>
      <c r="G58" s="59" t="str">
        <f t="shared" si="6"/>
        <v>Aonia</v>
      </c>
      <c r="H58" s="60" t="str">
        <f t="shared" si="13"/>
        <v>AUDOIS35Y_Quote</v>
      </c>
      <c r="I58" s="192"/>
      <c r="J58" s="167" t="str">
        <f>IF(P56,_xll.qlOISRateHelper(,C58,B58,H58,$G58,,Permanent,Trigger,ObjectOverwrite),"--")</f>
        <v>--</v>
      </c>
      <c r="L58" s="173" t="str">
        <f t="shared" si="11"/>
        <v>OIS</v>
      </c>
      <c r="M58" s="182" t="str">
        <f t="shared" si="4"/>
        <v>AUDOIS45Y_Quote</v>
      </c>
      <c r="N58" s="174" t="str">
        <f>IFERROR(_xll.qlQuoteValue(H60),"--")</f>
        <v>--</v>
      </c>
      <c r="O58" s="179"/>
      <c r="P58" s="91" t="b">
        <v>0</v>
      </c>
      <c r="Q58" s="88">
        <v>50</v>
      </c>
      <c r="R58" s="88">
        <v>1</v>
      </c>
      <c r="S58" s="88" t="str">
        <f t="shared" si="12"/>
        <v>--</v>
      </c>
      <c r="T58" s="92" t="str">
        <f>IFERROR(_xll.qlRateHelperEarliestDate(S58,Trigger),"--")</f>
        <v>--</v>
      </c>
      <c r="U58" s="92" t="str">
        <f>IFERROR(_xll.qlRateHelperPillarDate(S58,Trigger),"--")</f>
        <v>--</v>
      </c>
      <c r="W58" s="3" t="str">
        <f t="shared" si="10"/>
        <v/>
      </c>
      <c r="X58" s="3" t="e">
        <v>#N/A</v>
      </c>
      <c r="Y58" s="3" t="str">
        <f>IFERROR(_xll.qlRateHelperQuoteName(X58,Trigger),"")</f>
        <v/>
      </c>
      <c r="Z58" s="65" t="str">
        <f>IFERROR(_xll.qlRateHelperRate(X58,Trigger),"")</f>
        <v/>
      </c>
      <c r="AA58" s="9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1" t="e">
        <v>#N/A</v>
      </c>
    </row>
    <row r="59" spans="1:30" ht="11.25" customHeight="1" x14ac:dyDescent="0.2">
      <c r="A59" s="56" t="s">
        <v>70</v>
      </c>
      <c r="B59" s="57" t="s">
        <v>68</v>
      </c>
      <c r="C59" s="58">
        <v>1</v>
      </c>
      <c r="D59" s="193"/>
      <c r="E59" s="193"/>
      <c r="F59" s="193"/>
      <c r="G59" s="59" t="str">
        <f t="shared" si="6"/>
        <v>Aonia</v>
      </c>
      <c r="H59" s="60" t="str">
        <f t="shared" si="13"/>
        <v>AUDOIS40Y_Quote</v>
      </c>
      <c r="I59" s="192"/>
      <c r="J59" s="167" t="str">
        <f>IF(P57,_xll.qlOISRateHelper(,C59,B59,H59,$G59,,Permanent,Trigger,ObjectOverwrite),"--")</f>
        <v>--</v>
      </c>
      <c r="L59" s="173" t="str">
        <f t="shared" si="11"/>
        <v>OIS</v>
      </c>
      <c r="M59" s="182" t="str">
        <f t="shared" si="4"/>
        <v>AUDOIS50Y_Quote</v>
      </c>
      <c r="N59" s="174" t="str">
        <f>IFERROR(_xll.qlQuoteValue(H61),"--")</f>
        <v>--</v>
      </c>
      <c r="O59" s="179"/>
      <c r="P59" s="91" t="b">
        <v>0</v>
      </c>
      <c r="Q59" s="88">
        <v>50</v>
      </c>
      <c r="R59" s="88">
        <v>1</v>
      </c>
      <c r="S59" s="88" t="str">
        <f t="shared" si="12"/>
        <v>--</v>
      </c>
      <c r="T59" s="92" t="str">
        <f>IFERROR(_xll.qlRateHelperEarliestDate(S59,Trigger),"--")</f>
        <v>--</v>
      </c>
      <c r="U59" s="92" t="str">
        <f>IFERROR(_xll.qlRateHelperPillarDate(S59,Trigger),"--")</f>
        <v>--</v>
      </c>
      <c r="W59" s="3" t="str">
        <f t="shared" si="10"/>
        <v/>
      </c>
      <c r="X59" s="3" t="e">
        <v>#N/A</v>
      </c>
      <c r="Y59" s="3" t="str">
        <f>IFERROR(_xll.qlRateHelperQuoteName(X59,Trigger),"")</f>
        <v/>
      </c>
      <c r="Z59" s="65" t="str">
        <f>IFERROR(_xll.qlRateHelperRate(X59,Trigger),"")</f>
        <v/>
      </c>
      <c r="AA59" s="9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1" t="e">
        <v>#N/A</v>
      </c>
    </row>
    <row r="60" spans="1:30" ht="11.25" customHeight="1" x14ac:dyDescent="0.2">
      <c r="A60" s="56" t="s">
        <v>70</v>
      </c>
      <c r="B60" s="57" t="s">
        <v>150</v>
      </c>
      <c r="C60" s="58">
        <v>1</v>
      </c>
      <c r="D60" s="193"/>
      <c r="E60" s="193"/>
      <c r="F60" s="193"/>
      <c r="G60" s="59" t="str">
        <f t="shared" si="6"/>
        <v>Aonia</v>
      </c>
      <c r="H60" s="60" t="str">
        <f t="shared" si="13"/>
        <v>AUDOIS45Y_Quote</v>
      </c>
      <c r="I60" s="192"/>
      <c r="J60" s="167" t="str">
        <f>IF(P58,_xll.qlOISRateHelper(,C60,B60,H60,$G60,,Permanent,Trigger,ObjectOverwrite),"--")</f>
        <v>--</v>
      </c>
      <c r="L60" s="171" t="str">
        <f t="shared" ref="L60:L91" si="14">A64</f>
        <v>MTOIS</v>
      </c>
      <c r="M60" s="168" t="str">
        <f>H64</f>
        <v>AUDMTOISSW_Quote</v>
      </c>
      <c r="N60" s="172" t="str">
        <f>IFERROR(_xll.qlQuoteValue(H64),"--")</f>
        <v>--</v>
      </c>
      <c r="O60" s="178"/>
      <c r="P60" s="119" t="b">
        <v>0</v>
      </c>
      <c r="Q60" s="118">
        <v>40</v>
      </c>
      <c r="R60" s="118">
        <v>1</v>
      </c>
      <c r="S60" s="118" t="str">
        <f t="shared" ref="S60:S91" si="15">J64</f>
        <v>--</v>
      </c>
      <c r="T60" s="120" t="str">
        <f>IFERROR(_xll.qlRateHelperEarliestDate(S60,Trigger),"--")</f>
        <v>--</v>
      </c>
      <c r="U60" s="120" t="str">
        <f>IFERROR(_xll.qlRateHelperPillarDate(S60,Trigger),"--")</f>
        <v>--</v>
      </c>
      <c r="W60" s="3" t="str">
        <f t="shared" si="10"/>
        <v/>
      </c>
      <c r="X60" s="3" t="e">
        <v>#N/A</v>
      </c>
      <c r="Y60" s="3" t="str">
        <f>IFERROR(_xll.qlRateHelperQuoteName(X60,Trigger),"")</f>
        <v/>
      </c>
      <c r="Z60" s="65" t="str">
        <f>IFERROR(_xll.qlRateHelperRate(X60,Trigger),"")</f>
        <v/>
      </c>
      <c r="AA60" s="9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1" t="e">
        <v>#N/A</v>
      </c>
    </row>
    <row r="61" spans="1:30" ht="11.25" customHeight="1" x14ac:dyDescent="0.2">
      <c r="A61" s="1" t="s">
        <v>70</v>
      </c>
      <c r="B61" s="7" t="s">
        <v>69</v>
      </c>
      <c r="C61" s="6">
        <v>1</v>
      </c>
      <c r="D61" s="194"/>
      <c r="E61" s="194"/>
      <c r="F61" s="194"/>
      <c r="G61" s="8" t="str">
        <f t="shared" si="6"/>
        <v>Aonia</v>
      </c>
      <c r="H61" s="2" t="str">
        <f t="shared" si="13"/>
        <v>AUDOIS50Y_Quote</v>
      </c>
      <c r="I61" s="191"/>
      <c r="J61" s="166" t="str">
        <f>IF(P59,_xll.qlOISRateHelper(,C61,B61,H61,$G61,,Permanent,Trigger,ObjectOverwrite),"--")</f>
        <v>--</v>
      </c>
      <c r="L61" s="173" t="str">
        <f t="shared" si="14"/>
        <v>MTOIS</v>
      </c>
      <c r="M61" s="182" t="str">
        <f t="shared" ref="M61:M113" si="16">H65</f>
        <v>AUDMTOIS2W_Quote</v>
      </c>
      <c r="N61" s="174" t="str">
        <f>IFERROR(_xll.qlQuoteValue(H65),"--")</f>
        <v>--</v>
      </c>
      <c r="O61" s="179"/>
      <c r="P61" s="91" t="b">
        <v>0</v>
      </c>
      <c r="Q61" s="88">
        <v>40</v>
      </c>
      <c r="R61" s="88">
        <v>1</v>
      </c>
      <c r="S61" s="88" t="str">
        <f t="shared" si="15"/>
        <v>--</v>
      </c>
      <c r="T61" s="92" t="str">
        <f>IFERROR(_xll.qlRateHelperEarliestDate(S61,Trigger),"--")</f>
        <v>--</v>
      </c>
      <c r="U61" s="92" t="str">
        <f>IFERROR(_xll.qlRateHelperPillarDate(S61,Trigger),"--")</f>
        <v>--</v>
      </c>
      <c r="W61" s="3" t="str">
        <f t="shared" si="10"/>
        <v/>
      </c>
      <c r="X61" s="3" t="e">
        <v>#N/A</v>
      </c>
      <c r="Y61" s="3" t="str">
        <f>IFERROR(_xll.qlRateHelperQuoteName(X61,Trigger),"")</f>
        <v/>
      </c>
      <c r="Z61" s="65" t="str">
        <f>IFERROR(_xll.qlRateHelperRate(X61,Trigger),"")</f>
        <v/>
      </c>
      <c r="AA61" s="9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1" t="e">
        <v>#N/A</v>
      </c>
    </row>
    <row r="62" spans="1:30" ht="11.25" customHeight="1" x14ac:dyDescent="0.2">
      <c r="G62" s="95" t="s">
        <v>151</v>
      </c>
      <c r="L62" s="173" t="str">
        <f t="shared" si="14"/>
        <v>MTOIS</v>
      </c>
      <c r="M62" s="182" t="str">
        <f t="shared" si="16"/>
        <v>AUDMTOIS3W_Quote</v>
      </c>
      <c r="N62" s="174" t="str">
        <f>IFERROR(_xll.qlQuoteValue(H66),"--")</f>
        <v>--</v>
      </c>
      <c r="O62" s="179"/>
      <c r="P62" s="91" t="b">
        <v>0</v>
      </c>
      <c r="Q62" s="88">
        <v>40</v>
      </c>
      <c r="R62" s="88">
        <v>1</v>
      </c>
      <c r="S62" s="88" t="str">
        <f t="shared" si="15"/>
        <v>--</v>
      </c>
      <c r="T62" s="92" t="str">
        <f>IFERROR(_xll.qlRateHelperEarliestDate(S62,Trigger),"--")</f>
        <v>--</v>
      </c>
      <c r="U62" s="92" t="str">
        <f>IFERROR(_xll.qlRateHelperPillarDate(S62,Trigger),"--")</f>
        <v>--</v>
      </c>
      <c r="W62" s="3" t="str">
        <f t="shared" si="10"/>
        <v/>
      </c>
      <c r="X62" s="3" t="e">
        <v>#N/A</v>
      </c>
      <c r="Y62" s="3" t="str">
        <f>IFERROR(_xll.qlRateHelperQuoteName(X62,Trigger),"")</f>
        <v/>
      </c>
      <c r="Z62" s="65" t="str">
        <f>IFERROR(_xll.qlRateHelperRate(X62,Trigger),"")</f>
        <v/>
      </c>
      <c r="AA62" s="9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1" t="e">
        <v>#N/A</v>
      </c>
    </row>
    <row r="63" spans="1:30" ht="11.25" customHeight="1" x14ac:dyDescent="0.2">
      <c r="A63" s="61" t="s">
        <v>8</v>
      </c>
      <c r="B63" s="61" t="s">
        <v>28</v>
      </c>
      <c r="C63" s="61" t="s">
        <v>77</v>
      </c>
      <c r="D63" s="61"/>
      <c r="E63" s="61"/>
      <c r="F63" s="61"/>
      <c r="G63" s="61" t="s">
        <v>4</v>
      </c>
      <c r="H63" s="61" t="s">
        <v>1</v>
      </c>
      <c r="I63" s="61"/>
      <c r="J63" s="61" t="s">
        <v>24</v>
      </c>
      <c r="L63" s="173" t="str">
        <f t="shared" si="14"/>
        <v>MTOIS</v>
      </c>
      <c r="M63" s="182" t="str">
        <f t="shared" si="16"/>
        <v>AUDMTOIS1M_Quote</v>
      </c>
      <c r="N63" s="174" t="str">
        <f>IFERROR(_xll.qlQuoteValue(H67),"--")</f>
        <v>--</v>
      </c>
      <c r="O63" s="179"/>
      <c r="P63" s="91" t="b">
        <v>0</v>
      </c>
      <c r="Q63" s="88">
        <v>40</v>
      </c>
      <c r="R63" s="88">
        <v>1</v>
      </c>
      <c r="S63" s="88" t="str">
        <f t="shared" si="15"/>
        <v>--</v>
      </c>
      <c r="T63" s="92" t="str">
        <f>IFERROR(_xll.qlRateHelperEarliestDate(S63,Trigger),"--")</f>
        <v>--</v>
      </c>
      <c r="U63" s="92" t="str">
        <f>IFERROR(_xll.qlRateHelperPillarDate(S63,Trigger),"--")</f>
        <v>--</v>
      </c>
      <c r="W63" s="3" t="str">
        <f t="shared" si="10"/>
        <v/>
      </c>
      <c r="X63" s="3" t="e">
        <v>#N/A</v>
      </c>
      <c r="Y63" s="3" t="str">
        <f>IFERROR(_xll.qlRateHelperQuoteName(X63,Trigger),"")</f>
        <v/>
      </c>
      <c r="Z63" s="65" t="str">
        <f>IFERROR(_xll.qlRateHelperRate(X63,Trigger),"")</f>
        <v/>
      </c>
      <c r="AA63" s="9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1" t="e">
        <v>#N/A</v>
      </c>
    </row>
    <row r="64" spans="1:30" ht="11.25" customHeight="1" x14ac:dyDescent="0.2">
      <c r="A64" s="51" t="s">
        <v>151</v>
      </c>
      <c r="B64" s="52" t="s">
        <v>38</v>
      </c>
      <c r="C64" s="53">
        <v>1</v>
      </c>
      <c r="D64" s="193"/>
      <c r="E64" s="193"/>
      <c r="F64" s="193"/>
      <c r="G64" s="59" t="str">
        <f>$G$1</f>
        <v>Aonia</v>
      </c>
      <c r="H64" s="55" t="str">
        <f t="shared" ref="H64:H95" si="17">Currency&amp;$G$62&amp;IF($B64="1W","SW",$B64)&amp;QuoteSuffix</f>
        <v>AUDMTOISSW_Quote</v>
      </c>
      <c r="I64" s="190"/>
      <c r="J64" s="165" t="str">
        <f>IF(P60,_xll.qlOISRateHelper(,C64,B64,H64,$G64,,Permanent,Trigger,ObjectOverwrite),"--")</f>
        <v>--</v>
      </c>
      <c r="L64" s="173" t="str">
        <f t="shared" si="14"/>
        <v>MTOIS</v>
      </c>
      <c r="M64" s="182" t="str">
        <f t="shared" si="16"/>
        <v>AUDMTOIS2M_Quote</v>
      </c>
      <c r="N64" s="174" t="str">
        <f>IFERROR(_xll.qlQuoteValue(H68),"--")</f>
        <v>--</v>
      </c>
      <c r="O64" s="179"/>
      <c r="P64" s="91" t="b">
        <v>0</v>
      </c>
      <c r="Q64" s="88">
        <v>40</v>
      </c>
      <c r="R64" s="88">
        <v>1</v>
      </c>
      <c r="S64" s="88" t="str">
        <f t="shared" si="15"/>
        <v>--</v>
      </c>
      <c r="T64" s="92" t="str">
        <f>IFERROR(_xll.qlRateHelperEarliestDate(S64,Trigger),"--")</f>
        <v>--</v>
      </c>
      <c r="U64" s="92" t="str">
        <f>IFERROR(_xll.qlRateHelperPillarDate(S64,Trigger),"--")</f>
        <v>--</v>
      </c>
      <c r="W64" s="3" t="str">
        <f t="shared" si="10"/>
        <v/>
      </c>
      <c r="X64" s="3" t="e">
        <v>#N/A</v>
      </c>
      <c r="Y64" s="3" t="str">
        <f>IFERROR(_xll.qlRateHelperQuoteName(X64,Trigger),"")</f>
        <v/>
      </c>
      <c r="Z64" s="65" t="str">
        <f>IFERROR(_xll.qlRateHelperRate(X64,Trigger),"")</f>
        <v/>
      </c>
      <c r="AA64" s="9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1" t="e">
        <v>#N/A</v>
      </c>
    </row>
    <row r="65" spans="1:30" ht="11.25" customHeight="1" x14ac:dyDescent="0.2">
      <c r="A65" s="56" t="s">
        <v>151</v>
      </c>
      <c r="B65" s="57" t="s">
        <v>39</v>
      </c>
      <c r="C65" s="58">
        <v>1</v>
      </c>
      <c r="D65" s="193"/>
      <c r="E65" s="193"/>
      <c r="F65" s="193"/>
      <c r="G65" s="59" t="str">
        <f t="shared" ref="G65:G117" si="18">$G$1</f>
        <v>Aonia</v>
      </c>
      <c r="H65" s="60" t="str">
        <f t="shared" si="17"/>
        <v>AUDMTOIS2W_Quote</v>
      </c>
      <c r="I65" s="192"/>
      <c r="J65" s="167" t="str">
        <f>IF(P61,_xll.qlOISRateHelper(,C65,B65,H65,$G65,,Permanent,Trigger,ObjectOverwrite),"--")</f>
        <v>--</v>
      </c>
      <c r="L65" s="173" t="str">
        <f t="shared" si="14"/>
        <v>MTOIS</v>
      </c>
      <c r="M65" s="182" t="str">
        <f t="shared" si="16"/>
        <v>AUDMTOIS3M_Quote</v>
      </c>
      <c r="N65" s="174" t="str">
        <f>IFERROR(_xll.qlQuoteValue(H69),"--")</f>
        <v>--</v>
      </c>
      <c r="O65" s="179"/>
      <c r="P65" s="91" t="b">
        <v>0</v>
      </c>
      <c r="Q65" s="88">
        <v>40</v>
      </c>
      <c r="R65" s="88">
        <v>1</v>
      </c>
      <c r="S65" s="88" t="str">
        <f t="shared" si="15"/>
        <v>--</v>
      </c>
      <c r="T65" s="92" t="str">
        <f>IFERROR(_xll.qlRateHelperEarliestDate(S65,Trigger),"--")</f>
        <v>--</v>
      </c>
      <c r="U65" s="92" t="str">
        <f>IFERROR(_xll.qlRateHelperPillarDate(S65,Trigger),"--")</f>
        <v>--</v>
      </c>
      <c r="W65" s="3" t="str">
        <f t="shared" si="10"/>
        <v/>
      </c>
      <c r="X65" s="3" t="e">
        <v>#N/A</v>
      </c>
      <c r="Y65" s="3" t="str">
        <f>IFERROR(_xll.qlRateHelperQuoteName(X65,Trigger),"")</f>
        <v/>
      </c>
      <c r="Z65" s="65" t="str">
        <f>IFERROR(_xll.qlRateHelperRate(X65,Trigger),"")</f>
        <v/>
      </c>
      <c r="AA65" s="9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1" t="e">
        <v>#N/A</v>
      </c>
    </row>
    <row r="66" spans="1:30" ht="11.25" customHeight="1" x14ac:dyDescent="0.2">
      <c r="A66" s="56" t="s">
        <v>151</v>
      </c>
      <c r="B66" s="57" t="s">
        <v>40</v>
      </c>
      <c r="C66" s="58">
        <v>1</v>
      </c>
      <c r="D66" s="193"/>
      <c r="E66" s="193"/>
      <c r="F66" s="193"/>
      <c r="G66" s="59" t="str">
        <f t="shared" si="18"/>
        <v>Aonia</v>
      </c>
      <c r="H66" s="60" t="str">
        <f t="shared" si="17"/>
        <v>AUDMTOIS3W_Quote</v>
      </c>
      <c r="I66" s="192"/>
      <c r="J66" s="167" t="str">
        <f>IF(P62,_xll.qlOISRateHelper(,C66,B66,H66,$G66,,Permanent,Trigger,ObjectOverwrite),"--")</f>
        <v>--</v>
      </c>
      <c r="L66" s="173" t="str">
        <f t="shared" si="14"/>
        <v>MTOIS</v>
      </c>
      <c r="M66" s="182" t="str">
        <f t="shared" si="16"/>
        <v>AUDMTOIS4M_Quote</v>
      </c>
      <c r="N66" s="174" t="str">
        <f>IFERROR(_xll.qlQuoteValue(H70),"--")</f>
        <v>--</v>
      </c>
      <c r="O66" s="179"/>
      <c r="P66" s="91" t="b">
        <v>0</v>
      </c>
      <c r="Q66" s="88">
        <v>40</v>
      </c>
      <c r="R66" s="88">
        <v>1</v>
      </c>
      <c r="S66" s="88" t="str">
        <f t="shared" si="15"/>
        <v>--</v>
      </c>
      <c r="T66" s="92" t="str">
        <f>IFERROR(_xll.qlRateHelperEarliestDate(S66,Trigger),"--")</f>
        <v>--</v>
      </c>
      <c r="U66" s="92" t="str">
        <f>IFERROR(_xll.qlRateHelperPillarDate(S66,Trigger),"--")</f>
        <v>--</v>
      </c>
      <c r="W66" s="3" t="str">
        <f t="shared" si="10"/>
        <v/>
      </c>
      <c r="X66" s="3" t="e">
        <v>#N/A</v>
      </c>
      <c r="Y66" s="3" t="str">
        <f>IFERROR(_xll.qlRateHelperQuoteName(X66,Trigger),"")</f>
        <v/>
      </c>
      <c r="Z66" s="65" t="str">
        <f>IFERROR(_xll.qlRateHelperRate(X66,Trigger),"")</f>
        <v/>
      </c>
      <c r="AA66" s="9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1" t="e">
        <v>#N/A</v>
      </c>
    </row>
    <row r="67" spans="1:30" ht="11.25" customHeight="1" x14ac:dyDescent="0.2">
      <c r="A67" s="56" t="s">
        <v>151</v>
      </c>
      <c r="B67" s="57" t="s">
        <v>2</v>
      </c>
      <c r="C67" s="58">
        <v>1</v>
      </c>
      <c r="D67" s="193"/>
      <c r="E67" s="193"/>
      <c r="F67" s="193"/>
      <c r="G67" s="59" t="str">
        <f t="shared" si="18"/>
        <v>Aonia</v>
      </c>
      <c r="H67" s="60" t="str">
        <f t="shared" si="17"/>
        <v>AUDMTOIS1M_Quote</v>
      </c>
      <c r="I67" s="192"/>
      <c r="J67" s="167" t="str">
        <f>IF(P63,_xll.qlOISRateHelper(,C67,B67,H67,$G67,,Permanent,Trigger,ObjectOverwrite),"--")</f>
        <v>--</v>
      </c>
      <c r="L67" s="173" t="str">
        <f t="shared" si="14"/>
        <v>MTOIS</v>
      </c>
      <c r="M67" s="182" t="str">
        <f t="shared" si="16"/>
        <v>AUDMTOIS5M_Quote</v>
      </c>
      <c r="N67" s="174" t="str">
        <f>IFERROR(_xll.qlQuoteValue(H71),"--")</f>
        <v>--</v>
      </c>
      <c r="O67" s="179"/>
      <c r="P67" s="91" t="b">
        <v>0</v>
      </c>
      <c r="Q67" s="88">
        <v>40</v>
      </c>
      <c r="R67" s="88">
        <v>1</v>
      </c>
      <c r="S67" s="88" t="str">
        <f t="shared" si="15"/>
        <v>--</v>
      </c>
      <c r="T67" s="92" t="str">
        <f>IFERROR(_xll.qlRateHelperEarliestDate(S67,Trigger),"--")</f>
        <v>--</v>
      </c>
      <c r="U67" s="92" t="str">
        <f>IFERROR(_xll.qlRateHelperPillarDate(S67,Trigger),"--")</f>
        <v>--</v>
      </c>
      <c r="W67" s="3" t="str">
        <f t="shared" ref="W67:W98" si="19">IFERROR(INDEX($L$3:$L$113,MATCH(Y67,$M$3:$M$113,0),1),"")</f>
        <v/>
      </c>
      <c r="X67" s="3" t="e">
        <v>#N/A</v>
      </c>
      <c r="Y67" s="3" t="str">
        <f>IFERROR(_xll.qlRateHelperQuoteName(X67,Trigger),"")</f>
        <v/>
      </c>
      <c r="Z67" s="65" t="str">
        <f>IFERROR(_xll.qlRateHelperRate(X67,Trigger),"")</f>
        <v/>
      </c>
      <c r="AA67" s="9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1" t="e">
        <v>#N/A</v>
      </c>
    </row>
    <row r="68" spans="1:30" ht="11.25" customHeight="1" x14ac:dyDescent="0.2">
      <c r="A68" s="56" t="s">
        <v>151</v>
      </c>
      <c r="B68" s="57" t="s">
        <v>41</v>
      </c>
      <c r="C68" s="58">
        <v>1</v>
      </c>
      <c r="D68" s="193"/>
      <c r="E68" s="193"/>
      <c r="F68" s="193"/>
      <c r="G68" s="59" t="str">
        <f t="shared" si="18"/>
        <v>Aonia</v>
      </c>
      <c r="H68" s="60" t="str">
        <f t="shared" si="17"/>
        <v>AUDMTOIS2M_Quote</v>
      </c>
      <c r="I68" s="192"/>
      <c r="J68" s="167" t="str">
        <f>IF(P64,_xll.qlOISRateHelper(,C68,B68,H68,$G68,,Permanent,Trigger,ObjectOverwrite),"--")</f>
        <v>--</v>
      </c>
      <c r="L68" s="173" t="str">
        <f t="shared" si="14"/>
        <v>MTOIS</v>
      </c>
      <c r="M68" s="182" t="str">
        <f t="shared" si="16"/>
        <v>AUDMTOIS6M_Quote</v>
      </c>
      <c r="N68" s="174" t="str">
        <f>IFERROR(_xll.qlQuoteValue(H72),"--")</f>
        <v>--</v>
      </c>
      <c r="O68" s="179"/>
      <c r="P68" s="91" t="b">
        <v>0</v>
      </c>
      <c r="Q68" s="88">
        <v>40</v>
      </c>
      <c r="R68" s="88">
        <v>1</v>
      </c>
      <c r="S68" s="88" t="str">
        <f t="shared" si="15"/>
        <v>--</v>
      </c>
      <c r="T68" s="92" t="str">
        <f>IFERROR(_xll.qlRateHelperEarliestDate(S68,Trigger),"--")</f>
        <v>--</v>
      </c>
      <c r="U68" s="92" t="str">
        <f>IFERROR(_xll.qlRateHelperPillarDate(S68,Trigger),"--")</f>
        <v>--</v>
      </c>
      <c r="W68" s="3" t="str">
        <f t="shared" si="19"/>
        <v/>
      </c>
      <c r="X68" s="3" t="e">
        <v>#N/A</v>
      </c>
      <c r="Y68" s="3" t="str">
        <f>IFERROR(_xll.qlRateHelperQuoteName(X68,Trigger),"")</f>
        <v/>
      </c>
      <c r="Z68" s="65" t="str">
        <f>IFERROR(_xll.qlRateHelperRate(X68,Trigger),"")</f>
        <v/>
      </c>
      <c r="AA68" s="9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1" t="e">
        <v>#N/A</v>
      </c>
    </row>
    <row r="69" spans="1:30" ht="11.25" customHeight="1" x14ac:dyDescent="0.2">
      <c r="A69" s="56" t="s">
        <v>151</v>
      </c>
      <c r="B69" s="57" t="s">
        <v>0</v>
      </c>
      <c r="C69" s="58">
        <v>1</v>
      </c>
      <c r="D69" s="193"/>
      <c r="E69" s="193"/>
      <c r="F69" s="193"/>
      <c r="G69" s="59" t="str">
        <f t="shared" si="18"/>
        <v>Aonia</v>
      </c>
      <c r="H69" s="60" t="str">
        <f t="shared" si="17"/>
        <v>AUDMTOIS3M_Quote</v>
      </c>
      <c r="I69" s="192"/>
      <c r="J69" s="167" t="str">
        <f>IF(P65,_xll.qlOISRateHelper(,C69,B69,H69,$G69,,Permanent,Trigger,ObjectOverwrite),"--")</f>
        <v>--</v>
      </c>
      <c r="L69" s="173" t="str">
        <f t="shared" si="14"/>
        <v>MTOIS</v>
      </c>
      <c r="M69" s="182" t="str">
        <f t="shared" si="16"/>
        <v>AUDMTOIS7M_Quote</v>
      </c>
      <c r="N69" s="174" t="str">
        <f>IFERROR(_xll.qlQuoteValue(H73),"--")</f>
        <v>--</v>
      </c>
      <c r="O69" s="179"/>
      <c r="P69" s="91" t="b">
        <v>0</v>
      </c>
      <c r="Q69" s="88">
        <v>40</v>
      </c>
      <c r="R69" s="88">
        <v>1</v>
      </c>
      <c r="S69" s="88" t="str">
        <f t="shared" si="15"/>
        <v>--</v>
      </c>
      <c r="T69" s="92" t="str">
        <f>IFERROR(_xll.qlRateHelperEarliestDate(S69,Trigger),"--")</f>
        <v>--</v>
      </c>
      <c r="U69" s="92" t="str">
        <f>IFERROR(_xll.qlRateHelperPillarDate(S69,Trigger),"--")</f>
        <v>--</v>
      </c>
      <c r="W69" s="3" t="str">
        <f t="shared" si="19"/>
        <v/>
      </c>
      <c r="X69" s="3" t="e">
        <v>#N/A</v>
      </c>
      <c r="Y69" s="3" t="str">
        <f>IFERROR(_xll.qlRateHelperQuoteName(X69,Trigger),"")</f>
        <v/>
      </c>
      <c r="Z69" s="65" t="str">
        <f>IFERROR(_xll.qlRateHelperRate(X69,Trigger),"")</f>
        <v/>
      </c>
      <c r="AA69" s="9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1" t="e">
        <v>#N/A</v>
      </c>
    </row>
    <row r="70" spans="1:30" ht="11.25" customHeight="1" x14ac:dyDescent="0.2">
      <c r="A70" s="56" t="s">
        <v>151</v>
      </c>
      <c r="B70" s="57" t="s">
        <v>42</v>
      </c>
      <c r="C70" s="58">
        <v>1</v>
      </c>
      <c r="D70" s="193"/>
      <c r="E70" s="193"/>
      <c r="F70" s="193"/>
      <c r="G70" s="59" t="str">
        <f t="shared" si="18"/>
        <v>Aonia</v>
      </c>
      <c r="H70" s="60" t="str">
        <f t="shared" si="17"/>
        <v>AUDMTOIS4M_Quote</v>
      </c>
      <c r="I70" s="192"/>
      <c r="J70" s="167" t="str">
        <f>IF(P66,_xll.qlOISRateHelper(,C70,B70,H70,$G70,,Permanent,Trigger,ObjectOverwrite),"--")</f>
        <v>--</v>
      </c>
      <c r="L70" s="173" t="str">
        <f t="shared" si="14"/>
        <v>MTOIS</v>
      </c>
      <c r="M70" s="182" t="str">
        <f t="shared" si="16"/>
        <v>AUDMTOIS8M_Quote</v>
      </c>
      <c r="N70" s="174" t="str">
        <f>IFERROR(_xll.qlQuoteValue(H74),"--")</f>
        <v>--</v>
      </c>
      <c r="O70" s="179"/>
      <c r="P70" s="91" t="b">
        <v>0</v>
      </c>
      <c r="Q70" s="88">
        <v>40</v>
      </c>
      <c r="R70" s="88">
        <v>1</v>
      </c>
      <c r="S70" s="88" t="str">
        <f t="shared" si="15"/>
        <v>--</v>
      </c>
      <c r="T70" s="92" t="str">
        <f>IFERROR(_xll.qlRateHelperEarliestDate(S70,Trigger),"--")</f>
        <v>--</v>
      </c>
      <c r="U70" s="92" t="str">
        <f>IFERROR(_xll.qlRateHelperPillarDate(S70,Trigger),"--")</f>
        <v>--</v>
      </c>
      <c r="W70" s="3" t="str">
        <f t="shared" si="19"/>
        <v/>
      </c>
      <c r="X70" s="3" t="e">
        <v>#N/A</v>
      </c>
      <c r="Y70" s="3" t="str">
        <f>IFERROR(_xll.qlRateHelperQuoteName(X70,Trigger),"")</f>
        <v/>
      </c>
      <c r="Z70" s="65" t="str">
        <f>IFERROR(_xll.qlRateHelperRate(X70,Trigger),"")</f>
        <v/>
      </c>
      <c r="AA70" s="9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1" t="e">
        <v>#N/A</v>
      </c>
    </row>
    <row r="71" spans="1:30" ht="11.25" customHeight="1" x14ac:dyDescent="0.2">
      <c r="A71" s="56" t="s">
        <v>151</v>
      </c>
      <c r="B71" s="57" t="s">
        <v>43</v>
      </c>
      <c r="C71" s="58">
        <v>1</v>
      </c>
      <c r="D71" s="193"/>
      <c r="E71" s="193"/>
      <c r="F71" s="193"/>
      <c r="G71" s="59" t="str">
        <f t="shared" si="18"/>
        <v>Aonia</v>
      </c>
      <c r="H71" s="60" t="str">
        <f t="shared" si="17"/>
        <v>AUDMTOIS5M_Quote</v>
      </c>
      <c r="I71" s="192"/>
      <c r="J71" s="167" t="str">
        <f>IF(P67,_xll.qlOISRateHelper(,C71,B71,H71,$G71,,Permanent,Trigger,ObjectOverwrite),"--")</f>
        <v>--</v>
      </c>
      <c r="L71" s="173" t="str">
        <f t="shared" si="14"/>
        <v>MTOIS</v>
      </c>
      <c r="M71" s="182" t="str">
        <f t="shared" si="16"/>
        <v>AUDMTOIS9M_Quote</v>
      </c>
      <c r="N71" s="174" t="str">
        <f>IFERROR(_xll.qlQuoteValue(H75),"--")</f>
        <v>--</v>
      </c>
      <c r="O71" s="179"/>
      <c r="P71" s="91" t="b">
        <v>0</v>
      </c>
      <c r="Q71" s="88">
        <v>40</v>
      </c>
      <c r="R71" s="88">
        <v>1</v>
      </c>
      <c r="S71" s="88" t="str">
        <f t="shared" si="15"/>
        <v>--</v>
      </c>
      <c r="T71" s="92" t="str">
        <f>IFERROR(_xll.qlRateHelperEarliestDate(S71,Trigger),"--")</f>
        <v>--</v>
      </c>
      <c r="U71" s="92" t="str">
        <f>IFERROR(_xll.qlRateHelperPillarDate(S71,Trigger),"--")</f>
        <v>--</v>
      </c>
      <c r="W71" s="3" t="str">
        <f t="shared" si="19"/>
        <v/>
      </c>
      <c r="X71" s="3" t="e">
        <v>#N/A</v>
      </c>
      <c r="Y71" s="3" t="str">
        <f>IFERROR(_xll.qlRateHelperQuoteName(X71,Trigger),"")</f>
        <v/>
      </c>
      <c r="Z71" s="65" t="str">
        <f>IFERROR(_xll.qlRateHelperRate(X71,Trigger),"")</f>
        <v/>
      </c>
      <c r="AA71" s="9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1" t="e">
        <v>#N/A</v>
      </c>
    </row>
    <row r="72" spans="1:30" ht="11.25" customHeight="1" x14ac:dyDescent="0.2">
      <c r="A72" s="56" t="s">
        <v>151</v>
      </c>
      <c r="B72" s="57" t="s">
        <v>3</v>
      </c>
      <c r="C72" s="58">
        <v>1</v>
      </c>
      <c r="D72" s="193"/>
      <c r="E72" s="193"/>
      <c r="F72" s="193"/>
      <c r="G72" s="59" t="str">
        <f t="shared" si="18"/>
        <v>Aonia</v>
      </c>
      <c r="H72" s="60" t="str">
        <f t="shared" si="17"/>
        <v>AUDMTOIS6M_Quote</v>
      </c>
      <c r="I72" s="192"/>
      <c r="J72" s="167" t="str">
        <f>IF(P68,_xll.qlOISRateHelper(,C72,B72,H72,$G72,,Permanent,Trigger,ObjectOverwrite),"--")</f>
        <v>--</v>
      </c>
      <c r="L72" s="173" t="str">
        <f t="shared" si="14"/>
        <v>MTOIS</v>
      </c>
      <c r="M72" s="182" t="str">
        <f t="shared" si="16"/>
        <v>AUDMTOIS10M_Quote</v>
      </c>
      <c r="N72" s="174" t="str">
        <f>IFERROR(_xll.qlQuoteValue(H76),"--")</f>
        <v>--</v>
      </c>
      <c r="O72" s="179"/>
      <c r="P72" s="91" t="b">
        <v>0</v>
      </c>
      <c r="Q72" s="88">
        <v>40</v>
      </c>
      <c r="R72" s="88">
        <v>1</v>
      </c>
      <c r="S72" s="88" t="str">
        <f t="shared" si="15"/>
        <v>--</v>
      </c>
      <c r="T72" s="92" t="str">
        <f>IFERROR(_xll.qlRateHelperEarliestDate(S72,Trigger),"--")</f>
        <v>--</v>
      </c>
      <c r="U72" s="92" t="str">
        <f>IFERROR(_xll.qlRateHelperPillarDate(S72,Trigger),"--")</f>
        <v>--</v>
      </c>
      <c r="W72" s="3" t="str">
        <f t="shared" si="19"/>
        <v/>
      </c>
      <c r="X72" s="3" t="e">
        <v>#N/A</v>
      </c>
      <c r="Y72" s="3" t="str">
        <f>IFERROR(_xll.qlRateHelperQuoteName(X72,Trigger),"")</f>
        <v/>
      </c>
      <c r="Z72" s="65" t="str">
        <f>IFERROR(_xll.qlRateHelperRate(X72,Trigger),"")</f>
        <v/>
      </c>
      <c r="AA72" s="9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1" t="e">
        <v>#N/A</v>
      </c>
    </row>
    <row r="73" spans="1:30" ht="11.25" customHeight="1" x14ac:dyDescent="0.2">
      <c r="A73" s="56" t="s">
        <v>151</v>
      </c>
      <c r="B73" s="57" t="s">
        <v>44</v>
      </c>
      <c r="C73" s="58">
        <v>1</v>
      </c>
      <c r="D73" s="193"/>
      <c r="E73" s="193"/>
      <c r="F73" s="193"/>
      <c r="G73" s="59" t="str">
        <f t="shared" si="18"/>
        <v>Aonia</v>
      </c>
      <c r="H73" s="60" t="str">
        <f t="shared" si="17"/>
        <v>AUDMTOIS7M_Quote</v>
      </c>
      <c r="I73" s="192"/>
      <c r="J73" s="167" t="str">
        <f>IF(P69,_xll.qlOISRateHelper(,C73,B73,H73,$G73,,Permanent,Trigger,ObjectOverwrite),"--")</f>
        <v>--</v>
      </c>
      <c r="L73" s="173" t="str">
        <f t="shared" si="14"/>
        <v>MTOIS</v>
      </c>
      <c r="M73" s="182" t="str">
        <f t="shared" si="16"/>
        <v>AUDMTOIS11M_Quote</v>
      </c>
      <c r="N73" s="174" t="str">
        <f>IFERROR(_xll.qlQuoteValue(H77),"--")</f>
        <v>--</v>
      </c>
      <c r="O73" s="179"/>
      <c r="P73" s="91" t="b">
        <v>0</v>
      </c>
      <c r="Q73" s="88">
        <v>40</v>
      </c>
      <c r="R73" s="88">
        <v>1</v>
      </c>
      <c r="S73" s="88" t="str">
        <f t="shared" si="15"/>
        <v>--</v>
      </c>
      <c r="T73" s="92" t="str">
        <f>IFERROR(_xll.qlRateHelperEarliestDate(S73,Trigger),"--")</f>
        <v>--</v>
      </c>
      <c r="U73" s="92" t="str">
        <f>IFERROR(_xll.qlRateHelperPillarDate(S73,Trigger),"--")</f>
        <v>--</v>
      </c>
      <c r="W73" s="3" t="str">
        <f t="shared" si="19"/>
        <v/>
      </c>
      <c r="X73" s="3" t="e">
        <v>#N/A</v>
      </c>
      <c r="Y73" s="3" t="str">
        <f>IFERROR(_xll.qlRateHelperQuoteName(X73,Trigger),"")</f>
        <v/>
      </c>
      <c r="Z73" s="65" t="str">
        <f>IFERROR(_xll.qlRateHelperRate(X73,Trigger),"")</f>
        <v/>
      </c>
      <c r="AA73" s="9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1" t="e">
        <v>#N/A</v>
      </c>
    </row>
    <row r="74" spans="1:30" ht="11.25" customHeight="1" x14ac:dyDescent="0.2">
      <c r="A74" s="56" t="s">
        <v>151</v>
      </c>
      <c r="B74" s="57" t="s">
        <v>45</v>
      </c>
      <c r="C74" s="58">
        <v>1</v>
      </c>
      <c r="D74" s="193"/>
      <c r="E74" s="193"/>
      <c r="F74" s="193"/>
      <c r="G74" s="59" t="str">
        <f t="shared" si="18"/>
        <v>Aonia</v>
      </c>
      <c r="H74" s="60" t="str">
        <f t="shared" si="17"/>
        <v>AUDMTOIS8M_Quote</v>
      </c>
      <c r="I74" s="192"/>
      <c r="J74" s="167" t="str">
        <f>IF(P70,_xll.qlOISRateHelper(,C74,B74,H74,$G74,,Permanent,Trigger,ObjectOverwrite),"--")</f>
        <v>--</v>
      </c>
      <c r="L74" s="173" t="str">
        <f t="shared" si="14"/>
        <v>MTOIS</v>
      </c>
      <c r="M74" s="182" t="str">
        <f t="shared" si="16"/>
        <v>AUDMTOIS1Y_Quote</v>
      </c>
      <c r="N74" s="174">
        <f>IFERROR(_xll.qlQuoteValue(H78),"--")</f>
        <v>1.4900000000000002E-2</v>
      </c>
      <c r="O74" s="179"/>
      <c r="P74" s="91" t="b">
        <v>1</v>
      </c>
      <c r="Q74" s="88">
        <v>40</v>
      </c>
      <c r="R74" s="88">
        <v>1</v>
      </c>
      <c r="S74" s="88" t="str">
        <f t="shared" si="15"/>
        <v>obj_00230#0003</v>
      </c>
      <c r="T74" s="92">
        <f>IFERROR(_xll.qlRateHelperEarliestDate(S74,Trigger),"--")</f>
        <v>42682</v>
      </c>
      <c r="U74" s="92">
        <f>IFERROR(_xll.qlRateHelperPillarDate(S74,Trigger),"--")</f>
        <v>43047</v>
      </c>
      <c r="W74" s="3" t="str">
        <f t="shared" si="19"/>
        <v/>
      </c>
      <c r="X74" s="3" t="e">
        <v>#N/A</v>
      </c>
      <c r="Y74" s="3" t="str">
        <f>IFERROR(_xll.qlRateHelperQuoteName(X74,Trigger),"")</f>
        <v/>
      </c>
      <c r="Z74" s="65" t="str">
        <f>IFERROR(_xll.qlRateHelperRate(X74,Trigger),"")</f>
        <v/>
      </c>
      <c r="AA74" s="9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1" t="e">
        <v>#N/A</v>
      </c>
    </row>
    <row r="75" spans="1:30" ht="11.25" customHeight="1" x14ac:dyDescent="0.2">
      <c r="A75" s="56" t="s">
        <v>151</v>
      </c>
      <c r="B75" s="57" t="s">
        <v>46</v>
      </c>
      <c r="C75" s="58">
        <v>1</v>
      </c>
      <c r="D75" s="193"/>
      <c r="E75" s="193"/>
      <c r="F75" s="193"/>
      <c r="G75" s="59" t="str">
        <f t="shared" si="18"/>
        <v>Aonia</v>
      </c>
      <c r="H75" s="60" t="str">
        <f t="shared" si="17"/>
        <v>AUDMTOIS9M_Quote</v>
      </c>
      <c r="I75" s="192"/>
      <c r="J75" s="167" t="str">
        <f>IF(P71,_xll.qlOISRateHelper(,C75,B75,H75,$G75,,Permanent,Trigger,ObjectOverwrite),"--")</f>
        <v>--</v>
      </c>
      <c r="L75" s="173" t="str">
        <f t="shared" si="14"/>
        <v>MTOIS</v>
      </c>
      <c r="M75" s="182" t="str">
        <f t="shared" si="16"/>
        <v>AUDMTOIS13M_Quote</v>
      </c>
      <c r="N75" s="174" t="str">
        <f>IFERROR(_xll.qlQuoteValue(H79),"--")</f>
        <v>--</v>
      </c>
      <c r="O75" s="179"/>
      <c r="P75" s="91" t="b">
        <v>0</v>
      </c>
      <c r="Q75" s="88">
        <v>40</v>
      </c>
      <c r="R75" s="88">
        <v>1</v>
      </c>
      <c r="S75" s="88" t="str">
        <f t="shared" si="15"/>
        <v>--</v>
      </c>
      <c r="T75" s="92" t="str">
        <f>IFERROR(_xll.qlRateHelperEarliestDate(S75,Trigger),"--")</f>
        <v>--</v>
      </c>
      <c r="U75" s="92" t="str">
        <f>IFERROR(_xll.qlRateHelperPillarDate(S75,Trigger),"--")</f>
        <v>--</v>
      </c>
      <c r="W75" s="3" t="str">
        <f t="shared" si="19"/>
        <v/>
      </c>
      <c r="X75" s="3" t="e">
        <v>#N/A</v>
      </c>
      <c r="Y75" s="3" t="str">
        <f>IFERROR(_xll.qlRateHelperQuoteName(X75,Trigger),"")</f>
        <v/>
      </c>
      <c r="Z75" s="65" t="str">
        <f>IFERROR(_xll.qlRateHelperRate(X75,Trigger),"")</f>
        <v/>
      </c>
      <c r="AA75" s="9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1" t="e">
        <v>#N/A</v>
      </c>
    </row>
    <row r="76" spans="1:30" ht="11.25" customHeight="1" x14ac:dyDescent="0.2">
      <c r="A76" s="56" t="s">
        <v>151</v>
      </c>
      <c r="B76" s="57" t="s">
        <v>47</v>
      </c>
      <c r="C76" s="58">
        <v>1</v>
      </c>
      <c r="D76" s="193"/>
      <c r="E76" s="193"/>
      <c r="F76" s="193"/>
      <c r="G76" s="59" t="str">
        <f t="shared" si="18"/>
        <v>Aonia</v>
      </c>
      <c r="H76" s="60" t="str">
        <f t="shared" si="17"/>
        <v>AUDMTOIS10M_Quote</v>
      </c>
      <c r="I76" s="192"/>
      <c r="J76" s="167" t="str">
        <f>IF(P72,_xll.qlOISRateHelper(,C76,B76,H76,$G76,,Permanent,Trigger,ObjectOverwrite),"--")</f>
        <v>--</v>
      </c>
      <c r="L76" s="173" t="str">
        <f t="shared" si="14"/>
        <v>MTOIS</v>
      </c>
      <c r="M76" s="182" t="str">
        <f t="shared" si="16"/>
        <v>AUDMTOIS14M_Quote</v>
      </c>
      <c r="N76" s="174" t="str">
        <f>IFERROR(_xll.qlQuoteValue(H80),"--")</f>
        <v>--</v>
      </c>
      <c r="O76" s="179"/>
      <c r="P76" s="91" t="b">
        <v>0</v>
      </c>
      <c r="Q76" s="88">
        <v>40</v>
      </c>
      <c r="R76" s="88">
        <v>1</v>
      </c>
      <c r="S76" s="88" t="str">
        <f t="shared" si="15"/>
        <v>--</v>
      </c>
      <c r="T76" s="92" t="str">
        <f>IFERROR(_xll.qlRateHelperEarliestDate(S76,Trigger),"--")</f>
        <v>--</v>
      </c>
      <c r="U76" s="92" t="str">
        <f>IFERROR(_xll.qlRateHelperPillarDate(S76,Trigger),"--")</f>
        <v>--</v>
      </c>
      <c r="W76" s="3" t="str">
        <f t="shared" si="19"/>
        <v/>
      </c>
      <c r="X76" s="3" t="e">
        <v>#N/A</v>
      </c>
      <c r="Y76" s="3" t="str">
        <f>IFERROR(_xll.qlRateHelperQuoteName(X76,Trigger),"")</f>
        <v/>
      </c>
      <c r="Z76" s="65" t="str">
        <f>IFERROR(_xll.qlRateHelperRate(X76,Trigger),"")</f>
        <v/>
      </c>
      <c r="AA76" s="9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1" t="e">
        <v>#N/A</v>
      </c>
    </row>
    <row r="77" spans="1:30" ht="11.25" customHeight="1" x14ac:dyDescent="0.2">
      <c r="A77" s="56" t="s">
        <v>151</v>
      </c>
      <c r="B77" s="57" t="s">
        <v>48</v>
      </c>
      <c r="C77" s="58">
        <v>1</v>
      </c>
      <c r="D77" s="193"/>
      <c r="E77" s="193"/>
      <c r="F77" s="193"/>
      <c r="G77" s="59" t="str">
        <f t="shared" si="18"/>
        <v>Aonia</v>
      </c>
      <c r="H77" s="60" t="str">
        <f t="shared" si="17"/>
        <v>AUDMTOIS11M_Quote</v>
      </c>
      <c r="I77" s="192"/>
      <c r="J77" s="167" t="str">
        <f>IF(P73,_xll.qlOISRateHelper(,C77,B77,H77,$G77,,Permanent,Trigger,ObjectOverwrite),"--")</f>
        <v>--</v>
      </c>
      <c r="L77" s="173" t="str">
        <f t="shared" si="14"/>
        <v>MTOIS</v>
      </c>
      <c r="M77" s="182" t="str">
        <f t="shared" si="16"/>
        <v>AUDMTOIS15M_Quote</v>
      </c>
      <c r="N77" s="174" t="str">
        <f>IFERROR(_xll.qlQuoteValue(H81),"--")</f>
        <v>--</v>
      </c>
      <c r="O77" s="179"/>
      <c r="P77" s="91" t="b">
        <v>0</v>
      </c>
      <c r="Q77" s="88">
        <v>40</v>
      </c>
      <c r="R77" s="88">
        <v>1</v>
      </c>
      <c r="S77" s="88" t="str">
        <f t="shared" si="15"/>
        <v>--</v>
      </c>
      <c r="T77" s="92" t="str">
        <f>IFERROR(_xll.qlRateHelperEarliestDate(S77,Trigger),"--")</f>
        <v>--</v>
      </c>
      <c r="U77" s="92" t="str">
        <f>IFERROR(_xll.qlRateHelperPillarDate(S77,Trigger),"--")</f>
        <v>--</v>
      </c>
      <c r="W77" s="3" t="str">
        <f t="shared" si="19"/>
        <v/>
      </c>
      <c r="X77" s="3" t="e">
        <v>#N/A</v>
      </c>
      <c r="Y77" s="3" t="str">
        <f>IFERROR(_xll.qlRateHelperQuoteName(X77,Trigger),"")</f>
        <v/>
      </c>
      <c r="Z77" s="65" t="str">
        <f>IFERROR(_xll.qlRateHelperRate(X77,Trigger),"")</f>
        <v/>
      </c>
      <c r="AA77" s="9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1" t="e">
        <v>#N/A</v>
      </c>
    </row>
    <row r="78" spans="1:30" ht="11.25" customHeight="1" x14ac:dyDescent="0.2">
      <c r="A78" s="56" t="s">
        <v>151</v>
      </c>
      <c r="B78" s="57" t="s">
        <v>27</v>
      </c>
      <c r="C78" s="58">
        <v>1</v>
      </c>
      <c r="D78" s="193"/>
      <c r="E78" s="193"/>
      <c r="F78" s="193"/>
      <c r="G78" s="59" t="str">
        <f t="shared" si="18"/>
        <v>Aonia</v>
      </c>
      <c r="H78" s="60" t="str">
        <f t="shared" si="17"/>
        <v>AUDMTOIS1Y_Quote</v>
      </c>
      <c r="I78" s="192"/>
      <c r="J78" s="167" t="str">
        <f>IF(P74,_xll.qlOISRateHelper(,C78,B78,H78,$G78,,Permanent,Trigger,ObjectOverwrite),"--")</f>
        <v>obj_00230#0003</v>
      </c>
      <c r="L78" s="173" t="str">
        <f t="shared" si="14"/>
        <v>MTOIS</v>
      </c>
      <c r="M78" s="182" t="str">
        <f t="shared" si="16"/>
        <v>AUDMTOIS16M_Quote</v>
      </c>
      <c r="N78" s="174" t="str">
        <f>IFERROR(_xll.qlQuoteValue(H82),"--")</f>
        <v>--</v>
      </c>
      <c r="O78" s="179"/>
      <c r="P78" s="91" t="b">
        <v>0</v>
      </c>
      <c r="Q78" s="88">
        <v>40</v>
      </c>
      <c r="R78" s="88">
        <v>1</v>
      </c>
      <c r="S78" s="88" t="str">
        <f t="shared" si="15"/>
        <v>--</v>
      </c>
      <c r="T78" s="92" t="str">
        <f>IFERROR(_xll.qlRateHelperEarliestDate(S78,Trigger),"--")</f>
        <v>--</v>
      </c>
      <c r="U78" s="92" t="str">
        <f>IFERROR(_xll.qlRateHelperPillarDate(S78,Trigger),"--")</f>
        <v>--</v>
      </c>
      <c r="W78" s="3" t="str">
        <f t="shared" si="19"/>
        <v/>
      </c>
      <c r="X78" s="3" t="e">
        <v>#N/A</v>
      </c>
      <c r="Y78" s="3" t="str">
        <f>IFERROR(_xll.qlRateHelperQuoteName(X78,Trigger),"")</f>
        <v/>
      </c>
      <c r="Z78" s="65" t="str">
        <f>IFERROR(_xll.qlRateHelperRate(X78,Trigger),"")</f>
        <v/>
      </c>
      <c r="AA78" s="9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1" t="e">
        <v>#N/A</v>
      </c>
    </row>
    <row r="79" spans="1:30" ht="11.25" customHeight="1" x14ac:dyDescent="0.2">
      <c r="A79" s="56" t="s">
        <v>151</v>
      </c>
      <c r="B79" s="57" t="s">
        <v>133</v>
      </c>
      <c r="C79" s="58">
        <v>1</v>
      </c>
      <c r="D79" s="193"/>
      <c r="E79" s="193"/>
      <c r="F79" s="193"/>
      <c r="G79" s="59" t="str">
        <f t="shared" si="18"/>
        <v>Aonia</v>
      </c>
      <c r="H79" s="60" t="str">
        <f t="shared" si="17"/>
        <v>AUDMTOIS13M_Quote</v>
      </c>
      <c r="I79" s="192"/>
      <c r="J79" s="167" t="str">
        <f>IF(P75,_xll.qlOISRateHelper(,C79,B79,H79,$G79,,Permanent,Trigger,ObjectOverwrite),"--")</f>
        <v>--</v>
      </c>
      <c r="L79" s="173" t="str">
        <f t="shared" si="14"/>
        <v>MTOIS</v>
      </c>
      <c r="M79" s="182" t="str">
        <f t="shared" si="16"/>
        <v>AUDMTOIS17M_Quote</v>
      </c>
      <c r="N79" s="174" t="str">
        <f>IFERROR(_xll.qlQuoteValue(H83),"--")</f>
        <v>--</v>
      </c>
      <c r="O79" s="179"/>
      <c r="P79" s="91" t="b">
        <v>0</v>
      </c>
      <c r="Q79" s="88">
        <v>40</v>
      </c>
      <c r="R79" s="88">
        <v>1</v>
      </c>
      <c r="S79" s="88" t="str">
        <f t="shared" si="15"/>
        <v>--</v>
      </c>
      <c r="T79" s="92" t="str">
        <f>IFERROR(_xll.qlRateHelperEarliestDate(S79,Trigger),"--")</f>
        <v>--</v>
      </c>
      <c r="U79" s="92" t="str">
        <f>IFERROR(_xll.qlRateHelperPillarDate(S79,Trigger),"--")</f>
        <v>--</v>
      </c>
      <c r="W79" s="3" t="str">
        <f t="shared" si="19"/>
        <v/>
      </c>
      <c r="X79" s="3" t="e">
        <v>#N/A</v>
      </c>
      <c r="Y79" s="3" t="str">
        <f>IFERROR(_xll.qlRateHelperQuoteName(X79,Trigger),"")</f>
        <v/>
      </c>
      <c r="Z79" s="65" t="str">
        <f>IFERROR(_xll.qlRateHelperRate(X79,Trigger),"")</f>
        <v/>
      </c>
      <c r="AA79" s="9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1" t="e">
        <v>#N/A</v>
      </c>
    </row>
    <row r="80" spans="1:30" ht="11.25" customHeight="1" x14ac:dyDescent="0.2">
      <c r="A80" s="56" t="s">
        <v>151</v>
      </c>
      <c r="B80" s="57" t="s">
        <v>134</v>
      </c>
      <c r="C80" s="58">
        <v>1</v>
      </c>
      <c r="D80" s="193"/>
      <c r="E80" s="193"/>
      <c r="F80" s="193"/>
      <c r="G80" s="59" t="str">
        <f t="shared" si="18"/>
        <v>Aonia</v>
      </c>
      <c r="H80" s="60" t="str">
        <f t="shared" si="17"/>
        <v>AUDMTOIS14M_Quote</v>
      </c>
      <c r="I80" s="192"/>
      <c r="J80" s="167" t="str">
        <f>IF(P76,_xll.qlOISRateHelper(,C80,B80,H80,$G80,,Permanent,Trigger,ObjectOverwrite),"--")</f>
        <v>--</v>
      </c>
      <c r="L80" s="173" t="str">
        <f t="shared" si="14"/>
        <v>MTOIS</v>
      </c>
      <c r="M80" s="182" t="str">
        <f t="shared" si="16"/>
        <v>AUDMTOIS18M_Quote</v>
      </c>
      <c r="N80" s="174">
        <f>IFERROR(_xll.qlQuoteValue(H84),"--")</f>
        <v>1.455E-2</v>
      </c>
      <c r="O80" s="179"/>
      <c r="P80" s="91" t="b">
        <v>1</v>
      </c>
      <c r="Q80" s="88">
        <v>40</v>
      </c>
      <c r="R80" s="88">
        <v>1</v>
      </c>
      <c r="S80" s="88" t="str">
        <f t="shared" si="15"/>
        <v>obj_00233#0003</v>
      </c>
      <c r="T80" s="92">
        <f>IFERROR(_xll.qlRateHelperEarliestDate(S80,Trigger),"--")</f>
        <v>42682</v>
      </c>
      <c r="U80" s="92">
        <f>IFERROR(_xll.qlRateHelperPillarDate(S80,Trigger),"--")</f>
        <v>43228</v>
      </c>
      <c r="W80" s="3" t="str">
        <f t="shared" si="19"/>
        <v/>
      </c>
      <c r="X80" s="3" t="e">
        <v>#N/A</v>
      </c>
      <c r="Y80" s="3" t="str">
        <f>IFERROR(_xll.qlRateHelperQuoteName(X80,Trigger),"")</f>
        <v/>
      </c>
      <c r="Z80" s="65" t="str">
        <f>IFERROR(_xll.qlRateHelperRate(X80,Trigger),"")</f>
        <v/>
      </c>
      <c r="AA80" s="9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1" t="e">
        <v>#N/A</v>
      </c>
    </row>
    <row r="81" spans="1:30" x14ac:dyDescent="0.2">
      <c r="A81" s="56" t="s">
        <v>151</v>
      </c>
      <c r="B81" s="57" t="s">
        <v>49</v>
      </c>
      <c r="C81" s="58">
        <v>1</v>
      </c>
      <c r="D81" s="193"/>
      <c r="E81" s="193"/>
      <c r="F81" s="193"/>
      <c r="G81" s="59" t="str">
        <f t="shared" si="18"/>
        <v>Aonia</v>
      </c>
      <c r="H81" s="60" t="str">
        <f t="shared" si="17"/>
        <v>AUDMTOIS15M_Quote</v>
      </c>
      <c r="I81" s="192"/>
      <c r="J81" s="167" t="str">
        <f>IF(P77,_xll.qlOISRateHelper(,C81,B81,H81,$G81,,Permanent,Trigger,ObjectOverwrite),"--")</f>
        <v>--</v>
      </c>
      <c r="L81" s="173" t="str">
        <f t="shared" si="14"/>
        <v>MTOIS</v>
      </c>
      <c r="M81" s="182" t="str">
        <f t="shared" si="16"/>
        <v>AUDMTOIS19M_Quote</v>
      </c>
      <c r="N81" s="174" t="str">
        <f>IFERROR(_xll.qlQuoteValue(H85),"--")</f>
        <v>--</v>
      </c>
      <c r="O81" s="179"/>
      <c r="P81" s="91" t="b">
        <v>0</v>
      </c>
      <c r="Q81" s="88">
        <v>40</v>
      </c>
      <c r="R81" s="88">
        <v>1</v>
      </c>
      <c r="S81" s="88" t="str">
        <f t="shared" si="15"/>
        <v>--</v>
      </c>
      <c r="T81" s="92" t="str">
        <f>IFERROR(_xll.qlRateHelperEarliestDate(S81,Trigger),"--")</f>
        <v>--</v>
      </c>
      <c r="U81" s="92" t="str">
        <f>IFERROR(_xll.qlRateHelperPillarDate(S81,Trigger),"--")</f>
        <v>--</v>
      </c>
      <c r="W81" s="3" t="str">
        <f t="shared" si="19"/>
        <v/>
      </c>
      <c r="X81" s="3" t="e">
        <v>#N/A</v>
      </c>
      <c r="Y81" s="3" t="str">
        <f>IFERROR(_xll.qlRateHelperQuoteName(X81,Trigger),"")</f>
        <v/>
      </c>
      <c r="Z81" s="65" t="str">
        <f>IFERROR(_xll.qlRateHelperRate(X81,Trigger),"")</f>
        <v/>
      </c>
      <c r="AA81" s="9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1" t="e">
        <v>#N/A</v>
      </c>
    </row>
    <row r="82" spans="1:30" x14ac:dyDescent="0.2">
      <c r="A82" s="56" t="s">
        <v>151</v>
      </c>
      <c r="B82" s="57" t="s">
        <v>135</v>
      </c>
      <c r="C82" s="58">
        <v>1</v>
      </c>
      <c r="D82" s="193"/>
      <c r="E82" s="193"/>
      <c r="F82" s="193"/>
      <c r="G82" s="59" t="str">
        <f t="shared" si="18"/>
        <v>Aonia</v>
      </c>
      <c r="H82" s="60" t="str">
        <f t="shared" si="17"/>
        <v>AUDMTOIS16M_Quote</v>
      </c>
      <c r="I82" s="192"/>
      <c r="J82" s="167" t="str">
        <f>IF(P78,_xll.qlOISRateHelper(,C82,B82,H82,$G82,,Permanent,Trigger,ObjectOverwrite),"--")</f>
        <v>--</v>
      </c>
      <c r="L82" s="173" t="str">
        <f t="shared" si="14"/>
        <v>MTOIS</v>
      </c>
      <c r="M82" s="182" t="str">
        <f t="shared" si="16"/>
        <v>AUDMTOIS20M_Quote</v>
      </c>
      <c r="N82" s="174" t="str">
        <f>IFERROR(_xll.qlQuoteValue(H86),"--")</f>
        <v>--</v>
      </c>
      <c r="O82" s="179"/>
      <c r="P82" s="91" t="b">
        <v>0</v>
      </c>
      <c r="Q82" s="88">
        <v>40</v>
      </c>
      <c r="R82" s="88">
        <v>1</v>
      </c>
      <c r="S82" s="88" t="str">
        <f t="shared" si="15"/>
        <v>--</v>
      </c>
      <c r="T82" s="92" t="str">
        <f>IFERROR(_xll.qlRateHelperEarliestDate(S82,Trigger),"--")</f>
        <v>--</v>
      </c>
      <c r="U82" s="92" t="str">
        <f>IFERROR(_xll.qlRateHelperPillarDate(S82,Trigger),"--")</f>
        <v>--</v>
      </c>
      <c r="W82" s="3" t="str">
        <f t="shared" si="19"/>
        <v/>
      </c>
      <c r="X82" s="3" t="e">
        <v>#N/A</v>
      </c>
      <c r="Y82" s="3" t="str">
        <f>IFERROR(_xll.qlRateHelperQuoteName(X82,Trigger),"")</f>
        <v/>
      </c>
      <c r="Z82" s="65" t="str">
        <f>IFERROR(_xll.qlRateHelperRate(X82,Trigger),"")</f>
        <v/>
      </c>
      <c r="AA82" s="9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1" t="e">
        <v>#N/A</v>
      </c>
    </row>
    <row r="83" spans="1:30" x14ac:dyDescent="0.2">
      <c r="A83" s="56" t="s">
        <v>151</v>
      </c>
      <c r="B83" s="57" t="s">
        <v>136</v>
      </c>
      <c r="C83" s="58">
        <v>1</v>
      </c>
      <c r="D83" s="193"/>
      <c r="E83" s="193"/>
      <c r="F83" s="193"/>
      <c r="G83" s="59" t="str">
        <f t="shared" si="18"/>
        <v>Aonia</v>
      </c>
      <c r="H83" s="60" t="str">
        <f t="shared" si="17"/>
        <v>AUDMTOIS17M_Quote</v>
      </c>
      <c r="I83" s="192"/>
      <c r="J83" s="167" t="str">
        <f>IF(P79,_xll.qlOISRateHelper(,C83,B83,H83,$G83,,Permanent,Trigger,ObjectOverwrite),"--")</f>
        <v>--</v>
      </c>
      <c r="L83" s="173" t="str">
        <f t="shared" si="14"/>
        <v>MTOIS</v>
      </c>
      <c r="M83" s="182" t="str">
        <f t="shared" si="16"/>
        <v>AUDMTOIS21M_Quote</v>
      </c>
      <c r="N83" s="174" t="str">
        <f>IFERROR(_xll.qlQuoteValue(H87),"--")</f>
        <v>--</v>
      </c>
      <c r="O83" s="179"/>
      <c r="P83" s="91" t="b">
        <v>0</v>
      </c>
      <c r="Q83" s="88">
        <v>40</v>
      </c>
      <c r="R83" s="88">
        <v>1</v>
      </c>
      <c r="S83" s="88" t="str">
        <f t="shared" si="15"/>
        <v>--</v>
      </c>
      <c r="T83" s="92" t="str">
        <f>IFERROR(_xll.qlRateHelperEarliestDate(S83,Trigger),"--")</f>
        <v>--</v>
      </c>
      <c r="U83" s="92" t="str">
        <f>IFERROR(_xll.qlRateHelperPillarDate(S83,Trigger),"--")</f>
        <v>--</v>
      </c>
      <c r="W83" s="3" t="str">
        <f t="shared" si="19"/>
        <v/>
      </c>
      <c r="X83" s="3" t="e">
        <v>#N/A</v>
      </c>
      <c r="Y83" s="3" t="str">
        <f>IFERROR(_xll.qlRateHelperQuoteName(X83,Trigger),"")</f>
        <v/>
      </c>
      <c r="Z83" s="65" t="str">
        <f>IFERROR(_xll.qlRateHelperRate(X83,Trigger),"")</f>
        <v/>
      </c>
      <c r="AA83" s="9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1" t="e">
        <v>#N/A</v>
      </c>
    </row>
    <row r="84" spans="1:30" x14ac:dyDescent="0.2">
      <c r="A84" s="56" t="s">
        <v>151</v>
      </c>
      <c r="B84" s="57" t="s">
        <v>50</v>
      </c>
      <c r="C84" s="58">
        <v>1</v>
      </c>
      <c r="D84" s="193"/>
      <c r="E84" s="193"/>
      <c r="F84" s="193"/>
      <c r="G84" s="59" t="str">
        <f t="shared" si="18"/>
        <v>Aonia</v>
      </c>
      <c r="H84" s="60" t="str">
        <f t="shared" si="17"/>
        <v>AUDMTOIS18M_Quote</v>
      </c>
      <c r="I84" s="192"/>
      <c r="J84" s="167" t="str">
        <f>IF(P80,_xll.qlOISRateHelper(,C84,B84,H84,$G84,,Permanent,Trigger,ObjectOverwrite),"--")</f>
        <v>obj_00233#0003</v>
      </c>
      <c r="L84" s="173" t="str">
        <f t="shared" si="14"/>
        <v>MTOIS</v>
      </c>
      <c r="M84" s="182" t="str">
        <f t="shared" si="16"/>
        <v>AUDMTOIS22M_Quote</v>
      </c>
      <c r="N84" s="174" t="str">
        <f>IFERROR(_xll.qlQuoteValue(H88),"--")</f>
        <v>--</v>
      </c>
      <c r="O84" s="179"/>
      <c r="P84" s="91" t="b">
        <v>0</v>
      </c>
      <c r="Q84" s="88">
        <v>40</v>
      </c>
      <c r="R84" s="88">
        <v>1</v>
      </c>
      <c r="S84" s="88" t="str">
        <f t="shared" si="15"/>
        <v>--</v>
      </c>
      <c r="T84" s="92" t="str">
        <f>IFERROR(_xll.qlRateHelperEarliestDate(S84,Trigger),"--")</f>
        <v>--</v>
      </c>
      <c r="U84" s="92" t="str">
        <f>IFERROR(_xll.qlRateHelperPillarDate(S84,Trigger),"--")</f>
        <v>--</v>
      </c>
      <c r="W84" s="3" t="str">
        <f t="shared" si="19"/>
        <v/>
      </c>
      <c r="X84" s="3" t="e">
        <v>#N/A</v>
      </c>
      <c r="Y84" s="3" t="str">
        <f>IFERROR(_xll.qlRateHelperQuoteName(X84,Trigger),"")</f>
        <v/>
      </c>
      <c r="Z84" s="65" t="str">
        <f>IFERROR(_xll.qlRateHelperRate(X84,Trigger),"")</f>
        <v/>
      </c>
      <c r="AA84" s="9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71" t="e">
        <v>#N/A</v>
      </c>
    </row>
    <row r="85" spans="1:30" x14ac:dyDescent="0.2">
      <c r="A85" s="56" t="s">
        <v>151</v>
      </c>
      <c r="B85" s="57" t="s">
        <v>137</v>
      </c>
      <c r="C85" s="58">
        <v>1</v>
      </c>
      <c r="D85" s="193"/>
      <c r="E85" s="193"/>
      <c r="F85" s="193"/>
      <c r="G85" s="59" t="str">
        <f t="shared" si="18"/>
        <v>Aonia</v>
      </c>
      <c r="H85" s="60" t="str">
        <f t="shared" si="17"/>
        <v>AUDMTOIS19M_Quote</v>
      </c>
      <c r="I85" s="192"/>
      <c r="J85" s="167" t="str">
        <f>IF(P81,_xll.qlOISRateHelper(,C85,B85,H85,$G85,,Permanent,Trigger,ObjectOverwrite),"--")</f>
        <v>--</v>
      </c>
      <c r="L85" s="173" t="str">
        <f t="shared" si="14"/>
        <v>MTOIS</v>
      </c>
      <c r="M85" s="182" t="str">
        <f t="shared" si="16"/>
        <v>AUDMTOIS23M_Quote</v>
      </c>
      <c r="N85" s="174" t="str">
        <f>IFERROR(_xll.qlQuoteValue(H89),"--")</f>
        <v>--</v>
      </c>
      <c r="O85" s="179"/>
      <c r="P85" s="91" t="b">
        <v>0</v>
      </c>
      <c r="Q85" s="88">
        <v>40</v>
      </c>
      <c r="R85" s="88">
        <v>1</v>
      </c>
      <c r="S85" s="88" t="str">
        <f t="shared" si="15"/>
        <v>--</v>
      </c>
      <c r="T85" s="92" t="str">
        <f>IFERROR(_xll.qlRateHelperEarliestDate(S85,Trigger),"--")</f>
        <v>--</v>
      </c>
      <c r="U85" s="92" t="str">
        <f>IFERROR(_xll.qlRateHelperPillarDate(S85,Trigger),"--")</f>
        <v>--</v>
      </c>
      <c r="W85" s="3" t="str">
        <f t="shared" si="19"/>
        <v/>
      </c>
      <c r="X85" s="3" t="e">
        <v>#N/A</v>
      </c>
      <c r="Y85" s="3" t="str">
        <f>IFERROR(_xll.qlRateHelperQuoteName(X85,Trigger),"")</f>
        <v/>
      </c>
      <c r="Z85" s="65" t="str">
        <f>IFERROR(_xll.qlRateHelperRate(X85,Trigger),"")</f>
        <v/>
      </c>
      <c r="AA85" s="9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71" t="e">
        <v>#N/A</v>
      </c>
    </row>
    <row r="86" spans="1:30" x14ac:dyDescent="0.2">
      <c r="A86" s="56" t="s">
        <v>151</v>
      </c>
      <c r="B86" s="57" t="s">
        <v>138</v>
      </c>
      <c r="C86" s="58">
        <v>1</v>
      </c>
      <c r="D86" s="193"/>
      <c r="E86" s="193"/>
      <c r="F86" s="193"/>
      <c r="G86" s="59" t="str">
        <f t="shared" si="18"/>
        <v>Aonia</v>
      </c>
      <c r="H86" s="60" t="str">
        <f t="shared" si="17"/>
        <v>AUDMTOIS20M_Quote</v>
      </c>
      <c r="I86" s="192"/>
      <c r="J86" s="167" t="str">
        <f>IF(P82,_xll.qlOISRateHelper(,C86,B86,H86,$G86,,Permanent,Trigger,ObjectOverwrite),"--")</f>
        <v>--</v>
      </c>
      <c r="L86" s="173" t="str">
        <f t="shared" si="14"/>
        <v>MTOIS</v>
      </c>
      <c r="M86" s="182" t="str">
        <f t="shared" si="16"/>
        <v>AUDMTOIS2Y_Quote</v>
      </c>
      <c r="N86" s="174">
        <f>IFERROR(_xll.qlQuoteValue(H90),"--")</f>
        <v>1.4500000000000002E-2</v>
      </c>
      <c r="O86" s="179"/>
      <c r="P86" s="91" t="b">
        <v>1</v>
      </c>
      <c r="Q86" s="88">
        <v>40</v>
      </c>
      <c r="R86" s="88">
        <v>1</v>
      </c>
      <c r="S86" s="88" t="str">
        <f t="shared" si="15"/>
        <v>obj_0022a#0004</v>
      </c>
      <c r="T86" s="92">
        <f>IFERROR(_xll.qlRateHelperEarliestDate(S86,Trigger),"--")</f>
        <v>42682</v>
      </c>
      <c r="U86" s="92">
        <f>IFERROR(_xll.qlRateHelperPillarDate(S86,Trigger),"--")</f>
        <v>43412</v>
      </c>
      <c r="W86" s="3" t="str">
        <f t="shared" si="19"/>
        <v/>
      </c>
      <c r="X86" s="3" t="e">
        <v>#N/A</v>
      </c>
      <c r="Y86" s="3" t="str">
        <f>IFERROR(_xll.qlRateHelperQuoteName(X86,Trigger),"")</f>
        <v/>
      </c>
      <c r="Z86" s="65" t="str">
        <f>IFERROR(_xll.qlRateHelperRate(X86,Trigger),"")</f>
        <v/>
      </c>
      <c r="AA86" s="9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71" t="e">
        <v>#N/A</v>
      </c>
    </row>
    <row r="87" spans="1:30" x14ac:dyDescent="0.2">
      <c r="A87" s="56" t="s">
        <v>151</v>
      </c>
      <c r="B87" s="57" t="s">
        <v>51</v>
      </c>
      <c r="C87" s="58">
        <v>1</v>
      </c>
      <c r="D87" s="193"/>
      <c r="E87" s="193"/>
      <c r="F87" s="193"/>
      <c r="G87" s="59" t="str">
        <f t="shared" si="18"/>
        <v>Aonia</v>
      </c>
      <c r="H87" s="60" t="str">
        <f t="shared" si="17"/>
        <v>AUDMTOIS21M_Quote</v>
      </c>
      <c r="I87" s="192"/>
      <c r="J87" s="167" t="str">
        <f>IF(P83,_xll.qlOISRateHelper(,C87,B87,H87,$G87,,Permanent,Trigger,ObjectOverwrite),"--")</f>
        <v>--</v>
      </c>
      <c r="L87" s="173" t="str">
        <f t="shared" si="14"/>
        <v>MTOIS</v>
      </c>
      <c r="M87" s="182" t="str">
        <f t="shared" si="16"/>
        <v>AUDMTOIS27M_Quote</v>
      </c>
      <c r="N87" s="174" t="str">
        <f>IFERROR(_xll.qlQuoteValue(H91),"--")</f>
        <v>--</v>
      </c>
      <c r="O87" s="179"/>
      <c r="P87" s="91" t="b">
        <v>0</v>
      </c>
      <c r="Q87" s="88">
        <v>40</v>
      </c>
      <c r="R87" s="88">
        <v>1</v>
      </c>
      <c r="S87" s="88" t="str">
        <f t="shared" si="15"/>
        <v>--</v>
      </c>
      <c r="T87" s="92" t="str">
        <f>IFERROR(_xll.qlRateHelperEarliestDate(S87,Trigger),"--")</f>
        <v>--</v>
      </c>
      <c r="U87" s="92" t="str">
        <f>IFERROR(_xll.qlRateHelperPillarDate(S87,Trigger),"--")</f>
        <v>--</v>
      </c>
      <c r="W87" s="3" t="str">
        <f t="shared" si="19"/>
        <v/>
      </c>
      <c r="X87" s="3" t="e">
        <v>#N/A</v>
      </c>
      <c r="Y87" s="3" t="str">
        <f>IFERROR(_xll.qlRateHelperQuoteName(X87,Trigger),"")</f>
        <v/>
      </c>
      <c r="Z87" s="65" t="str">
        <f>IFERROR(_xll.qlRateHelperRate(X87,Trigger),"")</f>
        <v/>
      </c>
      <c r="AA87" s="9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71" t="e">
        <v>#N/A</v>
      </c>
    </row>
    <row r="88" spans="1:30" x14ac:dyDescent="0.2">
      <c r="A88" s="56" t="s">
        <v>151</v>
      </c>
      <c r="B88" s="57" t="s">
        <v>139</v>
      </c>
      <c r="C88" s="58">
        <v>1</v>
      </c>
      <c r="D88" s="193"/>
      <c r="E88" s="193"/>
      <c r="F88" s="193"/>
      <c r="G88" s="59" t="str">
        <f t="shared" si="18"/>
        <v>Aonia</v>
      </c>
      <c r="H88" s="60" t="str">
        <f t="shared" si="17"/>
        <v>AUDMTOIS22M_Quote</v>
      </c>
      <c r="I88" s="192"/>
      <c r="J88" s="167" t="str">
        <f>IF(P84,_xll.qlOISRateHelper(,C88,B88,H88,$G88,,Permanent,Trigger,ObjectOverwrite),"--")</f>
        <v>--</v>
      </c>
      <c r="L88" s="173" t="str">
        <f t="shared" si="14"/>
        <v>MTOIS</v>
      </c>
      <c r="M88" s="182" t="str">
        <f t="shared" si="16"/>
        <v>AUDMTOIS30M_Quote</v>
      </c>
      <c r="N88" s="174" t="str">
        <f>IFERROR(_xll.qlQuoteValue(H92),"--")</f>
        <v>--</v>
      </c>
      <c r="O88" s="179"/>
      <c r="P88" s="91" t="b">
        <v>0</v>
      </c>
      <c r="Q88" s="88">
        <v>40</v>
      </c>
      <c r="R88" s="88">
        <v>1</v>
      </c>
      <c r="S88" s="88" t="str">
        <f t="shared" si="15"/>
        <v>--</v>
      </c>
      <c r="T88" s="92" t="str">
        <f>IFERROR(_xll.qlRateHelperEarliestDate(S88,Trigger),"--")</f>
        <v>--</v>
      </c>
      <c r="U88" s="92" t="str">
        <f>IFERROR(_xll.qlRateHelperPillarDate(S88,Trigger),"--")</f>
        <v>--</v>
      </c>
      <c r="W88" s="3" t="str">
        <f t="shared" si="19"/>
        <v/>
      </c>
      <c r="X88" s="3" t="e">
        <v>#N/A</v>
      </c>
      <c r="Y88" s="3" t="str">
        <f>IFERROR(_xll.qlRateHelperQuoteName(X88,Trigger),"")</f>
        <v/>
      </c>
      <c r="Z88" s="65" t="str">
        <f>IFERROR(_xll.qlRateHelperRate(X88,Trigger),"")</f>
        <v/>
      </c>
      <c r="AA88" s="96" t="str">
        <f>IF(ISERROR(_xll.qlSwapRateHelperSpread($X88)),IF(ISERROR(_xll.qlFuturesRateHelperConvexityAdjustment($X88)),"",_xll.qlFuturesRateHelperConvexityAdjustment($X88)),_xll.qlSwapRateHelperSpread($X88))</f>
        <v/>
      </c>
      <c r="AB88" s="4" t="str">
        <f>IFERROR(_xll.qlRateHelperEarliestDate(X88,Trigger),"")</f>
        <v/>
      </c>
      <c r="AC88" s="4" t="str">
        <f>IFERROR(_xll.qlRateHelperPillarDate(X88,Trigger),"")</f>
        <v/>
      </c>
      <c r="AD88" s="71" t="e">
        <v>#N/A</v>
      </c>
    </row>
    <row r="89" spans="1:30" x14ac:dyDescent="0.2">
      <c r="A89" s="56" t="s">
        <v>151</v>
      </c>
      <c r="B89" s="57" t="s">
        <v>140</v>
      </c>
      <c r="C89" s="58">
        <v>1</v>
      </c>
      <c r="D89" s="193"/>
      <c r="E89" s="193"/>
      <c r="F89" s="193"/>
      <c r="G89" s="59" t="str">
        <f t="shared" si="18"/>
        <v>Aonia</v>
      </c>
      <c r="H89" s="60" t="str">
        <f t="shared" si="17"/>
        <v>AUDMTOIS23M_Quote</v>
      </c>
      <c r="I89" s="192"/>
      <c r="J89" s="167" t="str">
        <f>IF(P85,_xll.qlOISRateHelper(,C89,B89,H89,$G89,,Permanent,Trigger,ObjectOverwrite),"--")</f>
        <v>--</v>
      </c>
      <c r="L89" s="173" t="str">
        <f t="shared" si="14"/>
        <v>MTOIS</v>
      </c>
      <c r="M89" s="182" t="str">
        <f t="shared" si="16"/>
        <v>AUDMTOIS33M_Quote</v>
      </c>
      <c r="N89" s="174" t="str">
        <f>IFERROR(_xll.qlQuoteValue(H93),"--")</f>
        <v>--</v>
      </c>
      <c r="O89" s="179"/>
      <c r="P89" s="91" t="b">
        <v>0</v>
      </c>
      <c r="Q89" s="88">
        <v>40</v>
      </c>
      <c r="R89" s="88">
        <v>1</v>
      </c>
      <c r="S89" s="88" t="str">
        <f t="shared" si="15"/>
        <v>--</v>
      </c>
      <c r="T89" s="92" t="str">
        <f>IFERROR(_xll.qlRateHelperEarliestDate(S89,Trigger),"--")</f>
        <v>--</v>
      </c>
      <c r="U89" s="92" t="str">
        <f>IFERROR(_xll.qlRateHelperPillarDate(S89,Trigger),"--")</f>
        <v>--</v>
      </c>
      <c r="W89" s="3" t="str">
        <f t="shared" si="19"/>
        <v/>
      </c>
      <c r="X89" s="3" t="e">
        <v>#N/A</v>
      </c>
      <c r="Y89" s="3" t="str">
        <f>IFERROR(_xll.qlRateHelperQuoteName(X89,Trigger),"")</f>
        <v/>
      </c>
      <c r="Z89" s="65" t="str">
        <f>IFERROR(_xll.qlRateHelperRate(X89,Trigger),"")</f>
        <v/>
      </c>
      <c r="AA89" s="96" t="str">
        <f>IF(ISERROR(_xll.qlSwapRateHelperSpread($X89)),IF(ISERROR(_xll.qlFuturesRateHelperConvexityAdjustment($X89)),"",_xll.qlFuturesRateHelperConvexityAdjustment($X89)),_xll.qlSwapRateHelperSpread($X89))</f>
        <v/>
      </c>
      <c r="AB89" s="4" t="str">
        <f>IFERROR(_xll.qlRateHelperEarliestDate(X89,Trigger),"")</f>
        <v/>
      </c>
      <c r="AC89" s="4" t="str">
        <f>IFERROR(_xll.qlRateHelperPillarDate(X89,Trigger),"")</f>
        <v/>
      </c>
      <c r="AD89" s="71" t="e">
        <v>#N/A</v>
      </c>
    </row>
    <row r="90" spans="1:30" x14ac:dyDescent="0.2">
      <c r="A90" s="56" t="s">
        <v>151</v>
      </c>
      <c r="B90" s="57" t="s">
        <v>52</v>
      </c>
      <c r="C90" s="58">
        <v>1</v>
      </c>
      <c r="D90" s="193"/>
      <c r="E90" s="193"/>
      <c r="F90" s="193"/>
      <c r="G90" s="59" t="str">
        <f t="shared" si="18"/>
        <v>Aonia</v>
      </c>
      <c r="H90" s="60" t="str">
        <f t="shared" si="17"/>
        <v>AUDMTOIS2Y_Quote</v>
      </c>
      <c r="I90" s="192"/>
      <c r="J90" s="167" t="str">
        <f>IF(P86,_xll.qlOISRateHelper(,C90,B90,H90,$G90,,Permanent,Trigger,ObjectOverwrite),"--")</f>
        <v>obj_0022a#0004</v>
      </c>
      <c r="L90" s="173" t="str">
        <f t="shared" si="14"/>
        <v>MTOIS</v>
      </c>
      <c r="M90" s="182" t="str">
        <f t="shared" si="16"/>
        <v>AUDMTOIS3Y_Quote</v>
      </c>
      <c r="N90" s="174">
        <f>IFERROR(_xll.qlQuoteValue(H94),"--")</f>
        <v>1.4700000000000001E-2</v>
      </c>
      <c r="O90" s="179"/>
      <c r="P90" s="91" t="b">
        <v>1</v>
      </c>
      <c r="Q90" s="88">
        <v>40</v>
      </c>
      <c r="R90" s="88">
        <v>1</v>
      </c>
      <c r="S90" s="88" t="str">
        <f t="shared" si="15"/>
        <v>obj_0022b#0004</v>
      </c>
      <c r="T90" s="92">
        <f>IFERROR(_xll.qlRateHelperEarliestDate(S90,Trigger),"--")</f>
        <v>42682</v>
      </c>
      <c r="U90" s="92">
        <f>IFERROR(_xll.qlRateHelperPillarDate(S90,Trigger),"--")</f>
        <v>43777</v>
      </c>
      <c r="W90" s="3" t="str">
        <f t="shared" si="19"/>
        <v/>
      </c>
      <c r="X90" s="3" t="e">
        <v>#N/A</v>
      </c>
      <c r="Y90" s="3" t="str">
        <f>IFERROR(_xll.qlRateHelperQuoteName(X90,Trigger),"")</f>
        <v/>
      </c>
      <c r="Z90" s="65" t="str">
        <f>IFERROR(_xll.qlRateHelperRate(X90,Trigger),"")</f>
        <v/>
      </c>
      <c r="AA90" s="96" t="str">
        <f>IF(ISERROR(_xll.qlSwapRateHelperSpread($X90)),IF(ISERROR(_xll.qlFuturesRateHelperConvexityAdjustment($X90)),"",_xll.qlFuturesRateHelperConvexityAdjustment($X90)),_xll.qlSwapRateHelperSpread($X90))</f>
        <v/>
      </c>
      <c r="AB90" s="4" t="str">
        <f>IFERROR(_xll.qlRateHelperEarliestDate(X90,Trigger),"")</f>
        <v/>
      </c>
      <c r="AC90" s="4" t="str">
        <f>IFERROR(_xll.qlRateHelperPillarDate(X90,Trigger),"")</f>
        <v/>
      </c>
      <c r="AD90" s="71" t="e">
        <v>#N/A</v>
      </c>
    </row>
    <row r="91" spans="1:30" x14ac:dyDescent="0.2">
      <c r="A91" s="56" t="s">
        <v>151</v>
      </c>
      <c r="B91" s="57" t="s">
        <v>141</v>
      </c>
      <c r="C91" s="58">
        <v>1</v>
      </c>
      <c r="D91" s="193"/>
      <c r="E91" s="193"/>
      <c r="F91" s="193"/>
      <c r="G91" s="59" t="str">
        <f t="shared" si="18"/>
        <v>Aonia</v>
      </c>
      <c r="H91" s="60" t="str">
        <f t="shared" si="17"/>
        <v>AUDMTOIS27M_Quote</v>
      </c>
      <c r="I91" s="192"/>
      <c r="J91" s="167" t="str">
        <f>IF(P87,_xll.qlOISRateHelper(,C91,B91,H91,$G91,,Permanent,Trigger,ObjectOverwrite),"--")</f>
        <v>--</v>
      </c>
      <c r="L91" s="173" t="str">
        <f t="shared" si="14"/>
        <v>MTOIS</v>
      </c>
      <c r="M91" s="182" t="str">
        <f t="shared" si="16"/>
        <v>AUDMTOIS39M_Quote</v>
      </c>
      <c r="N91" s="174" t="str">
        <f>IFERROR(_xll.qlQuoteValue(H95),"--")</f>
        <v>--</v>
      </c>
      <c r="O91" s="179"/>
      <c r="P91" s="91" t="b">
        <v>0</v>
      </c>
      <c r="Q91" s="88">
        <v>40</v>
      </c>
      <c r="R91" s="88">
        <v>1</v>
      </c>
      <c r="S91" s="88" t="str">
        <f t="shared" si="15"/>
        <v>--</v>
      </c>
      <c r="T91" s="92" t="str">
        <f>IFERROR(_xll.qlRateHelperEarliestDate(S91,Trigger),"--")</f>
        <v>--</v>
      </c>
      <c r="U91" s="92" t="str">
        <f>IFERROR(_xll.qlRateHelperPillarDate(S91,Trigger),"--")</f>
        <v>--</v>
      </c>
      <c r="W91" s="3" t="str">
        <f t="shared" si="19"/>
        <v/>
      </c>
      <c r="X91" s="3" t="e">
        <v>#N/A</v>
      </c>
      <c r="Y91" s="3" t="str">
        <f>IFERROR(_xll.qlRateHelperQuoteName(X91,Trigger),"")</f>
        <v/>
      </c>
      <c r="Z91" s="65" t="str">
        <f>IFERROR(_xll.qlRateHelperRate(X91,Trigger),"")</f>
        <v/>
      </c>
      <c r="AA91" s="96" t="str">
        <f>IF(ISERROR(_xll.qlSwapRateHelperSpread($X91)),IF(ISERROR(_xll.qlFuturesRateHelperConvexityAdjustment($X91)),"",_xll.qlFuturesRateHelperConvexityAdjustment($X91)),_xll.qlSwapRateHelperSpread($X91))</f>
        <v/>
      </c>
      <c r="AB91" s="4" t="str">
        <f>IFERROR(_xll.qlRateHelperEarliestDate(X91,Trigger),"")</f>
        <v/>
      </c>
      <c r="AC91" s="4" t="str">
        <f>IFERROR(_xll.qlRateHelperPillarDate(X91,Trigger),"")</f>
        <v/>
      </c>
      <c r="AD91" s="71" t="e">
        <v>#N/A</v>
      </c>
    </row>
    <row r="92" spans="1:30" x14ac:dyDescent="0.2">
      <c r="A92" s="56" t="s">
        <v>151</v>
      </c>
      <c r="B92" s="57" t="s">
        <v>142</v>
      </c>
      <c r="C92" s="58">
        <v>1</v>
      </c>
      <c r="D92" s="193"/>
      <c r="E92" s="193"/>
      <c r="F92" s="193"/>
      <c r="G92" s="59" t="str">
        <f t="shared" si="18"/>
        <v>Aonia</v>
      </c>
      <c r="H92" s="60" t="str">
        <f t="shared" si="17"/>
        <v>AUDMTOIS30M_Quote</v>
      </c>
      <c r="I92" s="192"/>
      <c r="J92" s="167" t="str">
        <f>IF(P88,_xll.qlOISRateHelper(,C92,B92,H92,$G92,,Permanent,Trigger,ObjectOverwrite),"--")</f>
        <v>--</v>
      </c>
      <c r="L92" s="173" t="str">
        <f t="shared" ref="L92:L113" si="20">A96</f>
        <v>MTOIS</v>
      </c>
      <c r="M92" s="182" t="str">
        <f t="shared" si="16"/>
        <v>AUDMTOIS42M_Quote</v>
      </c>
      <c r="N92" s="174" t="str">
        <f>IFERROR(_xll.qlQuoteValue(H96),"--")</f>
        <v>--</v>
      </c>
      <c r="O92" s="179"/>
      <c r="P92" s="91" t="b">
        <v>0</v>
      </c>
      <c r="Q92" s="88">
        <v>40</v>
      </c>
      <c r="R92" s="88">
        <v>1</v>
      </c>
      <c r="S92" s="88" t="str">
        <f t="shared" ref="S92:S113" si="21">J96</f>
        <v>--</v>
      </c>
      <c r="T92" s="92" t="str">
        <f>IFERROR(_xll.qlRateHelperEarliestDate(S92,Trigger),"--")</f>
        <v>--</v>
      </c>
      <c r="U92" s="92" t="str">
        <f>IFERROR(_xll.qlRateHelperPillarDate(S92,Trigger),"--")</f>
        <v>--</v>
      </c>
      <c r="W92" s="3" t="str">
        <f t="shared" si="19"/>
        <v/>
      </c>
      <c r="X92" s="3" t="e">
        <v>#N/A</v>
      </c>
      <c r="Y92" s="3" t="str">
        <f>IFERROR(_xll.qlRateHelperQuoteName(X92,Trigger),"")</f>
        <v/>
      </c>
      <c r="Z92" s="65" t="str">
        <f>IFERROR(_xll.qlRateHelperRate(X92,Trigger),"")</f>
        <v/>
      </c>
      <c r="AA92" s="96" t="str">
        <f>IF(ISERROR(_xll.qlSwapRateHelperSpread($X92)),IF(ISERROR(_xll.qlFuturesRateHelperConvexityAdjustment($X92)),"",_xll.qlFuturesRateHelperConvexityAdjustment($X92)),_xll.qlSwapRateHelperSpread($X92))</f>
        <v/>
      </c>
      <c r="AB92" s="4" t="str">
        <f>IFERROR(_xll.qlRateHelperEarliestDate(X92,Trigger),"")</f>
        <v/>
      </c>
      <c r="AC92" s="4" t="str">
        <f>IFERROR(_xll.qlRateHelperPillarDate(X92,Trigger),"")</f>
        <v/>
      </c>
      <c r="AD92" s="71" t="e">
        <v>#N/A</v>
      </c>
    </row>
    <row r="93" spans="1:30" x14ac:dyDescent="0.2">
      <c r="A93" s="56" t="s">
        <v>151</v>
      </c>
      <c r="B93" s="57" t="s">
        <v>143</v>
      </c>
      <c r="C93" s="58">
        <v>1</v>
      </c>
      <c r="D93" s="193"/>
      <c r="E93" s="193"/>
      <c r="F93" s="193"/>
      <c r="G93" s="59" t="str">
        <f t="shared" si="18"/>
        <v>Aonia</v>
      </c>
      <c r="H93" s="60" t="str">
        <f t="shared" si="17"/>
        <v>AUDMTOIS33M_Quote</v>
      </c>
      <c r="I93" s="192"/>
      <c r="J93" s="167" t="str">
        <f>IF(P89,_xll.qlOISRateHelper(,C93,B93,H93,$G93,,Permanent,Trigger,ObjectOverwrite),"--")</f>
        <v>--</v>
      </c>
      <c r="L93" s="173" t="str">
        <f t="shared" si="20"/>
        <v>MTOIS</v>
      </c>
      <c r="M93" s="182" t="str">
        <f t="shared" si="16"/>
        <v>AUDMTOIS45M_Quote</v>
      </c>
      <c r="N93" s="174" t="str">
        <f>IFERROR(_xll.qlQuoteValue(H97),"--")</f>
        <v>--</v>
      </c>
      <c r="O93" s="179"/>
      <c r="P93" s="91" t="b">
        <v>0</v>
      </c>
      <c r="Q93" s="88">
        <v>40</v>
      </c>
      <c r="R93" s="88">
        <v>1</v>
      </c>
      <c r="S93" s="88" t="str">
        <f t="shared" si="21"/>
        <v>--</v>
      </c>
      <c r="T93" s="92" t="str">
        <f>IFERROR(_xll.qlRateHelperEarliestDate(S93,Trigger),"--")</f>
        <v>--</v>
      </c>
      <c r="U93" s="92" t="str">
        <f>IFERROR(_xll.qlRateHelperPillarDate(S93,Trigger),"--")</f>
        <v>--</v>
      </c>
      <c r="W93" s="3" t="str">
        <f t="shared" si="19"/>
        <v/>
      </c>
      <c r="X93" s="3" t="e">
        <v>#N/A</v>
      </c>
      <c r="Y93" s="3" t="str">
        <f>IFERROR(_xll.qlRateHelperQuoteName(X93,Trigger),"")</f>
        <v/>
      </c>
      <c r="Z93" s="65" t="str">
        <f>IFERROR(_xll.qlRateHelperRate(X93,Trigger),"")</f>
        <v/>
      </c>
      <c r="AA93" s="96" t="str">
        <f>IF(ISERROR(_xll.qlSwapRateHelperSpread($X93)),IF(ISERROR(_xll.qlFuturesRateHelperConvexityAdjustment($X93)),"",_xll.qlFuturesRateHelperConvexityAdjustment($X93)),_xll.qlSwapRateHelperSpread($X93))</f>
        <v/>
      </c>
      <c r="AB93" s="4" t="str">
        <f>IFERROR(_xll.qlRateHelperEarliestDate(X93,Trigger),"")</f>
        <v/>
      </c>
      <c r="AC93" s="4" t="str">
        <f>IFERROR(_xll.qlRateHelperPillarDate(X93,Trigger),"")</f>
        <v/>
      </c>
      <c r="AD93" s="71" t="e">
        <v>#N/A</v>
      </c>
    </row>
    <row r="94" spans="1:30" x14ac:dyDescent="0.2">
      <c r="A94" s="56" t="s">
        <v>151</v>
      </c>
      <c r="B94" s="57" t="s">
        <v>53</v>
      </c>
      <c r="C94" s="58">
        <v>1</v>
      </c>
      <c r="D94" s="193"/>
      <c r="E94" s="193"/>
      <c r="F94" s="193"/>
      <c r="G94" s="59" t="str">
        <f t="shared" si="18"/>
        <v>Aonia</v>
      </c>
      <c r="H94" s="60" t="str">
        <f t="shared" si="17"/>
        <v>AUDMTOIS3Y_Quote</v>
      </c>
      <c r="I94" s="192"/>
      <c r="J94" s="167" t="str">
        <f>IF(P90,_xll.qlOISRateHelper(,C94,B94,H94,$G94,,Permanent,Trigger,ObjectOverwrite),"--")</f>
        <v>obj_0022b#0004</v>
      </c>
      <c r="L94" s="173" t="str">
        <f t="shared" si="20"/>
        <v>MTOIS</v>
      </c>
      <c r="M94" s="182" t="str">
        <f t="shared" si="16"/>
        <v>AUDMTOIS4Y_Quote</v>
      </c>
      <c r="N94" s="174">
        <f>IFERROR(_xll.qlQuoteValue(H98),"--")</f>
        <v>1.5100000000000002E-2</v>
      </c>
      <c r="O94" s="179"/>
      <c r="P94" s="91" t="b">
        <v>1</v>
      </c>
      <c r="Q94" s="88">
        <v>40</v>
      </c>
      <c r="R94" s="88">
        <v>1</v>
      </c>
      <c r="S94" s="88" t="str">
        <f t="shared" si="21"/>
        <v>obj_00223#0004</v>
      </c>
      <c r="T94" s="92">
        <f>IFERROR(_xll.qlRateHelperEarliestDate(S94,Trigger),"--")</f>
        <v>42682</v>
      </c>
      <c r="U94" s="92">
        <f>IFERROR(_xll.qlRateHelperPillarDate(S94,Trigger),"--")</f>
        <v>44144</v>
      </c>
      <c r="W94" s="3" t="str">
        <f t="shared" si="19"/>
        <v/>
      </c>
      <c r="X94" s="3" t="e">
        <v>#N/A</v>
      </c>
      <c r="Y94" s="3" t="str">
        <f>IFERROR(_xll.qlRateHelperQuoteName(X94,Trigger),"")</f>
        <v/>
      </c>
      <c r="Z94" s="65" t="str">
        <f>IFERROR(_xll.qlRateHelperRate(X94,Trigger),"")</f>
        <v/>
      </c>
      <c r="AA94" s="96" t="str">
        <f>IF(ISERROR(_xll.qlSwapRateHelperSpread($X94)),IF(ISERROR(_xll.qlFuturesRateHelperConvexityAdjustment($X94)),"",_xll.qlFuturesRateHelperConvexityAdjustment($X94)),_xll.qlSwapRateHelperSpread($X94))</f>
        <v/>
      </c>
      <c r="AB94" s="4" t="str">
        <f>IFERROR(_xll.qlRateHelperEarliestDate(X94,Trigger),"")</f>
        <v/>
      </c>
      <c r="AC94" s="4" t="str">
        <f>IFERROR(_xll.qlRateHelperPillarDate(X94,Trigger),"")</f>
        <v/>
      </c>
      <c r="AD94" s="71" t="e">
        <v>#N/A</v>
      </c>
    </row>
    <row r="95" spans="1:30" x14ac:dyDescent="0.2">
      <c r="A95" s="56" t="s">
        <v>151</v>
      </c>
      <c r="B95" s="57" t="s">
        <v>144</v>
      </c>
      <c r="C95" s="58">
        <v>1</v>
      </c>
      <c r="D95" s="193"/>
      <c r="E95" s="193"/>
      <c r="F95" s="193"/>
      <c r="G95" s="59" t="str">
        <f t="shared" si="18"/>
        <v>Aonia</v>
      </c>
      <c r="H95" s="60" t="str">
        <f t="shared" si="17"/>
        <v>AUDMTOIS39M_Quote</v>
      </c>
      <c r="I95" s="192"/>
      <c r="J95" s="167" t="str">
        <f>IF(P91,_xll.qlOISRateHelper(,C95,B95,H95,$G95,,Permanent,Trigger,ObjectOverwrite),"--")</f>
        <v>--</v>
      </c>
      <c r="L95" s="173" t="str">
        <f t="shared" si="20"/>
        <v>MTOIS</v>
      </c>
      <c r="M95" s="182" t="str">
        <f t="shared" si="16"/>
        <v>AUDMTOIS51M_Quote</v>
      </c>
      <c r="N95" s="174" t="str">
        <f>IFERROR(_xll.qlQuoteValue(H99),"--")</f>
        <v>--</v>
      </c>
      <c r="O95" s="179"/>
      <c r="P95" s="91" t="b">
        <v>0</v>
      </c>
      <c r="Q95" s="88">
        <v>40</v>
      </c>
      <c r="R95" s="88">
        <v>1</v>
      </c>
      <c r="S95" s="88" t="str">
        <f t="shared" si="21"/>
        <v>--</v>
      </c>
      <c r="T95" s="92" t="str">
        <f>IFERROR(_xll.qlRateHelperEarliestDate(S95,Trigger),"--")</f>
        <v>--</v>
      </c>
      <c r="U95" s="92" t="str">
        <f>IFERROR(_xll.qlRateHelperPillarDate(S95,Trigger),"--")</f>
        <v>--</v>
      </c>
      <c r="W95" s="3" t="str">
        <f t="shared" si="19"/>
        <v/>
      </c>
      <c r="X95" s="3" t="e">
        <v>#N/A</v>
      </c>
      <c r="Y95" s="3" t="str">
        <f>IFERROR(_xll.qlRateHelperQuoteName(X95,Trigger),"")</f>
        <v/>
      </c>
      <c r="Z95" s="65" t="str">
        <f>IFERROR(_xll.qlRateHelperRate(X95,Trigger),"")</f>
        <v/>
      </c>
      <c r="AA95" s="96" t="str">
        <f>IF(ISERROR(_xll.qlSwapRateHelperSpread($X95)),IF(ISERROR(_xll.qlFuturesRateHelperConvexityAdjustment($X95)),"",_xll.qlFuturesRateHelperConvexityAdjustment($X95)),_xll.qlSwapRateHelperSpread($X95))</f>
        <v/>
      </c>
      <c r="AB95" s="4" t="str">
        <f>IFERROR(_xll.qlRateHelperEarliestDate(X95,Trigger),"")</f>
        <v/>
      </c>
      <c r="AC95" s="4" t="str">
        <f>IFERROR(_xll.qlRateHelperPillarDate(X95,Trigger),"")</f>
        <v/>
      </c>
      <c r="AD95" s="71" t="e">
        <v>#N/A</v>
      </c>
    </row>
    <row r="96" spans="1:30" x14ac:dyDescent="0.2">
      <c r="A96" s="56" t="s">
        <v>151</v>
      </c>
      <c r="B96" s="57" t="s">
        <v>145</v>
      </c>
      <c r="C96" s="58">
        <v>1</v>
      </c>
      <c r="D96" s="193"/>
      <c r="E96" s="193"/>
      <c r="F96" s="193"/>
      <c r="G96" s="59" t="str">
        <f t="shared" si="18"/>
        <v>Aonia</v>
      </c>
      <c r="H96" s="60" t="str">
        <f t="shared" ref="H96:H117" si="22">Currency&amp;$G$62&amp;IF($B96="1W","SW",$B96)&amp;QuoteSuffix</f>
        <v>AUDMTOIS42M_Quote</v>
      </c>
      <c r="I96" s="192"/>
      <c r="J96" s="167" t="str">
        <f>IF(P92,_xll.qlOISRateHelper(,C96,B96,H96,$G96,,Permanent,Trigger,ObjectOverwrite),"--")</f>
        <v>--</v>
      </c>
      <c r="L96" s="173" t="str">
        <f t="shared" si="20"/>
        <v>MTOIS</v>
      </c>
      <c r="M96" s="182" t="str">
        <f t="shared" si="16"/>
        <v>AUDMTOIS54M_Quote</v>
      </c>
      <c r="N96" s="174" t="str">
        <f>IFERROR(_xll.qlQuoteValue(H100),"--")</f>
        <v>--</v>
      </c>
      <c r="O96" s="179"/>
      <c r="P96" s="91" t="b">
        <v>0</v>
      </c>
      <c r="Q96" s="88">
        <v>40</v>
      </c>
      <c r="R96" s="88">
        <v>1</v>
      </c>
      <c r="S96" s="88" t="str">
        <f t="shared" si="21"/>
        <v>--</v>
      </c>
      <c r="T96" s="92" t="str">
        <f>IFERROR(_xll.qlRateHelperEarliestDate(S96,Trigger),"--")</f>
        <v>--</v>
      </c>
      <c r="U96" s="92" t="str">
        <f>IFERROR(_xll.qlRateHelperPillarDate(S96,Trigger),"--")</f>
        <v>--</v>
      </c>
      <c r="W96" s="3" t="str">
        <f t="shared" si="19"/>
        <v/>
      </c>
      <c r="X96" s="3" t="e">
        <v>#N/A</v>
      </c>
      <c r="Y96" s="3" t="str">
        <f>IFERROR(_xll.qlRateHelperQuoteName(X96,Trigger),"")</f>
        <v/>
      </c>
      <c r="Z96" s="65" t="str">
        <f>IFERROR(_xll.qlRateHelperRate(X96,Trigger),"")</f>
        <v/>
      </c>
      <c r="AA96" s="96" t="str">
        <f>IF(ISERROR(_xll.qlSwapRateHelperSpread($X96)),IF(ISERROR(_xll.qlFuturesRateHelperConvexityAdjustment($X96)),"",_xll.qlFuturesRateHelperConvexityAdjustment($X96)),_xll.qlSwapRateHelperSpread($X96))</f>
        <v/>
      </c>
      <c r="AB96" s="4" t="str">
        <f>IFERROR(_xll.qlRateHelperEarliestDate(X96,Trigger),"")</f>
        <v/>
      </c>
      <c r="AC96" s="4" t="str">
        <f>IFERROR(_xll.qlRateHelperPillarDate(X96,Trigger),"")</f>
        <v/>
      </c>
      <c r="AD96" s="71" t="e">
        <v>#N/A</v>
      </c>
    </row>
    <row r="97" spans="1:30" x14ac:dyDescent="0.2">
      <c r="A97" s="56" t="s">
        <v>151</v>
      </c>
      <c r="B97" s="57" t="s">
        <v>146</v>
      </c>
      <c r="C97" s="58">
        <v>1</v>
      </c>
      <c r="D97" s="193"/>
      <c r="E97" s="193"/>
      <c r="F97" s="193"/>
      <c r="G97" s="59" t="str">
        <f t="shared" si="18"/>
        <v>Aonia</v>
      </c>
      <c r="H97" s="60" t="str">
        <f t="shared" si="22"/>
        <v>AUDMTOIS45M_Quote</v>
      </c>
      <c r="I97" s="192"/>
      <c r="J97" s="167" t="str">
        <f>IF(P93,_xll.qlOISRateHelper(,C97,B97,H97,$G97,,Permanent,Trigger,ObjectOverwrite),"--")</f>
        <v>--</v>
      </c>
      <c r="L97" s="173" t="str">
        <f t="shared" si="20"/>
        <v>MTOIS</v>
      </c>
      <c r="M97" s="182" t="str">
        <f t="shared" si="16"/>
        <v>AUDMTOIS57M_Quote</v>
      </c>
      <c r="N97" s="174" t="str">
        <f>IFERROR(_xll.qlQuoteValue(H101),"--")</f>
        <v>--</v>
      </c>
      <c r="O97" s="179"/>
      <c r="P97" s="91" t="b">
        <v>0</v>
      </c>
      <c r="Q97" s="88">
        <v>40</v>
      </c>
      <c r="R97" s="88">
        <v>1</v>
      </c>
      <c r="S97" s="88" t="str">
        <f t="shared" si="21"/>
        <v>--</v>
      </c>
      <c r="T97" s="92" t="str">
        <f>IFERROR(_xll.qlRateHelperEarliestDate(S97,Trigger),"--")</f>
        <v>--</v>
      </c>
      <c r="U97" s="92" t="str">
        <f>IFERROR(_xll.qlRateHelperPillarDate(S97,Trigger),"--")</f>
        <v>--</v>
      </c>
      <c r="W97" s="3" t="str">
        <f t="shared" si="19"/>
        <v/>
      </c>
      <c r="X97" s="3" t="e">
        <v>#N/A</v>
      </c>
      <c r="Y97" s="3" t="str">
        <f>IFERROR(_xll.qlRateHelperQuoteName(X97,Trigger),"")</f>
        <v/>
      </c>
      <c r="Z97" s="65" t="str">
        <f>IFERROR(_xll.qlRateHelperRate(X97,Trigger),"")</f>
        <v/>
      </c>
      <c r="AA97" s="96" t="str">
        <f>IF(ISERROR(_xll.qlSwapRateHelperSpread($X97)),IF(ISERROR(_xll.qlFuturesRateHelperConvexityAdjustment($X97)),"",_xll.qlFuturesRateHelperConvexityAdjustment($X97)),_xll.qlSwapRateHelperSpread($X97))</f>
        <v/>
      </c>
      <c r="AB97" s="4" t="str">
        <f>IFERROR(_xll.qlRateHelperEarliestDate(X97,Trigger),"")</f>
        <v/>
      </c>
      <c r="AC97" s="4" t="str">
        <f>IFERROR(_xll.qlRateHelperPillarDate(X97,Trigger),"")</f>
        <v/>
      </c>
      <c r="AD97" s="71" t="e">
        <v>#N/A</v>
      </c>
    </row>
    <row r="98" spans="1:30" x14ac:dyDescent="0.2">
      <c r="A98" s="56" t="s">
        <v>151</v>
      </c>
      <c r="B98" s="57" t="s">
        <v>54</v>
      </c>
      <c r="C98" s="58">
        <v>1</v>
      </c>
      <c r="D98" s="193"/>
      <c r="E98" s="193"/>
      <c r="F98" s="193"/>
      <c r="G98" s="59" t="str">
        <f t="shared" si="18"/>
        <v>Aonia</v>
      </c>
      <c r="H98" s="60" t="str">
        <f t="shared" si="22"/>
        <v>AUDMTOIS4Y_Quote</v>
      </c>
      <c r="I98" s="192"/>
      <c r="J98" s="167" t="str">
        <f>IF(P94,_xll.qlOISRateHelper(,C98,B98,H98,$G98,,Permanent,Trigger,ObjectOverwrite),"--")</f>
        <v>obj_00223#0004</v>
      </c>
      <c r="L98" s="173" t="str">
        <f t="shared" si="20"/>
        <v>MTOIS</v>
      </c>
      <c r="M98" s="182" t="str">
        <f t="shared" si="16"/>
        <v>AUDMTOIS5Y_Quote</v>
      </c>
      <c r="N98" s="174">
        <f>IFERROR(_xll.qlQuoteValue(H102),"--")</f>
        <v>1.5550000000000001E-2</v>
      </c>
      <c r="O98" s="179"/>
      <c r="P98" s="91" t="b">
        <v>1</v>
      </c>
      <c r="Q98" s="88">
        <v>40</v>
      </c>
      <c r="R98" s="88">
        <v>1</v>
      </c>
      <c r="S98" s="88" t="str">
        <f t="shared" si="21"/>
        <v>obj_00225#0004</v>
      </c>
      <c r="T98" s="92">
        <f>IFERROR(_xll.qlRateHelperEarliestDate(S98,Trigger),"--")</f>
        <v>42682</v>
      </c>
      <c r="U98" s="92">
        <f>IFERROR(_xll.qlRateHelperPillarDate(S98,Trigger),"--")</f>
        <v>44508</v>
      </c>
      <c r="W98" s="3" t="str">
        <f t="shared" si="19"/>
        <v/>
      </c>
      <c r="X98" s="3" t="e">
        <v>#N/A</v>
      </c>
      <c r="Y98" s="3" t="str">
        <f>IFERROR(_xll.qlRateHelperQuoteName(X98,Trigger),"")</f>
        <v/>
      </c>
      <c r="Z98" s="65" t="str">
        <f>IFERROR(_xll.qlRateHelperRate(X98,Trigger),"")</f>
        <v/>
      </c>
      <c r="AA98" s="96" t="str">
        <f>IF(ISERROR(_xll.qlSwapRateHelperSpread($X98)),IF(ISERROR(_xll.qlFuturesRateHelperConvexityAdjustment($X98)),"",_xll.qlFuturesRateHelperConvexityAdjustment($X98)),_xll.qlSwapRateHelperSpread($X98))</f>
        <v/>
      </c>
      <c r="AB98" s="4" t="str">
        <f>IFERROR(_xll.qlRateHelperEarliestDate(X98,Trigger),"")</f>
        <v/>
      </c>
      <c r="AC98" s="4" t="str">
        <f>IFERROR(_xll.qlRateHelperPillarDate(X98,Trigger),"")</f>
        <v/>
      </c>
      <c r="AD98" s="71" t="e">
        <v>#N/A</v>
      </c>
    </row>
    <row r="99" spans="1:30" x14ac:dyDescent="0.2">
      <c r="A99" s="56" t="s">
        <v>151</v>
      </c>
      <c r="B99" s="57" t="s">
        <v>147</v>
      </c>
      <c r="C99" s="58">
        <v>1</v>
      </c>
      <c r="D99" s="193"/>
      <c r="E99" s="193"/>
      <c r="F99" s="193"/>
      <c r="G99" s="59" t="str">
        <f t="shared" si="18"/>
        <v>Aonia</v>
      </c>
      <c r="H99" s="60" t="str">
        <f t="shared" si="22"/>
        <v>AUDMTOIS51M_Quote</v>
      </c>
      <c r="I99" s="192"/>
      <c r="J99" s="167" t="str">
        <f>IF(P95,_xll.qlOISRateHelper(,C99,B99,H99,$G99,,Permanent,Trigger,ObjectOverwrite),"--")</f>
        <v>--</v>
      </c>
      <c r="L99" s="173" t="str">
        <f t="shared" si="20"/>
        <v>MTOIS</v>
      </c>
      <c r="M99" s="182" t="str">
        <f t="shared" si="16"/>
        <v>AUDMTOIS6Y_Quote</v>
      </c>
      <c r="N99" s="174">
        <f>IFERROR(_xll.qlQuoteValue(H103),"--")</f>
        <v>1.6129999999999999E-2</v>
      </c>
      <c r="O99" s="179"/>
      <c r="P99" s="91" t="b">
        <v>1</v>
      </c>
      <c r="Q99" s="88">
        <v>40</v>
      </c>
      <c r="R99" s="88">
        <v>1</v>
      </c>
      <c r="S99" s="88" t="str">
        <f t="shared" si="21"/>
        <v>obj_00235#0003</v>
      </c>
      <c r="T99" s="92">
        <f>IFERROR(_xll.qlRateHelperEarliestDate(S99,Trigger),"--")</f>
        <v>42682</v>
      </c>
      <c r="U99" s="92">
        <f>IFERROR(_xll.qlRateHelperPillarDate(S99,Trigger),"--")</f>
        <v>44873</v>
      </c>
      <c r="W99" s="3" t="str">
        <f t="shared" ref="W99:W113" si="23">IFERROR(INDEX($L$3:$L$113,MATCH(Y99,$M$3:$M$113,0),1),"")</f>
        <v/>
      </c>
      <c r="X99" s="3" t="e">
        <v>#N/A</v>
      </c>
      <c r="Y99" s="3" t="str">
        <f>IFERROR(_xll.qlRateHelperQuoteName(X99,Trigger),"")</f>
        <v/>
      </c>
      <c r="Z99" s="65" t="str">
        <f>IFERROR(_xll.qlRateHelperRate(X99,Trigger),"")</f>
        <v/>
      </c>
      <c r="AA99" s="96" t="str">
        <f>IF(ISERROR(_xll.qlSwapRateHelperSpread($X99)),IF(ISERROR(_xll.qlFuturesRateHelperConvexityAdjustment($X99)),"",_xll.qlFuturesRateHelperConvexityAdjustment($X99)),_xll.qlSwapRateHelperSpread($X99))</f>
        <v/>
      </c>
      <c r="AB99" s="4" t="str">
        <f>IFERROR(_xll.qlRateHelperEarliestDate(X99,Trigger),"")</f>
        <v/>
      </c>
      <c r="AC99" s="4" t="str">
        <f>IFERROR(_xll.qlRateHelperPillarDate(X99,Trigger),"")</f>
        <v/>
      </c>
      <c r="AD99" s="71" t="e">
        <v>#N/A</v>
      </c>
    </row>
    <row r="100" spans="1:30" x14ac:dyDescent="0.2">
      <c r="A100" s="56" t="s">
        <v>151</v>
      </c>
      <c r="B100" s="57" t="s">
        <v>148</v>
      </c>
      <c r="C100" s="58">
        <v>1</v>
      </c>
      <c r="D100" s="193"/>
      <c r="E100" s="193"/>
      <c r="F100" s="193"/>
      <c r="G100" s="59" t="str">
        <f t="shared" si="18"/>
        <v>Aonia</v>
      </c>
      <c r="H100" s="60" t="str">
        <f t="shared" si="22"/>
        <v>AUDMTOIS54M_Quote</v>
      </c>
      <c r="I100" s="192"/>
      <c r="J100" s="167" t="str">
        <f>IF(P96,_xll.qlOISRateHelper(,C100,B100,H100,$G100,,Permanent,Trigger,ObjectOverwrite),"--")</f>
        <v>--</v>
      </c>
      <c r="L100" s="173" t="str">
        <f t="shared" si="20"/>
        <v>MTOIS</v>
      </c>
      <c r="M100" s="182" t="str">
        <f t="shared" si="16"/>
        <v>AUDMTOIS7Y_Quote</v>
      </c>
      <c r="N100" s="174">
        <f>IFERROR(_xll.qlQuoteValue(H104),"--")</f>
        <v>1.67E-2</v>
      </c>
      <c r="O100" s="179"/>
      <c r="P100" s="91" t="b">
        <v>1</v>
      </c>
      <c r="Q100" s="88">
        <v>40</v>
      </c>
      <c r="R100" s="88">
        <v>1</v>
      </c>
      <c r="S100" s="88" t="str">
        <f t="shared" si="21"/>
        <v>obj_0022d#0003</v>
      </c>
      <c r="T100" s="92">
        <f>IFERROR(_xll.qlRateHelperEarliestDate(S100,Trigger),"--")</f>
        <v>42682</v>
      </c>
      <c r="U100" s="92">
        <f>IFERROR(_xll.qlRateHelperPillarDate(S100,Trigger),"--")</f>
        <v>45238</v>
      </c>
      <c r="W100" s="3" t="str">
        <f t="shared" si="23"/>
        <v/>
      </c>
      <c r="X100" s="3" t="e">
        <v>#N/A</v>
      </c>
      <c r="Y100" s="3" t="str">
        <f>IFERROR(_xll.qlRateHelperQuoteName(X100,Trigger),"")</f>
        <v/>
      </c>
      <c r="Z100" s="65" t="str">
        <f>IFERROR(_xll.qlRateHelperRate(X100,Trigger),"")</f>
        <v/>
      </c>
      <c r="AA100" s="96" t="str">
        <f>IF(ISERROR(_xll.qlSwapRateHelperSpread($X100)),IF(ISERROR(_xll.qlFuturesRateHelperConvexityAdjustment($X100)),"",_xll.qlFuturesRateHelperConvexityAdjustment($X100)),_xll.qlSwapRateHelperSpread($X100))</f>
        <v/>
      </c>
      <c r="AB100" s="4" t="str">
        <f>IFERROR(_xll.qlRateHelperEarliestDate(X100,Trigger),"")</f>
        <v/>
      </c>
      <c r="AC100" s="4" t="str">
        <f>IFERROR(_xll.qlRateHelperPillarDate(X100,Trigger),"")</f>
        <v/>
      </c>
      <c r="AD100" s="71" t="e">
        <v>#N/A</v>
      </c>
    </row>
    <row r="101" spans="1:30" x14ac:dyDescent="0.2">
      <c r="A101" s="56" t="s">
        <v>151</v>
      </c>
      <c r="B101" s="57" t="s">
        <v>149</v>
      </c>
      <c r="C101" s="58">
        <v>1</v>
      </c>
      <c r="D101" s="193"/>
      <c r="E101" s="193"/>
      <c r="F101" s="193"/>
      <c r="G101" s="59" t="str">
        <f t="shared" si="18"/>
        <v>Aonia</v>
      </c>
      <c r="H101" s="60" t="str">
        <f t="shared" si="22"/>
        <v>AUDMTOIS57M_Quote</v>
      </c>
      <c r="I101" s="192"/>
      <c r="J101" s="167" t="str">
        <f>IF(P97,_xll.qlOISRateHelper(,C101,B101,H101,$G101,,Permanent,Trigger,ObjectOverwrite),"--")</f>
        <v>--</v>
      </c>
      <c r="L101" s="173" t="str">
        <f t="shared" si="20"/>
        <v>MTOIS</v>
      </c>
      <c r="M101" s="182" t="str">
        <f t="shared" si="16"/>
        <v>AUDMTOIS8Y_Quote</v>
      </c>
      <c r="N101" s="174">
        <f>IFERROR(_xll.qlQuoteValue(H105),"--")</f>
        <v>1.7180000000000001E-2</v>
      </c>
      <c r="O101" s="179"/>
      <c r="P101" s="91" t="b">
        <v>1</v>
      </c>
      <c r="Q101" s="88">
        <v>40</v>
      </c>
      <c r="R101" s="88">
        <v>1</v>
      </c>
      <c r="S101" s="88" t="str">
        <f t="shared" si="21"/>
        <v>obj_00226#0004</v>
      </c>
      <c r="T101" s="92">
        <f>IFERROR(_xll.qlRateHelperEarliestDate(S101,Trigger),"--")</f>
        <v>42682</v>
      </c>
      <c r="U101" s="92">
        <f>IFERROR(_xll.qlRateHelperPillarDate(S101,Trigger),"--")</f>
        <v>45604</v>
      </c>
      <c r="W101" s="3" t="str">
        <f t="shared" si="23"/>
        <v/>
      </c>
      <c r="X101" s="3" t="e">
        <v>#N/A</v>
      </c>
      <c r="Y101" s="3" t="str">
        <f>IFERROR(_xll.qlRateHelperQuoteName(X101,Trigger),"")</f>
        <v/>
      </c>
      <c r="Z101" s="65" t="str">
        <f>IFERROR(_xll.qlRateHelperRate(X101,Trigger),"")</f>
        <v/>
      </c>
      <c r="AA101" s="96" t="str">
        <f>IF(ISERROR(_xll.qlSwapRateHelperSpread($X101)),IF(ISERROR(_xll.qlFuturesRateHelperConvexityAdjustment($X101)),"",_xll.qlFuturesRateHelperConvexityAdjustment($X101)),_xll.qlSwapRateHelperSpread($X101))</f>
        <v/>
      </c>
      <c r="AB101" s="4" t="str">
        <f>IFERROR(_xll.qlRateHelperEarliestDate(X101,Trigger),"")</f>
        <v/>
      </c>
      <c r="AC101" s="4" t="str">
        <f>IFERROR(_xll.qlRateHelperPillarDate(X101,Trigger),"")</f>
        <v/>
      </c>
      <c r="AD101" s="71" t="e">
        <v>#N/A</v>
      </c>
    </row>
    <row r="102" spans="1:30" x14ac:dyDescent="0.2">
      <c r="A102" s="56" t="s">
        <v>151</v>
      </c>
      <c r="B102" s="57" t="s">
        <v>55</v>
      </c>
      <c r="C102" s="58">
        <v>1</v>
      </c>
      <c r="D102" s="193"/>
      <c r="E102" s="193"/>
      <c r="F102" s="193"/>
      <c r="G102" s="59" t="str">
        <f t="shared" si="18"/>
        <v>Aonia</v>
      </c>
      <c r="H102" s="60" t="str">
        <f t="shared" si="22"/>
        <v>AUDMTOIS5Y_Quote</v>
      </c>
      <c r="I102" s="192"/>
      <c r="J102" s="167" t="str">
        <f>IF(P98,_xll.qlOISRateHelper(,C102,B102,H102,$G102,,Permanent,Trigger,ObjectOverwrite),"--")</f>
        <v>obj_00225#0004</v>
      </c>
      <c r="L102" s="173" t="str">
        <f t="shared" si="20"/>
        <v>MTOIS</v>
      </c>
      <c r="M102" s="182" t="str">
        <f t="shared" si="16"/>
        <v>AUDMTOIS9Y_Quote</v>
      </c>
      <c r="N102" s="174">
        <f>IFERROR(_xll.qlQuoteValue(H106),"--")</f>
        <v>1.7650000000000002E-2</v>
      </c>
      <c r="O102" s="179"/>
      <c r="P102" s="91" t="b">
        <v>1</v>
      </c>
      <c r="Q102" s="88">
        <v>40</v>
      </c>
      <c r="R102" s="88">
        <v>1</v>
      </c>
      <c r="S102" s="88" t="str">
        <f t="shared" si="21"/>
        <v>obj_0022f#0003</v>
      </c>
      <c r="T102" s="92">
        <f>IFERROR(_xll.qlRateHelperEarliestDate(S102,Trigger),"--")</f>
        <v>42682</v>
      </c>
      <c r="U102" s="92">
        <f>IFERROR(_xll.qlRateHelperPillarDate(S102,Trigger),"--")</f>
        <v>45971</v>
      </c>
      <c r="W102" s="3" t="str">
        <f t="shared" si="23"/>
        <v/>
      </c>
      <c r="X102" s="3" t="e">
        <v>#N/A</v>
      </c>
      <c r="Y102" s="3" t="str">
        <f>IFERROR(_xll.qlRateHelperQuoteName(X102,Trigger),"")</f>
        <v/>
      </c>
      <c r="Z102" s="65" t="str">
        <f>IFERROR(_xll.qlRateHelperRate(X102,Trigger),"")</f>
        <v/>
      </c>
      <c r="AA102" s="96" t="str">
        <f>IF(ISERROR(_xll.qlSwapRateHelperSpread($X102)),IF(ISERROR(_xll.qlFuturesRateHelperConvexityAdjustment($X102)),"",_xll.qlFuturesRateHelperConvexityAdjustment($X102)),_xll.qlSwapRateHelperSpread($X102))</f>
        <v/>
      </c>
      <c r="AB102" s="4" t="str">
        <f>IFERROR(_xll.qlRateHelperEarliestDate(X102,Trigger),"")</f>
        <v/>
      </c>
      <c r="AC102" s="4" t="str">
        <f>IFERROR(_xll.qlRateHelperPillarDate(X102,Trigger),"")</f>
        <v/>
      </c>
      <c r="AD102" s="71" t="e">
        <v>#N/A</v>
      </c>
    </row>
    <row r="103" spans="1:30" x14ac:dyDescent="0.2">
      <c r="A103" s="56" t="s">
        <v>151</v>
      </c>
      <c r="B103" s="57" t="s">
        <v>56</v>
      </c>
      <c r="C103" s="58">
        <v>1</v>
      </c>
      <c r="D103" s="193"/>
      <c r="E103" s="193"/>
      <c r="F103" s="193"/>
      <c r="G103" s="59" t="str">
        <f t="shared" si="18"/>
        <v>Aonia</v>
      </c>
      <c r="H103" s="60" t="str">
        <f t="shared" si="22"/>
        <v>AUDMTOIS6Y_Quote</v>
      </c>
      <c r="I103" s="192"/>
      <c r="J103" s="167" t="str">
        <f>IF(P99,_xll.qlOISRateHelper(,C103,B103,H103,$G103,,Permanent,Trigger,ObjectOverwrite),"--")</f>
        <v>obj_00235#0003</v>
      </c>
      <c r="L103" s="173" t="str">
        <f t="shared" si="20"/>
        <v>MTOIS</v>
      </c>
      <c r="M103" s="182" t="str">
        <f t="shared" si="16"/>
        <v>AUDMTOIS10Y_Quote</v>
      </c>
      <c r="N103" s="174">
        <f>IFERROR(_xll.qlQuoteValue(H107),"--")</f>
        <v>1.813E-2</v>
      </c>
      <c r="O103" s="179"/>
      <c r="P103" s="91" t="b">
        <v>1</v>
      </c>
      <c r="Q103" s="88">
        <v>40</v>
      </c>
      <c r="R103" s="88">
        <v>1</v>
      </c>
      <c r="S103" s="88" t="str">
        <f t="shared" si="21"/>
        <v>obj_00227#0004</v>
      </c>
      <c r="T103" s="92">
        <f>IFERROR(_xll.qlRateHelperEarliestDate(S103,Trigger),"--")</f>
        <v>42682</v>
      </c>
      <c r="U103" s="92">
        <f>IFERROR(_xll.qlRateHelperPillarDate(S103,Trigger),"--")</f>
        <v>46335</v>
      </c>
      <c r="W103" s="3" t="str">
        <f t="shared" si="23"/>
        <v/>
      </c>
      <c r="X103" s="3" t="e">
        <v>#N/A</v>
      </c>
      <c r="Y103" s="3" t="str">
        <f>IFERROR(_xll.qlRateHelperQuoteName(X103,Trigger),"")</f>
        <v/>
      </c>
      <c r="Z103" s="65" t="str">
        <f>IFERROR(_xll.qlRateHelperRate(X103,Trigger),"")</f>
        <v/>
      </c>
      <c r="AA103" s="96" t="str">
        <f>IF(ISERROR(_xll.qlSwapRateHelperSpread($X103)),IF(ISERROR(_xll.qlFuturesRateHelperConvexityAdjustment($X103)),"",_xll.qlFuturesRateHelperConvexityAdjustment($X103)),_xll.qlSwapRateHelperSpread($X103))</f>
        <v/>
      </c>
      <c r="AB103" s="4" t="str">
        <f>IFERROR(_xll.qlRateHelperEarliestDate(X103,Trigger),"")</f>
        <v/>
      </c>
      <c r="AC103" s="4" t="str">
        <f>IFERROR(_xll.qlRateHelperPillarDate(X103,Trigger),"")</f>
        <v/>
      </c>
      <c r="AD103" s="71" t="e">
        <v>#N/A</v>
      </c>
    </row>
    <row r="104" spans="1:30" x14ac:dyDescent="0.2">
      <c r="A104" s="56" t="s">
        <v>151</v>
      </c>
      <c r="B104" s="57" t="s">
        <v>57</v>
      </c>
      <c r="C104" s="58">
        <v>1</v>
      </c>
      <c r="D104" s="193"/>
      <c r="E104" s="193"/>
      <c r="F104" s="193"/>
      <c r="G104" s="59" t="str">
        <f t="shared" si="18"/>
        <v>Aonia</v>
      </c>
      <c r="H104" s="60" t="str">
        <f t="shared" si="22"/>
        <v>AUDMTOIS7Y_Quote</v>
      </c>
      <c r="I104" s="192"/>
      <c r="J104" s="167" t="str">
        <f>IF(P100,_xll.qlOISRateHelper(,C104,B104,H104,$G104,,Permanent,Trigger,ObjectOverwrite),"--")</f>
        <v>obj_0022d#0003</v>
      </c>
      <c r="L104" s="173" t="str">
        <f t="shared" si="20"/>
        <v>MTOIS</v>
      </c>
      <c r="M104" s="182" t="str">
        <f t="shared" si="16"/>
        <v>AUDMTOIS12Y_Quote</v>
      </c>
      <c r="N104" s="174">
        <f>IFERROR(_xll.qlQuoteValue(H108),"--")</f>
        <v>1.8930000000000002E-2</v>
      </c>
      <c r="O104" s="179"/>
      <c r="P104" s="91" t="b">
        <v>1</v>
      </c>
      <c r="Q104" s="88">
        <v>40</v>
      </c>
      <c r="R104" s="88">
        <v>1</v>
      </c>
      <c r="S104" s="88" t="str">
        <f t="shared" si="21"/>
        <v>obj_00232#0003</v>
      </c>
      <c r="T104" s="92">
        <f>IFERROR(_xll.qlRateHelperEarliestDate(S104,Trigger),"--")</f>
        <v>42682</v>
      </c>
      <c r="U104" s="92">
        <f>IFERROR(_xll.qlRateHelperPillarDate(S104,Trigger),"--")</f>
        <v>47065</v>
      </c>
      <c r="W104" s="3" t="str">
        <f t="shared" si="23"/>
        <v/>
      </c>
      <c r="X104" s="3" t="e">
        <v>#N/A</v>
      </c>
      <c r="Y104" s="3" t="str">
        <f>IFERROR(_xll.qlRateHelperQuoteName(X104,Trigger),"")</f>
        <v/>
      </c>
      <c r="Z104" s="65" t="str">
        <f>IFERROR(_xll.qlRateHelperRate(X104,Trigger),"")</f>
        <v/>
      </c>
      <c r="AA104" s="96" t="str">
        <f>IF(ISERROR(_xll.qlSwapRateHelperSpread($X104)),IF(ISERROR(_xll.qlFuturesRateHelperConvexityAdjustment($X104)),"",_xll.qlFuturesRateHelperConvexityAdjustment($X104)),_xll.qlSwapRateHelperSpread($X104))</f>
        <v/>
      </c>
      <c r="AB104" s="4" t="str">
        <f>IFERROR(_xll.qlRateHelperEarliestDate(X104,Trigger),"")</f>
        <v/>
      </c>
      <c r="AC104" s="4" t="str">
        <f>IFERROR(_xll.qlRateHelperPillarDate(X104,Trigger),"")</f>
        <v/>
      </c>
      <c r="AD104" s="71" t="e">
        <v>#N/A</v>
      </c>
    </row>
    <row r="105" spans="1:30" x14ac:dyDescent="0.2">
      <c r="A105" s="56" t="s">
        <v>151</v>
      </c>
      <c r="B105" s="57" t="s">
        <v>58</v>
      </c>
      <c r="C105" s="58">
        <v>1</v>
      </c>
      <c r="D105" s="193"/>
      <c r="E105" s="193"/>
      <c r="F105" s="193"/>
      <c r="G105" s="59" t="str">
        <f t="shared" si="18"/>
        <v>Aonia</v>
      </c>
      <c r="H105" s="60" t="str">
        <f t="shared" si="22"/>
        <v>AUDMTOIS8Y_Quote</v>
      </c>
      <c r="I105" s="192"/>
      <c r="J105" s="167" t="str">
        <f>IF(P101,_xll.qlOISRateHelper(,C105,B105,H105,$G105,,Permanent,Trigger,ObjectOverwrite),"--")</f>
        <v>obj_00226#0004</v>
      </c>
      <c r="L105" s="173" t="str">
        <f t="shared" si="20"/>
        <v>MTOIS</v>
      </c>
      <c r="M105" s="182" t="str">
        <f t="shared" si="16"/>
        <v>AUDMTOIS15Y_Quote</v>
      </c>
      <c r="N105" s="174">
        <f>IFERROR(_xll.qlQuoteValue(H109),"--")</f>
        <v>1.993E-2</v>
      </c>
      <c r="O105" s="179"/>
      <c r="P105" s="91" t="b">
        <v>1</v>
      </c>
      <c r="Q105" s="88">
        <v>40</v>
      </c>
      <c r="R105" s="88">
        <v>1</v>
      </c>
      <c r="S105" s="88" t="str">
        <f t="shared" si="21"/>
        <v>obj_00220#0004</v>
      </c>
      <c r="T105" s="92">
        <f>IFERROR(_xll.qlRateHelperEarliestDate(S105,Trigger),"--")</f>
        <v>42682</v>
      </c>
      <c r="U105" s="92">
        <f>IFERROR(_xll.qlRateHelperPillarDate(S105,Trigger),"--")</f>
        <v>48162</v>
      </c>
      <c r="W105" s="3" t="str">
        <f t="shared" si="23"/>
        <v/>
      </c>
      <c r="X105" s="3" t="e">
        <v>#N/A</v>
      </c>
      <c r="Y105" s="3" t="str">
        <f>IFERROR(_xll.qlRateHelperQuoteName(X105,Trigger),"")</f>
        <v/>
      </c>
      <c r="Z105" s="65" t="str">
        <f>IFERROR(_xll.qlRateHelperRate(X105,Trigger),"")</f>
        <v/>
      </c>
      <c r="AA105" s="96" t="str">
        <f>IF(ISERROR(_xll.qlSwapRateHelperSpread($X105)),IF(ISERROR(_xll.qlFuturesRateHelperConvexityAdjustment($X105)),"",_xll.qlFuturesRateHelperConvexityAdjustment($X105)),_xll.qlSwapRateHelperSpread($X105))</f>
        <v/>
      </c>
      <c r="AB105" s="4" t="str">
        <f>IFERROR(_xll.qlRateHelperEarliestDate(X105,Trigger),"")</f>
        <v/>
      </c>
      <c r="AC105" s="4" t="str">
        <f>IFERROR(_xll.qlRateHelperPillarDate(X105,Trigger),"")</f>
        <v/>
      </c>
      <c r="AD105" s="71" t="e">
        <v>#N/A</v>
      </c>
    </row>
    <row r="106" spans="1:30" x14ac:dyDescent="0.2">
      <c r="A106" s="56" t="s">
        <v>151</v>
      </c>
      <c r="B106" s="57" t="s">
        <v>59</v>
      </c>
      <c r="C106" s="58">
        <v>1</v>
      </c>
      <c r="D106" s="193"/>
      <c r="E106" s="193"/>
      <c r="F106" s="193"/>
      <c r="G106" s="59" t="str">
        <f t="shared" si="18"/>
        <v>Aonia</v>
      </c>
      <c r="H106" s="60" t="str">
        <f t="shared" si="22"/>
        <v>AUDMTOIS9Y_Quote</v>
      </c>
      <c r="I106" s="192"/>
      <c r="J106" s="167" t="str">
        <f>IF(P102,_xll.qlOISRateHelper(,C106,B106,H106,$G106,,Permanent,Trigger,ObjectOverwrite),"--")</f>
        <v>obj_0022f#0003</v>
      </c>
      <c r="L106" s="173" t="str">
        <f t="shared" si="20"/>
        <v>MTOIS</v>
      </c>
      <c r="M106" s="182" t="str">
        <f t="shared" si="16"/>
        <v>AUDMTOIS20Y_Quote</v>
      </c>
      <c r="N106" s="174">
        <f>IFERROR(_xll.qlQuoteValue(H110),"--")</f>
        <v>2.0930000000000001E-2</v>
      </c>
      <c r="O106" s="179"/>
      <c r="P106" s="91" t="b">
        <v>1</v>
      </c>
      <c r="Q106" s="88">
        <v>40</v>
      </c>
      <c r="R106" s="88">
        <v>1</v>
      </c>
      <c r="S106" s="88" t="str">
        <f t="shared" si="21"/>
        <v>obj_00234#0003</v>
      </c>
      <c r="T106" s="92">
        <f>IFERROR(_xll.qlRateHelperEarliestDate(S106,Trigger),"--")</f>
        <v>42682</v>
      </c>
      <c r="U106" s="92">
        <f>IFERROR(_xll.qlRateHelperPillarDate(S106,Trigger),"--")</f>
        <v>49989</v>
      </c>
      <c r="W106" s="3" t="str">
        <f t="shared" si="23"/>
        <v/>
      </c>
      <c r="X106" s="3" t="e">
        <v>#N/A</v>
      </c>
      <c r="Y106" s="3" t="str">
        <f>IFERROR(_xll.qlRateHelperQuoteName(X106,Trigger),"")</f>
        <v/>
      </c>
      <c r="Z106" s="65" t="str">
        <f>IFERROR(_xll.qlRateHelperRate(X106,Trigger),"")</f>
        <v/>
      </c>
      <c r="AA106" s="96" t="str">
        <f>IF(ISERROR(_xll.qlSwapRateHelperSpread($X106)),IF(ISERROR(_xll.qlFuturesRateHelperConvexityAdjustment($X106)),"",_xll.qlFuturesRateHelperConvexityAdjustment($X106)),_xll.qlSwapRateHelperSpread($X106))</f>
        <v/>
      </c>
      <c r="AB106" s="4" t="str">
        <f>IFERROR(_xll.qlRateHelperEarliestDate(X106,Trigger),"")</f>
        <v/>
      </c>
      <c r="AC106" s="4" t="str">
        <f>IFERROR(_xll.qlRateHelperPillarDate(X106,Trigger),"")</f>
        <v/>
      </c>
      <c r="AD106" s="71" t="e">
        <v>#N/A</v>
      </c>
    </row>
    <row r="107" spans="1:30" x14ac:dyDescent="0.2">
      <c r="A107" s="56" t="s">
        <v>151</v>
      </c>
      <c r="B107" s="57" t="s">
        <v>60</v>
      </c>
      <c r="C107" s="58">
        <v>1</v>
      </c>
      <c r="D107" s="193"/>
      <c r="E107" s="193"/>
      <c r="F107" s="193"/>
      <c r="G107" s="59" t="str">
        <f t="shared" si="18"/>
        <v>Aonia</v>
      </c>
      <c r="H107" s="60" t="str">
        <f t="shared" si="22"/>
        <v>AUDMTOIS10Y_Quote</v>
      </c>
      <c r="I107" s="192"/>
      <c r="J107" s="167" t="str">
        <f>IF(P103,_xll.qlOISRateHelper(,C107,B107,H107,$G107,,Permanent,Trigger,ObjectOverwrite),"--")</f>
        <v>obj_00227#0004</v>
      </c>
      <c r="L107" s="173" t="str">
        <f t="shared" si="20"/>
        <v>MTOIS</v>
      </c>
      <c r="M107" s="182" t="str">
        <f t="shared" si="16"/>
        <v>AUDMTOIS25Y_Quote</v>
      </c>
      <c r="N107" s="174">
        <f>IFERROR(_xll.qlQuoteValue(H111),"--")</f>
        <v>2.1550000000000003E-2</v>
      </c>
      <c r="O107" s="179"/>
      <c r="P107" s="91" t="b">
        <v>1</v>
      </c>
      <c r="Q107" s="88">
        <v>40</v>
      </c>
      <c r="R107" s="88">
        <v>1</v>
      </c>
      <c r="S107" s="88" t="str">
        <f t="shared" si="21"/>
        <v>obj_00221#0004</v>
      </c>
      <c r="T107" s="92">
        <f>IFERROR(_xll.qlRateHelperEarliestDate(S107,Trigger),"--")</f>
        <v>42682</v>
      </c>
      <c r="U107" s="92">
        <f>IFERROR(_xll.qlRateHelperPillarDate(S107,Trigger),"--")</f>
        <v>51813</v>
      </c>
      <c r="W107" s="3" t="str">
        <f t="shared" si="23"/>
        <v/>
      </c>
      <c r="X107" s="3" t="e">
        <v>#N/A</v>
      </c>
      <c r="Y107" s="3" t="str">
        <f>IFERROR(_xll.qlRateHelperQuoteName(X107,Trigger),"")</f>
        <v/>
      </c>
      <c r="Z107" s="65" t="str">
        <f>IFERROR(_xll.qlRateHelperRate(X107,Trigger),"")</f>
        <v/>
      </c>
      <c r="AA107" s="96" t="str">
        <f>IF(ISERROR(_xll.qlSwapRateHelperSpread($X107)),IF(ISERROR(_xll.qlFuturesRateHelperConvexityAdjustment($X107)),"",_xll.qlFuturesRateHelperConvexityAdjustment($X107)),_xll.qlSwapRateHelperSpread($X107))</f>
        <v/>
      </c>
      <c r="AB107" s="4" t="str">
        <f>IFERROR(_xll.qlRateHelperEarliestDate(X107,Trigger),"")</f>
        <v/>
      </c>
      <c r="AC107" s="4" t="str">
        <f>IFERROR(_xll.qlRateHelperPillarDate(X107,Trigger),"")</f>
        <v/>
      </c>
      <c r="AD107" s="71" t="e">
        <v>#N/A</v>
      </c>
    </row>
    <row r="108" spans="1:30" x14ac:dyDescent="0.2">
      <c r="A108" s="56" t="s">
        <v>151</v>
      </c>
      <c r="B108" s="57" t="s">
        <v>61</v>
      </c>
      <c r="C108" s="58">
        <v>1</v>
      </c>
      <c r="D108" s="193"/>
      <c r="E108" s="193"/>
      <c r="F108" s="193"/>
      <c r="G108" s="59" t="str">
        <f t="shared" si="18"/>
        <v>Aonia</v>
      </c>
      <c r="H108" s="60" t="str">
        <f t="shared" si="22"/>
        <v>AUDMTOIS12Y_Quote</v>
      </c>
      <c r="I108" s="192"/>
      <c r="J108" s="167" t="str">
        <f>IF(P104,_xll.qlOISRateHelper(,C108,B108,H108,$G108,,Permanent,Trigger,ObjectOverwrite),"--")</f>
        <v>obj_00232#0003</v>
      </c>
      <c r="L108" s="173" t="str">
        <f t="shared" si="20"/>
        <v>MTOIS</v>
      </c>
      <c r="M108" s="182" t="str">
        <f t="shared" si="16"/>
        <v>AUDMTOIS27Y_Quote</v>
      </c>
      <c r="N108" s="174" t="str">
        <f>IFERROR(_xll.qlQuoteValue(H112),"--")</f>
        <v>--</v>
      </c>
      <c r="O108" s="179"/>
      <c r="P108" s="91" t="b">
        <v>0</v>
      </c>
      <c r="Q108" s="88">
        <v>40</v>
      </c>
      <c r="R108" s="88">
        <v>1</v>
      </c>
      <c r="S108" s="88" t="str">
        <f t="shared" si="21"/>
        <v>--</v>
      </c>
      <c r="T108" s="92" t="str">
        <f>IFERROR(_xll.qlRateHelperEarliestDate(S108,Trigger),"--")</f>
        <v>--</v>
      </c>
      <c r="U108" s="92" t="str">
        <f>IFERROR(_xll.qlRateHelperPillarDate(S108,Trigger),"--")</f>
        <v>--</v>
      </c>
      <c r="W108" s="3" t="str">
        <f t="shared" si="23"/>
        <v/>
      </c>
      <c r="X108" s="3" t="e">
        <v>#N/A</v>
      </c>
      <c r="Y108" s="3" t="str">
        <f>IFERROR(_xll.qlRateHelperQuoteName(X108,Trigger),"")</f>
        <v/>
      </c>
      <c r="Z108" s="65" t="str">
        <f>IFERROR(_xll.qlRateHelperRate(X108,Trigger),"")</f>
        <v/>
      </c>
      <c r="AA108" s="96" t="str">
        <f>IF(ISERROR(_xll.qlSwapRateHelperSpread($X108)),IF(ISERROR(_xll.qlFuturesRateHelperConvexityAdjustment($X108)),"",_xll.qlFuturesRateHelperConvexityAdjustment($X108)),_xll.qlSwapRateHelperSpread($X108))</f>
        <v/>
      </c>
      <c r="AB108" s="4" t="str">
        <f>IFERROR(_xll.qlRateHelperEarliestDate(X108,Trigger),"")</f>
        <v/>
      </c>
      <c r="AC108" s="4" t="str">
        <f>IFERROR(_xll.qlRateHelperPillarDate(X108,Trigger),"")</f>
        <v/>
      </c>
      <c r="AD108" s="71" t="e">
        <v>#N/A</v>
      </c>
    </row>
    <row r="109" spans="1:30" x14ac:dyDescent="0.2">
      <c r="A109" s="56" t="s">
        <v>151</v>
      </c>
      <c r="B109" s="57" t="s">
        <v>62</v>
      </c>
      <c r="C109" s="58">
        <v>1</v>
      </c>
      <c r="D109" s="193"/>
      <c r="E109" s="193"/>
      <c r="F109" s="193"/>
      <c r="G109" s="59" t="str">
        <f t="shared" si="18"/>
        <v>Aonia</v>
      </c>
      <c r="H109" s="60" t="str">
        <f t="shared" si="22"/>
        <v>AUDMTOIS15Y_Quote</v>
      </c>
      <c r="I109" s="192"/>
      <c r="J109" s="167" t="str">
        <f>IF(P105,_xll.qlOISRateHelper(,C109,B109,H109,$G109,,Permanent,Trigger,ObjectOverwrite),"--")</f>
        <v>obj_00220#0004</v>
      </c>
      <c r="L109" s="173" t="str">
        <f t="shared" si="20"/>
        <v>MTOIS</v>
      </c>
      <c r="M109" s="182" t="str">
        <f t="shared" si="16"/>
        <v>AUDMTOIS30Y_Quote</v>
      </c>
      <c r="N109" s="174">
        <f>IFERROR(_xll.qlQuoteValue(H113),"--")</f>
        <v>2.1649999999999999E-2</v>
      </c>
      <c r="O109" s="179"/>
      <c r="P109" s="91" t="b">
        <v>1</v>
      </c>
      <c r="Q109" s="88">
        <v>40</v>
      </c>
      <c r="R109" s="88">
        <v>1</v>
      </c>
      <c r="S109" s="88" t="str">
        <f t="shared" si="21"/>
        <v>obj_00229#0004</v>
      </c>
      <c r="T109" s="92">
        <f>IFERROR(_xll.qlRateHelperEarliestDate(S109,Trigger),"--")</f>
        <v>42682</v>
      </c>
      <c r="U109" s="92">
        <f>IFERROR(_xll.qlRateHelperPillarDate(S109,Trigger),"--")</f>
        <v>53639</v>
      </c>
      <c r="W109" s="3" t="str">
        <f t="shared" si="23"/>
        <v/>
      </c>
      <c r="X109" s="3" t="e">
        <v>#N/A</v>
      </c>
      <c r="Y109" s="3" t="str">
        <f>IFERROR(_xll.qlRateHelperQuoteName(X109,Trigger),"")</f>
        <v/>
      </c>
      <c r="Z109" s="65" t="str">
        <f>IFERROR(_xll.qlRateHelperRate(X109,Trigger),"")</f>
        <v/>
      </c>
      <c r="AA109" s="96" t="str">
        <f>IF(ISERROR(_xll.qlSwapRateHelperSpread($X109)),IF(ISERROR(_xll.qlFuturesRateHelperConvexityAdjustment($X109)),"",_xll.qlFuturesRateHelperConvexityAdjustment($X109)),_xll.qlSwapRateHelperSpread($X109))</f>
        <v/>
      </c>
      <c r="AB109" s="4" t="str">
        <f>IFERROR(_xll.qlRateHelperEarliestDate(X109,Trigger),"")</f>
        <v/>
      </c>
      <c r="AC109" s="4" t="str">
        <f>IFERROR(_xll.qlRateHelperPillarDate(X109,Trigger),"")</f>
        <v/>
      </c>
      <c r="AD109" s="71" t="e">
        <v>#N/A</v>
      </c>
    </row>
    <row r="110" spans="1:30" x14ac:dyDescent="0.2">
      <c r="A110" s="56" t="s">
        <v>151</v>
      </c>
      <c r="B110" s="57" t="s">
        <v>63</v>
      </c>
      <c r="C110" s="58">
        <v>1</v>
      </c>
      <c r="D110" s="193"/>
      <c r="E110" s="193"/>
      <c r="F110" s="193"/>
      <c r="G110" s="59" t="str">
        <f t="shared" si="18"/>
        <v>Aonia</v>
      </c>
      <c r="H110" s="60" t="str">
        <f t="shared" si="22"/>
        <v>AUDMTOIS20Y_Quote</v>
      </c>
      <c r="I110" s="192"/>
      <c r="J110" s="167" t="str">
        <f>IF(P106,_xll.qlOISRateHelper(,C110,B110,H110,$G110,,Permanent,Trigger,ObjectOverwrite),"--")</f>
        <v>obj_00234#0003</v>
      </c>
      <c r="L110" s="173" t="str">
        <f t="shared" si="20"/>
        <v>MTOIS</v>
      </c>
      <c r="M110" s="182" t="str">
        <f t="shared" si="16"/>
        <v>AUDMTOIS35Y_Quote</v>
      </c>
      <c r="N110" s="174" t="str">
        <f>IFERROR(_xll.qlQuoteValue(H114),"--")</f>
        <v>--</v>
      </c>
      <c r="O110" s="179"/>
      <c r="P110" s="91" t="b">
        <v>0</v>
      </c>
      <c r="Q110" s="88">
        <v>40</v>
      </c>
      <c r="R110" s="88">
        <v>1</v>
      </c>
      <c r="S110" s="88" t="str">
        <f t="shared" si="21"/>
        <v>--</v>
      </c>
      <c r="T110" s="92" t="str">
        <f>IFERROR(_xll.qlRateHelperEarliestDate(S110,Trigger),"--")</f>
        <v>--</v>
      </c>
      <c r="U110" s="92" t="str">
        <f>IFERROR(_xll.qlRateHelperPillarDate(S110,Trigger),"--")</f>
        <v>--</v>
      </c>
      <c r="W110" s="3" t="str">
        <f t="shared" si="23"/>
        <v/>
      </c>
      <c r="X110" s="3" t="e">
        <v>#N/A</v>
      </c>
      <c r="Y110" s="3" t="str">
        <f>IFERROR(_xll.qlRateHelperQuoteName(X110,Trigger),"")</f>
        <v/>
      </c>
      <c r="Z110" s="65" t="str">
        <f>IFERROR(_xll.qlRateHelperRate(X110,Trigger),"")</f>
        <v/>
      </c>
      <c r="AA110" s="96" t="str">
        <f>IF(ISERROR(_xll.qlSwapRateHelperSpread($X110)),IF(ISERROR(_xll.qlFuturesRateHelperConvexityAdjustment($X110)),"",_xll.qlFuturesRateHelperConvexityAdjustment($X110)),_xll.qlSwapRateHelperSpread($X110))</f>
        <v/>
      </c>
      <c r="AB110" s="4" t="str">
        <f>IFERROR(_xll.qlRateHelperEarliestDate(X110,Trigger),"")</f>
        <v/>
      </c>
      <c r="AC110" s="4" t="str">
        <f>IFERROR(_xll.qlRateHelperPillarDate(X110,Trigger),"")</f>
        <v/>
      </c>
      <c r="AD110" s="71" t="e">
        <v>#N/A</v>
      </c>
    </row>
    <row r="111" spans="1:30" x14ac:dyDescent="0.2">
      <c r="A111" s="56" t="s">
        <v>151</v>
      </c>
      <c r="B111" s="57" t="s">
        <v>64</v>
      </c>
      <c r="C111" s="58">
        <v>1</v>
      </c>
      <c r="D111" s="193"/>
      <c r="E111" s="193"/>
      <c r="F111" s="193"/>
      <c r="G111" s="59" t="str">
        <f t="shared" si="18"/>
        <v>Aonia</v>
      </c>
      <c r="H111" s="60" t="str">
        <f t="shared" si="22"/>
        <v>AUDMTOIS25Y_Quote</v>
      </c>
      <c r="I111" s="192"/>
      <c r="J111" s="167" t="str">
        <f>IF(P107,_xll.qlOISRateHelper(,C111,B111,H111,$G111,,Permanent,Trigger,ObjectOverwrite),"--")</f>
        <v>obj_00221#0004</v>
      </c>
      <c r="L111" s="173" t="str">
        <f t="shared" si="20"/>
        <v>MTOIS</v>
      </c>
      <c r="M111" s="182" t="str">
        <f t="shared" si="16"/>
        <v>AUDMTOIS40Y_Quote</v>
      </c>
      <c r="N111" s="174" t="str">
        <f>IFERROR(_xll.qlQuoteValue(H115),"--")</f>
        <v>--</v>
      </c>
      <c r="O111" s="179"/>
      <c r="P111" s="91" t="b">
        <v>0</v>
      </c>
      <c r="Q111" s="88">
        <v>40</v>
      </c>
      <c r="R111" s="88">
        <v>1</v>
      </c>
      <c r="S111" s="88" t="str">
        <f t="shared" si="21"/>
        <v>--</v>
      </c>
      <c r="T111" s="92" t="str">
        <f>IFERROR(_xll.qlRateHelperEarliestDate(S111,Trigger),"--")</f>
        <v>--</v>
      </c>
      <c r="U111" s="92" t="str">
        <f>IFERROR(_xll.qlRateHelperPillarDate(S111,Trigger),"--")</f>
        <v>--</v>
      </c>
      <c r="W111" s="3" t="str">
        <f t="shared" si="23"/>
        <v/>
      </c>
      <c r="X111" s="3" t="e">
        <v>#N/A</v>
      </c>
      <c r="Y111" s="3" t="str">
        <f>IFERROR(_xll.qlRateHelperQuoteName(X111,Trigger),"")</f>
        <v/>
      </c>
      <c r="Z111" s="65" t="str">
        <f>IFERROR(_xll.qlRateHelperRate(X111,Trigger),"")</f>
        <v/>
      </c>
      <c r="AA111" s="96" t="str">
        <f>IF(ISERROR(_xll.qlSwapRateHelperSpread($X111)),IF(ISERROR(_xll.qlFuturesRateHelperConvexityAdjustment($X111)),"",_xll.qlFuturesRateHelperConvexityAdjustment($X111)),_xll.qlSwapRateHelperSpread($X111))</f>
        <v/>
      </c>
      <c r="AB111" s="4" t="str">
        <f>IFERROR(_xll.qlRateHelperEarliestDate(X111,Trigger),"")</f>
        <v/>
      </c>
      <c r="AC111" s="4" t="str">
        <f>IFERROR(_xll.qlRateHelperPillarDate(X111,Trigger),"")</f>
        <v/>
      </c>
      <c r="AD111" s="71" t="e">
        <v>#N/A</v>
      </c>
    </row>
    <row r="112" spans="1:30" x14ac:dyDescent="0.2">
      <c r="A112" s="56" t="s">
        <v>151</v>
      </c>
      <c r="B112" s="57" t="s">
        <v>65</v>
      </c>
      <c r="C112" s="58">
        <v>1</v>
      </c>
      <c r="D112" s="193"/>
      <c r="E112" s="193"/>
      <c r="F112" s="193"/>
      <c r="G112" s="59" t="str">
        <f t="shared" si="18"/>
        <v>Aonia</v>
      </c>
      <c r="H112" s="60" t="str">
        <f t="shared" si="22"/>
        <v>AUDMTOIS27Y_Quote</v>
      </c>
      <c r="I112" s="192"/>
      <c r="J112" s="167" t="str">
        <f>IF(P108,_xll.qlOISRateHelper(,C112,B112,H112,$G112,,Permanent,Trigger,ObjectOverwrite),"--")</f>
        <v>--</v>
      </c>
      <c r="L112" s="173" t="str">
        <f t="shared" si="20"/>
        <v>MTOIS</v>
      </c>
      <c r="M112" s="182" t="str">
        <f t="shared" si="16"/>
        <v>AUDMTOIS45Y_Quote</v>
      </c>
      <c r="N112" s="174" t="str">
        <f>IFERROR(_xll.qlQuoteValue(H116),"--")</f>
        <v>--</v>
      </c>
      <c r="O112" s="179"/>
      <c r="P112" s="91" t="b">
        <v>0</v>
      </c>
      <c r="Q112" s="88">
        <v>40</v>
      </c>
      <c r="R112" s="88">
        <v>1</v>
      </c>
      <c r="S112" s="88" t="str">
        <f t="shared" si="21"/>
        <v>--</v>
      </c>
      <c r="T112" s="92" t="str">
        <f>IFERROR(_xll.qlRateHelperEarliestDate(S112,Trigger),"--")</f>
        <v>--</v>
      </c>
      <c r="U112" s="92" t="str">
        <f>IFERROR(_xll.qlRateHelperPillarDate(S112,Trigger),"--")</f>
        <v>--</v>
      </c>
      <c r="W112" s="3" t="str">
        <f t="shared" si="23"/>
        <v/>
      </c>
      <c r="X112" s="3" t="e">
        <v>#N/A</v>
      </c>
      <c r="Y112" s="3" t="str">
        <f>IFERROR(_xll.qlRateHelperQuoteName(X112,Trigger),"")</f>
        <v/>
      </c>
      <c r="Z112" s="65" t="str">
        <f>IFERROR(_xll.qlRateHelperRate(X112,Trigger),"")</f>
        <v/>
      </c>
      <c r="AA112" s="96" t="str">
        <f>IF(ISERROR(_xll.qlSwapRateHelperSpread($X112)),IF(ISERROR(_xll.qlFuturesRateHelperConvexityAdjustment($X112)),"",_xll.qlFuturesRateHelperConvexityAdjustment($X112)),_xll.qlSwapRateHelperSpread($X112))</f>
        <v/>
      </c>
      <c r="AB112" s="4" t="str">
        <f>IFERROR(_xll.qlRateHelperEarliestDate(X112,Trigger),"")</f>
        <v/>
      </c>
      <c r="AC112" s="4" t="str">
        <f>IFERROR(_xll.qlRateHelperPillarDate(X112,Trigger),"")</f>
        <v/>
      </c>
      <c r="AD112" s="71" t="e">
        <v>#N/A</v>
      </c>
    </row>
    <row r="113" spans="1:30" x14ac:dyDescent="0.2">
      <c r="A113" s="56" t="s">
        <v>151</v>
      </c>
      <c r="B113" s="57" t="s">
        <v>66</v>
      </c>
      <c r="C113" s="58">
        <v>1</v>
      </c>
      <c r="D113" s="193"/>
      <c r="E113" s="193"/>
      <c r="F113" s="193"/>
      <c r="G113" s="59" t="str">
        <f t="shared" si="18"/>
        <v>Aonia</v>
      </c>
      <c r="H113" s="60" t="str">
        <f t="shared" si="22"/>
        <v>AUDMTOIS30Y_Quote</v>
      </c>
      <c r="I113" s="192"/>
      <c r="J113" s="167" t="str">
        <f>IF(P109,_xll.qlOISRateHelper(,C113,B113,H113,$G113,,Permanent,Trigger,ObjectOverwrite),"--")</f>
        <v>obj_00229#0004</v>
      </c>
      <c r="L113" s="175" t="str">
        <f t="shared" si="20"/>
        <v>MTOIS</v>
      </c>
      <c r="M113" s="183" t="str">
        <f t="shared" si="16"/>
        <v>AUDMTOIS50Y_Quote</v>
      </c>
      <c r="N113" s="177" t="str">
        <f>IFERROR(_xll.qlQuoteValue(H117),"--")</f>
        <v>--</v>
      </c>
      <c r="O113" s="180"/>
      <c r="P113" s="93" t="b">
        <v>0</v>
      </c>
      <c r="Q113" s="88">
        <v>40</v>
      </c>
      <c r="R113" s="89">
        <v>1</v>
      </c>
      <c r="S113" s="89" t="str">
        <f t="shared" si="21"/>
        <v>--</v>
      </c>
      <c r="T113" s="94" t="str">
        <f>IFERROR(_xll.qlRateHelperEarliestDate(S113,Trigger),"--")</f>
        <v>--</v>
      </c>
      <c r="U113" s="94" t="str">
        <f>IFERROR(_xll.qlRateHelperPillarDate(S113,Trigger),"--")</f>
        <v>--</v>
      </c>
      <c r="W113" s="5" t="str">
        <f t="shared" si="23"/>
        <v/>
      </c>
      <c r="X113" s="5" t="e">
        <v>#N/A</v>
      </c>
      <c r="Y113" s="5" t="str">
        <f>IFERROR(_xll.qlRateHelperQuoteName(X113,Trigger),"")</f>
        <v/>
      </c>
      <c r="Z113" s="73" t="str">
        <f>IFERROR(_xll.qlRateHelperRate(X113,Trigger),"")</f>
        <v/>
      </c>
      <c r="AA113" s="97" t="str">
        <f>IF(ISERROR(_xll.qlSwapRateHelperSpread($X113)),IF(ISERROR(_xll.qlFuturesRateHelperConvexityAdjustment($X113)),"",_xll.qlFuturesRateHelperConvexityAdjustment($X113)),_xll.qlSwapRateHelperSpread($X113))</f>
        <v/>
      </c>
      <c r="AB113" s="9" t="str">
        <f>IFERROR(_xll.qlRateHelperEarliestDate(X113,Trigger),"")</f>
        <v/>
      </c>
      <c r="AC113" s="9" t="str">
        <f>IFERROR(_xll.qlRateHelperPillarDate(X113,Trigger),"")</f>
        <v/>
      </c>
      <c r="AD113" s="72" t="e">
        <v>#N/A</v>
      </c>
    </row>
    <row r="114" spans="1:30" x14ac:dyDescent="0.2">
      <c r="A114" s="56" t="s">
        <v>151</v>
      </c>
      <c r="B114" s="57" t="s">
        <v>67</v>
      </c>
      <c r="C114" s="58">
        <v>1</v>
      </c>
      <c r="D114" s="193"/>
      <c r="E114" s="193"/>
      <c r="F114" s="193"/>
      <c r="G114" s="59" t="str">
        <f t="shared" si="18"/>
        <v>Aonia</v>
      </c>
      <c r="H114" s="60" t="str">
        <f t="shared" si="22"/>
        <v>AUDMTOIS35Y_Quote</v>
      </c>
      <c r="I114" s="192"/>
      <c r="J114" s="167" t="str">
        <f>IF(P110,_xll.qlOISRateHelper(,C114,B114,H114,$G114,,Permanent,Trigger,ObjectOverwrite),"--")</f>
        <v>--</v>
      </c>
      <c r="Q114" s="195"/>
      <c r="Y114" s="187" t="str">
        <f>_xll.ohGroup("AUDON_instruments",_xll.ohPack(Y3:Y113),Permanent,Trigger,ObjectOverwrite)</f>
        <v>AUDON_instruments#0037</v>
      </c>
    </row>
    <row r="115" spans="1:30" x14ac:dyDescent="0.2">
      <c r="A115" s="56" t="s">
        <v>151</v>
      </c>
      <c r="B115" s="57" t="s">
        <v>68</v>
      </c>
      <c r="C115" s="58">
        <v>1</v>
      </c>
      <c r="D115" s="193"/>
      <c r="E115" s="193"/>
      <c r="F115" s="193"/>
      <c r="G115" s="59" t="str">
        <f t="shared" si="18"/>
        <v>Aonia</v>
      </c>
      <c r="H115" s="60" t="str">
        <f t="shared" si="22"/>
        <v>AUDMTOIS40Y_Quote</v>
      </c>
      <c r="I115" s="192"/>
      <c r="J115" s="167" t="str">
        <f>IF(P111,_xll.qlOISRateHelper(,C115,B115,H115,$G115,,Permanent,Trigger,ObjectOverwrite),"--")</f>
        <v>--</v>
      </c>
    </row>
    <row r="116" spans="1:30" x14ac:dyDescent="0.2">
      <c r="A116" s="56" t="s">
        <v>151</v>
      </c>
      <c r="B116" s="57" t="s">
        <v>150</v>
      </c>
      <c r="C116" s="58">
        <v>1</v>
      </c>
      <c r="D116" s="193"/>
      <c r="E116" s="193"/>
      <c r="F116" s="193"/>
      <c r="G116" s="59" t="str">
        <f t="shared" si="18"/>
        <v>Aonia</v>
      </c>
      <c r="H116" s="60" t="str">
        <f t="shared" si="22"/>
        <v>AUDMTOIS45Y_Quote</v>
      </c>
      <c r="I116" s="192"/>
      <c r="J116" s="167" t="str">
        <f>IF(P112,_xll.qlOISRateHelper(,C116,B116,H116,$G116,,Permanent,Trigger,ObjectOverwrite),"--")</f>
        <v>--</v>
      </c>
    </row>
    <row r="117" spans="1:30" x14ac:dyDescent="0.2">
      <c r="A117" s="1" t="s">
        <v>151</v>
      </c>
      <c r="B117" s="7" t="s">
        <v>69</v>
      </c>
      <c r="C117" s="6">
        <v>1</v>
      </c>
      <c r="D117" s="194"/>
      <c r="E117" s="194"/>
      <c r="F117" s="194"/>
      <c r="G117" s="8" t="str">
        <f t="shared" si="18"/>
        <v>Aonia</v>
      </c>
      <c r="H117" s="2" t="str">
        <f t="shared" si="22"/>
        <v>AUDMTOIS50Y_Quote</v>
      </c>
      <c r="I117" s="191"/>
      <c r="J117" s="166" t="str">
        <f>IF(P113,_xll.qlOISRateHelper(,C117,B117,H117,$G117,,Permanent,Trigger,ObjectOverwrite),"--")</f>
        <v>--</v>
      </c>
    </row>
  </sheetData>
  <dataValidations count="4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113">
      <formula1>"TRUE, FALSE"</formula1>
    </dataValidation>
    <dataValidation type="list" allowBlank="1" showInputMessage="1" showErrorMessage="1" sqref="E3:E5">
      <formula1>"Following,Modified Following,Preceding,Modified Preceding,Unadjusted,Half-Month Modified Following"</formula1>
    </dataValidation>
    <dataValidation type="list" allowBlank="1" showInputMessage="1" showErrorMessage="1" sqref="F3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19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4" hidden="1" customWidth="1" outlineLevel="1"/>
    <col min="2" max="2" width="5.7109375" style="49" hidden="1" customWidth="1" outlineLevel="1"/>
    <col min="3" max="3" width="5.7109375" style="48" hidden="1" customWidth="1" outlineLevel="1"/>
    <col min="4" max="4" width="10.7109375" style="48" hidden="1" customWidth="1" outlineLevel="1"/>
    <col min="5" max="5" width="30.7109375" style="48" hidden="1" customWidth="1" outlineLevel="1"/>
    <col min="6" max="6" width="20.7109375" style="48" hidden="1" customWidth="1" outlineLevel="1"/>
    <col min="7" max="7" width="15.7109375" style="48" hidden="1" customWidth="1" outlineLevel="1"/>
    <col min="8" max="8" width="20.7109375" style="50" hidden="1" customWidth="1" outlineLevel="1"/>
    <col min="9" max="9" width="25.7109375" style="44" hidden="1" customWidth="1" outlineLevel="1"/>
    <col min="10" max="10" width="15.7109375" style="95" hidden="1" customWidth="1" outlineLevel="1"/>
    <col min="11" max="11" width="2.7109375" style="44" customWidth="1" collapsed="1"/>
    <col min="12" max="12" width="5.7109375" style="44" hidden="1" customWidth="1" outlineLevel="1"/>
    <col min="13" max="13" width="20.7109375" style="95" hidden="1" customWidth="1" outlineLevel="1"/>
    <col min="14" max="18" width="8.7109375" style="95" hidden="1" customWidth="1" outlineLevel="1"/>
    <col min="19" max="19" width="15.7109375" style="95" hidden="1" customWidth="1" outlineLevel="1"/>
    <col min="20" max="21" width="10.7109375" style="95" hidden="1" customWidth="1" outlineLevel="1"/>
    <col min="22" max="22" width="2.7109375" style="46" hidden="1" customWidth="1" outlineLevel="1"/>
    <col min="23" max="23" width="6" style="44" customWidth="1" collapsed="1"/>
    <col min="24" max="24" width="10.140625" style="44" hidden="1" customWidth="1" outlineLevel="1"/>
    <col min="25" max="25" width="24.7109375" style="44" customWidth="1" collapsed="1"/>
    <col min="26" max="27" width="9.7109375" style="44" customWidth="1"/>
    <col min="28" max="29" width="17.28515625" style="44" bestFit="1" customWidth="1"/>
    <col min="30" max="30" width="12" style="44" bestFit="1" customWidth="1"/>
    <col min="31" max="32" width="2.7109375" style="44" customWidth="1"/>
    <col min="33" max="33" width="24.42578125" style="44" bestFit="1" customWidth="1"/>
    <col min="34" max="34" width="24.42578125" style="44" hidden="1" customWidth="1" outlineLevel="1"/>
    <col min="35" max="35" width="7" style="44" hidden="1" customWidth="1" outlineLevel="1"/>
    <col min="36" max="36" width="11" style="44" hidden="1" customWidth="1" outlineLevel="1"/>
    <col min="37" max="37" width="9" style="44" bestFit="1" customWidth="1" collapsed="1"/>
    <col min="38" max="38" width="10" style="44" customWidth="1"/>
    <col min="39" max="39" width="24.42578125" style="44" bestFit="1" customWidth="1"/>
    <col min="40" max="16384" width="9.140625" style="44"/>
  </cols>
  <sheetData>
    <row r="1" spans="1:39" ht="18" customHeight="1" x14ac:dyDescent="0.2">
      <c r="G1" s="48" t="s">
        <v>0</v>
      </c>
      <c r="H1" s="48" t="str">
        <f>"_SYNTH"&amp;$G$1</f>
        <v>_SYNTH3M</v>
      </c>
      <c r="I1" s="162"/>
      <c r="L1" s="63" t="s">
        <v>163</v>
      </c>
      <c r="M1" s="98"/>
      <c r="N1" s="98"/>
      <c r="O1" s="90"/>
      <c r="P1" s="98" t="s">
        <v>164</v>
      </c>
      <c r="Q1" s="98"/>
      <c r="R1" s="98"/>
      <c r="S1" s="98"/>
      <c r="T1" s="98"/>
      <c r="U1" s="90"/>
      <c r="V1" s="87"/>
      <c r="W1" s="68" t="str">
        <f>Currency&amp;$G$1</f>
        <v>AUD3M</v>
      </c>
      <c r="X1" s="62"/>
      <c r="Y1" s="62"/>
      <c r="Z1" s="64"/>
      <c r="AA1" s="64"/>
      <c r="AB1" s="62"/>
      <c r="AC1" s="62"/>
      <c r="AD1" s="66" t="s">
        <v>31</v>
      </c>
    </row>
    <row r="2" spans="1:39" ht="21.75" customHeight="1" x14ac:dyDescent="0.2">
      <c r="A2" s="61" t="s">
        <v>8</v>
      </c>
      <c r="B2" s="61" t="s">
        <v>28</v>
      </c>
      <c r="C2" s="61" t="s">
        <v>77</v>
      </c>
      <c r="D2" s="61" t="s">
        <v>127</v>
      </c>
      <c r="E2" s="61" t="s">
        <v>33</v>
      </c>
      <c r="F2" s="61" t="s">
        <v>114</v>
      </c>
      <c r="G2" s="61" t="s">
        <v>4</v>
      </c>
      <c r="H2" s="61" t="s">
        <v>1</v>
      </c>
      <c r="I2" s="61"/>
      <c r="J2" s="61" t="s">
        <v>24</v>
      </c>
      <c r="L2" s="67" t="s">
        <v>8</v>
      </c>
      <c r="M2" s="67" t="s">
        <v>78</v>
      </c>
      <c r="N2" s="67" t="s">
        <v>81</v>
      </c>
      <c r="O2" s="67" t="s">
        <v>83</v>
      </c>
      <c r="P2" s="67" t="s">
        <v>79</v>
      </c>
      <c r="Q2" s="67" t="s">
        <v>80</v>
      </c>
      <c r="R2" s="67" t="s">
        <v>82</v>
      </c>
      <c r="S2" s="67" t="s">
        <v>24</v>
      </c>
      <c r="T2" s="67" t="s">
        <v>22</v>
      </c>
      <c r="U2" s="67" t="s">
        <v>75</v>
      </c>
      <c r="V2" s="87"/>
      <c r="W2" s="67" t="s">
        <v>8</v>
      </c>
      <c r="X2" s="67" t="s">
        <v>24</v>
      </c>
      <c r="Y2" s="67" t="s">
        <v>78</v>
      </c>
      <c r="Z2" s="69" t="s">
        <v>23</v>
      </c>
      <c r="AA2" s="69" t="s">
        <v>83</v>
      </c>
      <c r="AB2" s="67" t="s">
        <v>22</v>
      </c>
      <c r="AC2" s="67" t="s">
        <v>75</v>
      </c>
      <c r="AD2" s="70">
        <f t="array" ref="AD2:AD111">_xll.qlPiecewiseYieldCurveData(YieldCurve_3M,Trigger)</f>
        <v>1</v>
      </c>
      <c r="AE2" s="146"/>
      <c r="AG2" s="147" t="s">
        <v>84</v>
      </c>
      <c r="AH2" s="148"/>
      <c r="AI2" s="148"/>
      <c r="AJ2" s="148"/>
      <c r="AK2" s="149"/>
    </row>
    <row r="3" spans="1:39" ht="11.25" customHeight="1" x14ac:dyDescent="0.2">
      <c r="A3" s="51" t="s">
        <v>26</v>
      </c>
      <c r="B3" s="52" t="s">
        <v>74</v>
      </c>
      <c r="C3" s="53">
        <v>0</v>
      </c>
      <c r="D3" s="54" t="b">
        <v>1</v>
      </c>
      <c r="E3" s="53" t="s">
        <v>153</v>
      </c>
      <c r="F3" s="54" t="s">
        <v>154</v>
      </c>
      <c r="G3" s="53" t="str">
        <f>_xll.qlIborIndex(,FamilyName,SUBSTITUTE(SUBSTITUTE(B3,"S","1"),"N","D"),C3,Currency,Calendar,E3,D3,F3,,Permanent,Trigger,ObjectOverwrite)</f>
        <v>obj_00212#0004</v>
      </c>
      <c r="H3" s="125" t="str">
        <f t="shared" ref="H3:H9" si="0">Currency&amp;$B3&amp;"D"&amp;$H$1&amp;QuoteSuffix</f>
        <v>AUDSND_SYNTH3M_Quote</v>
      </c>
      <c r="I3" s="116"/>
      <c r="J3" s="165" t="str">
        <f>IF(P3,_xll.qlDepositRateHelper(,H3,G3,Permanent,Trigger,ObjectOverwrite),"--")</f>
        <v>obj_00273#0003</v>
      </c>
      <c r="K3" s="47"/>
      <c r="L3" s="171" t="str">
        <f>A3</f>
        <v>Dp</v>
      </c>
      <c r="M3" s="168" t="str">
        <f>H3</f>
        <v>AUDSND_SYNTH3M_Quote</v>
      </c>
      <c r="N3" s="172">
        <f>IFERROR(_xll.qlQuoteValue(H3),"--")</f>
        <v>2.0969000000000002E-2</v>
      </c>
      <c r="O3" s="178"/>
      <c r="P3" s="119" t="b">
        <v>1</v>
      </c>
      <c r="Q3" s="118">
        <v>10</v>
      </c>
      <c r="R3" s="118">
        <v>1</v>
      </c>
      <c r="S3" s="185" t="str">
        <f t="shared" ref="S3:S9" si="1">J3</f>
        <v>obj_00273#0003</v>
      </c>
      <c r="T3" s="120">
        <f>IFERROR(_xll.qlRateHelperEarliestDate(S3,Trigger),"--")</f>
        <v>42681</v>
      </c>
      <c r="U3" s="120">
        <f>IFERROR(_xll.qlRateHelperPillarDate(S3,Trigger),"--")</f>
        <v>42682</v>
      </c>
      <c r="W3" s="3" t="str">
        <f t="shared" ref="W3:W34" si="2">IFERROR(INDEX($L$3:$L$111,MATCH(Y3,$M$3:$M$111,0),1),"")</f>
        <v>Dp</v>
      </c>
      <c r="X3" s="3" t="str">
        <f t="array" ref="X3:X111">_xll.qlRateHelperSelection(_xll.ohFilter(RateHelpers,IncludeFlag),_xll.ohFilter(Priority,IncludeFlag),$AK$3,$AK$4,$AK$5,$AK$6,_xll.ohFilter(MinDistance,IncludeFlag),Trigger)</f>
        <v>obj_00273</v>
      </c>
      <c r="Y3" s="3" t="str">
        <f>IFERROR(_xll.qlRateHelperQuoteName(X3,Trigger),"")</f>
        <v>AUDSND_SYNTH3M_Quote</v>
      </c>
      <c r="Z3" s="65">
        <f>IFERROR(_xll.qlRateHelperRate(X3,Trigger),"")</f>
        <v>1.7756000000000001E-2</v>
      </c>
      <c r="AA3" s="9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42681</v>
      </c>
      <c r="AC3" s="4">
        <f>IFERROR(_xll.qlRateHelperPillarDate(X3,Trigger),"")</f>
        <v>42682</v>
      </c>
      <c r="AD3" s="71">
        <v>0.99995135579103178</v>
      </c>
      <c r="AE3" s="146"/>
      <c r="AG3" s="99" t="s">
        <v>85</v>
      </c>
      <c r="AK3" s="100">
        <v>3</v>
      </c>
    </row>
    <row r="4" spans="1:39" ht="11.25" customHeight="1" x14ac:dyDescent="0.2">
      <c r="A4" s="56" t="s">
        <v>26</v>
      </c>
      <c r="B4" s="57" t="s">
        <v>90</v>
      </c>
      <c r="C4" s="58">
        <v>0</v>
      </c>
      <c r="D4" s="59" t="b">
        <v>1</v>
      </c>
      <c r="E4" s="58" t="s">
        <v>153</v>
      </c>
      <c r="F4" s="59" t="s">
        <v>154</v>
      </c>
      <c r="G4" s="58" t="str">
        <f>_xll.qlIborIndex(,FamilyName,SUBSTITUTE(SUBSTITUTE(B4,"S","1"),"N","D"),C4,Currency,Calendar,E4,D4,F4,,Permanent,Trigger,ObjectOverwrite)</f>
        <v>obj_0021c#0004</v>
      </c>
      <c r="H4" s="108" t="str">
        <f t="shared" si="0"/>
        <v>AUDSWD_SYNTH3M_Quote</v>
      </c>
      <c r="I4" s="110"/>
      <c r="J4" s="167" t="str">
        <f>IF(P4,_xll.qlDepositRateHelper(,H4,G4,Permanent,Trigger,ObjectOverwrite),"--")</f>
        <v>obj_0026e#0003</v>
      </c>
      <c r="K4" s="46"/>
      <c r="L4" s="173" t="str">
        <f t="shared" ref="L4:L9" si="3">A4</f>
        <v>Dp</v>
      </c>
      <c r="M4" s="182" t="str">
        <f t="shared" ref="M4:M9" si="4">H4</f>
        <v>AUDSWD_SYNTH3M_Quote</v>
      </c>
      <c r="N4" s="174">
        <f>IFERROR(_xll.qlQuoteValue(H4),"--")</f>
        <v>2.0992E-2</v>
      </c>
      <c r="O4" s="179"/>
      <c r="P4" s="91" t="b">
        <v>1</v>
      </c>
      <c r="Q4" s="88">
        <v>10</v>
      </c>
      <c r="R4" s="88">
        <v>1</v>
      </c>
      <c r="S4" s="122" t="str">
        <f t="shared" si="1"/>
        <v>obj_0026e#0003</v>
      </c>
      <c r="T4" s="92">
        <f>IFERROR(_xll.qlRateHelperEarliestDate(S4,Trigger),"--")</f>
        <v>42681</v>
      </c>
      <c r="U4" s="92">
        <f>IFERROR(_xll.qlRateHelperPillarDate(S4,Trigger),"--")</f>
        <v>42688</v>
      </c>
      <c r="W4" s="3" t="str">
        <f t="shared" si="2"/>
        <v>Dp</v>
      </c>
      <c r="X4" s="3" t="str">
        <v>obj_0026e</v>
      </c>
      <c r="Y4" s="3" t="str">
        <f>IFERROR(_xll.qlRateHelperQuoteName(X4,Trigger),"")</f>
        <v>AUDSWD_SYNTH3M_Quote</v>
      </c>
      <c r="Z4" s="65">
        <f>IFERROR(_xll.qlRateHelperRate(X4,Trigger),"")</f>
        <v>1.7770999999999999E-2</v>
      </c>
      <c r="AA4" s="9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42681</v>
      </c>
      <c r="AC4" s="4">
        <f>IFERROR(_xll.qlRateHelperPillarDate(X4,Trigger),"")</f>
        <v>42688</v>
      </c>
      <c r="AD4" s="71">
        <v>0.99965930241577372</v>
      </c>
      <c r="AE4" s="146"/>
      <c r="AG4" s="99" t="s">
        <v>86</v>
      </c>
      <c r="AK4" s="100">
        <v>0</v>
      </c>
    </row>
    <row r="5" spans="1:39" ht="11.25" customHeight="1" x14ac:dyDescent="0.2">
      <c r="A5" s="56" t="s">
        <v>26</v>
      </c>
      <c r="B5" s="57" t="s">
        <v>39</v>
      </c>
      <c r="C5" s="58">
        <v>0</v>
      </c>
      <c r="D5" s="59" t="b">
        <v>1</v>
      </c>
      <c r="E5" s="58" t="s">
        <v>153</v>
      </c>
      <c r="F5" s="59" t="s">
        <v>154</v>
      </c>
      <c r="G5" s="58" t="str">
        <f>_xll.qlIborIndex(,FamilyName,SUBSTITUTE(SUBSTITUTE(B5,"S","1"),"N","D"),C5,Currency,Calendar,E5,D5,F5,,Permanent,Trigger,ObjectOverwrite)</f>
        <v>obj_00219#0004</v>
      </c>
      <c r="H5" s="108" t="str">
        <f t="shared" si="0"/>
        <v>AUD2WD_SYNTH3M_Quote</v>
      </c>
      <c r="I5" s="110"/>
      <c r="J5" s="167" t="str">
        <f>IF(P5,_xll.qlDepositRateHelper(,H5,G5,Permanent,Trigger,ObjectOverwrite),"--")</f>
        <v>obj_00274#0003</v>
      </c>
      <c r="K5" s="46"/>
      <c r="L5" s="173" t="str">
        <f t="shared" si="3"/>
        <v>Dp</v>
      </c>
      <c r="M5" s="182" t="str">
        <f t="shared" si="4"/>
        <v>AUD2WD_SYNTH3M_Quote</v>
      </c>
      <c r="N5" s="174">
        <f>IFERROR(_xll.qlQuoteValue(H5),"--")</f>
        <v>2.103E-2</v>
      </c>
      <c r="O5" s="179"/>
      <c r="P5" s="91" t="b">
        <v>1</v>
      </c>
      <c r="Q5" s="88">
        <v>10</v>
      </c>
      <c r="R5" s="88">
        <v>1</v>
      </c>
      <c r="S5" s="122" t="str">
        <f t="shared" si="1"/>
        <v>obj_00274#0003</v>
      </c>
      <c r="T5" s="92">
        <f>IFERROR(_xll.qlRateHelperEarliestDate(S5,Trigger),"--")</f>
        <v>42681</v>
      </c>
      <c r="U5" s="92">
        <f>IFERROR(_xll.qlRateHelperPillarDate(S5,Trigger),"--")</f>
        <v>42695</v>
      </c>
      <c r="W5" s="3" t="str">
        <f t="shared" si="2"/>
        <v>Dp</v>
      </c>
      <c r="X5" s="3" t="str">
        <v>obj_00274</v>
      </c>
      <c r="Y5" s="3" t="str">
        <f>IFERROR(_xll.qlRateHelperQuoteName(X5,Trigger),"")</f>
        <v>AUD2WD_SYNTH3M_Quote</v>
      </c>
      <c r="Z5" s="65">
        <f>IFERROR(_xll.qlRateHelperRate(X5,Trigger),"")</f>
        <v>1.7794000000000001E-2</v>
      </c>
      <c r="AA5" s="9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42681</v>
      </c>
      <c r="AC5" s="4">
        <f>IFERROR(_xll.qlRateHelperPillarDate(X5,Trigger),"")</f>
        <v>42695</v>
      </c>
      <c r="AD5" s="71">
        <v>0.99931795591258865</v>
      </c>
      <c r="AE5" s="146"/>
      <c r="AF5" s="74"/>
      <c r="AG5" s="99" t="s">
        <v>87</v>
      </c>
      <c r="AK5" s="100">
        <v>2</v>
      </c>
    </row>
    <row r="6" spans="1:39" ht="11.25" customHeight="1" x14ac:dyDescent="0.2">
      <c r="A6" s="1" t="s">
        <v>26</v>
      </c>
      <c r="B6" s="7" t="s">
        <v>40</v>
      </c>
      <c r="C6" s="6">
        <v>0</v>
      </c>
      <c r="D6" s="8" t="b">
        <v>1</v>
      </c>
      <c r="E6" s="6" t="s">
        <v>153</v>
      </c>
      <c r="F6" s="8" t="s">
        <v>154</v>
      </c>
      <c r="G6" s="6" t="str">
        <f>_xll.qlIborIndex(,FamilyName,SUBSTITUTE(SUBSTITUTE(B6,"S","1"),"N","D"),C6,Currency,Calendar,E6,D6,F6,,Permanent,Trigger,ObjectOverwrite)</f>
        <v>obj_00215#0004</v>
      </c>
      <c r="H6" s="109" t="str">
        <f t="shared" si="0"/>
        <v>AUD3WD_SYNTH3M_Quote</v>
      </c>
      <c r="I6" s="111"/>
      <c r="J6" s="166" t="str">
        <f>IF(P6,_xll.qlDepositRateHelper(,H6,G6,Permanent,Trigger,ObjectOverwrite),"--")</f>
        <v>obj_00271#0003</v>
      </c>
      <c r="K6" s="46"/>
      <c r="L6" s="173" t="str">
        <f t="shared" si="3"/>
        <v>Dp</v>
      </c>
      <c r="M6" s="182" t="str">
        <f t="shared" si="4"/>
        <v>AUD3WD_SYNTH3M_Quote</v>
      </c>
      <c r="N6" s="174">
        <f>IFERROR(_xll.qlQuoteValue(H6),"--")</f>
        <v>2.103E-2</v>
      </c>
      <c r="O6" s="179"/>
      <c r="P6" s="91" t="b">
        <v>1</v>
      </c>
      <c r="Q6" s="88">
        <v>10</v>
      </c>
      <c r="R6" s="88">
        <v>1</v>
      </c>
      <c r="S6" s="122" t="str">
        <f t="shared" si="1"/>
        <v>obj_00271#0003</v>
      </c>
      <c r="T6" s="92">
        <f>IFERROR(_xll.qlRateHelperEarliestDate(S6,Trigger),"--")</f>
        <v>42681</v>
      </c>
      <c r="U6" s="92">
        <f>IFERROR(_xll.qlRateHelperPillarDate(S6,Trigger),"--")</f>
        <v>42702</v>
      </c>
      <c r="W6" s="3" t="str">
        <f t="shared" si="2"/>
        <v>Dp</v>
      </c>
      <c r="X6" s="3" t="str">
        <v>obj_00271</v>
      </c>
      <c r="Y6" s="3" t="str">
        <f>IFERROR(_xll.qlRateHelperQuoteName(X6,Trigger),"")</f>
        <v>AUD3WD_SYNTH3M_Quote</v>
      </c>
      <c r="Z6" s="65">
        <f>IFERROR(_xll.qlRateHelperRate(X6,Trigger),"")</f>
        <v>1.7808999999999998E-2</v>
      </c>
      <c r="AA6" s="9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42681</v>
      </c>
      <c r="AC6" s="4">
        <f>IFERROR(_xll.qlRateHelperPillarDate(X6,Trigger),"")</f>
        <v>42702</v>
      </c>
      <c r="AD6" s="71">
        <v>0.99897642138942722</v>
      </c>
      <c r="AE6" s="146"/>
      <c r="AG6" s="99" t="s">
        <v>88</v>
      </c>
      <c r="AK6" s="101" t="s">
        <v>89</v>
      </c>
    </row>
    <row r="7" spans="1:39" ht="11.25" customHeight="1" x14ac:dyDescent="0.2">
      <c r="A7" s="56" t="s">
        <v>26</v>
      </c>
      <c r="B7" s="57" t="s">
        <v>2</v>
      </c>
      <c r="C7" s="110"/>
      <c r="D7" s="110"/>
      <c r="E7" s="110"/>
      <c r="F7" s="110"/>
      <c r="G7" s="58" t="str">
        <f>PROPER(Currency)&amp;FamilyName&amp;B7</f>
        <v>AudBBSW1M</v>
      </c>
      <c r="H7" s="108" t="str">
        <f t="shared" si="0"/>
        <v>AUD1MD_SYNTH3M_Quote</v>
      </c>
      <c r="I7" s="110"/>
      <c r="J7" s="167" t="str">
        <f>IF(P7,_xll.qlDepositRateHelper(,H7,G7,Permanent,Trigger,ObjectOverwrite),"--")</f>
        <v>obj_00272#0003</v>
      </c>
      <c r="K7" s="46"/>
      <c r="L7" s="173" t="str">
        <f t="shared" si="3"/>
        <v>Dp</v>
      </c>
      <c r="M7" s="182" t="str">
        <f t="shared" si="4"/>
        <v>AUD1MD_SYNTH3M_Quote</v>
      </c>
      <c r="N7" s="174">
        <f>IFERROR(_xll.qlQuoteValue(H7),"--")</f>
        <v>2.0965999999999999E-2</v>
      </c>
      <c r="O7" s="179"/>
      <c r="P7" s="91" t="b">
        <v>1</v>
      </c>
      <c r="Q7" s="88">
        <v>10</v>
      </c>
      <c r="R7" s="88">
        <v>1</v>
      </c>
      <c r="S7" s="122" t="str">
        <f t="shared" si="1"/>
        <v>obj_00272#0003</v>
      </c>
      <c r="T7" s="92">
        <f>IFERROR(_xll.qlRateHelperEarliestDate(S7,Trigger),"--")</f>
        <v>42681</v>
      </c>
      <c r="U7" s="92">
        <f>IFERROR(_xll.qlRateHelperPillarDate(S7,Trigger),"--")</f>
        <v>42711</v>
      </c>
      <c r="W7" s="3" t="str">
        <f t="shared" si="2"/>
        <v>Dp</v>
      </c>
      <c r="X7" s="3" t="str">
        <v>obj_00272</v>
      </c>
      <c r="Y7" s="3" t="str">
        <f>IFERROR(_xll.qlRateHelperQuoteName(X7,Trigger),"")</f>
        <v>AUD1MD_SYNTH3M_Quote</v>
      </c>
      <c r="Z7" s="65">
        <f>IFERROR(_xll.qlRateHelperRate(X7,Trigger),"")</f>
        <v>1.7808000000000001E-2</v>
      </c>
      <c r="AA7" s="9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42681</v>
      </c>
      <c r="AC7" s="4">
        <f>IFERROR(_xll.qlRateHelperPillarDate(X7,Trigger),"")</f>
        <v>42711</v>
      </c>
      <c r="AD7" s="71">
        <v>0.9985384679695164</v>
      </c>
      <c r="AE7" s="146"/>
    </row>
    <row r="8" spans="1:39" ht="11.25" customHeight="1" x14ac:dyDescent="0.2">
      <c r="A8" s="56" t="s">
        <v>26</v>
      </c>
      <c r="B8" s="57" t="s">
        <v>41</v>
      </c>
      <c r="C8" s="110"/>
      <c r="D8" s="110"/>
      <c r="E8" s="110"/>
      <c r="F8" s="110"/>
      <c r="G8" s="58" t="str">
        <f>PROPER(Currency)&amp;FamilyName&amp;B8</f>
        <v>AudBBSW2M</v>
      </c>
      <c r="H8" s="108" t="str">
        <f t="shared" si="0"/>
        <v>AUD2MD_SYNTH3M_Quote</v>
      </c>
      <c r="I8" s="110"/>
      <c r="J8" s="167" t="str">
        <f>IF(P8,_xll.qlDepositRateHelper(,H8,G8,Permanent,Trigger,ObjectOverwrite),"--")</f>
        <v>obj_00270#0003</v>
      </c>
      <c r="K8" s="46"/>
      <c r="L8" s="173" t="str">
        <f t="shared" si="3"/>
        <v>Dp</v>
      </c>
      <c r="M8" s="182" t="str">
        <f t="shared" si="4"/>
        <v>AUD2MD_SYNTH3M_Quote</v>
      </c>
      <c r="N8" s="174">
        <f>IFERROR(_xll.qlQuoteValue(H8),"--")</f>
        <v>2.0331999999999999E-2</v>
      </c>
      <c r="O8" s="179"/>
      <c r="P8" s="91" t="b">
        <v>1</v>
      </c>
      <c r="Q8" s="88">
        <v>10</v>
      </c>
      <c r="R8" s="88">
        <v>1</v>
      </c>
      <c r="S8" s="122" t="str">
        <f t="shared" si="1"/>
        <v>obj_00270#0003</v>
      </c>
      <c r="T8" s="92">
        <f>IFERROR(_xll.qlRateHelperEarliestDate(S8,Trigger),"--")</f>
        <v>42681</v>
      </c>
      <c r="U8" s="92">
        <f>IFERROR(_xll.qlRateHelperPillarDate(S8,Trigger),"--")</f>
        <v>42744</v>
      </c>
      <c r="W8" s="3" t="str">
        <f t="shared" si="2"/>
        <v>Dp</v>
      </c>
      <c r="X8" s="3" t="str">
        <v>obj_00270</v>
      </c>
      <c r="Y8" s="3" t="str">
        <f>IFERROR(_xll.qlRateHelperQuoteName(X8,Trigger),"")</f>
        <v>AUD2MD_SYNTH3M_Quote</v>
      </c>
      <c r="Z8" s="65">
        <f>IFERROR(_xll.qlRateHelperRate(X8,Trigger),"")</f>
        <v>1.7753999999999999E-2</v>
      </c>
      <c r="AA8" s="9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42681</v>
      </c>
      <c r="AC8" s="4">
        <f>IFERROR(_xll.qlRateHelperPillarDate(X8,Trigger),"")</f>
        <v>42744</v>
      </c>
      <c r="AD8" s="71">
        <v>0.99694497275092631</v>
      </c>
      <c r="AE8" s="146"/>
    </row>
    <row r="9" spans="1:39" ht="11.25" customHeight="1" x14ac:dyDescent="0.2">
      <c r="A9" s="1" t="s">
        <v>26</v>
      </c>
      <c r="B9" s="7" t="s">
        <v>0</v>
      </c>
      <c r="C9" s="111"/>
      <c r="D9" s="111"/>
      <c r="E9" s="111"/>
      <c r="F9" s="111"/>
      <c r="G9" s="6" t="str">
        <f>PROPER(Currency)&amp;FamilyName&amp;B9</f>
        <v>AudBBSW3M</v>
      </c>
      <c r="H9" s="109" t="str">
        <f t="shared" si="0"/>
        <v>AUD3MD_SYNTH3M_Quote</v>
      </c>
      <c r="I9" s="111"/>
      <c r="J9" s="166" t="str">
        <f>IF(P9,_xll.qlDepositRateHelper(,H9,G9,Permanent,Trigger,ObjectOverwrite),"--")</f>
        <v>obj_0026d#0003</v>
      </c>
      <c r="K9" s="46"/>
      <c r="L9" s="175" t="str">
        <f t="shared" si="3"/>
        <v>Dp</v>
      </c>
      <c r="M9" s="183" t="str">
        <f t="shared" si="4"/>
        <v>AUD3MD_SYNTH3M_Quote</v>
      </c>
      <c r="N9" s="177">
        <f>IFERROR(_xll.qlQuoteValue(H9),"--")</f>
        <v>2.0046000000000001E-2</v>
      </c>
      <c r="O9" s="180"/>
      <c r="P9" s="93" t="b">
        <v>1</v>
      </c>
      <c r="Q9" s="89">
        <v>10</v>
      </c>
      <c r="R9" s="89">
        <v>1</v>
      </c>
      <c r="S9" s="186" t="str">
        <f t="shared" si="1"/>
        <v>obj_0026d#0003</v>
      </c>
      <c r="T9" s="94">
        <f>IFERROR(_xll.qlRateHelperEarliestDate(S9,Trigger),"--")</f>
        <v>42681</v>
      </c>
      <c r="U9" s="94">
        <f>IFERROR(_xll.qlRateHelperPillarDate(S9,Trigger),"--")</f>
        <v>42773</v>
      </c>
      <c r="W9" s="3" t="str">
        <f t="shared" si="2"/>
        <v>Dp</v>
      </c>
      <c r="X9" s="3" t="str">
        <v>obj_0026d</v>
      </c>
      <c r="Y9" s="3" t="str">
        <f>IFERROR(_xll.qlRateHelperQuoteName(X9,Trigger),"")</f>
        <v>AUD3MD_SYNTH3M_Quote</v>
      </c>
      <c r="Z9" s="65">
        <f>IFERROR(_xll.qlRateHelperRate(X9,Trigger),"")</f>
        <v>1.7794999999999998E-2</v>
      </c>
      <c r="AA9" s="9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42681</v>
      </c>
      <c r="AC9" s="4">
        <f>IFERROR(_xll.qlRateHelperPillarDate(X9,Trigger),"")</f>
        <v>42773</v>
      </c>
      <c r="AD9" s="71">
        <v>0.99553471315011466</v>
      </c>
      <c r="AE9" s="146"/>
      <c r="AH9" s="44" t="s">
        <v>124</v>
      </c>
    </row>
    <row r="10" spans="1:39" ht="11.25" customHeight="1" x14ac:dyDescent="0.2">
      <c r="B10" s="44"/>
      <c r="C10" s="44"/>
      <c r="D10" s="44"/>
      <c r="E10" s="44"/>
      <c r="F10" s="44"/>
      <c r="G10" s="44"/>
      <c r="H10" s="44"/>
      <c r="K10" s="46"/>
      <c r="L10" s="171" t="str">
        <f>A12</f>
        <v>FRA</v>
      </c>
      <c r="M10" s="168" t="str">
        <f>H12</f>
        <v>AUD1x4F_Quote</v>
      </c>
      <c r="N10" s="172" t="str">
        <f>IFERROR(_xll.qlQuoteValue(H12),"--")</f>
        <v>--</v>
      </c>
      <c r="O10" s="178"/>
      <c r="P10" s="119" t="b">
        <v>0</v>
      </c>
      <c r="Q10" s="118">
        <v>20</v>
      </c>
      <c r="R10" s="118">
        <v>1</v>
      </c>
      <c r="S10" s="185" t="str">
        <f t="shared" ref="S10:S15" si="5">J12</f>
        <v>--</v>
      </c>
      <c r="T10" s="120" t="str">
        <f>IFERROR(_xll.qlRateHelperEarliestDate(S10,Trigger),"--")</f>
        <v>--</v>
      </c>
      <c r="U10" s="120" t="str">
        <f>IFERROR(_xll.qlRateHelperPillarDate(S10,Trigger),"--")</f>
        <v>--</v>
      </c>
      <c r="W10" s="3" t="str">
        <f t="shared" si="2"/>
        <v>FUT</v>
      </c>
      <c r="X10" s="3" t="str">
        <v>obj_00276</v>
      </c>
      <c r="Y10" s="3" t="str">
        <f>IFERROR(_xll.qlRateHelperQuoteName(X10,Trigger),"")</f>
        <v>AUDFUT3MZ6_Quote</v>
      </c>
      <c r="Z10" s="65">
        <f>IFERROR(_xll.qlRateHelperRate(X10,Trigger),"")</f>
        <v>1.7750000000000044E-2</v>
      </c>
      <c r="AA10" s="96">
        <f>IF(ISERROR(_xll.qlSwapRateHelperSpread($X10)),IF(ISERROR(_xll.qlFuturesRateHelperConvexityAdjustment($X10)),"",_xll.qlFuturesRateHelperConvexityAdjustment($X10)),_xll.qlSwapRateHelperSpread($X10))</f>
        <v>0</v>
      </c>
      <c r="AB10" s="4">
        <f>IFERROR(_xll.qlRateHelperEarliestDate(X10,Trigger),"")</f>
        <v>42713</v>
      </c>
      <c r="AC10" s="4">
        <f>IFERROR(_xll.qlRateHelperPillarDate(X10,Trigger),"")</f>
        <v>42803</v>
      </c>
      <c r="AD10" s="71">
        <v>0.99409064458012342</v>
      </c>
      <c r="AE10" s="146"/>
      <c r="AF10" s="67" t="s">
        <v>118</v>
      </c>
      <c r="AG10" s="67" t="s">
        <v>119</v>
      </c>
      <c r="AH10" s="67" t="s">
        <v>120</v>
      </c>
      <c r="AI10" s="67" t="s">
        <v>128</v>
      </c>
      <c r="AJ10" s="67" t="s">
        <v>121</v>
      </c>
      <c r="AK10" s="67" t="s">
        <v>129</v>
      </c>
      <c r="AL10" s="67" t="s">
        <v>122</v>
      </c>
      <c r="AM10" s="67" t="s">
        <v>123</v>
      </c>
    </row>
    <row r="11" spans="1:39" ht="11.25" customHeight="1" x14ac:dyDescent="0.2">
      <c r="A11" s="61" t="s">
        <v>8</v>
      </c>
      <c r="B11" s="61" t="s">
        <v>91</v>
      </c>
      <c r="C11" s="61" t="s">
        <v>92</v>
      </c>
      <c r="D11" s="61"/>
      <c r="E11" s="61"/>
      <c r="F11" s="61"/>
      <c r="G11" s="61" t="s">
        <v>4</v>
      </c>
      <c r="H11" s="61" t="s">
        <v>1</v>
      </c>
      <c r="I11" s="61"/>
      <c r="J11" s="61" t="s">
        <v>24</v>
      </c>
      <c r="K11" s="46"/>
      <c r="L11" s="173" t="str">
        <f t="shared" ref="L11:L15" si="6">A13</f>
        <v>FRA</v>
      </c>
      <c r="M11" s="182" t="str">
        <f t="shared" ref="M11:M15" si="7">H13</f>
        <v>AUD2x5F_Quote</v>
      </c>
      <c r="N11" s="174" t="str">
        <f>IFERROR(_xll.qlQuoteValue(H13),"--")</f>
        <v>--</v>
      </c>
      <c r="O11" s="179"/>
      <c r="P11" s="91" t="b">
        <v>0</v>
      </c>
      <c r="Q11" s="88">
        <v>20</v>
      </c>
      <c r="R11" s="88">
        <v>1</v>
      </c>
      <c r="S11" s="122" t="str">
        <f t="shared" si="5"/>
        <v>--</v>
      </c>
      <c r="T11" s="92" t="str">
        <f>IFERROR(_xll.qlRateHelperEarliestDate(S11,Trigger),"--")</f>
        <v>--</v>
      </c>
      <c r="U11" s="92" t="str">
        <f>IFERROR(_xll.qlRateHelperPillarDate(S11,Trigger),"--")</f>
        <v>--</v>
      </c>
      <c r="W11" s="3" t="str">
        <f t="shared" si="2"/>
        <v>FUT</v>
      </c>
      <c r="X11" s="3" t="str">
        <v>obj_00279</v>
      </c>
      <c r="Y11" s="3" t="str">
        <f>IFERROR(_xll.qlRateHelperQuoteName(X11,Trigger),"")</f>
        <v>AUDFUT3MH7_Quote</v>
      </c>
      <c r="Z11" s="65">
        <f>IFERROR(_xll.qlRateHelperRate(X11,Trigger),"")</f>
        <v>1.7450000000000077E-2</v>
      </c>
      <c r="AA11" s="96">
        <f>IF(ISERROR(_xll.qlSwapRateHelperSpread($X11)),IF(ISERROR(_xll.qlFuturesRateHelperConvexityAdjustment($X11)),"",_xll.qlFuturesRateHelperConvexityAdjustment($X11)),_xll.qlSwapRateHelperSpread($X11))</f>
        <v>0</v>
      </c>
      <c r="AB11" s="4">
        <f>IFERROR(_xll.qlRateHelperEarliestDate(X11,Trigger),"")</f>
        <v>42804</v>
      </c>
      <c r="AC11" s="4">
        <f>IFERROR(_xll.qlRateHelperPillarDate(X11,Trigger),"")</f>
        <v>42899</v>
      </c>
      <c r="AD11" s="71">
        <v>0.98954848180003285</v>
      </c>
      <c r="AE11" s="146"/>
      <c r="AF11" s="128">
        <v>1</v>
      </c>
      <c r="AG11" s="129">
        <f>_xll.qlCalendarEndOfMonth(Calendar,Settlementdate,Trigger)</f>
        <v>42704</v>
      </c>
      <c r="AH11" s="128" t="str">
        <f t="shared" ref="AH11:AH23" si="8">Currency&amp;$AH$9&amp;AF11&amp;JumpSuffix&amp;QuoteSuffix</f>
        <v>AUDJump1_SYNTHON_Quote</v>
      </c>
      <c r="AI11" s="150">
        <f>_xll.qlDayCounterYearFraction("actual/360",AG11,_xll.qlCalendarAdvance(Calendar,AG11,"1D",,,Trigger))</f>
        <v>2.7777777777777779E-3</v>
      </c>
      <c r="AJ11" s="130" t="e">
        <f>IF(_xll.qlQuoteIsValid(AH11,Trigger),_xll.qlQuoteValue(AH11,Trigger),1)</f>
        <v>#NUM!</v>
      </c>
      <c r="AK11" s="153" t="e">
        <f>-LN(AJ11)/AI11</f>
        <v>#NUM!</v>
      </c>
      <c r="AL11" s="131"/>
      <c r="AM11" s="130" t="str">
        <f>IF(ISBLANK(AL11),AH11,EXP(-AL11*AI11))</f>
        <v>AUDJump1_SYNTHON_Quote</v>
      </c>
    </row>
    <row r="12" spans="1:39" ht="11.25" customHeight="1" x14ac:dyDescent="0.2">
      <c r="A12" s="51" t="s">
        <v>93</v>
      </c>
      <c r="B12" s="102">
        <v>1</v>
      </c>
      <c r="C12" s="54" t="str">
        <f t="shared" ref="C12:C17" si="9">"x"&amp;B12+SUBSTITUTE($G$1,"M","")&amp;"F"</f>
        <v>x4F</v>
      </c>
      <c r="D12" s="110"/>
      <c r="E12" s="110"/>
      <c r="F12" s="110"/>
      <c r="G12" s="53" t="str">
        <f t="shared" ref="G12:G17" si="10">PROPER(Currency)&amp;FamilyName&amp;Tenor</f>
        <v>AudBBSW3M</v>
      </c>
      <c r="H12" s="105" t="str">
        <f t="shared" ref="H12:H14" si="11">Currency&amp;B12&amp;C12&amp;QuoteSuffix</f>
        <v>AUD1x4F_Quote</v>
      </c>
      <c r="I12" s="110"/>
      <c r="J12" s="165" t="str">
        <f>IF(P10,_xll.qlFraRateHelper(,H12,B12&amp;"M",G12,PillarDate,,Permanent,Trigger,ObjectOverwrite),"--")</f>
        <v>--</v>
      </c>
      <c r="K12" s="46" t="s">
        <v>35</v>
      </c>
      <c r="L12" s="173" t="str">
        <f t="shared" si="6"/>
        <v>FRA</v>
      </c>
      <c r="M12" s="182" t="str">
        <f t="shared" si="7"/>
        <v>AUD3x6F_Quote</v>
      </c>
      <c r="N12" s="174" t="str">
        <f>IFERROR(_xll.qlQuoteValue(H14),"--")</f>
        <v>--</v>
      </c>
      <c r="O12" s="179"/>
      <c r="P12" s="91" t="b">
        <v>0</v>
      </c>
      <c r="Q12" s="88">
        <v>20</v>
      </c>
      <c r="R12" s="88">
        <v>1</v>
      </c>
      <c r="S12" s="122" t="str">
        <f t="shared" si="5"/>
        <v>--</v>
      </c>
      <c r="T12" s="92" t="str">
        <f>IFERROR(_xll.qlRateHelperEarliestDate(S12,Trigger),"--")</f>
        <v>--</v>
      </c>
      <c r="U12" s="92" t="str">
        <f>IFERROR(_xll.qlRateHelperPillarDate(S12,Trigger),"--")</f>
        <v>--</v>
      </c>
      <c r="W12" s="3" t="str">
        <f t="shared" si="2"/>
        <v>FUT</v>
      </c>
      <c r="X12" s="3" t="str">
        <v>obj_0027a</v>
      </c>
      <c r="Y12" s="3" t="str">
        <f>IFERROR(_xll.qlRateHelperQuoteName(X12,Trigger),"")</f>
        <v>AUDFUT3MM7_Quote</v>
      </c>
      <c r="Z12" s="65">
        <f>IFERROR(_xll.qlRateHelperRate(X12,Trigger),"")</f>
        <v>1.7249999999999988E-2</v>
      </c>
      <c r="AA12" s="96">
        <f>IF(ISERROR(_xll.qlSwapRateHelperSpread($X12)),IF(ISERROR(_xll.qlFuturesRateHelperConvexityAdjustment($X12)),"",_xll.qlFuturesRateHelperConvexityAdjustment($X12)),_xll.qlSwapRateHelperSpread($X12))</f>
        <v>0</v>
      </c>
      <c r="AB12" s="4">
        <f>IFERROR(_xll.qlRateHelperEarliestDate(X12,Trigger),"")</f>
        <v>42895</v>
      </c>
      <c r="AC12" s="4">
        <f>IFERROR(_xll.qlRateHelperPillarDate(X12,Trigger),"")</f>
        <v>42989</v>
      </c>
      <c r="AD12" s="71">
        <v>0.98535850071268938</v>
      </c>
      <c r="AE12" s="146"/>
      <c r="AF12" s="132">
        <v>2</v>
      </c>
      <c r="AG12" s="133">
        <f>_xll.qlCalendarEndOfMonth(Calendar,_xll.qlCalendarAdvance(Calendar,AG11,"1m","mf",TRUE),Trigger)</f>
        <v>42734</v>
      </c>
      <c r="AH12" s="132" t="str">
        <f t="shared" si="8"/>
        <v>AUDJump2_SYNTHON_Quote</v>
      </c>
      <c r="AI12" s="151">
        <f>_xll.qlDayCounterYearFraction("actual/360",AG12,_xll.qlCalendarAdvance(Calendar,AG12,"1D",,,Trigger))</f>
        <v>8.3333333333333332E-3</v>
      </c>
      <c r="AJ12" s="134" t="e">
        <f>IF(_xll.qlQuoteIsValid(AH12,Trigger),_xll.qlQuoteValue(AH12,Trigger),1)</f>
        <v>#NUM!</v>
      </c>
      <c r="AK12" s="154" t="e">
        <f t="shared" ref="AK12:AK23" si="12">-LN(AJ12)/AI12</f>
        <v>#NUM!</v>
      </c>
      <c r="AL12" s="135"/>
      <c r="AM12" s="134" t="str">
        <f t="shared" ref="AM12:AM23" si="13">IF(ISBLANK(AL12),AH12,EXP(-AL12*AI12))</f>
        <v>AUDJump2_SYNTHON_Quote</v>
      </c>
    </row>
    <row r="13" spans="1:39" ht="11.25" customHeight="1" x14ac:dyDescent="0.2">
      <c r="A13" s="56" t="s">
        <v>93</v>
      </c>
      <c r="B13" s="103">
        <v>2</v>
      </c>
      <c r="C13" s="59" t="str">
        <f t="shared" si="9"/>
        <v>x5F</v>
      </c>
      <c r="D13" s="110"/>
      <c r="E13" s="110"/>
      <c r="F13" s="110"/>
      <c r="G13" s="58" t="str">
        <f t="shared" si="10"/>
        <v>AudBBSW3M</v>
      </c>
      <c r="H13" s="106" t="str">
        <f t="shared" si="11"/>
        <v>AUD2x5F_Quote</v>
      </c>
      <c r="I13" s="110"/>
      <c r="J13" s="167" t="str">
        <f>IF(P11,_xll.qlFraRateHelper(,H13,B13&amp;"M",G13,PillarDate,,Permanent,Trigger,ObjectOverwrite),"--")</f>
        <v>--</v>
      </c>
      <c r="K13" s="46"/>
      <c r="L13" s="173" t="str">
        <f t="shared" si="6"/>
        <v>FRA</v>
      </c>
      <c r="M13" s="182" t="str">
        <f t="shared" si="7"/>
        <v>AUD4x7F_Quote</v>
      </c>
      <c r="N13" s="174" t="str">
        <f>IFERROR(_xll.qlQuoteValue(H15),"--")</f>
        <v>--</v>
      </c>
      <c r="O13" s="179"/>
      <c r="P13" s="91" t="b">
        <v>0</v>
      </c>
      <c r="Q13" s="88">
        <v>20</v>
      </c>
      <c r="R13" s="88">
        <v>1</v>
      </c>
      <c r="S13" s="122" t="str">
        <f t="shared" si="5"/>
        <v>--</v>
      </c>
      <c r="T13" s="92" t="str">
        <f>IFERROR(_xll.qlRateHelperEarliestDate(S13,Trigger),"--")</f>
        <v>--</v>
      </c>
      <c r="U13" s="92" t="str">
        <f>IFERROR(_xll.qlRateHelperPillarDate(S13,Trigger),"--")</f>
        <v>--</v>
      </c>
      <c r="W13" s="3" t="str">
        <f t="shared" si="2"/>
        <v>Sw</v>
      </c>
      <c r="X13" s="3" t="str">
        <v>obj_00247</v>
      </c>
      <c r="Y13" s="3" t="str">
        <f>IFERROR(_xll.qlRateHelperQuoteName(X13,Trigger),"")</f>
        <v>AUDQM3AB1Y_Quote</v>
      </c>
      <c r="Z13" s="65">
        <f>IFERROR(_xll.qlRateHelperRate(X13,Trigger),"")</f>
        <v>1.7475000000000001E-2</v>
      </c>
      <c r="AA13" s="96">
        <f>IF(ISERROR(_xll.qlSwapRateHelperSpread($X13)),IF(ISERROR(_xll.qlFuturesRateHelperConvexityAdjustment($X13)),"",_xll.qlFuturesRateHelperConvexityAdjustment($X13)),_xll.qlSwapRateHelperSpread($X13))</f>
        <v>0</v>
      </c>
      <c r="AB13" s="4">
        <f>IFERROR(_xll.qlRateHelperEarliestDate(X13,Trigger),"")</f>
        <v>42682</v>
      </c>
      <c r="AC13" s="4">
        <f>IFERROR(_xll.qlRateHelperPillarDate(X13,Trigger),"")</f>
        <v>43047</v>
      </c>
      <c r="AD13" s="71">
        <v>0.98266725707298608</v>
      </c>
      <c r="AE13" s="146"/>
      <c r="AF13" s="132">
        <v>3</v>
      </c>
      <c r="AG13" s="133">
        <f>_xll.qlCalendarEndOfMonth(Calendar,_xll.qlCalendarAdvance(Calendar,AG12,"1m","mf",TRUE),Trigger)</f>
        <v>42766</v>
      </c>
      <c r="AH13" s="132" t="str">
        <f t="shared" si="8"/>
        <v>AUDJump3_SYNTHON_Quote</v>
      </c>
      <c r="AI13" s="151">
        <f>_xll.qlDayCounterYearFraction("actual/360",AG13,_xll.qlCalendarAdvance(Calendar,AG13,"1D",,,Trigger))</f>
        <v>2.7777777777777779E-3</v>
      </c>
      <c r="AJ13" s="134" t="e">
        <f>IF(_xll.qlQuoteIsValid(AH13,Trigger),_xll.qlQuoteValue(AH13,Trigger),1)</f>
        <v>#NUM!</v>
      </c>
      <c r="AK13" s="154" t="e">
        <f t="shared" si="12"/>
        <v>#NUM!</v>
      </c>
      <c r="AL13" s="135"/>
      <c r="AM13" s="134" t="str">
        <f t="shared" si="13"/>
        <v>AUDJump3_SYNTHON_Quote</v>
      </c>
    </row>
    <row r="14" spans="1:39" ht="11.25" customHeight="1" x14ac:dyDescent="0.2">
      <c r="A14" s="56" t="s">
        <v>93</v>
      </c>
      <c r="B14" s="103">
        <v>3</v>
      </c>
      <c r="C14" s="59" t="str">
        <f t="shared" si="9"/>
        <v>x6F</v>
      </c>
      <c r="D14" s="110"/>
      <c r="E14" s="110"/>
      <c r="F14" s="110"/>
      <c r="G14" s="58" t="str">
        <f t="shared" si="10"/>
        <v>AudBBSW3M</v>
      </c>
      <c r="H14" s="106" t="str">
        <f t="shared" si="11"/>
        <v>AUD3x6F_Quote</v>
      </c>
      <c r="I14" s="110"/>
      <c r="J14" s="167" t="str">
        <f>IF(P12,_xll.qlFraRateHelper(,H14,B14&amp;"M",G14,PillarDate,,Permanent,Trigger,ObjectOverwrite),"--")</f>
        <v>--</v>
      </c>
      <c r="K14" s="46"/>
      <c r="L14" s="173" t="str">
        <f t="shared" si="6"/>
        <v>FRA</v>
      </c>
      <c r="M14" s="182" t="str">
        <f t="shared" si="7"/>
        <v>AUD5x8F_Quote</v>
      </c>
      <c r="N14" s="174" t="str">
        <f>IFERROR(_xll.qlQuoteValue(H16),"--")</f>
        <v>--</v>
      </c>
      <c r="O14" s="179"/>
      <c r="P14" s="91" t="b">
        <v>0</v>
      </c>
      <c r="Q14" s="88">
        <v>20</v>
      </c>
      <c r="R14" s="88">
        <v>1</v>
      </c>
      <c r="S14" s="122" t="str">
        <f t="shared" si="5"/>
        <v>--</v>
      </c>
      <c r="T14" s="92" t="str">
        <f>IFERROR(_xll.qlRateHelperEarliestDate(S14,Trigger),"--")</f>
        <v>--</v>
      </c>
      <c r="U14" s="92" t="str">
        <f>IFERROR(_xll.qlRateHelperPillarDate(S14,Trigger),"--")</f>
        <v>--</v>
      </c>
      <c r="W14" s="3" t="str">
        <f t="shared" si="2"/>
        <v>Sw</v>
      </c>
      <c r="X14" s="3" t="str">
        <v>obj_0023a</v>
      </c>
      <c r="Y14" s="3" t="str">
        <f>IFERROR(_xll.qlRateHelperQuoteName(X14,Trigger),"")</f>
        <v>AUDQM3AB2Y_Quote</v>
      </c>
      <c r="Z14" s="65">
        <f>IFERROR(_xll.qlRateHelperRate(X14,Trigger),"")</f>
        <v>1.7800000000000003E-2</v>
      </c>
      <c r="AA14" s="96">
        <f>IF(ISERROR(_xll.qlSwapRateHelperSpread($X14)),IF(ISERROR(_xll.qlFuturesRateHelperConvexityAdjustment($X14)),"",_xll.qlFuturesRateHelperConvexityAdjustment($X14)),_xll.qlSwapRateHelperSpread($X14))</f>
        <v>0</v>
      </c>
      <c r="AB14" s="4">
        <f>IFERROR(_xll.qlRateHelperEarliestDate(X14,Trigger),"")</f>
        <v>42682</v>
      </c>
      <c r="AC14" s="4">
        <f>IFERROR(_xll.qlRateHelperPillarDate(X14,Trigger),"")</f>
        <v>43412</v>
      </c>
      <c r="AD14" s="71">
        <v>0.96505000484869652</v>
      </c>
      <c r="AE14" s="146"/>
      <c r="AF14" s="132">
        <v>4</v>
      </c>
      <c r="AG14" s="133">
        <f>_xll.qlCalendarEndOfMonth(Calendar,_xll.qlCalendarAdvance(Calendar,AG13,"1m","mf",TRUE),Trigger)</f>
        <v>42794</v>
      </c>
      <c r="AH14" s="132" t="str">
        <f t="shared" si="8"/>
        <v>AUDJump4_SYNTHON_Quote</v>
      </c>
      <c r="AI14" s="151">
        <f>_xll.qlDayCounterYearFraction("actual/360",AG14,_xll.qlCalendarAdvance(Calendar,AG14,"1D",,,Trigger))</f>
        <v>2.7777777777777779E-3</v>
      </c>
      <c r="AJ14" s="134" t="e">
        <f>IF(_xll.qlQuoteIsValid(AH14,Trigger),_xll.qlQuoteValue(AH14,Trigger),1)</f>
        <v>#NUM!</v>
      </c>
      <c r="AK14" s="154" t="e">
        <f t="shared" si="12"/>
        <v>#NUM!</v>
      </c>
      <c r="AL14" s="135"/>
      <c r="AM14" s="134" t="str">
        <f t="shared" si="13"/>
        <v>AUDJump4_SYNTHON_Quote</v>
      </c>
    </row>
    <row r="15" spans="1:39" ht="11.25" customHeight="1" x14ac:dyDescent="0.2">
      <c r="A15" s="56" t="s">
        <v>93</v>
      </c>
      <c r="B15" s="103">
        <v>4</v>
      </c>
      <c r="C15" s="59" t="str">
        <f t="shared" si="9"/>
        <v>x7F</v>
      </c>
      <c r="D15" s="110"/>
      <c r="E15" s="110"/>
      <c r="F15" s="110"/>
      <c r="G15" s="58" t="str">
        <f t="shared" si="10"/>
        <v>AudBBSW3M</v>
      </c>
      <c r="H15" s="106" t="str">
        <f t="shared" ref="H15:H17" si="14">Currency&amp;B15&amp;C15&amp;QuoteSuffix</f>
        <v>AUD4x7F_Quote</v>
      </c>
      <c r="I15" s="110"/>
      <c r="J15" s="167" t="str">
        <f>IF(P13,_xll.qlFraRateHelper(,H15,B15&amp;"M",G15,PillarDate,,Permanent,Trigger,ObjectOverwrite),"--")</f>
        <v>--</v>
      </c>
      <c r="K15" s="46"/>
      <c r="L15" s="175" t="str">
        <f t="shared" si="6"/>
        <v>FRA</v>
      </c>
      <c r="M15" s="183" t="str">
        <f t="shared" si="7"/>
        <v>AUD6x9F_Quote</v>
      </c>
      <c r="N15" s="177" t="str">
        <f>IFERROR(_xll.qlQuoteValue(H17),"--")</f>
        <v>--</v>
      </c>
      <c r="O15" s="180"/>
      <c r="P15" s="93" t="b">
        <v>0</v>
      </c>
      <c r="Q15" s="89">
        <v>20</v>
      </c>
      <c r="R15" s="89">
        <v>1</v>
      </c>
      <c r="S15" s="186" t="str">
        <f t="shared" si="5"/>
        <v>--</v>
      </c>
      <c r="T15" s="94" t="str">
        <f>IFERROR(_xll.qlRateHelperEarliestDate(S15,Trigger),"--")</f>
        <v>--</v>
      </c>
      <c r="U15" s="94" t="str">
        <f>IFERROR(_xll.qlRateHelperPillarDate(S15,Trigger),"--")</f>
        <v>--</v>
      </c>
      <c r="W15" s="3" t="str">
        <f t="shared" si="2"/>
        <v>Sw</v>
      </c>
      <c r="X15" s="3" t="str">
        <v>obj_00241</v>
      </c>
      <c r="Y15" s="3" t="str">
        <f>IFERROR(_xll.qlRateHelperQuoteName(X15,Trigger),"")</f>
        <v>AUDQM3AB3Y_Quote</v>
      </c>
      <c r="Z15" s="65">
        <f>IFERROR(_xll.qlRateHelperRate(X15,Trigger),"")</f>
        <v>1.8425000000000004E-2</v>
      </c>
      <c r="AA15" s="96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42682</v>
      </c>
      <c r="AC15" s="4">
        <f>IFERROR(_xll.qlRateHelperPillarDate(X15,Trigger),"")</f>
        <v>43777</v>
      </c>
      <c r="AD15" s="71">
        <v>0.94626355699663345</v>
      </c>
      <c r="AE15" s="146"/>
      <c r="AF15" s="132">
        <v>5</v>
      </c>
      <c r="AG15" s="133">
        <f>_xll.qlCalendarEndOfMonth(Calendar,_xll.qlCalendarAdvance(Calendar,AG14,"1m","mf",TRUE),Trigger)</f>
        <v>42825</v>
      </c>
      <c r="AH15" s="132" t="str">
        <f t="shared" si="8"/>
        <v>AUDJump5_SYNTHON_Quote</v>
      </c>
      <c r="AI15" s="151">
        <f>_xll.qlDayCounterYearFraction("actual/360",AG15,_xll.qlCalendarAdvance(Calendar,AG15,"1D",,,Trigger))</f>
        <v>8.3333333333333332E-3</v>
      </c>
      <c r="AJ15" s="134" t="e">
        <f>IF(_xll.qlQuoteIsValid(AH15,Trigger),_xll.qlQuoteValue(AH15,Trigger),1)</f>
        <v>#NUM!</v>
      </c>
      <c r="AK15" s="154" t="e">
        <f t="shared" si="12"/>
        <v>#NUM!</v>
      </c>
      <c r="AL15" s="135"/>
      <c r="AM15" s="134" t="str">
        <f t="shared" si="13"/>
        <v>AUDJump5_SYNTHON_Quote</v>
      </c>
    </row>
    <row r="16" spans="1:39" ht="11.25" customHeight="1" x14ac:dyDescent="0.2">
      <c r="A16" s="56" t="s">
        <v>93</v>
      </c>
      <c r="B16" s="103">
        <v>5</v>
      </c>
      <c r="C16" s="59" t="str">
        <f t="shared" si="9"/>
        <v>x8F</v>
      </c>
      <c r="D16" s="110"/>
      <c r="E16" s="110"/>
      <c r="F16" s="110"/>
      <c r="G16" s="58" t="str">
        <f t="shared" si="10"/>
        <v>AudBBSW3M</v>
      </c>
      <c r="H16" s="106" t="str">
        <f t="shared" si="14"/>
        <v>AUD5x8F_Quote</v>
      </c>
      <c r="I16" s="110"/>
      <c r="J16" s="167" t="str">
        <f>IF(P14,_xll.qlFraRateHelper(,H16,B16&amp;"M",G16,PillarDate,,Permanent,Trigger,ObjectOverwrite),"--")</f>
        <v>--</v>
      </c>
      <c r="K16" s="46"/>
      <c r="L16" s="173" t="str">
        <f t="shared" ref="L16:L37" si="15">A20</f>
        <v>FUT</v>
      </c>
      <c r="M16" s="182" t="str">
        <f>H20</f>
        <v>AUDFUT3MX6_Quote</v>
      </c>
      <c r="N16" s="184" t="str">
        <f>IFERROR(_xll.qlQuoteValue(H20),"--")</f>
        <v>--</v>
      </c>
      <c r="O16" s="174" t="str">
        <f>IFERROR(_xll.qlQuoteValue(I20),"--")</f>
        <v>--</v>
      </c>
      <c r="P16" s="91" t="b">
        <v>1</v>
      </c>
      <c r="Q16" s="88">
        <v>60</v>
      </c>
      <c r="R16" s="88">
        <v>7</v>
      </c>
      <c r="S16" s="122" t="str">
        <f t="shared" ref="S16:S37" si="16">J20</f>
        <v>obj_00275#0003</v>
      </c>
      <c r="T16" s="92">
        <f>IFERROR(_xll.qlRateHelperEarliestDate(S16,Trigger),"--")</f>
        <v>42685</v>
      </c>
      <c r="U16" s="92">
        <f>IFERROR(_xll.qlRateHelperPillarDate(S16,Trigger),"--")</f>
        <v>42779</v>
      </c>
      <c r="W16" s="3" t="str">
        <f t="shared" si="2"/>
        <v>BasSw</v>
      </c>
      <c r="X16" s="3" t="str">
        <v>obj_0023c</v>
      </c>
      <c r="Y16" s="3" t="str">
        <f>IFERROR(_xll.qlRateHelperQuoteName(X16,Trigger),"")</f>
        <v>AUDSM6AB4Y_Quote</v>
      </c>
      <c r="Z16" s="65">
        <f>IFERROR(_xll.qlRateHelperRate(X16,Trigger),"")</f>
        <v>2.1112499999999999E-2</v>
      </c>
      <c r="AA16" s="96">
        <f>IF(ISERROR(_xll.qlSwapRateHelperSpread($X16)),IF(ISERROR(_xll.qlFuturesRateHelperConvexityAdjustment($X16)),"",_xll.qlFuturesRateHelperConvexityAdjustment($X16)),_xll.qlSwapRateHelperSpread($X16))</f>
        <v>1.9E-3</v>
      </c>
      <c r="AB16" s="4">
        <f>IFERROR(_xll.qlRateHelperEarliestDate(X16,Trigger),"")</f>
        <v>42682</v>
      </c>
      <c r="AC16" s="4">
        <f>IFERROR(_xll.qlRateHelperPillarDate(X16,Trigger),"")</f>
        <v>44144</v>
      </c>
      <c r="AD16" s="71">
        <v>0.92610950435529449</v>
      </c>
      <c r="AE16" s="146"/>
      <c r="AF16" s="132">
        <v>6</v>
      </c>
      <c r="AG16" s="133">
        <f>_xll.qlCalendarEndOfMonth(Calendar,_xll.qlCalendarAdvance(Calendar,AG15,"1m","mf",TRUE),Trigger)</f>
        <v>42853</v>
      </c>
      <c r="AH16" s="132" t="str">
        <f t="shared" si="8"/>
        <v>AUDJump6_SYNTHON_Quote</v>
      </c>
      <c r="AI16" s="151">
        <f>_xll.qlDayCounterYearFraction("actual/360",AG16,_xll.qlCalendarAdvance(Calendar,AG16,"1D",,,Trigger))</f>
        <v>8.3333333333333332E-3</v>
      </c>
      <c r="AJ16" s="134" t="e">
        <f>IF(_xll.qlQuoteIsValid(AH16,Trigger),_xll.qlQuoteValue(AH16,Trigger),1)</f>
        <v>#NUM!</v>
      </c>
      <c r="AK16" s="154" t="e">
        <f t="shared" si="12"/>
        <v>#NUM!</v>
      </c>
      <c r="AL16" s="135"/>
      <c r="AM16" s="134" t="str">
        <f t="shared" si="13"/>
        <v>AUDJump6_SYNTHON_Quote</v>
      </c>
    </row>
    <row r="17" spans="1:39" ht="11.25" customHeight="1" x14ac:dyDescent="0.2">
      <c r="A17" s="1" t="s">
        <v>93</v>
      </c>
      <c r="B17" s="104">
        <v>6</v>
      </c>
      <c r="C17" s="8" t="str">
        <f t="shared" si="9"/>
        <v>x9F</v>
      </c>
      <c r="D17" s="111"/>
      <c r="E17" s="111"/>
      <c r="F17" s="111"/>
      <c r="G17" s="6" t="str">
        <f t="shared" si="10"/>
        <v>AudBBSW3M</v>
      </c>
      <c r="H17" s="107" t="str">
        <f t="shared" si="14"/>
        <v>AUD6x9F_Quote</v>
      </c>
      <c r="I17" s="111"/>
      <c r="J17" s="166" t="str">
        <f>IF(P15,_xll.qlFraRateHelper(,H17,B17&amp;"M",G17,PillarDate,,Permanent,Trigger,ObjectOverwrite),"--")</f>
        <v>--</v>
      </c>
      <c r="K17" s="46"/>
      <c r="L17" s="173" t="str">
        <f t="shared" si="15"/>
        <v>FUT</v>
      </c>
      <c r="M17" s="182" t="str">
        <f t="shared" ref="M17:M37" si="17">H21</f>
        <v>AUDFUT3MZ6_Quote</v>
      </c>
      <c r="N17" s="184">
        <f>IFERROR(_xll.qlQuoteValue(H21),"--")</f>
        <v>98.224999999999994</v>
      </c>
      <c r="O17" s="174">
        <f>IFERROR(_xll.qlQuoteValue(I21),"--")</f>
        <v>0</v>
      </c>
      <c r="P17" s="91" t="b">
        <v>1</v>
      </c>
      <c r="Q17" s="88">
        <v>60</v>
      </c>
      <c r="R17" s="88">
        <v>7</v>
      </c>
      <c r="S17" s="122" t="str">
        <f t="shared" si="16"/>
        <v>obj_00276#0003</v>
      </c>
      <c r="T17" s="92">
        <f>IFERROR(_xll.qlRateHelperEarliestDate(S17,Trigger),"--")</f>
        <v>42713</v>
      </c>
      <c r="U17" s="92">
        <f>IFERROR(_xll.qlRateHelperPillarDate(S17,Trigger),"--")</f>
        <v>42803</v>
      </c>
      <c r="W17" s="3" t="str">
        <f t="shared" si="2"/>
        <v>BasSw</v>
      </c>
      <c r="X17" s="3" t="str">
        <v>obj_0023e</v>
      </c>
      <c r="Y17" s="3" t="str">
        <f>IFERROR(_xll.qlRateHelperQuoteName(X17,Trigger),"")</f>
        <v>AUDSM6AB5Y_Quote</v>
      </c>
      <c r="Z17" s="65">
        <f>IFERROR(_xll.qlRateHelperRate(X17,Trigger),"")</f>
        <v>2.1725000000000005E-2</v>
      </c>
      <c r="AA17" s="96">
        <f>IF(ISERROR(_xll.qlSwapRateHelperSpread($X17)),IF(ISERROR(_xll.qlFuturesRateHelperConvexityAdjustment($X17)),"",_xll.qlFuturesRateHelperConvexityAdjustment($X17)),_xll.qlSwapRateHelperSpread($X17))</f>
        <v>1.8E-3</v>
      </c>
      <c r="AB17" s="4">
        <f>IFERROR(_xll.qlRateHelperEarliestDate(X17,Trigger),"")</f>
        <v>42682</v>
      </c>
      <c r="AC17" s="4">
        <f>IFERROR(_xll.qlRateHelperPillarDate(X17,Trigger),"")</f>
        <v>44508</v>
      </c>
      <c r="AD17" s="71">
        <v>0.9052944503870044</v>
      </c>
      <c r="AE17" s="146"/>
      <c r="AF17" s="132">
        <v>7</v>
      </c>
      <c r="AG17" s="133">
        <f>_xll.qlCalendarEndOfMonth(Calendar,_xll.qlCalendarAdvance(Calendar,AG16,"1m","mf",TRUE),Trigger)</f>
        <v>42886</v>
      </c>
      <c r="AH17" s="132" t="str">
        <f t="shared" si="8"/>
        <v>AUDJump7_SYNTHON_Quote</v>
      </c>
      <c r="AI17" s="151">
        <f>_xll.qlDayCounterYearFraction("actual/360",AG17,_xll.qlCalendarAdvance(Calendar,AG17,"1D",,,Trigger))</f>
        <v>2.7777777777777779E-3</v>
      </c>
      <c r="AJ17" s="134" t="e">
        <f>IF(_xll.qlQuoteIsValid(AH17,Trigger),_xll.qlQuoteValue(AH17,Trigger),1)</f>
        <v>#NUM!</v>
      </c>
      <c r="AK17" s="154" t="e">
        <f t="shared" si="12"/>
        <v>#NUM!</v>
      </c>
      <c r="AL17" s="135"/>
      <c r="AM17" s="134" t="str">
        <f t="shared" si="13"/>
        <v>AUDJump7_SYNTHON_Quote</v>
      </c>
    </row>
    <row r="18" spans="1:39" ht="11.25" customHeight="1" x14ac:dyDescent="0.2">
      <c r="B18" s="44"/>
      <c r="C18" s="44"/>
      <c r="D18" s="44"/>
      <c r="E18" s="44"/>
      <c r="F18" s="44"/>
      <c r="G18" s="44"/>
      <c r="H18" s="44" t="s">
        <v>155</v>
      </c>
      <c r="K18" s="46"/>
      <c r="L18" s="173" t="str">
        <f t="shared" si="15"/>
        <v>FUT</v>
      </c>
      <c r="M18" s="182" t="str">
        <f t="shared" si="17"/>
        <v>AUDFUT3MF7_Quote</v>
      </c>
      <c r="N18" s="184" t="str">
        <f>IFERROR(_xll.qlQuoteValue(H22),"--")</f>
        <v>--</v>
      </c>
      <c r="O18" s="174" t="str">
        <f>IFERROR(_xll.qlQuoteValue(I22),"--")</f>
        <v>--</v>
      </c>
      <c r="P18" s="91" t="b">
        <v>1</v>
      </c>
      <c r="Q18" s="88">
        <v>60</v>
      </c>
      <c r="R18" s="88">
        <v>21</v>
      </c>
      <c r="S18" s="122" t="str">
        <f t="shared" si="16"/>
        <v>obj_00277#0003</v>
      </c>
      <c r="T18" s="92">
        <f>IFERROR(_xll.qlRateHelperEarliestDate(S18,Trigger),"--")</f>
        <v>42748</v>
      </c>
      <c r="U18" s="92">
        <f>IFERROR(_xll.qlRateHelperPillarDate(S18,Trigger),"--")</f>
        <v>42838</v>
      </c>
      <c r="W18" s="3" t="str">
        <f t="shared" si="2"/>
        <v>BasSw</v>
      </c>
      <c r="X18" s="3" t="str">
        <v>obj_0024c</v>
      </c>
      <c r="Y18" s="3" t="str">
        <f>IFERROR(_xll.qlRateHelperQuoteName(X18,Trigger),"")</f>
        <v>AUDSM6AB7Y_Quote</v>
      </c>
      <c r="Z18" s="65">
        <f>IFERROR(_xll.qlRateHelperRate(X18,Trigger),"")</f>
        <v>2.2962500000000007E-2</v>
      </c>
      <c r="AA18" s="96">
        <f>IF(ISERROR(_xll.qlSwapRateHelperSpread($X18)),IF(ISERROR(_xll.qlFuturesRateHelperConvexityAdjustment($X18)),"",_xll.qlFuturesRateHelperConvexityAdjustment($X18)),_xll.qlSwapRateHelperSpread($X18))</f>
        <v>1.6125E-3</v>
      </c>
      <c r="AB18" s="4">
        <f>IFERROR(_xll.qlRateHelperEarliestDate(X18,Trigger),"")</f>
        <v>42682</v>
      </c>
      <c r="AC18" s="4">
        <f>IFERROR(_xll.qlRateHelperPillarDate(X18,Trigger),"")</f>
        <v>45238</v>
      </c>
      <c r="AD18" s="71">
        <v>0.86109644748426839</v>
      </c>
      <c r="AE18" s="146"/>
      <c r="AF18" s="132">
        <v>8</v>
      </c>
      <c r="AG18" s="133">
        <f>_xll.qlCalendarEndOfMonth(Calendar,_xll.qlCalendarAdvance(Calendar,AG17,"1m","mf",TRUE),Trigger)</f>
        <v>42916</v>
      </c>
      <c r="AH18" s="132" t="str">
        <f t="shared" si="8"/>
        <v>AUDJump8_SYNTHON_Quote</v>
      </c>
      <c r="AI18" s="151">
        <f>_xll.qlDayCounterYearFraction("actual/360",AG18,_xll.qlCalendarAdvance(Calendar,AG18,"1D",,,Trigger))</f>
        <v>8.3333333333333332E-3</v>
      </c>
      <c r="AJ18" s="134" t="e">
        <f>IF(_xll.qlQuoteIsValid(AH18,Trigger),_xll.qlQuoteValue(AH18,Trigger),1)</f>
        <v>#NUM!</v>
      </c>
      <c r="AK18" s="154" t="e">
        <f t="shared" si="12"/>
        <v>#NUM!</v>
      </c>
      <c r="AL18" s="135"/>
      <c r="AM18" s="134" t="str">
        <f t="shared" si="13"/>
        <v>AUDJump8_SYNTHON_Quote</v>
      </c>
    </row>
    <row r="19" spans="1:39" ht="11.25" customHeight="1" x14ac:dyDescent="0.2">
      <c r="A19" s="61" t="s">
        <v>8</v>
      </c>
      <c r="B19" s="61" t="s">
        <v>96</v>
      </c>
      <c r="C19" s="61" t="s">
        <v>32</v>
      </c>
      <c r="D19" s="61"/>
      <c r="E19" s="61"/>
      <c r="F19" s="61"/>
      <c r="G19" s="61" t="s">
        <v>4</v>
      </c>
      <c r="H19" s="61" t="s">
        <v>1</v>
      </c>
      <c r="I19" s="61" t="s">
        <v>95</v>
      </c>
      <c r="J19" s="61" t="s">
        <v>24</v>
      </c>
      <c r="K19" s="46"/>
      <c r="L19" s="173" t="str">
        <f t="shared" si="15"/>
        <v>FUT</v>
      </c>
      <c r="M19" s="182" t="str">
        <f t="shared" si="17"/>
        <v>AUDFUT3MG7_Quote</v>
      </c>
      <c r="N19" s="184" t="str">
        <f>IFERROR(_xll.qlQuoteValue(H23),"--")</f>
        <v>--</v>
      </c>
      <c r="O19" s="174" t="str">
        <f>IFERROR(_xll.qlQuoteValue(I23),"--")</f>
        <v>--</v>
      </c>
      <c r="P19" s="91" t="b">
        <v>1</v>
      </c>
      <c r="Q19" s="88">
        <v>60</v>
      </c>
      <c r="R19" s="88">
        <v>21</v>
      </c>
      <c r="S19" s="122" t="str">
        <f t="shared" si="16"/>
        <v>obj_00278#0003</v>
      </c>
      <c r="T19" s="92">
        <f>IFERROR(_xll.qlRateHelperEarliestDate(S19,Trigger),"--")</f>
        <v>42776</v>
      </c>
      <c r="U19" s="92">
        <f>IFERROR(_xll.qlRateHelperPillarDate(S19,Trigger),"--")</f>
        <v>42865</v>
      </c>
      <c r="W19" s="3" t="str">
        <f t="shared" si="2"/>
        <v>BasSw</v>
      </c>
      <c r="X19" s="3" t="str">
        <v>obj_00251</v>
      </c>
      <c r="Y19" s="3" t="str">
        <f>IFERROR(_xll.qlRateHelperQuoteName(X19,Trigger),"")</f>
        <v>AUDSM6AB10Y_Quote</v>
      </c>
      <c r="Z19" s="65">
        <f>IFERROR(_xll.qlRateHelperRate(X19,Trigger),"")</f>
        <v>2.4525000000000005E-2</v>
      </c>
      <c r="AA19" s="96">
        <f>IF(ISERROR(_xll.qlSwapRateHelperSpread($X19)),IF(ISERROR(_xll.qlFuturesRateHelperConvexityAdjustment($X19)),"",_xll.qlFuturesRateHelperConvexityAdjustment($X19)),_xll.qlSwapRateHelperSpread($X19))</f>
        <v>1.3625E-3</v>
      </c>
      <c r="AB19" s="4">
        <f>IFERROR(_xll.qlRateHelperEarliestDate(X19,Trigger),"")</f>
        <v>42682</v>
      </c>
      <c r="AC19" s="4">
        <f>IFERROR(_xll.qlRateHelperPillarDate(X19,Trigger),"")</f>
        <v>46335</v>
      </c>
      <c r="AD19" s="71">
        <v>0.79229057930686775</v>
      </c>
      <c r="AE19" s="146"/>
      <c r="AF19" s="132">
        <v>9</v>
      </c>
      <c r="AG19" s="133">
        <f>_xll.qlCalendarEndOfMonth(Calendar,_xll.qlCalendarAdvance(Calendar,AG18,"1m","mf",TRUE),Trigger)</f>
        <v>42947</v>
      </c>
      <c r="AH19" s="132" t="str">
        <f t="shared" si="8"/>
        <v>AUDJump9_SYNTHON_Quote</v>
      </c>
      <c r="AI19" s="151">
        <f>_xll.qlDayCounterYearFraction("actual/360",AG19,_xll.qlCalendarAdvance(Calendar,AG19,"1D",,,Trigger))</f>
        <v>2.7777777777777779E-3</v>
      </c>
      <c r="AJ19" s="134" t="e">
        <f>IF(_xll.qlQuoteIsValid(AH19,Trigger),_xll.qlQuoteValue(AH19,Trigger),1)</f>
        <v>#NUM!</v>
      </c>
      <c r="AK19" s="154" t="e">
        <f t="shared" si="12"/>
        <v>#NUM!</v>
      </c>
      <c r="AL19" s="135"/>
      <c r="AM19" s="134" t="str">
        <f t="shared" si="13"/>
        <v>AUDJump9_SYNTHON_Quote</v>
      </c>
    </row>
    <row r="20" spans="1:39" ht="11.25" customHeight="1" x14ac:dyDescent="0.2">
      <c r="A20" s="51" t="s">
        <v>94</v>
      </c>
      <c r="B20" s="102" t="b">
        <v>0</v>
      </c>
      <c r="C20" s="54" t="str">
        <f>_xll.qlASXNextCode(Evaluationdate+1,B20,Trigger)</f>
        <v>X6</v>
      </c>
      <c r="D20" s="116"/>
      <c r="E20" s="116"/>
      <c r="F20" s="116"/>
      <c r="G20" s="53" t="str">
        <f t="shared" ref="G20:G41" si="18">PROPER(Currency)&amp;FamilyName&amp;Tenor</f>
        <v>AudBBSW3M</v>
      </c>
      <c r="H20" s="105" t="str">
        <f t="shared" ref="H20:H41" si="19">Currency&amp;"FUT"&amp;$G$1&amp;$C20&amp;QuoteSuffix</f>
        <v>AUDFUT3MX6_Quote</v>
      </c>
      <c r="I20" s="105" t="str">
        <f t="shared" ref="I20:I41" si="20">Currency&amp;"FUT"&amp;$G$1&amp;$C20&amp;"ConvAdj"&amp;QuoteSuffix</f>
        <v>AUDFUT3MX6ConvAdj_Quote</v>
      </c>
      <c r="J20" s="165" t="str">
        <f>IF(P16,_xll.qlFuturesRateHelper(,H20,$H$18,_xll.qlASXdate(C20),G20,I20,Permanent,Trigger,ObjectOverwrite),"--")</f>
        <v>obj_00275#0003</v>
      </c>
      <c r="K20" s="46"/>
      <c r="L20" s="173" t="str">
        <f t="shared" si="15"/>
        <v>FUT</v>
      </c>
      <c r="M20" s="182" t="str">
        <f t="shared" si="17"/>
        <v>AUDFUT3MH7_Quote</v>
      </c>
      <c r="N20" s="184">
        <f>IFERROR(_xll.qlQuoteValue(H24),"--")</f>
        <v>98.254999999999995</v>
      </c>
      <c r="O20" s="174">
        <f>IFERROR(_xll.qlQuoteValue(I24),"--")</f>
        <v>0</v>
      </c>
      <c r="P20" s="91" t="b">
        <v>1</v>
      </c>
      <c r="Q20" s="88">
        <v>60</v>
      </c>
      <c r="R20" s="88">
        <v>21</v>
      </c>
      <c r="S20" s="122" t="str">
        <f t="shared" si="16"/>
        <v>obj_00279#0003</v>
      </c>
      <c r="T20" s="92">
        <f>IFERROR(_xll.qlRateHelperEarliestDate(S20,Trigger),"--")</f>
        <v>42804</v>
      </c>
      <c r="U20" s="92">
        <f>IFERROR(_xll.qlRateHelperPillarDate(S20,Trigger),"--")</f>
        <v>42899</v>
      </c>
      <c r="W20" s="3" t="str">
        <f t="shared" si="2"/>
        <v>BasSw</v>
      </c>
      <c r="X20" s="3" t="str">
        <v>obj_0023f</v>
      </c>
      <c r="Y20" s="3" t="str">
        <f>IFERROR(_xll.qlRateHelperQuoteName(X20,Trigger),"")</f>
        <v>AUDSM6AB12Y_Quote</v>
      </c>
      <c r="Z20" s="65">
        <f>IFERROR(_xll.qlRateHelperRate(X20,Trigger),"")</f>
        <v>2.5399999999999999E-2</v>
      </c>
      <c r="AA20" s="96">
        <f>IF(ISERROR(_xll.qlSwapRateHelperSpread($X20)),IF(ISERROR(_xll.qlFuturesRateHelperConvexityAdjustment($X20)),"",_xll.qlFuturesRateHelperConvexityAdjustment($X20)),_xll.qlSwapRateHelperSpread($X20))</f>
        <v>1.2375000000000001E-3</v>
      </c>
      <c r="AB20" s="4">
        <f>IFERROR(_xll.qlRateHelperEarliestDate(X20,Trigger),"")</f>
        <v>42682</v>
      </c>
      <c r="AC20" s="4">
        <f>IFERROR(_xll.qlRateHelperPillarDate(X20,Trigger),"")</f>
        <v>47065</v>
      </c>
      <c r="AD20" s="71">
        <v>0.74654244940144332</v>
      </c>
      <c r="AE20" s="146"/>
      <c r="AF20" s="132">
        <v>10</v>
      </c>
      <c r="AG20" s="133">
        <f>_xll.qlCalendarEndOfMonth(Calendar,_xll.qlCalendarAdvance(Calendar,AG19,"1m","mf",TRUE),Trigger)</f>
        <v>42978</v>
      </c>
      <c r="AH20" s="132" t="str">
        <f t="shared" si="8"/>
        <v>AUDJump10_SYNTHON_Quote</v>
      </c>
      <c r="AI20" s="151">
        <f>_xll.qlDayCounterYearFraction("actual/360",AG20,_xll.qlCalendarAdvance(Calendar,AG20,"1D",,,Trigger))</f>
        <v>2.7777777777777779E-3</v>
      </c>
      <c r="AJ20" s="134" t="e">
        <f>IF(_xll.qlQuoteIsValid(AH20,Trigger),_xll.qlQuoteValue(AH20,Trigger),1)</f>
        <v>#NUM!</v>
      </c>
      <c r="AK20" s="154" t="e">
        <f t="shared" si="12"/>
        <v>#NUM!</v>
      </c>
      <c r="AL20" s="135"/>
      <c r="AM20" s="134" t="str">
        <f t="shared" si="13"/>
        <v>AUDJump10_SYNTHON_Quote</v>
      </c>
    </row>
    <row r="21" spans="1:39" ht="11.25" customHeight="1" x14ac:dyDescent="0.2">
      <c r="A21" s="56" t="s">
        <v>94</v>
      </c>
      <c r="B21" s="103" t="b">
        <v>0</v>
      </c>
      <c r="C21" s="59" t="str">
        <f>_xll.qlASXNextCode(C20,B21,Trigger)</f>
        <v>Z6</v>
      </c>
      <c r="D21" s="110"/>
      <c r="E21" s="110"/>
      <c r="F21" s="110"/>
      <c r="G21" s="58" t="str">
        <f t="shared" si="18"/>
        <v>AudBBSW3M</v>
      </c>
      <c r="H21" s="106" t="str">
        <f t="shared" si="19"/>
        <v>AUDFUT3MZ6_Quote</v>
      </c>
      <c r="I21" s="106" t="str">
        <f t="shared" si="20"/>
        <v>AUDFUT3MZ6ConvAdj_Quote</v>
      </c>
      <c r="J21" s="167" t="str">
        <f>IF(P17,_xll.qlFuturesRateHelper(,H21,$H$18,_xll.qlASXdate(C21),G21,I21,Permanent,Trigger,ObjectOverwrite),"--")</f>
        <v>obj_00276#0003</v>
      </c>
      <c r="K21" s="46"/>
      <c r="L21" s="173" t="str">
        <f t="shared" si="15"/>
        <v>FUT</v>
      </c>
      <c r="M21" s="182" t="str">
        <f t="shared" si="17"/>
        <v>AUDFUT3MM7_Quote</v>
      </c>
      <c r="N21" s="184">
        <f>IFERROR(_xll.qlQuoteValue(H25),"--")</f>
        <v>98.275000000000006</v>
      </c>
      <c r="O21" s="174">
        <f>IFERROR(_xll.qlQuoteValue(I25),"--")</f>
        <v>0</v>
      </c>
      <c r="P21" s="91" t="b">
        <v>1</v>
      </c>
      <c r="Q21" s="88">
        <v>60</v>
      </c>
      <c r="R21" s="88">
        <v>21</v>
      </c>
      <c r="S21" s="122" t="str">
        <f t="shared" si="16"/>
        <v>obj_0027a#0003</v>
      </c>
      <c r="T21" s="92">
        <f>IFERROR(_xll.qlRateHelperEarliestDate(S21,Trigger),"--")</f>
        <v>42895</v>
      </c>
      <c r="U21" s="92">
        <f>IFERROR(_xll.qlRateHelperPillarDate(S21,Trigger),"--")</f>
        <v>42989</v>
      </c>
      <c r="W21" s="3" t="str">
        <f t="shared" si="2"/>
        <v>BasSw</v>
      </c>
      <c r="X21" s="3" t="str">
        <v>obj_00246</v>
      </c>
      <c r="Y21" s="3" t="str">
        <f>IFERROR(_xll.qlRateHelperQuoteName(X21,Trigger),"")</f>
        <v>AUDSM6AB15Y_Quote</v>
      </c>
      <c r="Z21" s="65">
        <f>IFERROR(_xll.qlRateHelperRate(X21,Trigger),"")</f>
        <v>2.6375000000000003E-2</v>
      </c>
      <c r="AA21" s="96">
        <f>IF(ISERROR(_xll.qlSwapRateHelperSpread($X21)),IF(ISERROR(_xll.qlFuturesRateHelperConvexityAdjustment($X21)),"",_xll.qlFuturesRateHelperConvexityAdjustment($X21)),_xll.qlSwapRateHelperSpread($X21))</f>
        <v>1.0625000000000001E-3</v>
      </c>
      <c r="AB21" s="4">
        <f>IFERROR(_xll.qlRateHelperEarliestDate(X21,Trigger),"")</f>
        <v>42682</v>
      </c>
      <c r="AC21" s="4">
        <f>IFERROR(_xll.qlRateHelperPillarDate(X21,Trigger),"")</f>
        <v>48162</v>
      </c>
      <c r="AD21" s="71">
        <v>0.6808458655984031</v>
      </c>
      <c r="AE21" s="146"/>
      <c r="AF21" s="132">
        <v>11</v>
      </c>
      <c r="AG21" s="133">
        <f>_xll.qlCalendarEndOfMonth(Calendar,_xll.qlCalendarAdvance(Calendar,AG20,"1m","mf",TRUE),Trigger)</f>
        <v>43007</v>
      </c>
      <c r="AH21" s="132" t="str">
        <f t="shared" si="8"/>
        <v>AUDJump11_SYNTHON_Quote</v>
      </c>
      <c r="AI21" s="151">
        <f>_xll.qlDayCounterYearFraction("actual/360",AG21,_xll.qlCalendarAdvance(Calendar,AG21,"1D",,,Trigger))</f>
        <v>1.1111111111111112E-2</v>
      </c>
      <c r="AJ21" s="134" t="e">
        <f>IF(_xll.qlQuoteIsValid(AH21,Trigger),_xll.qlQuoteValue(AH21,Trigger),1)</f>
        <v>#NUM!</v>
      </c>
      <c r="AK21" s="154" t="e">
        <f t="shared" si="12"/>
        <v>#NUM!</v>
      </c>
      <c r="AL21" s="135"/>
      <c r="AM21" s="134" t="str">
        <f t="shared" si="13"/>
        <v>AUDJump11_SYNTHON_Quote</v>
      </c>
    </row>
    <row r="22" spans="1:39" ht="11.25" customHeight="1" x14ac:dyDescent="0.2">
      <c r="A22" s="56" t="s">
        <v>94</v>
      </c>
      <c r="B22" s="103" t="b">
        <v>0</v>
      </c>
      <c r="C22" s="59" t="str">
        <f>_xll.qlASXNextCode(C21,B22,Trigger)</f>
        <v>F7</v>
      </c>
      <c r="D22" s="110"/>
      <c r="E22" s="110"/>
      <c r="F22" s="110"/>
      <c r="G22" s="58" t="str">
        <f t="shared" si="18"/>
        <v>AudBBSW3M</v>
      </c>
      <c r="H22" s="106" t="str">
        <f t="shared" si="19"/>
        <v>AUDFUT3MF7_Quote</v>
      </c>
      <c r="I22" s="106" t="str">
        <f t="shared" si="20"/>
        <v>AUDFUT3MF7ConvAdj_Quote</v>
      </c>
      <c r="J22" s="167" t="str">
        <f>IF(P18,_xll.qlFuturesRateHelper(,H22,$H$18,_xll.qlASXdate(C22),G22,I22,Permanent,Trigger,ObjectOverwrite),"--")</f>
        <v>obj_00277#0003</v>
      </c>
      <c r="K22" s="46"/>
      <c r="L22" s="173" t="str">
        <f t="shared" si="15"/>
        <v>FUT</v>
      </c>
      <c r="M22" s="182" t="str">
        <f t="shared" si="17"/>
        <v>AUDFUT3MU7_Quote</v>
      </c>
      <c r="N22" s="184">
        <f>IFERROR(_xll.qlQuoteValue(H26),"--")</f>
        <v>98.265000000000001</v>
      </c>
      <c r="O22" s="174">
        <f>IFERROR(_xll.qlQuoteValue(I26),"--")</f>
        <v>0</v>
      </c>
      <c r="P22" s="91" t="b">
        <v>1</v>
      </c>
      <c r="Q22" s="88">
        <v>60</v>
      </c>
      <c r="R22" s="88">
        <v>21</v>
      </c>
      <c r="S22" s="122" t="str">
        <f t="shared" si="16"/>
        <v>obj_0027b#0003</v>
      </c>
      <c r="T22" s="92">
        <f>IFERROR(_xll.qlRateHelperEarliestDate(S22,Trigger),"--")</f>
        <v>42986</v>
      </c>
      <c r="U22" s="92">
        <f>IFERROR(_xll.qlRateHelperPillarDate(S22,Trigger),"--")</f>
        <v>43077</v>
      </c>
      <c r="W22" s="3" t="str">
        <f t="shared" si="2"/>
        <v>BasSw</v>
      </c>
      <c r="X22" s="3" t="str">
        <v>obj_00244</v>
      </c>
      <c r="Y22" s="3" t="str">
        <f>IFERROR(_xll.qlRateHelperQuoteName(X22,Trigger),"")</f>
        <v>AUDSM6AB20Y_Quote</v>
      </c>
      <c r="Z22" s="65">
        <f>IFERROR(_xll.qlRateHelperRate(X22,Trigger),"")</f>
        <v>2.7350000000000003E-2</v>
      </c>
      <c r="AA22" s="96">
        <f>IF(ISERROR(_xll.qlSwapRateHelperSpread($X22)),IF(ISERROR(_xll.qlFuturesRateHelperConvexityAdjustment($X22)),"",_xll.qlFuturesRateHelperConvexityAdjustment($X22)),_xll.qlSwapRateHelperSpread($X22))</f>
        <v>9.5E-4</v>
      </c>
      <c r="AB22" s="4">
        <f>IFERROR(_xll.qlRateHelperEarliestDate(X22,Trigger),"")</f>
        <v>42682</v>
      </c>
      <c r="AC22" s="4">
        <f>IFERROR(_xll.qlRateHelperPillarDate(X22,Trigger),"")</f>
        <v>49989</v>
      </c>
      <c r="AD22" s="71">
        <v>0.58464421156223478</v>
      </c>
      <c r="AE22" s="146"/>
      <c r="AF22" s="132">
        <v>12</v>
      </c>
      <c r="AG22" s="133">
        <f>_xll.qlCalendarEndOfMonth(Calendar,_xll.qlCalendarAdvance(Calendar,AG21,"1m","mf",TRUE),Trigger)</f>
        <v>43039</v>
      </c>
      <c r="AH22" s="132" t="str">
        <f t="shared" si="8"/>
        <v>AUDJump12_SYNTHON_Quote</v>
      </c>
      <c r="AI22" s="151">
        <f>_xll.qlDayCounterYearFraction("actual/360",AG22,_xll.qlCalendarAdvance(Calendar,AG22,"1D",,,Trigger))</f>
        <v>2.7777777777777779E-3</v>
      </c>
      <c r="AJ22" s="134" t="e">
        <f>IF(_xll.qlQuoteIsValid(AH22,Trigger),_xll.qlQuoteValue(AH22,Trigger),1)</f>
        <v>#NUM!</v>
      </c>
      <c r="AK22" s="154" t="e">
        <f t="shared" si="12"/>
        <v>#NUM!</v>
      </c>
      <c r="AL22" s="135"/>
      <c r="AM22" s="134" t="str">
        <f t="shared" si="13"/>
        <v>AUDJump12_SYNTHON_Quote</v>
      </c>
    </row>
    <row r="23" spans="1:39" ht="11.25" customHeight="1" x14ac:dyDescent="0.2">
      <c r="A23" s="56" t="s">
        <v>94</v>
      </c>
      <c r="B23" s="103" t="b">
        <v>0</v>
      </c>
      <c r="C23" s="59" t="str">
        <f>_xll.qlASXNextCode(C22,B23,Trigger)</f>
        <v>G7</v>
      </c>
      <c r="D23" s="110"/>
      <c r="E23" s="110"/>
      <c r="F23" s="110"/>
      <c r="G23" s="58" t="str">
        <f t="shared" si="18"/>
        <v>AudBBSW3M</v>
      </c>
      <c r="H23" s="106" t="str">
        <f t="shared" si="19"/>
        <v>AUDFUT3MG7_Quote</v>
      </c>
      <c r="I23" s="106" t="str">
        <f t="shared" si="20"/>
        <v>AUDFUT3MG7ConvAdj_Quote</v>
      </c>
      <c r="J23" s="167" t="str">
        <f>IF(P19,_xll.qlFuturesRateHelper(,H23,$H$18,_xll.qlASXdate(C23),G23,I23,Permanent,Trigger,ObjectOverwrite),"--")</f>
        <v>obj_00278#0003</v>
      </c>
      <c r="K23" s="46"/>
      <c r="L23" s="173" t="str">
        <f t="shared" si="15"/>
        <v>FUT</v>
      </c>
      <c r="M23" s="182" t="str">
        <f t="shared" si="17"/>
        <v>AUDFUT3MZ7_Quote</v>
      </c>
      <c r="N23" s="184">
        <f>IFERROR(_xll.qlQuoteValue(H27),"--")</f>
        <v>98.245000000000005</v>
      </c>
      <c r="O23" s="174">
        <f>IFERROR(_xll.qlQuoteValue(I27),"--")</f>
        <v>0</v>
      </c>
      <c r="P23" s="91" t="b">
        <v>1</v>
      </c>
      <c r="Q23" s="88">
        <v>60</v>
      </c>
      <c r="R23" s="88">
        <v>21</v>
      </c>
      <c r="S23" s="122" t="str">
        <f t="shared" si="16"/>
        <v>obj_0027c#0003</v>
      </c>
      <c r="T23" s="92">
        <f>IFERROR(_xll.qlRateHelperEarliestDate(S23,Trigger),"--")</f>
        <v>43077</v>
      </c>
      <c r="U23" s="92">
        <f>IFERROR(_xll.qlRateHelperPillarDate(S23,Trigger),"--")</f>
        <v>43167</v>
      </c>
      <c r="W23" s="3" t="str">
        <f t="shared" si="2"/>
        <v>BasSw</v>
      </c>
      <c r="X23" s="3" t="str">
        <v>obj_00239</v>
      </c>
      <c r="Y23" s="3" t="str">
        <f>IFERROR(_xll.qlRateHelperQuoteName(X23,Trigger),"")</f>
        <v>AUDSM6AB25Y_Quote</v>
      </c>
      <c r="Z23" s="65">
        <f>IFERROR(_xll.qlRateHelperRate(X23,Trigger),"")</f>
        <v>2.7925000000000005E-2</v>
      </c>
      <c r="AA23" s="96">
        <f>IF(ISERROR(_xll.qlSwapRateHelperSpread($X23)),IF(ISERROR(_xll.qlFuturesRateHelperConvexityAdjustment($X23)),"",_xll.qlFuturesRateHelperConvexityAdjustment($X23)),_xll.qlSwapRateHelperSpread($X23))</f>
        <v>9.2500000000000004E-4</v>
      </c>
      <c r="AB23" s="4">
        <f>IFERROR(_xll.qlRateHelperEarliestDate(X23,Trigger),"")</f>
        <v>42682</v>
      </c>
      <c r="AC23" s="4">
        <f>IFERROR(_xll.qlRateHelperPillarDate(X23,Trigger),"")</f>
        <v>51813</v>
      </c>
      <c r="AD23" s="71">
        <v>0.50284375782501611</v>
      </c>
      <c r="AE23" s="146"/>
      <c r="AF23" s="136">
        <v>13</v>
      </c>
      <c r="AG23" s="137">
        <f>_xll.qlCalendarAdjust(Calendar,DATE(YEAR(AG11)+1,12,31),"preceding",Trigger)</f>
        <v>43098</v>
      </c>
      <c r="AH23" s="136" t="str">
        <f t="shared" si="8"/>
        <v>AUDJump13_SYNTHON_Quote</v>
      </c>
      <c r="AI23" s="152">
        <f>_xll.qlDayCounterYearFraction("actual/360",AG23,_xll.qlCalendarAdvance(Calendar,AG23,"1D",,,Trigger))</f>
        <v>1.1111111111111112E-2</v>
      </c>
      <c r="AJ23" s="138" t="e">
        <f>IF(_xll.qlQuoteIsValid(AH23,Trigger),_xll.qlQuoteValue(AH23,Trigger),1)</f>
        <v>#NUM!</v>
      </c>
      <c r="AK23" s="155" t="e">
        <f t="shared" si="12"/>
        <v>#NUM!</v>
      </c>
      <c r="AL23" s="139"/>
      <c r="AM23" s="138" t="str">
        <f t="shared" si="13"/>
        <v>AUDJump13_SYNTHON_Quote</v>
      </c>
    </row>
    <row r="24" spans="1:39" ht="11.25" customHeight="1" x14ac:dyDescent="0.2">
      <c r="A24" s="1" t="s">
        <v>94</v>
      </c>
      <c r="B24" s="104" t="b">
        <v>0</v>
      </c>
      <c r="C24" s="8" t="str">
        <f>_xll.qlASXNextCode(C23,B24,Trigger)</f>
        <v>H7</v>
      </c>
      <c r="D24" s="111"/>
      <c r="E24" s="111"/>
      <c r="F24" s="111"/>
      <c r="G24" s="6" t="str">
        <f t="shared" si="18"/>
        <v>AudBBSW3M</v>
      </c>
      <c r="H24" s="107" t="str">
        <f t="shared" si="19"/>
        <v>AUDFUT3MH7_Quote</v>
      </c>
      <c r="I24" s="107" t="str">
        <f t="shared" si="20"/>
        <v>AUDFUT3MH7ConvAdj_Quote</v>
      </c>
      <c r="J24" s="166" t="str">
        <f>IF(P20,_xll.qlFuturesRateHelper(,H24,$H$18,_xll.qlASXdate(C24),G24,I24,Permanent,Trigger,ObjectOverwrite),"--")</f>
        <v>obj_00279#0003</v>
      </c>
      <c r="K24" s="46"/>
      <c r="L24" s="173" t="str">
        <f t="shared" si="15"/>
        <v>FUT</v>
      </c>
      <c r="M24" s="182" t="str">
        <f t="shared" si="17"/>
        <v>AUDFUT3MH8_Quote</v>
      </c>
      <c r="N24" s="184">
        <f>IFERROR(_xll.qlQuoteValue(H28),"--")</f>
        <v>98.205000000000013</v>
      </c>
      <c r="O24" s="174">
        <f>IFERROR(_xll.qlQuoteValue(I28),"--")</f>
        <v>0</v>
      </c>
      <c r="P24" s="91" t="b">
        <v>1</v>
      </c>
      <c r="Q24" s="88">
        <v>60</v>
      </c>
      <c r="R24" s="88">
        <v>21</v>
      </c>
      <c r="S24" s="122" t="str">
        <f t="shared" si="16"/>
        <v>obj_0027d#0003</v>
      </c>
      <c r="T24" s="92">
        <f>IFERROR(_xll.qlRateHelperEarliestDate(S24,Trigger),"--")</f>
        <v>43168</v>
      </c>
      <c r="U24" s="92">
        <f>IFERROR(_xll.qlRateHelperPillarDate(S24,Trigger),"--")</f>
        <v>43263</v>
      </c>
      <c r="W24" s="3" t="str">
        <f t="shared" si="2"/>
        <v>BasSw</v>
      </c>
      <c r="X24" s="3" t="str">
        <v>obj_00238</v>
      </c>
      <c r="Y24" s="3" t="str">
        <f>IFERROR(_xll.qlRateHelperQuoteName(X24,Trigger),"")</f>
        <v>AUDSM6AB30Y_Quote</v>
      </c>
      <c r="Z24" s="65">
        <f>IFERROR(_xll.qlRateHelperRate(X24,Trigger),"")</f>
        <v>2.7950000000000003E-2</v>
      </c>
      <c r="AA24" s="96">
        <f>IF(ISERROR(_xll.qlSwapRateHelperSpread($X24)),IF(ISERROR(_xll.qlFuturesRateHelperConvexityAdjustment($X24)),"",_xll.qlFuturesRateHelperConvexityAdjustment($X24)),_xll.qlSwapRateHelperSpread($X24))</f>
        <v>8.1249999999999996E-4</v>
      </c>
      <c r="AB24" s="4">
        <f>IFERROR(_xll.qlRateHelperEarliestDate(X24,Trigger),"")</f>
        <v>42682</v>
      </c>
      <c r="AC24" s="4">
        <f>IFERROR(_xll.qlRateHelperPillarDate(X24,Trigger),"")</f>
        <v>53639</v>
      </c>
      <c r="AD24" s="71">
        <v>0.43716879925970792</v>
      </c>
      <c r="AE24" s="146"/>
    </row>
    <row r="25" spans="1:39" ht="11.25" customHeight="1" x14ac:dyDescent="0.2">
      <c r="A25" s="56" t="s">
        <v>94</v>
      </c>
      <c r="B25" s="103" t="b">
        <v>1</v>
      </c>
      <c r="C25" s="59" t="str">
        <f>_xll.qlASXNextCode(C24,B25,Trigger)</f>
        <v>M7</v>
      </c>
      <c r="D25" s="110"/>
      <c r="E25" s="110"/>
      <c r="F25" s="110"/>
      <c r="G25" s="58" t="str">
        <f t="shared" si="18"/>
        <v>AudBBSW3M</v>
      </c>
      <c r="H25" s="106" t="str">
        <f t="shared" si="19"/>
        <v>AUDFUT3MM7_Quote</v>
      </c>
      <c r="I25" s="106" t="str">
        <f t="shared" si="20"/>
        <v>AUDFUT3MM7ConvAdj_Quote</v>
      </c>
      <c r="J25" s="167" t="str">
        <f>IF(P21,_xll.qlFuturesRateHelper(,H25,$H$18,_xll.qlASXdate(C25),G25,I25,Permanent,Trigger,ObjectOverwrite),"--")</f>
        <v>obj_0027a#0003</v>
      </c>
      <c r="K25" s="46"/>
      <c r="L25" s="173" t="str">
        <f t="shared" si="15"/>
        <v>FUT</v>
      </c>
      <c r="M25" s="182" t="str">
        <f t="shared" si="17"/>
        <v>AUDFUT3MM8_Quote</v>
      </c>
      <c r="N25" s="184">
        <f>IFERROR(_xll.qlQuoteValue(H29),"--")</f>
        <v>98.164999999999992</v>
      </c>
      <c r="O25" s="174">
        <f>IFERROR(_xll.qlQuoteValue(I29),"--")</f>
        <v>0</v>
      </c>
      <c r="P25" s="91" t="b">
        <v>1</v>
      </c>
      <c r="Q25" s="88">
        <v>60</v>
      </c>
      <c r="R25" s="88">
        <v>21</v>
      </c>
      <c r="S25" s="122" t="str">
        <f t="shared" si="16"/>
        <v>obj_0027e#0003</v>
      </c>
      <c r="T25" s="92">
        <f>IFERROR(_xll.qlRateHelperEarliestDate(S25,Trigger),"--")</f>
        <v>43259</v>
      </c>
      <c r="U25" s="92">
        <f>IFERROR(_xll.qlRateHelperPillarDate(S25,Trigger),"--")</f>
        <v>43353</v>
      </c>
      <c r="W25" s="3" t="str">
        <f t="shared" si="2"/>
        <v/>
      </c>
      <c r="X25" s="3" t="e">
        <v>#N/A</v>
      </c>
      <c r="Y25" s="3" t="str">
        <f>IFERROR(_xll.qlRateHelperQuoteName(X25,Trigger),"")</f>
        <v/>
      </c>
      <c r="Z25" s="65" t="str">
        <f>IFERROR(_xll.qlRateHelperRate(X25,Trigger),"")</f>
        <v/>
      </c>
      <c r="AA25" s="96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1" t="e">
        <v>#N/A</v>
      </c>
      <c r="AE25" s="146"/>
    </row>
    <row r="26" spans="1:39" ht="11.25" customHeight="1" x14ac:dyDescent="0.2">
      <c r="A26" s="56" t="s">
        <v>94</v>
      </c>
      <c r="B26" s="103" t="b">
        <v>1</v>
      </c>
      <c r="C26" s="59" t="str">
        <f>_xll.qlASXNextCode(C25,B26,Trigger)</f>
        <v>U7</v>
      </c>
      <c r="D26" s="110"/>
      <c r="E26" s="110"/>
      <c r="F26" s="110"/>
      <c r="G26" s="58" t="str">
        <f t="shared" si="18"/>
        <v>AudBBSW3M</v>
      </c>
      <c r="H26" s="106" t="str">
        <f t="shared" si="19"/>
        <v>AUDFUT3MU7_Quote</v>
      </c>
      <c r="I26" s="106" t="str">
        <f t="shared" si="20"/>
        <v>AUDFUT3MU7ConvAdj_Quote</v>
      </c>
      <c r="J26" s="167" t="str">
        <f>IF(P22,_xll.qlFuturesRateHelper(,H26,$H$18,_xll.qlASXdate(C26),G26,I26,Permanent,Trigger,ObjectOverwrite),"--")</f>
        <v>obj_0027b#0003</v>
      </c>
      <c r="K26" s="46"/>
      <c r="L26" s="173" t="str">
        <f t="shared" si="15"/>
        <v>FUT</v>
      </c>
      <c r="M26" s="182" t="str">
        <f t="shared" si="17"/>
        <v>AUDFUT3MU8_Quote</v>
      </c>
      <c r="N26" s="184">
        <f>IFERROR(_xll.qlQuoteValue(H30),"--")</f>
        <v>98.125</v>
      </c>
      <c r="O26" s="174">
        <f>IFERROR(_xll.qlQuoteValue(I30),"--")</f>
        <v>0</v>
      </c>
      <c r="P26" s="91" t="b">
        <v>1</v>
      </c>
      <c r="Q26" s="88">
        <v>60</v>
      </c>
      <c r="R26" s="88">
        <v>21</v>
      </c>
      <c r="S26" s="122" t="str">
        <f t="shared" si="16"/>
        <v>obj_0027f#0003</v>
      </c>
      <c r="T26" s="92">
        <f>IFERROR(_xll.qlRateHelperEarliestDate(S26,Trigger),"--")</f>
        <v>43357</v>
      </c>
      <c r="U26" s="92">
        <f>IFERROR(_xll.qlRateHelperPillarDate(S26,Trigger),"--")</f>
        <v>43448</v>
      </c>
      <c r="W26" s="3" t="str">
        <f t="shared" si="2"/>
        <v/>
      </c>
      <c r="X26" s="3" t="e">
        <v>#N/A</v>
      </c>
      <c r="Y26" s="3" t="str">
        <f>IFERROR(_xll.qlRateHelperQuoteName(X26,Trigger),"")</f>
        <v/>
      </c>
      <c r="Z26" s="65" t="str">
        <f>IFERROR(_xll.qlRateHelperRate(X26,Trigger),"")</f>
        <v/>
      </c>
      <c r="AA26" s="96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1" t="e">
        <v>#N/A</v>
      </c>
      <c r="AE26" s="146"/>
    </row>
    <row r="27" spans="1:39" ht="11.25" customHeight="1" x14ac:dyDescent="0.2">
      <c r="A27" s="56" t="s">
        <v>94</v>
      </c>
      <c r="B27" s="103" t="b">
        <v>1</v>
      </c>
      <c r="C27" s="59" t="str">
        <f>_xll.qlASXNextCode(C26,B27,Trigger)</f>
        <v>Z7</v>
      </c>
      <c r="D27" s="110"/>
      <c r="E27" s="110"/>
      <c r="F27" s="110"/>
      <c r="G27" s="58" t="str">
        <f t="shared" si="18"/>
        <v>AudBBSW3M</v>
      </c>
      <c r="H27" s="106" t="str">
        <f t="shared" si="19"/>
        <v>AUDFUT3MZ7_Quote</v>
      </c>
      <c r="I27" s="106" t="str">
        <f t="shared" si="20"/>
        <v>AUDFUT3MZ7ConvAdj_Quote</v>
      </c>
      <c r="J27" s="167" t="str">
        <f>IF(P23,_xll.qlFuturesRateHelper(,H27,$H$18,_xll.qlASXdate(C27),G27,I27,Permanent,Trigger,ObjectOverwrite),"--")</f>
        <v>obj_0027c#0003</v>
      </c>
      <c r="K27" s="46"/>
      <c r="L27" s="173" t="str">
        <f t="shared" si="15"/>
        <v>FUT</v>
      </c>
      <c r="M27" s="182" t="str">
        <f t="shared" si="17"/>
        <v>AUDFUT3MZ8_Quote</v>
      </c>
      <c r="N27" s="184">
        <f>IFERROR(_xll.qlQuoteValue(H31),"--")</f>
        <v>98.085000000000008</v>
      </c>
      <c r="O27" s="174">
        <f>IFERROR(_xll.qlQuoteValue(I31),"--")</f>
        <v>0</v>
      </c>
      <c r="P27" s="91" t="b">
        <v>1</v>
      </c>
      <c r="Q27" s="88">
        <v>60</v>
      </c>
      <c r="R27" s="88">
        <v>21</v>
      </c>
      <c r="S27" s="122" t="str">
        <f t="shared" si="16"/>
        <v>obj_00280#0003</v>
      </c>
      <c r="T27" s="92">
        <f>IFERROR(_xll.qlRateHelperEarliestDate(S27,Trigger),"--")</f>
        <v>43448</v>
      </c>
      <c r="U27" s="92">
        <f>IFERROR(_xll.qlRateHelperPillarDate(S27,Trigger),"--")</f>
        <v>43538</v>
      </c>
      <c r="W27" s="3" t="str">
        <f t="shared" si="2"/>
        <v/>
      </c>
      <c r="X27" s="3" t="e">
        <v>#N/A</v>
      </c>
      <c r="Y27" s="3" t="str">
        <f>IFERROR(_xll.qlRateHelperQuoteName(X27,Trigger),"")</f>
        <v/>
      </c>
      <c r="Z27" s="65" t="str">
        <f>IFERROR(_xll.qlRateHelperRate(X27,Trigger),"")</f>
        <v/>
      </c>
      <c r="AA27" s="96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1" t="e">
        <v>#N/A</v>
      </c>
      <c r="AE27" s="146"/>
    </row>
    <row r="28" spans="1:39" ht="11.25" customHeight="1" x14ac:dyDescent="0.2">
      <c r="A28" s="56" t="s">
        <v>94</v>
      </c>
      <c r="B28" s="103" t="b">
        <v>1</v>
      </c>
      <c r="C28" s="59" t="str">
        <f>_xll.qlASXNextCode(C27,B28,Trigger)</f>
        <v>H8</v>
      </c>
      <c r="D28" s="110"/>
      <c r="E28" s="110"/>
      <c r="F28" s="110"/>
      <c r="G28" s="58" t="str">
        <f t="shared" si="18"/>
        <v>AudBBSW3M</v>
      </c>
      <c r="H28" s="106" t="str">
        <f t="shared" si="19"/>
        <v>AUDFUT3MH8_Quote</v>
      </c>
      <c r="I28" s="106" t="str">
        <f t="shared" si="20"/>
        <v>AUDFUT3MH8ConvAdj_Quote</v>
      </c>
      <c r="J28" s="167" t="str">
        <f>IF(P24,_xll.qlFuturesRateHelper(,H28,$H$18,_xll.qlASXdate(C28),G28,I28,Permanent,Trigger,ObjectOverwrite),"--")</f>
        <v>obj_0027d#0003</v>
      </c>
      <c r="K28" s="46"/>
      <c r="L28" s="173" t="str">
        <f t="shared" si="15"/>
        <v>FUT</v>
      </c>
      <c r="M28" s="182" t="str">
        <f t="shared" si="17"/>
        <v>AUDFUT3MH9_Quote</v>
      </c>
      <c r="N28" s="184">
        <f>IFERROR(_xll.qlQuoteValue(H32),"--")</f>
        <v>98.039999999999992</v>
      </c>
      <c r="O28" s="174">
        <f>IFERROR(_xll.qlQuoteValue(I32),"--")</f>
        <v>0</v>
      </c>
      <c r="P28" s="91" t="b">
        <v>1</v>
      </c>
      <c r="Q28" s="88">
        <v>60</v>
      </c>
      <c r="R28" s="88">
        <v>21</v>
      </c>
      <c r="S28" s="122" t="str">
        <f t="shared" si="16"/>
        <v>obj_00281#0003</v>
      </c>
      <c r="T28" s="92">
        <f>IFERROR(_xll.qlRateHelperEarliestDate(S28,Trigger),"--")</f>
        <v>43532</v>
      </c>
      <c r="U28" s="92">
        <f>IFERROR(_xll.qlRateHelperPillarDate(S28,Trigger),"--")</f>
        <v>43627</v>
      </c>
      <c r="W28" s="3" t="str">
        <f t="shared" si="2"/>
        <v/>
      </c>
      <c r="X28" s="3" t="e">
        <v>#N/A</v>
      </c>
      <c r="Y28" s="3" t="str">
        <f>IFERROR(_xll.qlRateHelperQuoteName(X28,Trigger),"")</f>
        <v/>
      </c>
      <c r="Z28" s="65" t="str">
        <f>IFERROR(_xll.qlRateHelperRate(X28,Trigger),"")</f>
        <v/>
      </c>
      <c r="AA28" s="9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1" t="e">
        <v>#N/A</v>
      </c>
      <c r="AE28" s="146"/>
    </row>
    <row r="29" spans="1:39" ht="11.25" customHeight="1" x14ac:dyDescent="0.2">
      <c r="A29" s="56" t="s">
        <v>94</v>
      </c>
      <c r="B29" s="103" t="b">
        <v>1</v>
      </c>
      <c r="C29" s="59" t="str">
        <f>_xll.qlASXNextCode(C28,B29,Trigger)</f>
        <v>M8</v>
      </c>
      <c r="D29" s="110"/>
      <c r="E29" s="110"/>
      <c r="F29" s="110"/>
      <c r="G29" s="58" t="str">
        <f t="shared" si="18"/>
        <v>AudBBSW3M</v>
      </c>
      <c r="H29" s="106" t="str">
        <f t="shared" si="19"/>
        <v>AUDFUT3MM8_Quote</v>
      </c>
      <c r="I29" s="106" t="str">
        <f t="shared" si="20"/>
        <v>AUDFUT3MM8ConvAdj_Quote</v>
      </c>
      <c r="J29" s="167" t="str">
        <f>IF(P25,_xll.qlFuturesRateHelper(,H29,$H$18,_xll.qlASXdate(C29),G29,I29,Permanent,Trigger,ObjectOverwrite),"--")</f>
        <v>obj_0027e#0003</v>
      </c>
      <c r="K29" s="46"/>
      <c r="L29" s="173" t="str">
        <f t="shared" si="15"/>
        <v>FUT</v>
      </c>
      <c r="M29" s="182" t="str">
        <f t="shared" si="17"/>
        <v>AUDFUT3MM9_Quote</v>
      </c>
      <c r="N29" s="184">
        <f>IFERROR(_xll.qlQuoteValue(H33),"--")</f>
        <v>97.995000000000005</v>
      </c>
      <c r="O29" s="174">
        <f>IFERROR(_xll.qlQuoteValue(I33),"--")</f>
        <v>0</v>
      </c>
      <c r="P29" s="91" t="b">
        <v>1</v>
      </c>
      <c r="Q29" s="88">
        <v>30</v>
      </c>
      <c r="R29" s="88">
        <v>21</v>
      </c>
      <c r="S29" s="122" t="str">
        <f t="shared" si="16"/>
        <v>obj_00282#0003</v>
      </c>
      <c r="T29" s="92">
        <f>IFERROR(_xll.qlRateHelperEarliestDate(S29,Trigger),"--")</f>
        <v>43630</v>
      </c>
      <c r="U29" s="92">
        <f>IFERROR(_xll.qlRateHelperPillarDate(S29,Trigger),"--")</f>
        <v>43721</v>
      </c>
      <c r="W29" s="3" t="str">
        <f t="shared" si="2"/>
        <v/>
      </c>
      <c r="X29" s="3" t="e">
        <v>#N/A</v>
      </c>
      <c r="Y29" s="3" t="str">
        <f>IFERROR(_xll.qlRateHelperQuoteName(X29,Trigger),"")</f>
        <v/>
      </c>
      <c r="Z29" s="65" t="str">
        <f>IFERROR(_xll.qlRateHelperRate(X29,Trigger),"")</f>
        <v/>
      </c>
      <c r="AA29" s="9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1" t="e">
        <v>#N/A</v>
      </c>
      <c r="AE29" s="146"/>
    </row>
    <row r="30" spans="1:39" ht="11.25" customHeight="1" x14ac:dyDescent="0.2">
      <c r="A30" s="56" t="s">
        <v>94</v>
      </c>
      <c r="B30" s="103" t="b">
        <v>1</v>
      </c>
      <c r="C30" s="59" t="str">
        <f>_xll.qlASXNextCode(C29,B30,Trigger)</f>
        <v>U8</v>
      </c>
      <c r="D30" s="110"/>
      <c r="E30" s="110"/>
      <c r="F30" s="110"/>
      <c r="G30" s="58" t="str">
        <f t="shared" si="18"/>
        <v>AudBBSW3M</v>
      </c>
      <c r="H30" s="106" t="str">
        <f t="shared" si="19"/>
        <v>AUDFUT3MU8_Quote</v>
      </c>
      <c r="I30" s="106" t="str">
        <f t="shared" si="20"/>
        <v>AUDFUT3MU8ConvAdj_Quote</v>
      </c>
      <c r="J30" s="167" t="str">
        <f>IF(P26,_xll.qlFuturesRateHelper(,H30,$H$18,_xll.qlASXdate(C30),G30,I30,Permanent,Trigger,ObjectOverwrite),"--")</f>
        <v>obj_0027f#0003</v>
      </c>
      <c r="K30" s="46"/>
      <c r="L30" s="173" t="str">
        <f t="shared" si="15"/>
        <v>FUT</v>
      </c>
      <c r="M30" s="182" t="str">
        <f t="shared" si="17"/>
        <v>AUDFUT3MU9_Quote</v>
      </c>
      <c r="N30" s="184">
        <f>IFERROR(_xll.qlQuoteValue(H34),"--")</f>
        <v>97.954999999999998</v>
      </c>
      <c r="O30" s="174">
        <f>IFERROR(_xll.qlQuoteValue(I34),"--")</f>
        <v>0</v>
      </c>
      <c r="P30" s="91" t="b">
        <v>1</v>
      </c>
      <c r="Q30" s="88">
        <v>30</v>
      </c>
      <c r="R30" s="88">
        <v>21</v>
      </c>
      <c r="S30" s="122" t="str">
        <f t="shared" si="16"/>
        <v>obj_00283#0003</v>
      </c>
      <c r="T30" s="92">
        <f>IFERROR(_xll.qlRateHelperEarliestDate(S30,Trigger),"--")</f>
        <v>43721</v>
      </c>
      <c r="U30" s="92">
        <f>IFERROR(_xll.qlRateHelperPillarDate(S30,Trigger),"--")</f>
        <v>43812</v>
      </c>
      <c r="W30" s="3" t="str">
        <f t="shared" si="2"/>
        <v/>
      </c>
      <c r="X30" s="3" t="e">
        <v>#N/A</v>
      </c>
      <c r="Y30" s="3" t="str">
        <f>IFERROR(_xll.qlRateHelperQuoteName(X30,Trigger),"")</f>
        <v/>
      </c>
      <c r="Z30" s="65" t="str">
        <f>IFERROR(_xll.qlRateHelperRate(X30,Trigger),"")</f>
        <v/>
      </c>
      <c r="AA30" s="9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1" t="e">
        <v>#N/A</v>
      </c>
    </row>
    <row r="31" spans="1:39" ht="11.25" customHeight="1" x14ac:dyDescent="0.2">
      <c r="A31" s="56" t="s">
        <v>94</v>
      </c>
      <c r="B31" s="103" t="b">
        <v>1</v>
      </c>
      <c r="C31" s="59" t="str">
        <f>_xll.qlASXNextCode(C30,B31,Trigger)</f>
        <v>Z8</v>
      </c>
      <c r="D31" s="110"/>
      <c r="E31" s="110"/>
      <c r="F31" s="110"/>
      <c r="G31" s="58" t="str">
        <f t="shared" si="18"/>
        <v>AudBBSW3M</v>
      </c>
      <c r="H31" s="106" t="str">
        <f t="shared" si="19"/>
        <v>AUDFUT3MZ8_Quote</v>
      </c>
      <c r="I31" s="106" t="str">
        <f t="shared" si="20"/>
        <v>AUDFUT3MZ8ConvAdj_Quote</v>
      </c>
      <c r="J31" s="167" t="str">
        <f>IF(P27,_xll.qlFuturesRateHelper(,H31,$H$18,_xll.qlASXdate(C31),G31,I31,Permanent,Trigger,ObjectOverwrite),"--")</f>
        <v>obj_00280#0003</v>
      </c>
      <c r="K31" s="46"/>
      <c r="L31" s="173" t="str">
        <f t="shared" si="15"/>
        <v>FUT</v>
      </c>
      <c r="M31" s="182" t="str">
        <f t="shared" si="17"/>
        <v>AUDFUT3MZ9_Quote</v>
      </c>
      <c r="N31" s="184">
        <f>IFERROR(_xll.qlQuoteValue(H35),"--")</f>
        <v>0</v>
      </c>
      <c r="O31" s="174">
        <f>IFERROR(_xll.qlQuoteValue(I35),"--")</f>
        <v>0</v>
      </c>
      <c r="P31" s="91" t="b">
        <v>1</v>
      </c>
      <c r="Q31" s="88">
        <v>30</v>
      </c>
      <c r="R31" s="88">
        <v>21</v>
      </c>
      <c r="S31" s="122" t="str">
        <f t="shared" si="16"/>
        <v>obj_00284#0003</v>
      </c>
      <c r="T31" s="92">
        <f>IFERROR(_xll.qlRateHelperEarliestDate(S31,Trigger),"--")</f>
        <v>43812</v>
      </c>
      <c r="U31" s="92">
        <f>IFERROR(_xll.qlRateHelperPillarDate(S31,Trigger),"--")</f>
        <v>43903</v>
      </c>
      <c r="W31" s="3" t="str">
        <f t="shared" si="2"/>
        <v/>
      </c>
      <c r="X31" s="3" t="e">
        <v>#N/A</v>
      </c>
      <c r="Y31" s="3" t="str">
        <f>IFERROR(_xll.qlRateHelperQuoteName(X31,Trigger),"")</f>
        <v/>
      </c>
      <c r="Z31" s="65" t="str">
        <f>IFERROR(_xll.qlRateHelperRate(X31,Trigger),"")</f>
        <v/>
      </c>
      <c r="AA31" s="9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1" t="e">
        <v>#N/A</v>
      </c>
    </row>
    <row r="32" spans="1:39" ht="11.25" customHeight="1" x14ac:dyDescent="0.2">
      <c r="A32" s="56" t="s">
        <v>94</v>
      </c>
      <c r="B32" s="103" t="b">
        <v>1</v>
      </c>
      <c r="C32" s="59" t="str">
        <f>_xll.qlASXNextCode(C31,B32,Trigger)</f>
        <v>H9</v>
      </c>
      <c r="D32" s="110"/>
      <c r="E32" s="110"/>
      <c r="F32" s="110"/>
      <c r="G32" s="58" t="str">
        <f t="shared" si="18"/>
        <v>AudBBSW3M</v>
      </c>
      <c r="H32" s="106" t="str">
        <f t="shared" si="19"/>
        <v>AUDFUT3MH9_Quote</v>
      </c>
      <c r="I32" s="106" t="str">
        <f t="shared" si="20"/>
        <v>AUDFUT3MH9ConvAdj_Quote</v>
      </c>
      <c r="J32" s="167" t="str">
        <f>IF(P28,_xll.qlFuturesRateHelper(,H32,$H$18,_xll.qlASXdate(C32),G32,I32,Permanent,Trigger,ObjectOverwrite),"--")</f>
        <v>obj_00281#0003</v>
      </c>
      <c r="K32" s="46"/>
      <c r="L32" s="173" t="str">
        <f t="shared" si="15"/>
        <v>FUT</v>
      </c>
      <c r="M32" s="182" t="str">
        <f t="shared" si="17"/>
        <v>AUDFUT3MH0_Quote</v>
      </c>
      <c r="N32" s="184">
        <f>IFERROR(_xll.qlQuoteValue(H36),"--")</f>
        <v>0</v>
      </c>
      <c r="O32" s="174">
        <f>IFERROR(_xll.qlQuoteValue(I36),"--")</f>
        <v>0</v>
      </c>
      <c r="P32" s="91" t="b">
        <v>1</v>
      </c>
      <c r="Q32" s="88">
        <v>30</v>
      </c>
      <c r="R32" s="88">
        <v>21</v>
      </c>
      <c r="S32" s="122" t="str">
        <f t="shared" si="16"/>
        <v>obj_00285#0003</v>
      </c>
      <c r="T32" s="92">
        <f>IFERROR(_xll.qlRateHelperEarliestDate(S32,Trigger),"--")</f>
        <v>43903</v>
      </c>
      <c r="U32" s="92">
        <f>IFERROR(_xll.qlRateHelperPillarDate(S32,Trigger),"--")</f>
        <v>43997</v>
      </c>
      <c r="W32" s="3" t="str">
        <f t="shared" si="2"/>
        <v/>
      </c>
      <c r="X32" s="3" t="e">
        <v>#N/A</v>
      </c>
      <c r="Y32" s="3" t="str">
        <f>IFERROR(_xll.qlRateHelperQuoteName(X32,Trigger),"")</f>
        <v/>
      </c>
      <c r="Z32" s="65" t="str">
        <f>IFERROR(_xll.qlRateHelperRate(X32,Trigger),"")</f>
        <v/>
      </c>
      <c r="AA32" s="9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1" t="e">
        <v>#N/A</v>
      </c>
    </row>
    <row r="33" spans="1:30" ht="11.25" customHeight="1" x14ac:dyDescent="0.2">
      <c r="A33" s="56" t="s">
        <v>94</v>
      </c>
      <c r="B33" s="103" t="b">
        <v>1</v>
      </c>
      <c r="C33" s="59" t="str">
        <f>_xll.qlASXNextCode(C32,B33,Trigger)</f>
        <v>M9</v>
      </c>
      <c r="D33" s="110"/>
      <c r="E33" s="110"/>
      <c r="F33" s="110"/>
      <c r="G33" s="58" t="str">
        <f t="shared" si="18"/>
        <v>AudBBSW3M</v>
      </c>
      <c r="H33" s="106" t="str">
        <f t="shared" si="19"/>
        <v>AUDFUT3MM9_Quote</v>
      </c>
      <c r="I33" s="106" t="str">
        <f t="shared" si="20"/>
        <v>AUDFUT3MM9ConvAdj_Quote</v>
      </c>
      <c r="J33" s="167" t="str">
        <f>IF(P29,_xll.qlFuturesRateHelper(,H33,$H$18,_xll.qlASXdate(C33),G33,I33,Permanent,Trigger,ObjectOverwrite),"--")</f>
        <v>obj_00282#0003</v>
      </c>
      <c r="K33" s="46"/>
      <c r="L33" s="173" t="str">
        <f t="shared" si="15"/>
        <v>FUT</v>
      </c>
      <c r="M33" s="182" t="str">
        <f t="shared" si="17"/>
        <v>AUDFUT3MM0_Quote</v>
      </c>
      <c r="N33" s="184">
        <f>IFERROR(_xll.qlQuoteValue(H37),"--")</f>
        <v>0</v>
      </c>
      <c r="O33" s="174">
        <f>IFERROR(_xll.qlQuoteValue(I37),"--")</f>
        <v>0</v>
      </c>
      <c r="P33" s="91" t="b">
        <v>1</v>
      </c>
      <c r="Q33" s="88">
        <v>30</v>
      </c>
      <c r="R33" s="88">
        <v>21</v>
      </c>
      <c r="S33" s="122" t="str">
        <f t="shared" si="16"/>
        <v>obj_00287#0003</v>
      </c>
      <c r="T33" s="92">
        <f>IFERROR(_xll.qlRateHelperEarliestDate(S33,Trigger),"--")</f>
        <v>43994</v>
      </c>
      <c r="U33" s="92">
        <f>IFERROR(_xll.qlRateHelperPillarDate(S33,Trigger),"--")</f>
        <v>44088</v>
      </c>
      <c r="W33" s="3" t="str">
        <f t="shared" si="2"/>
        <v/>
      </c>
      <c r="X33" s="3" t="e">
        <v>#N/A</v>
      </c>
      <c r="Y33" s="3" t="str">
        <f>IFERROR(_xll.qlRateHelperQuoteName(X33,Trigger),"")</f>
        <v/>
      </c>
      <c r="Z33" s="65" t="str">
        <f>IFERROR(_xll.qlRateHelperRate(X33,Trigger),"")</f>
        <v/>
      </c>
      <c r="AA33" s="9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1" t="e">
        <v>#N/A</v>
      </c>
    </row>
    <row r="34" spans="1:30" ht="11.25" customHeight="1" x14ac:dyDescent="0.2">
      <c r="A34" s="56" t="s">
        <v>94</v>
      </c>
      <c r="B34" s="103" t="b">
        <v>1</v>
      </c>
      <c r="C34" s="59" t="str">
        <f>_xll.qlASXNextCode(C33,B34,Trigger)</f>
        <v>U9</v>
      </c>
      <c r="D34" s="110"/>
      <c r="E34" s="110"/>
      <c r="F34" s="110"/>
      <c r="G34" s="58" t="str">
        <f t="shared" si="18"/>
        <v>AudBBSW3M</v>
      </c>
      <c r="H34" s="106" t="str">
        <f t="shared" si="19"/>
        <v>AUDFUT3MU9_Quote</v>
      </c>
      <c r="I34" s="106" t="str">
        <f t="shared" si="20"/>
        <v>AUDFUT3MU9ConvAdj_Quote</v>
      </c>
      <c r="J34" s="167" t="str">
        <f>IF(P30,_xll.qlFuturesRateHelper(,H34,$H$18,_xll.qlASXdate(C34),G34,I34,Permanent,Trigger,ObjectOverwrite),"--")</f>
        <v>obj_00283#0003</v>
      </c>
      <c r="K34" s="46"/>
      <c r="L34" s="173" t="str">
        <f t="shared" si="15"/>
        <v>FUT</v>
      </c>
      <c r="M34" s="182" t="str">
        <f t="shared" si="17"/>
        <v>AUDFUT3MU0_Quote</v>
      </c>
      <c r="N34" s="184">
        <f>IFERROR(_xll.qlQuoteValue(H38),"--")</f>
        <v>98.134999999999991</v>
      </c>
      <c r="O34" s="174">
        <f>IFERROR(_xll.qlQuoteValue(I38),"--")</f>
        <v>0</v>
      </c>
      <c r="P34" s="91" t="b">
        <v>1</v>
      </c>
      <c r="Q34" s="88">
        <v>30</v>
      </c>
      <c r="R34" s="88">
        <v>21</v>
      </c>
      <c r="S34" s="122" t="str">
        <f t="shared" si="16"/>
        <v>obj_00289#0003</v>
      </c>
      <c r="T34" s="92">
        <f>IFERROR(_xll.qlRateHelperEarliestDate(S34,Trigger),"--")</f>
        <v>44085</v>
      </c>
      <c r="U34" s="92">
        <f>IFERROR(_xll.qlRateHelperPillarDate(S34,Trigger),"--")</f>
        <v>44176</v>
      </c>
      <c r="W34" s="3" t="str">
        <f t="shared" si="2"/>
        <v/>
      </c>
      <c r="X34" s="3" t="e">
        <v>#N/A</v>
      </c>
      <c r="Y34" s="3" t="str">
        <f>IFERROR(_xll.qlRateHelperQuoteName(X34,Trigger),"")</f>
        <v/>
      </c>
      <c r="Z34" s="65" t="str">
        <f>IFERROR(_xll.qlRateHelperRate(X34,Trigger),"")</f>
        <v/>
      </c>
      <c r="AA34" s="9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1" t="e">
        <v>#N/A</v>
      </c>
    </row>
    <row r="35" spans="1:30" ht="11.25" customHeight="1" x14ac:dyDescent="0.2">
      <c r="A35" s="56" t="s">
        <v>94</v>
      </c>
      <c r="B35" s="103" t="b">
        <v>1</v>
      </c>
      <c r="C35" s="59" t="str">
        <f>_xll.qlASXNextCode(C34,B35,Trigger)</f>
        <v>Z9</v>
      </c>
      <c r="D35" s="110"/>
      <c r="E35" s="110"/>
      <c r="F35" s="110"/>
      <c r="G35" s="58" t="str">
        <f t="shared" si="18"/>
        <v>AudBBSW3M</v>
      </c>
      <c r="H35" s="106" t="str">
        <f t="shared" si="19"/>
        <v>AUDFUT3MZ9_Quote</v>
      </c>
      <c r="I35" s="106" t="str">
        <f t="shared" si="20"/>
        <v>AUDFUT3MZ9ConvAdj_Quote</v>
      </c>
      <c r="J35" s="167" t="str">
        <f>IF(P31,_xll.qlFuturesRateHelper(,H35,$H$18,_xll.qlASXdate(C35),G35,I35,Permanent,Trigger,ObjectOverwrite),"--")</f>
        <v>obj_00284#0003</v>
      </c>
      <c r="K35" s="46"/>
      <c r="L35" s="173" t="str">
        <f t="shared" si="15"/>
        <v>FUT</v>
      </c>
      <c r="M35" s="182" t="str">
        <f t="shared" si="17"/>
        <v>AUDFUT3MZ0_Quote</v>
      </c>
      <c r="N35" s="184">
        <f>IFERROR(_xll.qlQuoteValue(H39),"--")</f>
        <v>98.09</v>
      </c>
      <c r="O35" s="174">
        <f>IFERROR(_xll.qlQuoteValue(I39),"--")</f>
        <v>0</v>
      </c>
      <c r="P35" s="91" t="b">
        <v>1</v>
      </c>
      <c r="Q35" s="88">
        <v>30</v>
      </c>
      <c r="R35" s="88">
        <v>21</v>
      </c>
      <c r="S35" s="122" t="str">
        <f t="shared" si="16"/>
        <v>obj_0028b#0003</v>
      </c>
      <c r="T35" s="92">
        <f>IFERROR(_xll.qlRateHelperEarliestDate(S35,Trigger),"--")</f>
        <v>44176</v>
      </c>
      <c r="U35" s="92">
        <f>IFERROR(_xll.qlRateHelperPillarDate(S35,Trigger),"--")</f>
        <v>44266</v>
      </c>
      <c r="W35" s="3" t="str">
        <f t="shared" ref="W35:W66" si="21">IFERROR(INDEX($L$3:$L$111,MATCH(Y35,$M$3:$M$111,0),1),"")</f>
        <v/>
      </c>
      <c r="X35" s="3" t="e">
        <v>#N/A</v>
      </c>
      <c r="Y35" s="3" t="str">
        <f>IFERROR(_xll.qlRateHelperQuoteName(X35,Trigger),"")</f>
        <v/>
      </c>
      <c r="Z35" s="65" t="str">
        <f>IFERROR(_xll.qlRateHelperRate(X35,Trigger),"")</f>
        <v/>
      </c>
      <c r="AA35" s="9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1" t="e">
        <v>#N/A</v>
      </c>
    </row>
    <row r="36" spans="1:30" ht="11.25" customHeight="1" x14ac:dyDescent="0.2">
      <c r="A36" s="56" t="s">
        <v>94</v>
      </c>
      <c r="B36" s="103" t="b">
        <v>1</v>
      </c>
      <c r="C36" s="59" t="str">
        <f>_xll.qlASXNextCode(C35,B36,Trigger)</f>
        <v>H0</v>
      </c>
      <c r="D36" s="110"/>
      <c r="E36" s="110"/>
      <c r="F36" s="110"/>
      <c r="G36" s="58" t="str">
        <f t="shared" si="18"/>
        <v>AudBBSW3M</v>
      </c>
      <c r="H36" s="106" t="str">
        <f t="shared" si="19"/>
        <v>AUDFUT3MH0_Quote</v>
      </c>
      <c r="I36" s="106" t="str">
        <f t="shared" si="20"/>
        <v>AUDFUT3MH0ConvAdj_Quote</v>
      </c>
      <c r="J36" s="167" t="str">
        <f>IF(P32,_xll.qlFuturesRateHelper(,H36,$H$18,_xll.qlASXdate(C36),G36,I36,Permanent,Trigger,ObjectOverwrite),"--")</f>
        <v>obj_00285#0003</v>
      </c>
      <c r="K36" s="46"/>
      <c r="L36" s="173" t="str">
        <f t="shared" si="15"/>
        <v>FUT</v>
      </c>
      <c r="M36" s="182" t="str">
        <f t="shared" si="17"/>
        <v>AUDFUT3MH1_Quote</v>
      </c>
      <c r="N36" s="184">
        <f>IFERROR(_xll.qlQuoteValue(H40),"--")</f>
        <v>98.064999999999998</v>
      </c>
      <c r="O36" s="174">
        <f>IFERROR(_xll.qlQuoteValue(I40),"--")</f>
        <v>0</v>
      </c>
      <c r="P36" s="91" t="b">
        <v>1</v>
      </c>
      <c r="Q36" s="88">
        <v>30</v>
      </c>
      <c r="R36" s="88">
        <v>21</v>
      </c>
      <c r="S36" s="122" t="str">
        <f t="shared" si="16"/>
        <v>obj_0028c#0003</v>
      </c>
      <c r="T36" s="92">
        <f>IFERROR(_xll.qlRateHelperEarliestDate(S36,Trigger),"--")</f>
        <v>44267</v>
      </c>
      <c r="U36" s="92">
        <f>IFERROR(_xll.qlRateHelperPillarDate(S36,Trigger),"--")</f>
        <v>44362</v>
      </c>
      <c r="W36" s="3" t="str">
        <f t="shared" si="21"/>
        <v/>
      </c>
      <c r="X36" s="3" t="e">
        <v>#N/A</v>
      </c>
      <c r="Y36" s="3" t="str">
        <f>IFERROR(_xll.qlRateHelperQuoteName(X36,Trigger),"")</f>
        <v/>
      </c>
      <c r="Z36" s="65" t="str">
        <f>IFERROR(_xll.qlRateHelperRate(X36,Trigger),"")</f>
        <v/>
      </c>
      <c r="AA36" s="9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1" t="e">
        <v>#N/A</v>
      </c>
    </row>
    <row r="37" spans="1:30" ht="11.25" customHeight="1" x14ac:dyDescent="0.2">
      <c r="A37" s="56" t="s">
        <v>94</v>
      </c>
      <c r="B37" s="103" t="b">
        <v>1</v>
      </c>
      <c r="C37" s="59" t="str">
        <f>_xll.qlASXNextCode(C36,B37,Trigger)</f>
        <v>M0</v>
      </c>
      <c r="D37" s="110"/>
      <c r="E37" s="110"/>
      <c r="F37" s="110"/>
      <c r="G37" s="58" t="str">
        <f t="shared" si="18"/>
        <v>AudBBSW3M</v>
      </c>
      <c r="H37" s="106" t="str">
        <f t="shared" si="19"/>
        <v>AUDFUT3MM0_Quote</v>
      </c>
      <c r="I37" s="106" t="str">
        <f t="shared" si="20"/>
        <v>AUDFUT3MM0ConvAdj_Quote</v>
      </c>
      <c r="J37" s="167" t="str">
        <f>IF(P33,_xll.qlFuturesRateHelper(,H37,$H$18,_xll.qlASXdate(C37),G37,I37,Permanent,Trigger,ObjectOverwrite),"--")</f>
        <v>obj_00287#0003</v>
      </c>
      <c r="K37" s="46"/>
      <c r="L37" s="173" t="str">
        <f t="shared" si="15"/>
        <v>FUT</v>
      </c>
      <c r="M37" s="182" t="str">
        <f t="shared" si="17"/>
        <v>AUDFUT3MM1_Quote</v>
      </c>
      <c r="N37" s="184">
        <f>IFERROR(_xll.qlQuoteValue(H41),"--")</f>
        <v>98.09</v>
      </c>
      <c r="O37" s="174">
        <f>IFERROR(_xll.qlQuoteValue(I41),"--")</f>
        <v>0</v>
      </c>
      <c r="P37" s="91" t="b">
        <v>1</v>
      </c>
      <c r="Q37" s="88">
        <v>30</v>
      </c>
      <c r="R37" s="88">
        <v>21</v>
      </c>
      <c r="S37" s="122" t="str">
        <f t="shared" si="16"/>
        <v>obj_0028d#0003</v>
      </c>
      <c r="T37" s="92">
        <f>IFERROR(_xll.qlRateHelperEarliestDate(S37,Trigger),"--")</f>
        <v>44358</v>
      </c>
      <c r="U37" s="92">
        <f>IFERROR(_xll.qlRateHelperPillarDate(S37,Trigger),"--")</f>
        <v>44452</v>
      </c>
      <c r="W37" s="3" t="str">
        <f t="shared" si="21"/>
        <v/>
      </c>
      <c r="X37" s="3" t="e">
        <v>#N/A</v>
      </c>
      <c r="Y37" s="3" t="str">
        <f>IFERROR(_xll.qlRateHelperQuoteName(X37,Trigger),"")</f>
        <v/>
      </c>
      <c r="Z37" s="65" t="str">
        <f>IFERROR(_xll.qlRateHelperRate(X37,Trigger),"")</f>
        <v/>
      </c>
      <c r="AA37" s="9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1" t="e">
        <v>#N/A</v>
      </c>
    </row>
    <row r="38" spans="1:30" ht="11.25" customHeight="1" x14ac:dyDescent="0.2">
      <c r="A38" s="56" t="s">
        <v>94</v>
      </c>
      <c r="B38" s="103" t="b">
        <v>1</v>
      </c>
      <c r="C38" s="59" t="str">
        <f>_xll.qlASXNextCode(C37,B38,Trigger)</f>
        <v>U0</v>
      </c>
      <c r="D38" s="110"/>
      <c r="E38" s="110"/>
      <c r="F38" s="110"/>
      <c r="G38" s="58" t="str">
        <f t="shared" si="18"/>
        <v>AudBBSW3M</v>
      </c>
      <c r="H38" s="106" t="str">
        <f t="shared" si="19"/>
        <v>AUDFUT3MU0_Quote</v>
      </c>
      <c r="I38" s="106" t="str">
        <f t="shared" si="20"/>
        <v>AUDFUT3MU0ConvAdj_Quote</v>
      </c>
      <c r="J38" s="167" t="str">
        <f>IF(P34,_xll.qlFuturesRateHelper(,H38,$H$18,_xll.qlASXdate(C38),G38,I38,Permanent,Trigger,ObjectOverwrite),"--")</f>
        <v>obj_00289#0003</v>
      </c>
      <c r="K38" s="46"/>
      <c r="L38" s="171" t="str">
        <f t="shared" ref="L38:L74" si="22">A44</f>
        <v>Sw</v>
      </c>
      <c r="M38" s="168" t="str">
        <f>H44</f>
        <v>AUDQM3AB1Y_Quote</v>
      </c>
      <c r="N38" s="172">
        <f>IFERROR(_xll.qlQuoteValue(H44),"--")</f>
        <v>1.8325000000000001E-2</v>
      </c>
      <c r="O38" s="172">
        <f>I44</f>
        <v>0</v>
      </c>
      <c r="P38" s="119" t="b">
        <v>1</v>
      </c>
      <c r="Q38" s="118">
        <v>70</v>
      </c>
      <c r="R38" s="118">
        <v>1</v>
      </c>
      <c r="S38" s="185" t="str">
        <f t="shared" ref="S38:S74" si="23">J44</f>
        <v>obj_00247#0003</v>
      </c>
      <c r="T38" s="120">
        <f>IFERROR(_xll.qlRateHelperEarliestDate(S38,Trigger),"--")</f>
        <v>42682</v>
      </c>
      <c r="U38" s="120">
        <f>IFERROR(_xll.qlRateHelperPillarDate(S38,Trigger),"--")</f>
        <v>43047</v>
      </c>
      <c r="W38" s="3" t="str">
        <f t="shared" si="21"/>
        <v/>
      </c>
      <c r="X38" s="3" t="e">
        <v>#N/A</v>
      </c>
      <c r="Y38" s="3" t="str">
        <f>IFERROR(_xll.qlRateHelperQuoteName(X38,Trigger),"")</f>
        <v/>
      </c>
      <c r="Z38" s="65" t="str">
        <f>IFERROR(_xll.qlRateHelperRate(X38,Trigger),"")</f>
        <v/>
      </c>
      <c r="AA38" s="9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1" t="e">
        <v>#N/A</v>
      </c>
    </row>
    <row r="39" spans="1:30" ht="11.25" customHeight="1" x14ac:dyDescent="0.2">
      <c r="A39" s="56" t="s">
        <v>94</v>
      </c>
      <c r="B39" s="103" t="b">
        <v>1</v>
      </c>
      <c r="C39" s="59" t="str">
        <f>_xll.qlASXNextCode(C38,B39,Trigger)</f>
        <v>Z0</v>
      </c>
      <c r="D39" s="110"/>
      <c r="E39" s="110"/>
      <c r="F39" s="110"/>
      <c r="G39" s="58" t="str">
        <f t="shared" si="18"/>
        <v>AudBBSW3M</v>
      </c>
      <c r="H39" s="106" t="str">
        <f t="shared" si="19"/>
        <v>AUDFUT3MZ0_Quote</v>
      </c>
      <c r="I39" s="106" t="str">
        <f t="shared" si="20"/>
        <v>AUDFUT3MZ0ConvAdj_Quote</v>
      </c>
      <c r="J39" s="167" t="str">
        <f>IF(P35,_xll.qlFuturesRateHelper(,H39,$H$18,_xll.qlASXdate(C39),G39,I39,Permanent,Trigger,ObjectOverwrite),"--")</f>
        <v>obj_0028b#0003</v>
      </c>
      <c r="K39" s="46"/>
      <c r="L39" s="173" t="str">
        <f t="shared" si="22"/>
        <v>Sw</v>
      </c>
      <c r="M39" s="182" t="str">
        <f t="shared" ref="M39:M74" si="24">H45</f>
        <v>AUDQM3AB15M_Quote</v>
      </c>
      <c r="N39" s="174" t="str">
        <f>IFERROR(_xll.qlQuoteValue(H45),"--")</f>
        <v>--</v>
      </c>
      <c r="O39" s="174">
        <f t="shared" ref="O39:O74" si="25">I45</f>
        <v>0</v>
      </c>
      <c r="P39" s="91" t="b">
        <v>0</v>
      </c>
      <c r="Q39" s="88">
        <v>50</v>
      </c>
      <c r="R39" s="88">
        <v>1</v>
      </c>
      <c r="S39" s="122" t="str">
        <f t="shared" si="23"/>
        <v>--</v>
      </c>
      <c r="T39" s="92" t="str">
        <f>IFERROR(_xll.qlRateHelperEarliestDate(S39,Trigger),"--")</f>
        <v>--</v>
      </c>
      <c r="U39" s="92" t="str">
        <f>IFERROR(_xll.qlRateHelperPillarDate(S39,Trigger),"--")</f>
        <v>--</v>
      </c>
      <c r="W39" s="3" t="str">
        <f t="shared" si="21"/>
        <v/>
      </c>
      <c r="X39" s="3" t="e">
        <v>#N/A</v>
      </c>
      <c r="Y39" s="3" t="str">
        <f>IFERROR(_xll.qlRateHelperQuoteName(X39,Trigger),"")</f>
        <v/>
      </c>
      <c r="Z39" s="65" t="str">
        <f>IFERROR(_xll.qlRateHelperRate(X39,Trigger),"")</f>
        <v/>
      </c>
      <c r="AA39" s="9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1" t="e">
        <v>#N/A</v>
      </c>
    </row>
    <row r="40" spans="1:30" ht="11.25" customHeight="1" x14ac:dyDescent="0.2">
      <c r="A40" s="56" t="s">
        <v>94</v>
      </c>
      <c r="B40" s="103" t="b">
        <v>1</v>
      </c>
      <c r="C40" s="59" t="str">
        <f>_xll.qlASXNextCode(C39,B40,Trigger)</f>
        <v>H1</v>
      </c>
      <c r="D40" s="110"/>
      <c r="E40" s="110"/>
      <c r="F40" s="110"/>
      <c r="G40" s="58" t="str">
        <f t="shared" si="18"/>
        <v>AudBBSW3M</v>
      </c>
      <c r="H40" s="106" t="str">
        <f t="shared" si="19"/>
        <v>AUDFUT3MH1_Quote</v>
      </c>
      <c r="I40" s="106" t="str">
        <f t="shared" si="20"/>
        <v>AUDFUT3MH1ConvAdj_Quote</v>
      </c>
      <c r="J40" s="167" t="str">
        <f>IF(P36,_xll.qlFuturesRateHelper(,H40,$H$18,_xll.qlASXdate(C40),G40,I40,Permanent,Trigger,ObjectOverwrite),"--")</f>
        <v>obj_0028c#0003</v>
      </c>
      <c r="K40" s="46"/>
      <c r="L40" s="173" t="str">
        <f t="shared" si="22"/>
        <v>Sw</v>
      </c>
      <c r="M40" s="182" t="str">
        <f t="shared" si="24"/>
        <v>AUDQM3AB18M_Quote</v>
      </c>
      <c r="N40" s="174" t="str">
        <f>IFERROR(_xll.qlQuoteValue(H46),"--")</f>
        <v>--</v>
      </c>
      <c r="O40" s="174">
        <f t="shared" si="25"/>
        <v>0</v>
      </c>
      <c r="P40" s="91" t="b">
        <v>0</v>
      </c>
      <c r="Q40" s="88">
        <v>50</v>
      </c>
      <c r="R40" s="88">
        <v>1</v>
      </c>
      <c r="S40" s="122" t="str">
        <f t="shared" si="23"/>
        <v>--</v>
      </c>
      <c r="T40" s="92" t="str">
        <f>IFERROR(_xll.qlRateHelperEarliestDate(S40,Trigger),"--")</f>
        <v>--</v>
      </c>
      <c r="U40" s="92" t="str">
        <f>IFERROR(_xll.qlRateHelperPillarDate(S40,Trigger),"--")</f>
        <v>--</v>
      </c>
      <c r="W40" s="3" t="str">
        <f t="shared" si="21"/>
        <v/>
      </c>
      <c r="X40" s="3" t="e">
        <v>#N/A</v>
      </c>
      <c r="Y40" s="3" t="str">
        <f>IFERROR(_xll.qlRateHelperQuoteName(X40,Trigger),"")</f>
        <v/>
      </c>
      <c r="Z40" s="65" t="str">
        <f>IFERROR(_xll.qlRateHelperRate(X40,Trigger),"")</f>
        <v/>
      </c>
      <c r="AA40" s="9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1" t="e">
        <v>#N/A</v>
      </c>
    </row>
    <row r="41" spans="1:30" ht="11.25" customHeight="1" x14ac:dyDescent="0.2">
      <c r="A41" s="1" t="s">
        <v>94</v>
      </c>
      <c r="B41" s="104" t="b">
        <v>1</v>
      </c>
      <c r="C41" s="8" t="str">
        <f>_xll.qlASXNextCode(C40,B41,Trigger)</f>
        <v>M1</v>
      </c>
      <c r="D41" s="111"/>
      <c r="E41" s="111"/>
      <c r="F41" s="111"/>
      <c r="G41" s="6" t="str">
        <f t="shared" si="18"/>
        <v>AudBBSW3M</v>
      </c>
      <c r="H41" s="107" t="str">
        <f t="shared" si="19"/>
        <v>AUDFUT3MM1_Quote</v>
      </c>
      <c r="I41" s="107" t="str">
        <f t="shared" si="20"/>
        <v>AUDFUT3MM1ConvAdj_Quote</v>
      </c>
      <c r="J41" s="166" t="str">
        <f>IF(P37,_xll.qlFuturesRateHelper(,H41,$H$18,_xll.qlASXdate(C41),G41,I41,Permanent,Trigger,ObjectOverwrite),"--")</f>
        <v>obj_0028d#0003</v>
      </c>
      <c r="L41" s="173" t="str">
        <f t="shared" si="22"/>
        <v>Sw</v>
      </c>
      <c r="M41" s="182" t="str">
        <f t="shared" si="24"/>
        <v>AUDQM3AB21M_Quote</v>
      </c>
      <c r="N41" s="174" t="str">
        <f>IFERROR(_xll.qlQuoteValue(H47),"--")</f>
        <v>--</v>
      </c>
      <c r="O41" s="174">
        <f t="shared" si="25"/>
        <v>0</v>
      </c>
      <c r="P41" s="91" t="b">
        <v>0</v>
      </c>
      <c r="Q41" s="88">
        <v>50</v>
      </c>
      <c r="R41" s="88">
        <v>1</v>
      </c>
      <c r="S41" s="122" t="str">
        <f t="shared" si="23"/>
        <v>--</v>
      </c>
      <c r="T41" s="92" t="str">
        <f>IFERROR(_xll.qlRateHelperEarliestDate(S41,Trigger),"--")</f>
        <v>--</v>
      </c>
      <c r="U41" s="92" t="str">
        <f>IFERROR(_xll.qlRateHelperPillarDate(S41,Trigger),"--")</f>
        <v>--</v>
      </c>
      <c r="W41" s="3" t="str">
        <f t="shared" si="21"/>
        <v/>
      </c>
      <c r="X41" s="3" t="e">
        <v>#N/A</v>
      </c>
      <c r="Y41" s="3" t="str">
        <f>IFERROR(_xll.qlRateHelperQuoteName(X41,Trigger),"")</f>
        <v/>
      </c>
      <c r="Z41" s="65" t="str">
        <f>IFERROR(_xll.qlRateHelperRate(X41,Trigger),"")</f>
        <v/>
      </c>
      <c r="AA41" s="9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1" t="e">
        <v>#N/A</v>
      </c>
    </row>
    <row r="42" spans="1:30" ht="11.25" customHeight="1" x14ac:dyDescent="0.2">
      <c r="G42" s="48" t="s">
        <v>157</v>
      </c>
      <c r="H42" s="48" t="s">
        <v>158</v>
      </c>
      <c r="L42" s="173" t="str">
        <f t="shared" si="22"/>
        <v>Sw</v>
      </c>
      <c r="M42" s="182" t="str">
        <f t="shared" si="24"/>
        <v>AUDQM3AB2Y_Quote</v>
      </c>
      <c r="N42" s="174">
        <f>IFERROR(_xll.qlQuoteValue(H48),"--")</f>
        <v>1.7725000000000001E-2</v>
      </c>
      <c r="O42" s="174">
        <f t="shared" si="25"/>
        <v>0</v>
      </c>
      <c r="P42" s="91" t="b">
        <v>1</v>
      </c>
      <c r="Q42" s="88">
        <v>70</v>
      </c>
      <c r="R42" s="88">
        <v>1</v>
      </c>
      <c r="S42" s="122" t="str">
        <f t="shared" si="23"/>
        <v>obj_0023a#0003</v>
      </c>
      <c r="T42" s="92">
        <f>IFERROR(_xll.qlRateHelperEarliestDate(S42,Trigger),"--")</f>
        <v>42682</v>
      </c>
      <c r="U42" s="92">
        <f>IFERROR(_xll.qlRateHelperPillarDate(S42,Trigger),"--")</f>
        <v>43412</v>
      </c>
      <c r="W42" s="3" t="str">
        <f t="shared" si="21"/>
        <v/>
      </c>
      <c r="X42" s="3" t="e">
        <v>#N/A</v>
      </c>
      <c r="Y42" s="3" t="str">
        <f>IFERROR(_xll.qlRateHelperQuoteName(X42,Trigger),"")</f>
        <v/>
      </c>
      <c r="Z42" s="65" t="str">
        <f>IFERROR(_xll.qlRateHelperRate(X42,Trigger),"")</f>
        <v/>
      </c>
      <c r="AA42" s="9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1" t="e">
        <v>#N/A</v>
      </c>
    </row>
    <row r="43" spans="1:30" ht="11.25" customHeight="1" x14ac:dyDescent="0.2">
      <c r="A43" s="61" t="s">
        <v>8</v>
      </c>
      <c r="B43" s="61" t="s">
        <v>28</v>
      </c>
      <c r="C43" s="61" t="s">
        <v>113</v>
      </c>
      <c r="D43" s="61" t="s">
        <v>5</v>
      </c>
      <c r="E43" s="61" t="s">
        <v>33</v>
      </c>
      <c r="F43" s="61" t="s">
        <v>114</v>
      </c>
      <c r="G43" s="61" t="s">
        <v>4</v>
      </c>
      <c r="H43" s="61" t="s">
        <v>1</v>
      </c>
      <c r="I43" s="61" t="s">
        <v>112</v>
      </c>
      <c r="J43" s="61" t="s">
        <v>24</v>
      </c>
      <c r="L43" s="173" t="str">
        <f t="shared" si="22"/>
        <v>Sw</v>
      </c>
      <c r="M43" s="182" t="str">
        <f t="shared" si="24"/>
        <v>AUDQM3AB3Y_Quote</v>
      </c>
      <c r="N43" s="174">
        <f>IFERROR(_xll.qlQuoteValue(H49),"--")</f>
        <v>1.7774999999999999E-2</v>
      </c>
      <c r="O43" s="174">
        <f t="shared" si="25"/>
        <v>0</v>
      </c>
      <c r="P43" s="91" t="b">
        <v>1</v>
      </c>
      <c r="Q43" s="88">
        <v>70</v>
      </c>
      <c r="R43" s="88">
        <v>1</v>
      </c>
      <c r="S43" s="122" t="str">
        <f t="shared" si="23"/>
        <v>obj_00241#0003</v>
      </c>
      <c r="T43" s="92">
        <f>IFERROR(_xll.qlRateHelperEarliestDate(S43,Trigger),"--")</f>
        <v>42682</v>
      </c>
      <c r="U43" s="92">
        <f>IFERROR(_xll.qlRateHelperPillarDate(S43,Trigger),"--")</f>
        <v>43777</v>
      </c>
      <c r="W43" s="3" t="str">
        <f t="shared" si="21"/>
        <v/>
      </c>
      <c r="X43" s="3" t="e">
        <v>#N/A</v>
      </c>
      <c r="Y43" s="3" t="str">
        <f>IFERROR(_xll.qlRateHelperQuoteName(X43,Trigger),"")</f>
        <v/>
      </c>
      <c r="Z43" s="65" t="str">
        <f>IFERROR(_xll.qlRateHelperRate(X43,Trigger),"")</f>
        <v/>
      </c>
      <c r="AA43" s="9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1" t="e">
        <v>#N/A</v>
      </c>
    </row>
    <row r="44" spans="1:30" ht="11.25" customHeight="1" x14ac:dyDescent="0.2">
      <c r="A44" s="56" t="s">
        <v>25</v>
      </c>
      <c r="B44" s="57" t="s">
        <v>27</v>
      </c>
      <c r="C44" s="58" t="s">
        <v>6</v>
      </c>
      <c r="D44" s="58" t="s">
        <v>156</v>
      </c>
      <c r="E44" s="58" t="s">
        <v>7</v>
      </c>
      <c r="F44" s="58" t="s">
        <v>154</v>
      </c>
      <c r="G44" s="58" t="str">
        <f t="shared" ref="G44:G80" si="26">PROPER(Currency)&amp;FamilyName&amp;Tenor</f>
        <v>AudBBSW3M</v>
      </c>
      <c r="H44" s="56" t="str">
        <f t="shared" ref="H44:H80" si="27">Currency&amp;$G$42&amp;$H$42&amp;$B44&amp;QuoteSuffix</f>
        <v>AUDQM3AB1Y_Quote</v>
      </c>
      <c r="I44" s="114">
        <v>0</v>
      </c>
      <c r="J44" s="167" t="str">
        <f>IF(P38,_xll.qlSwapRateHelper2(,H44,1,B44,Calendar,D44,E44,F44,G44,I44,C44,Discounting,PillarDate,,Permanent,Trigger,ObjectOverwrite),"--")</f>
        <v>obj_00247#0003</v>
      </c>
      <c r="L44" s="173" t="str">
        <f t="shared" si="22"/>
        <v>Sw</v>
      </c>
      <c r="M44" s="182" t="str">
        <f t="shared" si="24"/>
        <v>AUDQM3AB4Y_Quote</v>
      </c>
      <c r="N44" s="174" t="str">
        <f>IFERROR(_xll.qlQuoteValue(H50),"--")</f>
        <v>--</v>
      </c>
      <c r="O44" s="174">
        <f t="shared" si="25"/>
        <v>0</v>
      </c>
      <c r="P44" s="91" t="b">
        <v>0</v>
      </c>
      <c r="Q44" s="88">
        <v>50</v>
      </c>
      <c r="R44" s="88">
        <v>1</v>
      </c>
      <c r="S44" s="122" t="str">
        <f t="shared" si="23"/>
        <v>--</v>
      </c>
      <c r="T44" s="92" t="str">
        <f>IFERROR(_xll.qlRateHelperEarliestDate(S44,Trigger),"--")</f>
        <v>--</v>
      </c>
      <c r="U44" s="92" t="str">
        <f>IFERROR(_xll.qlRateHelperPillarDate(S44,Trigger),"--")</f>
        <v>--</v>
      </c>
      <c r="W44" s="3" t="str">
        <f t="shared" si="21"/>
        <v/>
      </c>
      <c r="X44" s="3" t="e">
        <v>#N/A</v>
      </c>
      <c r="Y44" s="3" t="str">
        <f>IFERROR(_xll.qlRateHelperQuoteName(X44,Trigger),"")</f>
        <v/>
      </c>
      <c r="Z44" s="65" t="str">
        <f>IFERROR(_xll.qlRateHelperRate(X44,Trigger),"")</f>
        <v/>
      </c>
      <c r="AA44" s="9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1" t="e">
        <v>#N/A</v>
      </c>
    </row>
    <row r="45" spans="1:30" ht="11.25" customHeight="1" x14ac:dyDescent="0.2">
      <c r="A45" s="56" t="s">
        <v>25</v>
      </c>
      <c r="B45" s="57" t="s">
        <v>49</v>
      </c>
      <c r="C45" s="58" t="s">
        <v>6</v>
      </c>
      <c r="D45" s="58" t="s">
        <v>156</v>
      </c>
      <c r="E45" s="58" t="s">
        <v>7</v>
      </c>
      <c r="F45" s="58" t="s">
        <v>154</v>
      </c>
      <c r="G45" s="58" t="str">
        <f t="shared" si="26"/>
        <v>AudBBSW3M</v>
      </c>
      <c r="H45" s="56" t="str">
        <f t="shared" si="27"/>
        <v>AUDQM3AB15M_Quote</v>
      </c>
      <c r="I45" s="114">
        <v>0</v>
      </c>
      <c r="J45" s="167" t="str">
        <f>IF(P39,_xll.qlSwapRateHelper2(,H45,1,B45,Calendar,D45,E45,F45,G45,I45,C45,Discounting,PillarDate,,Permanent,Trigger,ObjectOverwrite),"--")</f>
        <v>--</v>
      </c>
      <c r="L45" s="173" t="str">
        <f t="shared" si="22"/>
        <v>Sw</v>
      </c>
      <c r="M45" s="182" t="str">
        <f t="shared" si="24"/>
        <v>AUDQM3AB5Y_Quote</v>
      </c>
      <c r="N45" s="174" t="str">
        <f>IFERROR(_xll.qlQuoteValue(H51),"--")</f>
        <v>--</v>
      </c>
      <c r="O45" s="174">
        <f t="shared" si="25"/>
        <v>0</v>
      </c>
      <c r="P45" s="91" t="b">
        <v>0</v>
      </c>
      <c r="Q45" s="88">
        <v>50</v>
      </c>
      <c r="R45" s="88">
        <v>1</v>
      </c>
      <c r="S45" s="122" t="str">
        <f t="shared" si="23"/>
        <v>--</v>
      </c>
      <c r="T45" s="92" t="str">
        <f>IFERROR(_xll.qlRateHelperEarliestDate(S45,Trigger),"--")</f>
        <v>--</v>
      </c>
      <c r="U45" s="92" t="str">
        <f>IFERROR(_xll.qlRateHelperPillarDate(S45,Trigger),"--")</f>
        <v>--</v>
      </c>
      <c r="W45" s="3" t="str">
        <f t="shared" si="21"/>
        <v/>
      </c>
      <c r="X45" s="3" t="e">
        <v>#N/A</v>
      </c>
      <c r="Y45" s="3" t="str">
        <f>IFERROR(_xll.qlRateHelperQuoteName(X45,Trigger),"")</f>
        <v/>
      </c>
      <c r="Z45" s="65" t="str">
        <f>IFERROR(_xll.qlRateHelperRate(X45,Trigger),"")</f>
        <v/>
      </c>
      <c r="AA45" s="9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1" t="e">
        <v>#N/A</v>
      </c>
    </row>
    <row r="46" spans="1:30" ht="11.25" customHeight="1" x14ac:dyDescent="0.2">
      <c r="A46" s="56" t="s">
        <v>25</v>
      </c>
      <c r="B46" s="57" t="s">
        <v>50</v>
      </c>
      <c r="C46" s="58" t="s">
        <v>6</v>
      </c>
      <c r="D46" s="58" t="s">
        <v>156</v>
      </c>
      <c r="E46" s="58" t="s">
        <v>7</v>
      </c>
      <c r="F46" s="58" t="s">
        <v>154</v>
      </c>
      <c r="G46" s="58" t="str">
        <f t="shared" si="26"/>
        <v>AudBBSW3M</v>
      </c>
      <c r="H46" s="56" t="str">
        <f t="shared" si="27"/>
        <v>AUDQM3AB18M_Quote</v>
      </c>
      <c r="I46" s="114">
        <v>0</v>
      </c>
      <c r="J46" s="167" t="str">
        <f>IF(P40,_xll.qlSwapRateHelper2(,H46,1,B46,Calendar,D46,E46,F46,G46,I46,C46,Discounting,PillarDate,,Permanent,Trigger,ObjectOverwrite),"--")</f>
        <v>--</v>
      </c>
      <c r="L46" s="173" t="str">
        <f t="shared" si="22"/>
        <v>Sw</v>
      </c>
      <c r="M46" s="182" t="str">
        <f t="shared" si="24"/>
        <v>AUDQM3AB6Y_Quote</v>
      </c>
      <c r="N46" s="174" t="str">
        <f>IFERROR(_xll.qlQuoteValue(H52),"--")</f>
        <v>--</v>
      </c>
      <c r="O46" s="174">
        <f t="shared" si="25"/>
        <v>0</v>
      </c>
      <c r="P46" s="91" t="b">
        <v>0</v>
      </c>
      <c r="Q46" s="88">
        <v>50</v>
      </c>
      <c r="R46" s="88">
        <v>1</v>
      </c>
      <c r="S46" s="122" t="str">
        <f t="shared" si="23"/>
        <v>--</v>
      </c>
      <c r="T46" s="92" t="str">
        <f>IFERROR(_xll.qlRateHelperEarliestDate(S46,Trigger),"--")</f>
        <v>--</v>
      </c>
      <c r="U46" s="92" t="str">
        <f>IFERROR(_xll.qlRateHelperPillarDate(S46,Trigger),"--")</f>
        <v>--</v>
      </c>
      <c r="W46" s="3" t="str">
        <f t="shared" si="21"/>
        <v/>
      </c>
      <c r="X46" s="3" t="e">
        <v>#N/A</v>
      </c>
      <c r="Y46" s="3" t="str">
        <f>IFERROR(_xll.qlRateHelperQuoteName(X46,Trigger),"")</f>
        <v/>
      </c>
      <c r="Z46" s="65" t="str">
        <f>IFERROR(_xll.qlRateHelperRate(X46,Trigger),"")</f>
        <v/>
      </c>
      <c r="AA46" s="9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1" t="e">
        <v>#N/A</v>
      </c>
    </row>
    <row r="47" spans="1:30" ht="11.25" customHeight="1" x14ac:dyDescent="0.2">
      <c r="A47" s="56" t="s">
        <v>25</v>
      </c>
      <c r="B47" s="57" t="s">
        <v>51</v>
      </c>
      <c r="C47" s="58" t="s">
        <v>6</v>
      </c>
      <c r="D47" s="58" t="s">
        <v>156</v>
      </c>
      <c r="E47" s="58" t="s">
        <v>7</v>
      </c>
      <c r="F47" s="58" t="s">
        <v>154</v>
      </c>
      <c r="G47" s="58" t="str">
        <f t="shared" si="26"/>
        <v>AudBBSW3M</v>
      </c>
      <c r="H47" s="56" t="str">
        <f t="shared" si="27"/>
        <v>AUDQM3AB21M_Quote</v>
      </c>
      <c r="I47" s="114">
        <v>0</v>
      </c>
      <c r="J47" s="167" t="str">
        <f>IF(P41,_xll.qlSwapRateHelper2(,H47,1,B47,Calendar,D47,E47,F47,G47,I47,C47,Discounting,PillarDate,,Permanent,Trigger,ObjectOverwrite),"--")</f>
        <v>--</v>
      </c>
      <c r="L47" s="173" t="str">
        <f t="shared" si="22"/>
        <v>Sw</v>
      </c>
      <c r="M47" s="182" t="str">
        <f t="shared" si="24"/>
        <v>AUDQM3AB7Y_Quote</v>
      </c>
      <c r="N47" s="174" t="str">
        <f>IFERROR(_xll.qlQuoteValue(H53),"--")</f>
        <v>--</v>
      </c>
      <c r="O47" s="174">
        <f t="shared" si="25"/>
        <v>0</v>
      </c>
      <c r="P47" s="91" t="b">
        <v>0</v>
      </c>
      <c r="Q47" s="88">
        <v>50</v>
      </c>
      <c r="R47" s="88">
        <v>1</v>
      </c>
      <c r="S47" s="122" t="str">
        <f t="shared" si="23"/>
        <v>--</v>
      </c>
      <c r="T47" s="92" t="str">
        <f>IFERROR(_xll.qlRateHelperEarliestDate(S47,Trigger),"--")</f>
        <v>--</v>
      </c>
      <c r="U47" s="92" t="str">
        <f>IFERROR(_xll.qlRateHelperPillarDate(S47,Trigger),"--")</f>
        <v>--</v>
      </c>
      <c r="W47" s="3" t="str">
        <f t="shared" si="21"/>
        <v/>
      </c>
      <c r="X47" s="3" t="e">
        <v>#N/A</v>
      </c>
      <c r="Y47" s="3" t="str">
        <f>IFERROR(_xll.qlRateHelperQuoteName(X47,Trigger),"")</f>
        <v/>
      </c>
      <c r="Z47" s="65" t="str">
        <f>IFERROR(_xll.qlRateHelperRate(X47,Trigger),"")</f>
        <v/>
      </c>
      <c r="AA47" s="9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1" t="e">
        <v>#N/A</v>
      </c>
    </row>
    <row r="48" spans="1:30" ht="11.25" customHeight="1" x14ac:dyDescent="0.2">
      <c r="A48" s="56" t="s">
        <v>25</v>
      </c>
      <c r="B48" s="57" t="s">
        <v>52</v>
      </c>
      <c r="C48" s="58" t="s">
        <v>6</v>
      </c>
      <c r="D48" s="58" t="s">
        <v>156</v>
      </c>
      <c r="E48" s="58" t="s">
        <v>7</v>
      </c>
      <c r="F48" s="58" t="s">
        <v>154</v>
      </c>
      <c r="G48" s="58" t="str">
        <f t="shared" si="26"/>
        <v>AudBBSW3M</v>
      </c>
      <c r="H48" s="56" t="str">
        <f t="shared" si="27"/>
        <v>AUDQM3AB2Y_Quote</v>
      </c>
      <c r="I48" s="114">
        <v>0</v>
      </c>
      <c r="J48" s="167" t="str">
        <f>IF(P42,_xll.qlSwapRateHelper2(,H48,1,B48,Calendar,D48,E48,F48,G48,I48,C48,Discounting,PillarDate,,Permanent,Trigger,ObjectOverwrite),"--")</f>
        <v>obj_0023a#0003</v>
      </c>
      <c r="L48" s="173" t="str">
        <f t="shared" si="22"/>
        <v>Sw</v>
      </c>
      <c r="M48" s="182" t="str">
        <f t="shared" si="24"/>
        <v>AUDQM3AB8Y_Quote</v>
      </c>
      <c r="N48" s="174" t="str">
        <f>IFERROR(_xll.qlQuoteValue(H54),"--")</f>
        <v>--</v>
      </c>
      <c r="O48" s="174">
        <f t="shared" si="25"/>
        <v>0</v>
      </c>
      <c r="P48" s="91" t="b">
        <v>0</v>
      </c>
      <c r="Q48" s="88">
        <v>50</v>
      </c>
      <c r="R48" s="88">
        <v>1</v>
      </c>
      <c r="S48" s="122" t="str">
        <f t="shared" si="23"/>
        <v>--</v>
      </c>
      <c r="T48" s="92" t="str">
        <f>IFERROR(_xll.qlRateHelperEarliestDate(S48,Trigger),"--")</f>
        <v>--</v>
      </c>
      <c r="U48" s="92" t="str">
        <f>IFERROR(_xll.qlRateHelperPillarDate(S48,Trigger),"--")</f>
        <v>--</v>
      </c>
      <c r="W48" s="3" t="str">
        <f t="shared" si="21"/>
        <v/>
      </c>
      <c r="X48" s="3" t="e">
        <v>#N/A</v>
      </c>
      <c r="Y48" s="3" t="str">
        <f>IFERROR(_xll.qlRateHelperQuoteName(X48,Trigger),"")</f>
        <v/>
      </c>
      <c r="Z48" s="65" t="str">
        <f>IFERROR(_xll.qlRateHelperRate(X48,Trigger),"")</f>
        <v/>
      </c>
      <c r="AA48" s="9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1" t="e">
        <v>#N/A</v>
      </c>
    </row>
    <row r="49" spans="1:30" ht="11.25" customHeight="1" x14ac:dyDescent="0.2">
      <c r="A49" s="56" t="s">
        <v>25</v>
      </c>
      <c r="B49" s="57" t="s">
        <v>53</v>
      </c>
      <c r="C49" s="58" t="s">
        <v>6</v>
      </c>
      <c r="D49" s="58" t="s">
        <v>156</v>
      </c>
      <c r="E49" s="58" t="s">
        <v>7</v>
      </c>
      <c r="F49" s="58" t="s">
        <v>154</v>
      </c>
      <c r="G49" s="58" t="str">
        <f t="shared" si="26"/>
        <v>AudBBSW3M</v>
      </c>
      <c r="H49" s="56" t="str">
        <f t="shared" si="27"/>
        <v>AUDQM3AB3Y_Quote</v>
      </c>
      <c r="I49" s="114">
        <v>0</v>
      </c>
      <c r="J49" s="167" t="str">
        <f>IF(P43,_xll.qlSwapRateHelper2(,H49,1,B49,Calendar,D49,E49,F49,G49,I49,C49,Discounting,PillarDate,,Permanent,Trigger,ObjectOverwrite),"--")</f>
        <v>obj_00241#0003</v>
      </c>
      <c r="L49" s="173" t="str">
        <f t="shared" si="22"/>
        <v>Sw</v>
      </c>
      <c r="M49" s="182" t="str">
        <f t="shared" si="24"/>
        <v>AUDQM3AB9Y_Quote</v>
      </c>
      <c r="N49" s="174" t="str">
        <f>IFERROR(_xll.qlQuoteValue(H55),"--")</f>
        <v>--</v>
      </c>
      <c r="O49" s="174">
        <f t="shared" si="25"/>
        <v>0</v>
      </c>
      <c r="P49" s="91" t="b">
        <v>0</v>
      </c>
      <c r="Q49" s="88">
        <v>50</v>
      </c>
      <c r="R49" s="88">
        <v>1</v>
      </c>
      <c r="S49" s="122" t="str">
        <f t="shared" si="23"/>
        <v>--</v>
      </c>
      <c r="T49" s="92" t="str">
        <f>IFERROR(_xll.qlRateHelperEarliestDate(S49,Trigger),"--")</f>
        <v>--</v>
      </c>
      <c r="U49" s="92" t="str">
        <f>IFERROR(_xll.qlRateHelperPillarDate(S49,Trigger),"--")</f>
        <v>--</v>
      </c>
      <c r="W49" s="3" t="str">
        <f t="shared" si="21"/>
        <v/>
      </c>
      <c r="X49" s="3" t="e">
        <v>#N/A</v>
      </c>
      <c r="Y49" s="3" t="str">
        <f>IFERROR(_xll.qlRateHelperQuoteName(X49,Trigger),"")</f>
        <v/>
      </c>
      <c r="Z49" s="65" t="str">
        <f>IFERROR(_xll.qlRateHelperRate(X49,Trigger),"")</f>
        <v/>
      </c>
      <c r="AA49" s="9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1" t="e">
        <v>#N/A</v>
      </c>
    </row>
    <row r="50" spans="1:30" ht="11.25" customHeight="1" x14ac:dyDescent="0.2">
      <c r="A50" s="56" t="s">
        <v>25</v>
      </c>
      <c r="B50" s="57" t="s">
        <v>54</v>
      </c>
      <c r="C50" s="58" t="s">
        <v>6</v>
      </c>
      <c r="D50" s="58" t="s">
        <v>156</v>
      </c>
      <c r="E50" s="58" t="s">
        <v>7</v>
      </c>
      <c r="F50" s="58" t="s">
        <v>154</v>
      </c>
      <c r="G50" s="58" t="str">
        <f t="shared" si="26"/>
        <v>AudBBSW3M</v>
      </c>
      <c r="H50" s="56" t="str">
        <f t="shared" si="27"/>
        <v>AUDQM3AB4Y_Quote</v>
      </c>
      <c r="I50" s="114">
        <v>0</v>
      </c>
      <c r="J50" s="167" t="str">
        <f>IF(P44,_xll.qlSwapRateHelper2(,H50,1,B50,Calendar,D50,E50,F50,G50,I50,C50,Discounting,PillarDate,,Permanent,Trigger,ObjectOverwrite),"--")</f>
        <v>--</v>
      </c>
      <c r="L50" s="173" t="str">
        <f t="shared" si="22"/>
        <v>Sw</v>
      </c>
      <c r="M50" s="182" t="str">
        <f t="shared" si="24"/>
        <v>AUDQM3AB10Y_Quote</v>
      </c>
      <c r="N50" s="174" t="str">
        <f>IFERROR(_xll.qlQuoteValue(H56),"--")</f>
        <v>--</v>
      </c>
      <c r="O50" s="174">
        <f t="shared" si="25"/>
        <v>0</v>
      </c>
      <c r="P50" s="91" t="b">
        <v>0</v>
      </c>
      <c r="Q50" s="88">
        <v>50</v>
      </c>
      <c r="R50" s="88">
        <v>1</v>
      </c>
      <c r="S50" s="122" t="str">
        <f t="shared" si="23"/>
        <v>--</v>
      </c>
      <c r="T50" s="92" t="str">
        <f>IFERROR(_xll.qlRateHelperEarliestDate(S50,Trigger),"--")</f>
        <v>--</v>
      </c>
      <c r="U50" s="92" t="str">
        <f>IFERROR(_xll.qlRateHelperPillarDate(S50,Trigger),"--")</f>
        <v>--</v>
      </c>
      <c r="W50" s="3" t="str">
        <f t="shared" si="21"/>
        <v/>
      </c>
      <c r="X50" s="3" t="e">
        <v>#N/A</v>
      </c>
      <c r="Y50" s="3" t="str">
        <f>IFERROR(_xll.qlRateHelperQuoteName(X50,Trigger),"")</f>
        <v/>
      </c>
      <c r="Z50" s="65" t="str">
        <f>IFERROR(_xll.qlRateHelperRate(X50,Trigger),"")</f>
        <v/>
      </c>
      <c r="AA50" s="9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1" t="e">
        <v>#N/A</v>
      </c>
    </row>
    <row r="51" spans="1:30" ht="11.25" customHeight="1" x14ac:dyDescent="0.2">
      <c r="A51" s="56" t="s">
        <v>25</v>
      </c>
      <c r="B51" s="57" t="s">
        <v>55</v>
      </c>
      <c r="C51" s="58" t="s">
        <v>6</v>
      </c>
      <c r="D51" s="58" t="s">
        <v>156</v>
      </c>
      <c r="E51" s="58" t="s">
        <v>7</v>
      </c>
      <c r="F51" s="58" t="s">
        <v>154</v>
      </c>
      <c r="G51" s="58" t="str">
        <f t="shared" si="26"/>
        <v>AudBBSW3M</v>
      </c>
      <c r="H51" s="56" t="str">
        <f t="shared" si="27"/>
        <v>AUDQM3AB5Y_Quote</v>
      </c>
      <c r="I51" s="114">
        <v>0</v>
      </c>
      <c r="J51" s="167" t="str">
        <f>IF(P45,_xll.qlSwapRateHelper2(,H51,1,B51,Calendar,D51,E51,F51,G51,I51,C51,Discounting,PillarDate,,Permanent,Trigger,ObjectOverwrite),"--")</f>
        <v>--</v>
      </c>
      <c r="L51" s="173" t="str">
        <f t="shared" si="22"/>
        <v>Sw</v>
      </c>
      <c r="M51" s="182" t="str">
        <f t="shared" si="24"/>
        <v>AUDQM3AB11Y_Quote</v>
      </c>
      <c r="N51" s="174" t="str">
        <f>IFERROR(_xll.qlQuoteValue(H57),"--")</f>
        <v>--</v>
      </c>
      <c r="O51" s="174">
        <f t="shared" si="25"/>
        <v>0</v>
      </c>
      <c r="P51" s="91" t="b">
        <v>0</v>
      </c>
      <c r="Q51" s="88">
        <v>50</v>
      </c>
      <c r="R51" s="88">
        <v>1</v>
      </c>
      <c r="S51" s="122" t="str">
        <f t="shared" si="23"/>
        <v>--</v>
      </c>
      <c r="T51" s="92" t="str">
        <f>IFERROR(_xll.qlRateHelperEarliestDate(S51,Trigger),"--")</f>
        <v>--</v>
      </c>
      <c r="U51" s="92" t="str">
        <f>IFERROR(_xll.qlRateHelperPillarDate(S51,Trigger),"--")</f>
        <v>--</v>
      </c>
      <c r="W51" s="3" t="str">
        <f t="shared" si="21"/>
        <v/>
      </c>
      <c r="X51" s="3" t="e">
        <v>#N/A</v>
      </c>
      <c r="Y51" s="3" t="str">
        <f>IFERROR(_xll.qlRateHelperQuoteName(X51,Trigger),"")</f>
        <v/>
      </c>
      <c r="Z51" s="65" t="str">
        <f>IFERROR(_xll.qlRateHelperRate(X51,Trigger),"")</f>
        <v/>
      </c>
      <c r="AA51" s="9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1" t="e">
        <v>#N/A</v>
      </c>
    </row>
    <row r="52" spans="1:30" ht="11.25" customHeight="1" x14ac:dyDescent="0.2">
      <c r="A52" s="56" t="s">
        <v>25</v>
      </c>
      <c r="B52" s="57" t="s">
        <v>56</v>
      </c>
      <c r="C52" s="58" t="s">
        <v>6</v>
      </c>
      <c r="D52" s="58" t="s">
        <v>156</v>
      </c>
      <c r="E52" s="58" t="s">
        <v>7</v>
      </c>
      <c r="F52" s="58" t="s">
        <v>154</v>
      </c>
      <c r="G52" s="58" t="str">
        <f t="shared" si="26"/>
        <v>AudBBSW3M</v>
      </c>
      <c r="H52" s="56" t="str">
        <f t="shared" si="27"/>
        <v>AUDQM3AB6Y_Quote</v>
      </c>
      <c r="I52" s="114">
        <v>0</v>
      </c>
      <c r="J52" s="167" t="str">
        <f>IF(P46,_xll.qlSwapRateHelper2(,H52,1,B52,Calendar,D52,E52,F52,G52,I52,C52,Discounting,PillarDate,,Permanent,Trigger,ObjectOverwrite),"--")</f>
        <v>--</v>
      </c>
      <c r="L52" s="173" t="str">
        <f t="shared" si="22"/>
        <v>Sw</v>
      </c>
      <c r="M52" s="182" t="str">
        <f t="shared" si="24"/>
        <v>AUDQM3AB12Y_Quote</v>
      </c>
      <c r="N52" s="174" t="str">
        <f>IFERROR(_xll.qlQuoteValue(H58),"--")</f>
        <v>--</v>
      </c>
      <c r="O52" s="174">
        <f t="shared" si="25"/>
        <v>0</v>
      </c>
      <c r="P52" s="91" t="b">
        <v>0</v>
      </c>
      <c r="Q52" s="88">
        <v>50</v>
      </c>
      <c r="R52" s="88">
        <v>1</v>
      </c>
      <c r="S52" s="122" t="str">
        <f t="shared" si="23"/>
        <v>--</v>
      </c>
      <c r="T52" s="92" t="str">
        <f>IFERROR(_xll.qlRateHelperEarliestDate(S52,Trigger),"--")</f>
        <v>--</v>
      </c>
      <c r="U52" s="92" t="str">
        <f>IFERROR(_xll.qlRateHelperPillarDate(S52,Trigger),"--")</f>
        <v>--</v>
      </c>
      <c r="W52" s="3" t="str">
        <f t="shared" si="21"/>
        <v/>
      </c>
      <c r="X52" s="3" t="e">
        <v>#N/A</v>
      </c>
      <c r="Y52" s="3" t="str">
        <f>IFERROR(_xll.qlRateHelperQuoteName(X52,Trigger),"")</f>
        <v/>
      </c>
      <c r="Z52" s="65" t="str">
        <f>IFERROR(_xll.qlRateHelperRate(X52,Trigger),"")</f>
        <v/>
      </c>
      <c r="AA52" s="9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1" t="e">
        <v>#N/A</v>
      </c>
    </row>
    <row r="53" spans="1:30" ht="11.25" customHeight="1" x14ac:dyDescent="0.2">
      <c r="A53" s="56" t="s">
        <v>25</v>
      </c>
      <c r="B53" s="57" t="s">
        <v>57</v>
      </c>
      <c r="C53" s="58" t="s">
        <v>6</v>
      </c>
      <c r="D53" s="58" t="s">
        <v>156</v>
      </c>
      <c r="E53" s="58" t="s">
        <v>7</v>
      </c>
      <c r="F53" s="58" t="s">
        <v>154</v>
      </c>
      <c r="G53" s="58" t="str">
        <f t="shared" si="26"/>
        <v>AudBBSW3M</v>
      </c>
      <c r="H53" s="56" t="str">
        <f t="shared" si="27"/>
        <v>AUDQM3AB7Y_Quote</v>
      </c>
      <c r="I53" s="114">
        <v>0</v>
      </c>
      <c r="J53" s="167" t="str">
        <f>IF(P47,_xll.qlSwapRateHelper2(,H53,1,B53,Calendar,D53,E53,F53,G53,I53,C53,Discounting,PillarDate,,Permanent,Trigger,ObjectOverwrite),"--")</f>
        <v>--</v>
      </c>
      <c r="L53" s="173" t="str">
        <f t="shared" si="22"/>
        <v>Sw</v>
      </c>
      <c r="M53" s="182" t="str">
        <f t="shared" si="24"/>
        <v>AUDQM3AB13Y_Quote</v>
      </c>
      <c r="N53" s="174" t="str">
        <f>IFERROR(_xll.qlQuoteValue(H59),"--")</f>
        <v>--</v>
      </c>
      <c r="O53" s="174">
        <f t="shared" si="25"/>
        <v>0</v>
      </c>
      <c r="P53" s="91" t="b">
        <v>0</v>
      </c>
      <c r="Q53" s="88">
        <v>50</v>
      </c>
      <c r="R53" s="88">
        <v>1</v>
      </c>
      <c r="S53" s="122" t="str">
        <f t="shared" si="23"/>
        <v>--</v>
      </c>
      <c r="T53" s="92" t="str">
        <f>IFERROR(_xll.qlRateHelperEarliestDate(S53,Trigger),"--")</f>
        <v>--</v>
      </c>
      <c r="U53" s="92" t="str">
        <f>IFERROR(_xll.qlRateHelperPillarDate(S53,Trigger),"--")</f>
        <v>--</v>
      </c>
      <c r="W53" s="3" t="str">
        <f t="shared" si="21"/>
        <v/>
      </c>
      <c r="X53" s="3" t="e">
        <v>#N/A</v>
      </c>
      <c r="Y53" s="3" t="str">
        <f>IFERROR(_xll.qlRateHelperQuoteName(X53,Trigger),"")</f>
        <v/>
      </c>
      <c r="Z53" s="65" t="str">
        <f>IFERROR(_xll.qlRateHelperRate(X53,Trigger),"")</f>
        <v/>
      </c>
      <c r="AA53" s="9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1" t="e">
        <v>#N/A</v>
      </c>
    </row>
    <row r="54" spans="1:30" ht="11.25" customHeight="1" x14ac:dyDescent="0.2">
      <c r="A54" s="56" t="s">
        <v>25</v>
      </c>
      <c r="B54" s="57" t="s">
        <v>58</v>
      </c>
      <c r="C54" s="58" t="s">
        <v>6</v>
      </c>
      <c r="D54" s="58" t="s">
        <v>156</v>
      </c>
      <c r="E54" s="58" t="s">
        <v>7</v>
      </c>
      <c r="F54" s="58" t="s">
        <v>154</v>
      </c>
      <c r="G54" s="58" t="str">
        <f t="shared" si="26"/>
        <v>AudBBSW3M</v>
      </c>
      <c r="H54" s="56" t="str">
        <f t="shared" si="27"/>
        <v>AUDQM3AB8Y_Quote</v>
      </c>
      <c r="I54" s="114">
        <v>0</v>
      </c>
      <c r="J54" s="167" t="str">
        <f>IF(P48,_xll.qlSwapRateHelper2(,H54,1,B54,Calendar,D54,E54,F54,G54,I54,C54,Discounting,PillarDate,,Permanent,Trigger,ObjectOverwrite),"--")</f>
        <v>--</v>
      </c>
      <c r="L54" s="173" t="str">
        <f t="shared" si="22"/>
        <v>Sw</v>
      </c>
      <c r="M54" s="182" t="str">
        <f t="shared" si="24"/>
        <v>AUDQM3AB14Y_Quote</v>
      </c>
      <c r="N54" s="174" t="str">
        <f>IFERROR(_xll.qlQuoteValue(H60),"--")</f>
        <v>--</v>
      </c>
      <c r="O54" s="174">
        <f t="shared" si="25"/>
        <v>0</v>
      </c>
      <c r="P54" s="91" t="b">
        <v>0</v>
      </c>
      <c r="Q54" s="88">
        <v>50</v>
      </c>
      <c r="R54" s="88">
        <v>1</v>
      </c>
      <c r="S54" s="122" t="str">
        <f t="shared" si="23"/>
        <v>--</v>
      </c>
      <c r="T54" s="92" t="str">
        <f>IFERROR(_xll.qlRateHelperEarliestDate(S54,Trigger),"--")</f>
        <v>--</v>
      </c>
      <c r="U54" s="92" t="str">
        <f>IFERROR(_xll.qlRateHelperPillarDate(S54,Trigger),"--")</f>
        <v>--</v>
      </c>
      <c r="W54" s="3" t="str">
        <f t="shared" si="21"/>
        <v/>
      </c>
      <c r="X54" s="3" t="e">
        <v>#N/A</v>
      </c>
      <c r="Y54" s="3" t="str">
        <f>IFERROR(_xll.qlRateHelperQuoteName(X54,Trigger),"")</f>
        <v/>
      </c>
      <c r="Z54" s="65" t="str">
        <f>IFERROR(_xll.qlRateHelperRate(X54,Trigger),"")</f>
        <v/>
      </c>
      <c r="AA54" s="9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1" t="e">
        <v>#N/A</v>
      </c>
    </row>
    <row r="55" spans="1:30" ht="11.25" customHeight="1" x14ac:dyDescent="0.2">
      <c r="A55" s="56" t="s">
        <v>25</v>
      </c>
      <c r="B55" s="57" t="s">
        <v>59</v>
      </c>
      <c r="C55" s="58" t="s">
        <v>6</v>
      </c>
      <c r="D55" s="58" t="s">
        <v>156</v>
      </c>
      <c r="E55" s="58" t="s">
        <v>7</v>
      </c>
      <c r="F55" s="58" t="s">
        <v>154</v>
      </c>
      <c r="G55" s="58" t="str">
        <f t="shared" si="26"/>
        <v>AudBBSW3M</v>
      </c>
      <c r="H55" s="56" t="str">
        <f t="shared" si="27"/>
        <v>AUDQM3AB9Y_Quote</v>
      </c>
      <c r="I55" s="114">
        <v>0</v>
      </c>
      <c r="J55" s="167" t="str">
        <f>IF(P49,_xll.qlSwapRateHelper2(,H55,1,B55,Calendar,D55,E55,F55,G55,I55,C55,Discounting,PillarDate,,Permanent,Trigger,ObjectOverwrite),"--")</f>
        <v>--</v>
      </c>
      <c r="L55" s="173" t="str">
        <f t="shared" si="22"/>
        <v>Sw</v>
      </c>
      <c r="M55" s="182" t="str">
        <f t="shared" si="24"/>
        <v>AUDQM3AB15Y_Quote</v>
      </c>
      <c r="N55" s="174" t="str">
        <f>IFERROR(_xll.qlQuoteValue(H61),"--")</f>
        <v>--</v>
      </c>
      <c r="O55" s="174">
        <f t="shared" si="25"/>
        <v>0</v>
      </c>
      <c r="P55" s="91" t="b">
        <v>0</v>
      </c>
      <c r="Q55" s="88">
        <v>50</v>
      </c>
      <c r="R55" s="88">
        <v>1</v>
      </c>
      <c r="S55" s="122" t="str">
        <f t="shared" si="23"/>
        <v>--</v>
      </c>
      <c r="T55" s="92" t="str">
        <f>IFERROR(_xll.qlRateHelperEarliestDate(S55,Trigger),"--")</f>
        <v>--</v>
      </c>
      <c r="U55" s="92" t="str">
        <f>IFERROR(_xll.qlRateHelperPillarDate(S55,Trigger),"--")</f>
        <v>--</v>
      </c>
      <c r="W55" s="3" t="str">
        <f t="shared" si="21"/>
        <v/>
      </c>
      <c r="X55" s="3" t="e">
        <v>#N/A</v>
      </c>
      <c r="Y55" s="3" t="str">
        <f>IFERROR(_xll.qlRateHelperQuoteName(X55,Trigger),"")</f>
        <v/>
      </c>
      <c r="Z55" s="65" t="str">
        <f>IFERROR(_xll.qlRateHelperRate(X55,Trigger),"")</f>
        <v/>
      </c>
      <c r="AA55" s="9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1" t="e">
        <v>#N/A</v>
      </c>
    </row>
    <row r="56" spans="1:30" ht="11.25" customHeight="1" x14ac:dyDescent="0.2">
      <c r="A56" s="56" t="s">
        <v>25</v>
      </c>
      <c r="B56" s="57" t="s">
        <v>60</v>
      </c>
      <c r="C56" s="58" t="s">
        <v>6</v>
      </c>
      <c r="D56" s="58" t="s">
        <v>156</v>
      </c>
      <c r="E56" s="58" t="s">
        <v>7</v>
      </c>
      <c r="F56" s="58" t="s">
        <v>154</v>
      </c>
      <c r="G56" s="58" t="str">
        <f t="shared" si="26"/>
        <v>AudBBSW3M</v>
      </c>
      <c r="H56" s="56" t="str">
        <f t="shared" si="27"/>
        <v>AUDQM3AB10Y_Quote</v>
      </c>
      <c r="I56" s="114">
        <v>0</v>
      </c>
      <c r="J56" s="167" t="str">
        <f>IF(P50,_xll.qlSwapRateHelper2(,H56,1,B56,Calendar,D56,E56,F56,G56,I56,C56,Discounting,PillarDate,,Permanent,Trigger,ObjectOverwrite),"--")</f>
        <v>--</v>
      </c>
      <c r="L56" s="173" t="str">
        <f t="shared" si="22"/>
        <v>Sw</v>
      </c>
      <c r="M56" s="182" t="str">
        <f t="shared" si="24"/>
        <v>AUDQM3AB16Y_Quote</v>
      </c>
      <c r="N56" s="174" t="str">
        <f>IFERROR(_xll.qlQuoteValue(H62),"--")</f>
        <v>--</v>
      </c>
      <c r="O56" s="174">
        <f t="shared" si="25"/>
        <v>0</v>
      </c>
      <c r="P56" s="91" t="b">
        <v>0</v>
      </c>
      <c r="Q56" s="88">
        <v>50</v>
      </c>
      <c r="R56" s="88">
        <v>1</v>
      </c>
      <c r="S56" s="122" t="str">
        <f t="shared" si="23"/>
        <v>--</v>
      </c>
      <c r="T56" s="92" t="str">
        <f>IFERROR(_xll.qlRateHelperEarliestDate(S56,Trigger),"--")</f>
        <v>--</v>
      </c>
      <c r="U56" s="92" t="str">
        <f>IFERROR(_xll.qlRateHelperPillarDate(S56,Trigger),"--")</f>
        <v>--</v>
      </c>
      <c r="W56" s="3" t="str">
        <f t="shared" si="21"/>
        <v/>
      </c>
      <c r="X56" s="3" t="e">
        <v>#N/A</v>
      </c>
      <c r="Y56" s="3" t="str">
        <f>IFERROR(_xll.qlRateHelperQuoteName(X56,Trigger),"")</f>
        <v/>
      </c>
      <c r="Z56" s="65" t="str">
        <f>IFERROR(_xll.qlRateHelperRate(X56,Trigger),"")</f>
        <v/>
      </c>
      <c r="AA56" s="9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1" t="e">
        <v>#N/A</v>
      </c>
    </row>
    <row r="57" spans="1:30" ht="11.25" customHeight="1" x14ac:dyDescent="0.2">
      <c r="A57" s="56" t="s">
        <v>25</v>
      </c>
      <c r="B57" s="57" t="s">
        <v>97</v>
      </c>
      <c r="C57" s="58" t="s">
        <v>6</v>
      </c>
      <c r="D57" s="58" t="s">
        <v>156</v>
      </c>
      <c r="E57" s="58" t="s">
        <v>7</v>
      </c>
      <c r="F57" s="58" t="s">
        <v>154</v>
      </c>
      <c r="G57" s="58" t="str">
        <f t="shared" si="26"/>
        <v>AudBBSW3M</v>
      </c>
      <c r="H57" s="56" t="str">
        <f t="shared" si="27"/>
        <v>AUDQM3AB11Y_Quote</v>
      </c>
      <c r="I57" s="114">
        <v>0</v>
      </c>
      <c r="J57" s="167" t="str">
        <f>IF(P51,_xll.qlSwapRateHelper2(,H57,1,B57,Calendar,D57,E57,F57,G57,I57,C57,Discounting,PillarDate,,Permanent,Trigger,ObjectOverwrite),"--")</f>
        <v>--</v>
      </c>
      <c r="L57" s="173" t="str">
        <f t="shared" si="22"/>
        <v>Sw</v>
      </c>
      <c r="M57" s="182" t="str">
        <f t="shared" si="24"/>
        <v>AUDQM3AB17Y_Quote</v>
      </c>
      <c r="N57" s="174" t="str">
        <f>IFERROR(_xll.qlQuoteValue(H63),"--")</f>
        <v>--</v>
      </c>
      <c r="O57" s="174">
        <f t="shared" si="25"/>
        <v>0</v>
      </c>
      <c r="P57" s="91" t="b">
        <v>0</v>
      </c>
      <c r="Q57" s="88">
        <v>50</v>
      </c>
      <c r="R57" s="88">
        <v>1</v>
      </c>
      <c r="S57" s="122" t="str">
        <f t="shared" si="23"/>
        <v>--</v>
      </c>
      <c r="T57" s="92" t="str">
        <f>IFERROR(_xll.qlRateHelperEarliestDate(S57,Trigger),"--")</f>
        <v>--</v>
      </c>
      <c r="U57" s="92" t="str">
        <f>IFERROR(_xll.qlRateHelperPillarDate(S57,Trigger),"--")</f>
        <v>--</v>
      </c>
      <c r="W57" s="3" t="str">
        <f t="shared" si="21"/>
        <v/>
      </c>
      <c r="X57" s="3" t="e">
        <v>#N/A</v>
      </c>
      <c r="Y57" s="3" t="str">
        <f>IFERROR(_xll.qlRateHelperQuoteName(X57,Trigger),"")</f>
        <v/>
      </c>
      <c r="Z57" s="65" t="str">
        <f>IFERROR(_xll.qlRateHelperRate(X57,Trigger),"")</f>
        <v/>
      </c>
      <c r="AA57" s="9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1" t="e">
        <v>#N/A</v>
      </c>
    </row>
    <row r="58" spans="1:30" ht="11.25" customHeight="1" x14ac:dyDescent="0.2">
      <c r="A58" s="56" t="s">
        <v>25</v>
      </c>
      <c r="B58" s="57" t="s">
        <v>61</v>
      </c>
      <c r="C58" s="58" t="s">
        <v>6</v>
      </c>
      <c r="D58" s="58" t="s">
        <v>156</v>
      </c>
      <c r="E58" s="58" t="s">
        <v>7</v>
      </c>
      <c r="F58" s="58" t="s">
        <v>154</v>
      </c>
      <c r="G58" s="58" t="str">
        <f t="shared" si="26"/>
        <v>AudBBSW3M</v>
      </c>
      <c r="H58" s="56" t="str">
        <f t="shared" si="27"/>
        <v>AUDQM3AB12Y_Quote</v>
      </c>
      <c r="I58" s="114">
        <v>0</v>
      </c>
      <c r="J58" s="167" t="str">
        <f>IF(P52,_xll.qlSwapRateHelper2(,H58,1,B58,Calendar,D58,E58,F58,G58,I58,C58,Discounting,PillarDate,,Permanent,Trigger,ObjectOverwrite),"--")</f>
        <v>--</v>
      </c>
      <c r="L58" s="173" t="str">
        <f t="shared" si="22"/>
        <v>Sw</v>
      </c>
      <c r="M58" s="182" t="str">
        <f t="shared" si="24"/>
        <v>AUDQM3AB18Y_Quote</v>
      </c>
      <c r="N58" s="174" t="str">
        <f>IFERROR(_xll.qlQuoteValue(H64),"--")</f>
        <v>--</v>
      </c>
      <c r="O58" s="174">
        <f t="shared" si="25"/>
        <v>0</v>
      </c>
      <c r="P58" s="91" t="b">
        <v>0</v>
      </c>
      <c r="Q58" s="88">
        <v>50</v>
      </c>
      <c r="R58" s="88">
        <v>1</v>
      </c>
      <c r="S58" s="122" t="str">
        <f t="shared" si="23"/>
        <v>--</v>
      </c>
      <c r="T58" s="92" t="str">
        <f>IFERROR(_xll.qlRateHelperEarliestDate(S58,Trigger),"--")</f>
        <v>--</v>
      </c>
      <c r="U58" s="92" t="str">
        <f>IFERROR(_xll.qlRateHelperPillarDate(S58,Trigger),"--")</f>
        <v>--</v>
      </c>
      <c r="W58" s="3" t="str">
        <f t="shared" si="21"/>
        <v/>
      </c>
      <c r="X58" s="3" t="e">
        <v>#N/A</v>
      </c>
      <c r="Y58" s="3" t="str">
        <f>IFERROR(_xll.qlRateHelperQuoteName(X58,Trigger),"")</f>
        <v/>
      </c>
      <c r="Z58" s="65" t="str">
        <f>IFERROR(_xll.qlRateHelperRate(X58,Trigger),"")</f>
        <v/>
      </c>
      <c r="AA58" s="9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1" t="e">
        <v>#N/A</v>
      </c>
    </row>
    <row r="59" spans="1:30" ht="11.25" customHeight="1" x14ac:dyDescent="0.2">
      <c r="A59" s="56" t="s">
        <v>25</v>
      </c>
      <c r="B59" s="57" t="s">
        <v>98</v>
      </c>
      <c r="C59" s="58" t="s">
        <v>6</v>
      </c>
      <c r="D59" s="58" t="s">
        <v>156</v>
      </c>
      <c r="E59" s="58" t="s">
        <v>7</v>
      </c>
      <c r="F59" s="58" t="s">
        <v>154</v>
      </c>
      <c r="G59" s="58" t="str">
        <f t="shared" si="26"/>
        <v>AudBBSW3M</v>
      </c>
      <c r="H59" s="56" t="str">
        <f t="shared" si="27"/>
        <v>AUDQM3AB13Y_Quote</v>
      </c>
      <c r="I59" s="114">
        <v>0</v>
      </c>
      <c r="J59" s="167" t="str">
        <f>IF(P53,_xll.qlSwapRateHelper2(,H59,1,B59,Calendar,D59,E59,F59,G59,I59,C59,Discounting,PillarDate,,Permanent,Trigger,ObjectOverwrite),"--")</f>
        <v>--</v>
      </c>
      <c r="L59" s="173" t="str">
        <f t="shared" si="22"/>
        <v>Sw</v>
      </c>
      <c r="M59" s="182" t="str">
        <f t="shared" si="24"/>
        <v>AUDQM3AB19Y_Quote</v>
      </c>
      <c r="N59" s="174" t="str">
        <f>IFERROR(_xll.qlQuoteValue(H65),"--")</f>
        <v>--</v>
      </c>
      <c r="O59" s="174">
        <f t="shared" si="25"/>
        <v>0</v>
      </c>
      <c r="P59" s="91" t="b">
        <v>0</v>
      </c>
      <c r="Q59" s="88">
        <v>50</v>
      </c>
      <c r="R59" s="88">
        <v>1</v>
      </c>
      <c r="S59" s="122" t="str">
        <f t="shared" si="23"/>
        <v>--</v>
      </c>
      <c r="T59" s="92" t="str">
        <f>IFERROR(_xll.qlRateHelperEarliestDate(S59,Trigger),"--")</f>
        <v>--</v>
      </c>
      <c r="U59" s="92" t="str">
        <f>IFERROR(_xll.qlRateHelperPillarDate(S59,Trigger),"--")</f>
        <v>--</v>
      </c>
      <c r="W59" s="3" t="str">
        <f t="shared" si="21"/>
        <v/>
      </c>
      <c r="X59" s="3" t="e">
        <v>#N/A</v>
      </c>
      <c r="Y59" s="3" t="str">
        <f>IFERROR(_xll.qlRateHelperQuoteName(X59,Trigger),"")</f>
        <v/>
      </c>
      <c r="Z59" s="65" t="str">
        <f>IFERROR(_xll.qlRateHelperRate(X59,Trigger),"")</f>
        <v/>
      </c>
      <c r="AA59" s="9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1" t="e">
        <v>#N/A</v>
      </c>
    </row>
    <row r="60" spans="1:30" ht="11.25" customHeight="1" x14ac:dyDescent="0.2">
      <c r="A60" s="56" t="s">
        <v>25</v>
      </c>
      <c r="B60" s="57" t="s">
        <v>99</v>
      </c>
      <c r="C60" s="58" t="s">
        <v>6</v>
      </c>
      <c r="D60" s="58" t="s">
        <v>156</v>
      </c>
      <c r="E60" s="58" t="s">
        <v>7</v>
      </c>
      <c r="F60" s="58" t="s">
        <v>154</v>
      </c>
      <c r="G60" s="58" t="str">
        <f t="shared" si="26"/>
        <v>AudBBSW3M</v>
      </c>
      <c r="H60" s="56" t="str">
        <f t="shared" si="27"/>
        <v>AUDQM3AB14Y_Quote</v>
      </c>
      <c r="I60" s="114">
        <v>0</v>
      </c>
      <c r="J60" s="167" t="str">
        <f>IF(P54,_xll.qlSwapRateHelper2(,H60,1,B60,Calendar,D60,E60,F60,G60,I60,C60,Discounting,PillarDate,,Permanent,Trigger,ObjectOverwrite),"--")</f>
        <v>--</v>
      </c>
      <c r="L60" s="173" t="str">
        <f t="shared" si="22"/>
        <v>Sw</v>
      </c>
      <c r="M60" s="182" t="str">
        <f t="shared" si="24"/>
        <v>AUDQM3AB20Y_Quote</v>
      </c>
      <c r="N60" s="174" t="str">
        <f>IFERROR(_xll.qlQuoteValue(H66),"--")</f>
        <v>--</v>
      </c>
      <c r="O60" s="174">
        <f t="shared" si="25"/>
        <v>0</v>
      </c>
      <c r="P60" s="91" t="b">
        <v>0</v>
      </c>
      <c r="Q60" s="88">
        <v>50</v>
      </c>
      <c r="R60" s="88">
        <v>1</v>
      </c>
      <c r="S60" s="122" t="str">
        <f t="shared" si="23"/>
        <v>--</v>
      </c>
      <c r="T60" s="92" t="str">
        <f>IFERROR(_xll.qlRateHelperEarliestDate(S60,Trigger),"--")</f>
        <v>--</v>
      </c>
      <c r="U60" s="92" t="str">
        <f>IFERROR(_xll.qlRateHelperPillarDate(S60,Trigger),"--")</f>
        <v>--</v>
      </c>
      <c r="W60" s="3" t="str">
        <f t="shared" si="21"/>
        <v/>
      </c>
      <c r="X60" s="3" t="e">
        <v>#N/A</v>
      </c>
      <c r="Y60" s="3" t="str">
        <f>IFERROR(_xll.qlRateHelperQuoteName(X60,Trigger),"")</f>
        <v/>
      </c>
      <c r="Z60" s="65" t="str">
        <f>IFERROR(_xll.qlRateHelperRate(X60,Trigger),"")</f>
        <v/>
      </c>
      <c r="AA60" s="9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1" t="e">
        <v>#N/A</v>
      </c>
    </row>
    <row r="61" spans="1:30" ht="11.25" customHeight="1" x14ac:dyDescent="0.2">
      <c r="A61" s="56" t="s">
        <v>25</v>
      </c>
      <c r="B61" s="57" t="s">
        <v>62</v>
      </c>
      <c r="C61" s="58" t="s">
        <v>6</v>
      </c>
      <c r="D61" s="58" t="s">
        <v>156</v>
      </c>
      <c r="E61" s="58" t="s">
        <v>7</v>
      </c>
      <c r="F61" s="58" t="s">
        <v>154</v>
      </c>
      <c r="G61" s="58" t="str">
        <f t="shared" si="26"/>
        <v>AudBBSW3M</v>
      </c>
      <c r="H61" s="56" t="str">
        <f t="shared" si="27"/>
        <v>AUDQM3AB15Y_Quote</v>
      </c>
      <c r="I61" s="114">
        <v>0</v>
      </c>
      <c r="J61" s="167" t="str">
        <f>IF(P55,_xll.qlSwapRateHelper2(,H61,1,B61,Calendar,D61,E61,F61,G61,I61,C61,Discounting,PillarDate,,Permanent,Trigger,ObjectOverwrite),"--")</f>
        <v>--</v>
      </c>
      <c r="L61" s="173" t="str">
        <f t="shared" si="22"/>
        <v>Sw</v>
      </c>
      <c r="M61" s="182" t="str">
        <f t="shared" si="24"/>
        <v>AUDQM3AB21Y_Quote</v>
      </c>
      <c r="N61" s="174" t="str">
        <f>IFERROR(_xll.qlQuoteValue(H67),"--")</f>
        <v>--</v>
      </c>
      <c r="O61" s="174">
        <f t="shared" si="25"/>
        <v>0</v>
      </c>
      <c r="P61" s="91" t="b">
        <v>0</v>
      </c>
      <c r="Q61" s="88">
        <v>50</v>
      </c>
      <c r="R61" s="88">
        <v>1</v>
      </c>
      <c r="S61" s="122" t="str">
        <f t="shared" si="23"/>
        <v>--</v>
      </c>
      <c r="T61" s="92" t="str">
        <f>IFERROR(_xll.qlRateHelperEarliestDate(S61,Trigger),"--")</f>
        <v>--</v>
      </c>
      <c r="U61" s="92" t="str">
        <f>IFERROR(_xll.qlRateHelperPillarDate(S61,Trigger),"--")</f>
        <v>--</v>
      </c>
      <c r="W61" s="3" t="str">
        <f t="shared" si="21"/>
        <v/>
      </c>
      <c r="X61" s="3" t="e">
        <v>#N/A</v>
      </c>
      <c r="Y61" s="3" t="str">
        <f>IFERROR(_xll.qlRateHelperQuoteName(X61,Trigger),"")</f>
        <v/>
      </c>
      <c r="Z61" s="65" t="str">
        <f>IFERROR(_xll.qlRateHelperRate(X61,Trigger),"")</f>
        <v/>
      </c>
      <c r="AA61" s="9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1" t="e">
        <v>#N/A</v>
      </c>
    </row>
    <row r="62" spans="1:30" ht="11.25" customHeight="1" x14ac:dyDescent="0.2">
      <c r="A62" s="56" t="s">
        <v>25</v>
      </c>
      <c r="B62" s="57" t="s">
        <v>100</v>
      </c>
      <c r="C62" s="58" t="s">
        <v>6</v>
      </c>
      <c r="D62" s="58" t="s">
        <v>156</v>
      </c>
      <c r="E62" s="58" t="s">
        <v>7</v>
      </c>
      <c r="F62" s="58" t="s">
        <v>154</v>
      </c>
      <c r="G62" s="58" t="str">
        <f t="shared" si="26"/>
        <v>AudBBSW3M</v>
      </c>
      <c r="H62" s="56" t="str">
        <f t="shared" si="27"/>
        <v>AUDQM3AB16Y_Quote</v>
      </c>
      <c r="I62" s="114">
        <v>0</v>
      </c>
      <c r="J62" s="167" t="str">
        <f>IF(P56,_xll.qlSwapRateHelper2(,H62,1,B62,Calendar,D62,E62,F62,G62,I62,C62,Discounting,PillarDate,,Permanent,Trigger,ObjectOverwrite),"--")</f>
        <v>--</v>
      </c>
      <c r="L62" s="173" t="str">
        <f t="shared" si="22"/>
        <v>Sw</v>
      </c>
      <c r="M62" s="182" t="str">
        <f t="shared" si="24"/>
        <v>AUDQM3AB22Y_Quote</v>
      </c>
      <c r="N62" s="174" t="str">
        <f>IFERROR(_xll.qlQuoteValue(H68),"--")</f>
        <v>--</v>
      </c>
      <c r="O62" s="174">
        <f t="shared" si="25"/>
        <v>0</v>
      </c>
      <c r="P62" s="91" t="b">
        <v>0</v>
      </c>
      <c r="Q62" s="88">
        <v>50</v>
      </c>
      <c r="R62" s="88">
        <v>1</v>
      </c>
      <c r="S62" s="122" t="str">
        <f t="shared" si="23"/>
        <v>--</v>
      </c>
      <c r="T62" s="92" t="str">
        <f>IFERROR(_xll.qlRateHelperEarliestDate(S62,Trigger),"--")</f>
        <v>--</v>
      </c>
      <c r="U62" s="92" t="str">
        <f>IFERROR(_xll.qlRateHelperPillarDate(S62,Trigger),"--")</f>
        <v>--</v>
      </c>
      <c r="W62" s="3" t="str">
        <f t="shared" si="21"/>
        <v/>
      </c>
      <c r="X62" s="3" t="e">
        <v>#N/A</v>
      </c>
      <c r="Y62" s="3" t="str">
        <f>IFERROR(_xll.qlRateHelperQuoteName(X62,Trigger),"")</f>
        <v/>
      </c>
      <c r="Z62" s="65" t="str">
        <f>IFERROR(_xll.qlRateHelperRate(X62,Trigger),"")</f>
        <v/>
      </c>
      <c r="AA62" s="9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1" t="e">
        <v>#N/A</v>
      </c>
    </row>
    <row r="63" spans="1:30" ht="11.25" customHeight="1" x14ac:dyDescent="0.2">
      <c r="A63" s="56" t="s">
        <v>25</v>
      </c>
      <c r="B63" s="57" t="s">
        <v>101</v>
      </c>
      <c r="C63" s="58" t="s">
        <v>6</v>
      </c>
      <c r="D63" s="58" t="s">
        <v>156</v>
      </c>
      <c r="E63" s="58" t="s">
        <v>7</v>
      </c>
      <c r="F63" s="58" t="s">
        <v>154</v>
      </c>
      <c r="G63" s="58" t="str">
        <f t="shared" si="26"/>
        <v>AudBBSW3M</v>
      </c>
      <c r="H63" s="56" t="str">
        <f t="shared" si="27"/>
        <v>AUDQM3AB17Y_Quote</v>
      </c>
      <c r="I63" s="114">
        <v>0</v>
      </c>
      <c r="J63" s="167" t="str">
        <f>IF(P57,_xll.qlSwapRateHelper2(,H63,1,B63,Calendar,D63,E63,F63,G63,I63,C63,Discounting,PillarDate,,Permanent,Trigger,ObjectOverwrite),"--")</f>
        <v>--</v>
      </c>
      <c r="L63" s="173" t="str">
        <f t="shared" si="22"/>
        <v>Sw</v>
      </c>
      <c r="M63" s="182" t="str">
        <f t="shared" si="24"/>
        <v>AUDQM3AB23Y_Quote</v>
      </c>
      <c r="N63" s="174" t="str">
        <f>IFERROR(_xll.qlQuoteValue(H69),"--")</f>
        <v>--</v>
      </c>
      <c r="O63" s="174">
        <f t="shared" si="25"/>
        <v>0</v>
      </c>
      <c r="P63" s="91" t="b">
        <v>0</v>
      </c>
      <c r="Q63" s="88">
        <v>50</v>
      </c>
      <c r="R63" s="88">
        <v>1</v>
      </c>
      <c r="S63" s="122" t="str">
        <f t="shared" si="23"/>
        <v>--</v>
      </c>
      <c r="T63" s="92" t="str">
        <f>IFERROR(_xll.qlRateHelperEarliestDate(S63,Trigger),"--")</f>
        <v>--</v>
      </c>
      <c r="U63" s="92" t="str">
        <f>IFERROR(_xll.qlRateHelperPillarDate(S63,Trigger),"--")</f>
        <v>--</v>
      </c>
      <c r="W63" s="3" t="str">
        <f t="shared" si="21"/>
        <v/>
      </c>
      <c r="X63" s="3" t="e">
        <v>#N/A</v>
      </c>
      <c r="Y63" s="3" t="str">
        <f>IFERROR(_xll.qlRateHelperQuoteName(X63,Trigger),"")</f>
        <v/>
      </c>
      <c r="Z63" s="65" t="str">
        <f>IFERROR(_xll.qlRateHelperRate(X63,Trigger),"")</f>
        <v/>
      </c>
      <c r="AA63" s="9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1" t="e">
        <v>#N/A</v>
      </c>
    </row>
    <row r="64" spans="1:30" ht="11.25" customHeight="1" x14ac:dyDescent="0.2">
      <c r="A64" s="56" t="s">
        <v>25</v>
      </c>
      <c r="B64" s="57" t="s">
        <v>102</v>
      </c>
      <c r="C64" s="58" t="s">
        <v>6</v>
      </c>
      <c r="D64" s="58" t="s">
        <v>156</v>
      </c>
      <c r="E64" s="58" t="s">
        <v>7</v>
      </c>
      <c r="F64" s="58" t="s">
        <v>154</v>
      </c>
      <c r="G64" s="58" t="str">
        <f t="shared" si="26"/>
        <v>AudBBSW3M</v>
      </c>
      <c r="H64" s="56" t="str">
        <f t="shared" si="27"/>
        <v>AUDQM3AB18Y_Quote</v>
      </c>
      <c r="I64" s="114">
        <v>0</v>
      </c>
      <c r="J64" s="167" t="str">
        <f>IF(P58,_xll.qlSwapRateHelper2(,H64,1,B64,Calendar,D64,E64,F64,G64,I64,C64,Discounting,PillarDate,,Permanent,Trigger,ObjectOverwrite),"--")</f>
        <v>--</v>
      </c>
      <c r="L64" s="173" t="str">
        <f t="shared" si="22"/>
        <v>Sw</v>
      </c>
      <c r="M64" s="182" t="str">
        <f t="shared" si="24"/>
        <v>AUDQM3AB24Y_Quote</v>
      </c>
      <c r="N64" s="174" t="str">
        <f>IFERROR(_xll.qlQuoteValue(H70),"--")</f>
        <v>--</v>
      </c>
      <c r="O64" s="174">
        <f t="shared" si="25"/>
        <v>0</v>
      </c>
      <c r="P64" s="91" t="b">
        <v>0</v>
      </c>
      <c r="Q64" s="88">
        <v>50</v>
      </c>
      <c r="R64" s="88">
        <v>1</v>
      </c>
      <c r="S64" s="122" t="str">
        <f t="shared" si="23"/>
        <v>--</v>
      </c>
      <c r="T64" s="92" t="str">
        <f>IFERROR(_xll.qlRateHelperEarliestDate(S64,Trigger),"--")</f>
        <v>--</v>
      </c>
      <c r="U64" s="92" t="str">
        <f>IFERROR(_xll.qlRateHelperPillarDate(S64,Trigger),"--")</f>
        <v>--</v>
      </c>
      <c r="W64" s="3" t="str">
        <f t="shared" si="21"/>
        <v/>
      </c>
      <c r="X64" s="3" t="e">
        <v>#N/A</v>
      </c>
      <c r="Y64" s="3" t="str">
        <f>IFERROR(_xll.qlRateHelperQuoteName(X64,Trigger),"")</f>
        <v/>
      </c>
      <c r="Z64" s="65" t="str">
        <f>IFERROR(_xll.qlRateHelperRate(X64,Trigger),"")</f>
        <v/>
      </c>
      <c r="AA64" s="9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1" t="e">
        <v>#N/A</v>
      </c>
    </row>
    <row r="65" spans="1:30" ht="11.25" customHeight="1" x14ac:dyDescent="0.2">
      <c r="A65" s="56" t="s">
        <v>25</v>
      </c>
      <c r="B65" s="57" t="s">
        <v>103</v>
      </c>
      <c r="C65" s="58" t="s">
        <v>6</v>
      </c>
      <c r="D65" s="58" t="s">
        <v>156</v>
      </c>
      <c r="E65" s="58" t="s">
        <v>7</v>
      </c>
      <c r="F65" s="58" t="s">
        <v>154</v>
      </c>
      <c r="G65" s="58" t="str">
        <f t="shared" si="26"/>
        <v>AudBBSW3M</v>
      </c>
      <c r="H65" s="56" t="str">
        <f t="shared" si="27"/>
        <v>AUDQM3AB19Y_Quote</v>
      </c>
      <c r="I65" s="114">
        <v>0</v>
      </c>
      <c r="J65" s="167" t="str">
        <f>IF(P59,_xll.qlSwapRateHelper2(,H65,1,B65,Calendar,D65,E65,F65,G65,I65,C65,Discounting,PillarDate,,Permanent,Trigger,ObjectOverwrite),"--")</f>
        <v>--</v>
      </c>
      <c r="L65" s="173" t="str">
        <f t="shared" si="22"/>
        <v>Sw</v>
      </c>
      <c r="M65" s="182" t="str">
        <f t="shared" si="24"/>
        <v>AUDQM3AB25Y_Quote</v>
      </c>
      <c r="N65" s="174" t="str">
        <f>IFERROR(_xll.qlQuoteValue(H71),"--")</f>
        <v>--</v>
      </c>
      <c r="O65" s="174">
        <f t="shared" si="25"/>
        <v>0</v>
      </c>
      <c r="P65" s="91" t="b">
        <v>0</v>
      </c>
      <c r="Q65" s="88">
        <v>50</v>
      </c>
      <c r="R65" s="88">
        <v>1</v>
      </c>
      <c r="S65" s="122" t="str">
        <f t="shared" si="23"/>
        <v>--</v>
      </c>
      <c r="T65" s="92" t="str">
        <f>IFERROR(_xll.qlRateHelperEarliestDate(S65,Trigger),"--")</f>
        <v>--</v>
      </c>
      <c r="U65" s="92" t="str">
        <f>IFERROR(_xll.qlRateHelperPillarDate(S65,Trigger),"--")</f>
        <v>--</v>
      </c>
      <c r="W65" s="3" t="str">
        <f t="shared" si="21"/>
        <v/>
      </c>
      <c r="X65" s="3" t="e">
        <v>#N/A</v>
      </c>
      <c r="Y65" s="3" t="str">
        <f>IFERROR(_xll.qlRateHelperQuoteName(X65,Trigger),"")</f>
        <v/>
      </c>
      <c r="Z65" s="65" t="str">
        <f>IFERROR(_xll.qlRateHelperRate(X65,Trigger),"")</f>
        <v/>
      </c>
      <c r="AA65" s="9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1" t="e">
        <v>#N/A</v>
      </c>
    </row>
    <row r="66" spans="1:30" ht="11.25" customHeight="1" x14ac:dyDescent="0.2">
      <c r="A66" s="56" t="s">
        <v>25</v>
      </c>
      <c r="B66" s="57" t="s">
        <v>63</v>
      </c>
      <c r="C66" s="58" t="s">
        <v>6</v>
      </c>
      <c r="D66" s="58" t="s">
        <v>156</v>
      </c>
      <c r="E66" s="58" t="s">
        <v>7</v>
      </c>
      <c r="F66" s="58" t="s">
        <v>154</v>
      </c>
      <c r="G66" s="58" t="str">
        <f t="shared" si="26"/>
        <v>AudBBSW3M</v>
      </c>
      <c r="H66" s="56" t="str">
        <f t="shared" si="27"/>
        <v>AUDQM3AB20Y_Quote</v>
      </c>
      <c r="I66" s="114">
        <v>0</v>
      </c>
      <c r="J66" s="167" t="str">
        <f>IF(P60,_xll.qlSwapRateHelper2(,H66,1,B66,Calendar,D66,E66,F66,G66,I66,C66,Discounting,PillarDate,,Permanent,Trigger,ObjectOverwrite),"--")</f>
        <v>--</v>
      </c>
      <c r="L66" s="173" t="str">
        <f t="shared" si="22"/>
        <v>Sw</v>
      </c>
      <c r="M66" s="182" t="str">
        <f t="shared" si="24"/>
        <v>AUDQM3AB26Y_Quote</v>
      </c>
      <c r="N66" s="174" t="str">
        <f>IFERROR(_xll.qlQuoteValue(H72),"--")</f>
        <v>--</v>
      </c>
      <c r="O66" s="174">
        <f t="shared" si="25"/>
        <v>0</v>
      </c>
      <c r="P66" s="91" t="b">
        <v>0</v>
      </c>
      <c r="Q66" s="88">
        <v>50</v>
      </c>
      <c r="R66" s="88">
        <v>1</v>
      </c>
      <c r="S66" s="122" t="str">
        <f t="shared" si="23"/>
        <v>--</v>
      </c>
      <c r="T66" s="92" t="str">
        <f>IFERROR(_xll.qlRateHelperEarliestDate(S66,Trigger),"--")</f>
        <v>--</v>
      </c>
      <c r="U66" s="92" t="str">
        <f>IFERROR(_xll.qlRateHelperPillarDate(S66,Trigger),"--")</f>
        <v>--</v>
      </c>
      <c r="W66" s="3" t="str">
        <f t="shared" si="21"/>
        <v/>
      </c>
      <c r="X66" s="3" t="e">
        <v>#N/A</v>
      </c>
      <c r="Y66" s="3" t="str">
        <f>IFERROR(_xll.qlRateHelperQuoteName(X66,Trigger),"")</f>
        <v/>
      </c>
      <c r="Z66" s="65" t="str">
        <f>IFERROR(_xll.qlRateHelperRate(X66,Trigger),"")</f>
        <v/>
      </c>
      <c r="AA66" s="9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1" t="e">
        <v>#N/A</v>
      </c>
    </row>
    <row r="67" spans="1:30" ht="11.25" customHeight="1" x14ac:dyDescent="0.2">
      <c r="A67" s="56" t="s">
        <v>25</v>
      </c>
      <c r="B67" s="57" t="s">
        <v>104</v>
      </c>
      <c r="C67" s="58" t="s">
        <v>6</v>
      </c>
      <c r="D67" s="58" t="s">
        <v>156</v>
      </c>
      <c r="E67" s="58" t="s">
        <v>7</v>
      </c>
      <c r="F67" s="58" t="s">
        <v>154</v>
      </c>
      <c r="G67" s="58" t="str">
        <f t="shared" si="26"/>
        <v>AudBBSW3M</v>
      </c>
      <c r="H67" s="56" t="str">
        <f t="shared" si="27"/>
        <v>AUDQM3AB21Y_Quote</v>
      </c>
      <c r="I67" s="114">
        <v>0</v>
      </c>
      <c r="J67" s="167" t="str">
        <f>IF(P61,_xll.qlSwapRateHelper2(,H67,1,B67,Calendar,D67,E67,F67,G67,I67,C67,Discounting,PillarDate,,Permanent,Trigger,ObjectOverwrite),"--")</f>
        <v>--</v>
      </c>
      <c r="L67" s="173" t="str">
        <f t="shared" si="22"/>
        <v>Sw</v>
      </c>
      <c r="M67" s="182" t="str">
        <f t="shared" si="24"/>
        <v>AUDQM3AB27Y_Quote</v>
      </c>
      <c r="N67" s="174" t="str">
        <f>IFERROR(_xll.qlQuoteValue(H73),"--")</f>
        <v>--</v>
      </c>
      <c r="O67" s="174">
        <f t="shared" si="25"/>
        <v>0</v>
      </c>
      <c r="P67" s="91" t="b">
        <v>0</v>
      </c>
      <c r="Q67" s="88">
        <v>50</v>
      </c>
      <c r="R67" s="88">
        <v>1</v>
      </c>
      <c r="S67" s="122" t="str">
        <f t="shared" si="23"/>
        <v>--</v>
      </c>
      <c r="T67" s="92" t="str">
        <f>IFERROR(_xll.qlRateHelperEarliestDate(S67,Trigger),"--")</f>
        <v>--</v>
      </c>
      <c r="U67" s="92" t="str">
        <f>IFERROR(_xll.qlRateHelperPillarDate(S67,Trigger),"--")</f>
        <v>--</v>
      </c>
      <c r="W67" s="3" t="str">
        <f t="shared" ref="W67:W98" si="28">IFERROR(INDEX($L$3:$L$111,MATCH(Y67,$M$3:$M$111,0),1),"")</f>
        <v/>
      </c>
      <c r="X67" s="3" t="e">
        <v>#N/A</v>
      </c>
      <c r="Y67" s="3" t="str">
        <f>IFERROR(_xll.qlRateHelperQuoteName(X67,Trigger),"")</f>
        <v/>
      </c>
      <c r="Z67" s="65" t="str">
        <f>IFERROR(_xll.qlRateHelperRate(X67,Trigger),"")</f>
        <v/>
      </c>
      <c r="AA67" s="9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1" t="e">
        <v>#N/A</v>
      </c>
    </row>
    <row r="68" spans="1:30" ht="11.25" customHeight="1" x14ac:dyDescent="0.2">
      <c r="A68" s="56" t="s">
        <v>25</v>
      </c>
      <c r="B68" s="57" t="s">
        <v>105</v>
      </c>
      <c r="C68" s="58" t="s">
        <v>6</v>
      </c>
      <c r="D68" s="58" t="s">
        <v>156</v>
      </c>
      <c r="E68" s="58" t="s">
        <v>7</v>
      </c>
      <c r="F68" s="58" t="s">
        <v>154</v>
      </c>
      <c r="G68" s="58" t="str">
        <f t="shared" si="26"/>
        <v>AudBBSW3M</v>
      </c>
      <c r="H68" s="56" t="str">
        <f t="shared" si="27"/>
        <v>AUDQM3AB22Y_Quote</v>
      </c>
      <c r="I68" s="114">
        <v>0</v>
      </c>
      <c r="J68" s="167" t="str">
        <f>IF(P62,_xll.qlSwapRateHelper2(,H68,1,B68,Calendar,D68,E68,F68,G68,I68,C68,Discounting,PillarDate,,Permanent,Trigger,ObjectOverwrite),"--")</f>
        <v>--</v>
      </c>
      <c r="L68" s="173" t="str">
        <f t="shared" si="22"/>
        <v>Sw</v>
      </c>
      <c r="M68" s="182" t="str">
        <f t="shared" si="24"/>
        <v>AUDQM3AB28Y_Quote</v>
      </c>
      <c r="N68" s="174" t="str">
        <f>IFERROR(_xll.qlQuoteValue(H74),"--")</f>
        <v>--</v>
      </c>
      <c r="O68" s="174">
        <f t="shared" si="25"/>
        <v>0</v>
      </c>
      <c r="P68" s="91" t="b">
        <v>0</v>
      </c>
      <c r="Q68" s="88">
        <v>50</v>
      </c>
      <c r="R68" s="88">
        <v>1</v>
      </c>
      <c r="S68" s="122" t="str">
        <f t="shared" si="23"/>
        <v>--</v>
      </c>
      <c r="T68" s="92" t="str">
        <f>IFERROR(_xll.qlRateHelperEarliestDate(S68,Trigger),"--")</f>
        <v>--</v>
      </c>
      <c r="U68" s="92" t="str">
        <f>IFERROR(_xll.qlRateHelperPillarDate(S68,Trigger),"--")</f>
        <v>--</v>
      </c>
      <c r="W68" s="3" t="str">
        <f t="shared" si="28"/>
        <v/>
      </c>
      <c r="X68" s="3" t="e">
        <v>#N/A</v>
      </c>
      <c r="Y68" s="3" t="str">
        <f>IFERROR(_xll.qlRateHelperQuoteName(X68,Trigger),"")</f>
        <v/>
      </c>
      <c r="Z68" s="65" t="str">
        <f>IFERROR(_xll.qlRateHelperRate(X68,Trigger),"")</f>
        <v/>
      </c>
      <c r="AA68" s="9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1" t="e">
        <v>#N/A</v>
      </c>
    </row>
    <row r="69" spans="1:30" ht="11.25" customHeight="1" x14ac:dyDescent="0.2">
      <c r="A69" s="56" t="s">
        <v>25</v>
      </c>
      <c r="B69" s="57" t="s">
        <v>106</v>
      </c>
      <c r="C69" s="58" t="s">
        <v>6</v>
      </c>
      <c r="D69" s="58" t="s">
        <v>156</v>
      </c>
      <c r="E69" s="58" t="s">
        <v>7</v>
      </c>
      <c r="F69" s="58" t="s">
        <v>154</v>
      </c>
      <c r="G69" s="58" t="str">
        <f t="shared" si="26"/>
        <v>AudBBSW3M</v>
      </c>
      <c r="H69" s="56" t="str">
        <f t="shared" si="27"/>
        <v>AUDQM3AB23Y_Quote</v>
      </c>
      <c r="I69" s="114">
        <v>0</v>
      </c>
      <c r="J69" s="167" t="str">
        <f>IF(P63,_xll.qlSwapRateHelper2(,H69,1,B69,Calendar,D69,E69,F69,G69,I69,C69,Discounting,PillarDate,,Permanent,Trigger,ObjectOverwrite),"--")</f>
        <v>--</v>
      </c>
      <c r="L69" s="173" t="str">
        <f t="shared" si="22"/>
        <v>Sw</v>
      </c>
      <c r="M69" s="182" t="str">
        <f t="shared" si="24"/>
        <v>AUDQM3AB29Y_Quote</v>
      </c>
      <c r="N69" s="174" t="str">
        <f>IFERROR(_xll.qlQuoteValue(H75),"--")</f>
        <v>--</v>
      </c>
      <c r="O69" s="174">
        <f t="shared" si="25"/>
        <v>0</v>
      </c>
      <c r="P69" s="91" t="b">
        <v>0</v>
      </c>
      <c r="Q69" s="88">
        <v>50</v>
      </c>
      <c r="R69" s="88">
        <v>1</v>
      </c>
      <c r="S69" s="122" t="str">
        <f t="shared" si="23"/>
        <v>--</v>
      </c>
      <c r="T69" s="92" t="str">
        <f>IFERROR(_xll.qlRateHelperEarliestDate(S69,Trigger),"--")</f>
        <v>--</v>
      </c>
      <c r="U69" s="92" t="str">
        <f>IFERROR(_xll.qlRateHelperPillarDate(S69,Trigger),"--")</f>
        <v>--</v>
      </c>
      <c r="W69" s="3" t="str">
        <f t="shared" si="28"/>
        <v/>
      </c>
      <c r="X69" s="3" t="e">
        <v>#N/A</v>
      </c>
      <c r="Y69" s="3" t="str">
        <f>IFERROR(_xll.qlRateHelperQuoteName(X69,Trigger),"")</f>
        <v/>
      </c>
      <c r="Z69" s="65" t="str">
        <f>IFERROR(_xll.qlRateHelperRate(X69,Trigger),"")</f>
        <v/>
      </c>
      <c r="AA69" s="9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1" t="e">
        <v>#N/A</v>
      </c>
    </row>
    <row r="70" spans="1:30" ht="11.25" customHeight="1" x14ac:dyDescent="0.2">
      <c r="A70" s="56" t="s">
        <v>25</v>
      </c>
      <c r="B70" s="57" t="s">
        <v>107</v>
      </c>
      <c r="C70" s="58" t="s">
        <v>6</v>
      </c>
      <c r="D70" s="58" t="s">
        <v>156</v>
      </c>
      <c r="E70" s="58" t="s">
        <v>7</v>
      </c>
      <c r="F70" s="58" t="s">
        <v>154</v>
      </c>
      <c r="G70" s="58" t="str">
        <f t="shared" si="26"/>
        <v>AudBBSW3M</v>
      </c>
      <c r="H70" s="56" t="str">
        <f t="shared" si="27"/>
        <v>AUDQM3AB24Y_Quote</v>
      </c>
      <c r="I70" s="114">
        <v>0</v>
      </c>
      <c r="J70" s="167" t="str">
        <f>IF(P64,_xll.qlSwapRateHelper2(,H70,1,B70,Calendar,D70,E70,F70,G70,I70,C70,Discounting,PillarDate,,Permanent,Trigger,ObjectOverwrite),"--")</f>
        <v>--</v>
      </c>
      <c r="L70" s="173" t="str">
        <f t="shared" si="22"/>
        <v>Sw</v>
      </c>
      <c r="M70" s="182" t="str">
        <f t="shared" si="24"/>
        <v>AUDQM3AB30Y_Quote</v>
      </c>
      <c r="N70" s="174" t="str">
        <f>IFERROR(_xll.qlQuoteValue(H76),"--")</f>
        <v>--</v>
      </c>
      <c r="O70" s="174">
        <f t="shared" si="25"/>
        <v>0</v>
      </c>
      <c r="P70" s="91" t="b">
        <v>0</v>
      </c>
      <c r="Q70" s="88">
        <v>50</v>
      </c>
      <c r="R70" s="88">
        <v>1</v>
      </c>
      <c r="S70" s="122" t="str">
        <f t="shared" si="23"/>
        <v>--</v>
      </c>
      <c r="T70" s="92" t="str">
        <f>IFERROR(_xll.qlRateHelperEarliestDate(S70,Trigger),"--")</f>
        <v>--</v>
      </c>
      <c r="U70" s="92" t="str">
        <f>IFERROR(_xll.qlRateHelperPillarDate(S70,Trigger),"--")</f>
        <v>--</v>
      </c>
      <c r="W70" s="3" t="str">
        <f t="shared" si="28"/>
        <v/>
      </c>
      <c r="X70" s="3" t="e">
        <v>#N/A</v>
      </c>
      <c r="Y70" s="3" t="str">
        <f>IFERROR(_xll.qlRateHelperQuoteName(X70,Trigger),"")</f>
        <v/>
      </c>
      <c r="Z70" s="65" t="str">
        <f>IFERROR(_xll.qlRateHelperRate(X70,Trigger),"")</f>
        <v/>
      </c>
      <c r="AA70" s="9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1" t="e">
        <v>#N/A</v>
      </c>
    </row>
    <row r="71" spans="1:30" ht="11.25" customHeight="1" x14ac:dyDescent="0.2">
      <c r="A71" s="56" t="s">
        <v>25</v>
      </c>
      <c r="B71" s="57" t="s">
        <v>64</v>
      </c>
      <c r="C71" s="58" t="s">
        <v>6</v>
      </c>
      <c r="D71" s="58" t="s">
        <v>156</v>
      </c>
      <c r="E71" s="58" t="s">
        <v>7</v>
      </c>
      <c r="F71" s="58" t="s">
        <v>154</v>
      </c>
      <c r="G71" s="58" t="str">
        <f t="shared" si="26"/>
        <v>AudBBSW3M</v>
      </c>
      <c r="H71" s="56" t="str">
        <f t="shared" si="27"/>
        <v>AUDQM3AB25Y_Quote</v>
      </c>
      <c r="I71" s="114">
        <v>0</v>
      </c>
      <c r="J71" s="167" t="str">
        <f>IF(P65,_xll.qlSwapRateHelper2(,H71,1,B71,Calendar,D71,E71,F71,G71,I71,C71,Discounting,PillarDate,,Permanent,Trigger,ObjectOverwrite),"--")</f>
        <v>--</v>
      </c>
      <c r="L71" s="173" t="str">
        <f t="shared" si="22"/>
        <v>Sw</v>
      </c>
      <c r="M71" s="182" t="str">
        <f t="shared" si="24"/>
        <v>AUDQM3AB35Y_Quote</v>
      </c>
      <c r="N71" s="174" t="str">
        <f>IFERROR(_xll.qlQuoteValue(H77),"--")</f>
        <v>--</v>
      </c>
      <c r="O71" s="174">
        <f t="shared" si="25"/>
        <v>0</v>
      </c>
      <c r="P71" s="91" t="b">
        <v>0</v>
      </c>
      <c r="Q71" s="88">
        <v>50</v>
      </c>
      <c r="R71" s="88">
        <v>1</v>
      </c>
      <c r="S71" s="122" t="str">
        <f t="shared" si="23"/>
        <v>--</v>
      </c>
      <c r="T71" s="92" t="str">
        <f>IFERROR(_xll.qlRateHelperEarliestDate(S71,Trigger),"--")</f>
        <v>--</v>
      </c>
      <c r="U71" s="92" t="str">
        <f>IFERROR(_xll.qlRateHelperPillarDate(S71,Trigger),"--")</f>
        <v>--</v>
      </c>
      <c r="W71" s="3" t="str">
        <f t="shared" si="28"/>
        <v/>
      </c>
      <c r="X71" s="3" t="e">
        <v>#N/A</v>
      </c>
      <c r="Y71" s="3" t="str">
        <f>IFERROR(_xll.qlRateHelperQuoteName(X71,Trigger),"")</f>
        <v/>
      </c>
      <c r="Z71" s="65" t="str">
        <f>IFERROR(_xll.qlRateHelperRate(X71,Trigger),"")</f>
        <v/>
      </c>
      <c r="AA71" s="9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1" t="e">
        <v>#N/A</v>
      </c>
    </row>
    <row r="72" spans="1:30" ht="11.25" customHeight="1" x14ac:dyDescent="0.2">
      <c r="A72" s="56" t="s">
        <v>25</v>
      </c>
      <c r="B72" s="57" t="s">
        <v>108</v>
      </c>
      <c r="C72" s="58" t="s">
        <v>6</v>
      </c>
      <c r="D72" s="58" t="s">
        <v>156</v>
      </c>
      <c r="E72" s="58" t="s">
        <v>7</v>
      </c>
      <c r="F72" s="58" t="s">
        <v>154</v>
      </c>
      <c r="G72" s="58" t="str">
        <f t="shared" si="26"/>
        <v>AudBBSW3M</v>
      </c>
      <c r="H72" s="56" t="str">
        <f t="shared" si="27"/>
        <v>AUDQM3AB26Y_Quote</v>
      </c>
      <c r="I72" s="114">
        <v>0</v>
      </c>
      <c r="J72" s="167" t="str">
        <f>IF(P66,_xll.qlSwapRateHelper2(,H72,1,B72,Calendar,D72,E72,F72,G72,I72,C72,Discounting,PillarDate,,Permanent,Trigger,ObjectOverwrite),"--")</f>
        <v>--</v>
      </c>
      <c r="L72" s="173" t="str">
        <f t="shared" si="22"/>
        <v>Sw</v>
      </c>
      <c r="M72" s="182" t="str">
        <f t="shared" si="24"/>
        <v>AUDQM3AB40Y_Quote</v>
      </c>
      <c r="N72" s="174" t="str">
        <f>IFERROR(_xll.qlQuoteValue(H78),"--")</f>
        <v>--</v>
      </c>
      <c r="O72" s="174">
        <f t="shared" si="25"/>
        <v>0</v>
      </c>
      <c r="P72" s="91" t="b">
        <v>0</v>
      </c>
      <c r="Q72" s="88">
        <v>50</v>
      </c>
      <c r="R72" s="88">
        <v>1</v>
      </c>
      <c r="S72" s="122" t="str">
        <f t="shared" si="23"/>
        <v>--</v>
      </c>
      <c r="T72" s="92" t="str">
        <f>IFERROR(_xll.qlRateHelperEarliestDate(S72,Trigger),"--")</f>
        <v>--</v>
      </c>
      <c r="U72" s="92" t="str">
        <f>IFERROR(_xll.qlRateHelperPillarDate(S72,Trigger),"--")</f>
        <v>--</v>
      </c>
      <c r="W72" s="3" t="str">
        <f t="shared" si="28"/>
        <v/>
      </c>
      <c r="X72" s="3" t="e">
        <v>#N/A</v>
      </c>
      <c r="Y72" s="3" t="str">
        <f>IFERROR(_xll.qlRateHelperQuoteName(X72,Trigger),"")</f>
        <v/>
      </c>
      <c r="Z72" s="65" t="str">
        <f>IFERROR(_xll.qlRateHelperRate(X72,Trigger),"")</f>
        <v/>
      </c>
      <c r="AA72" s="9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1" t="e">
        <v>#N/A</v>
      </c>
    </row>
    <row r="73" spans="1:30" ht="11.25" customHeight="1" x14ac:dyDescent="0.2">
      <c r="A73" s="56" t="s">
        <v>25</v>
      </c>
      <c r="B73" s="57" t="s">
        <v>65</v>
      </c>
      <c r="C73" s="58" t="s">
        <v>6</v>
      </c>
      <c r="D73" s="58" t="s">
        <v>156</v>
      </c>
      <c r="E73" s="58" t="s">
        <v>7</v>
      </c>
      <c r="F73" s="58" t="s">
        <v>154</v>
      </c>
      <c r="G73" s="58" t="str">
        <f t="shared" si="26"/>
        <v>AudBBSW3M</v>
      </c>
      <c r="H73" s="56" t="str">
        <f t="shared" si="27"/>
        <v>AUDQM3AB27Y_Quote</v>
      </c>
      <c r="I73" s="114">
        <v>0</v>
      </c>
      <c r="J73" s="167" t="str">
        <f>IF(P67,_xll.qlSwapRateHelper2(,H73,1,B73,Calendar,D73,E73,F73,G73,I73,C73,Discounting,PillarDate,,Permanent,Trigger,ObjectOverwrite),"--")</f>
        <v>--</v>
      </c>
      <c r="L73" s="173" t="str">
        <f t="shared" si="22"/>
        <v>Sw</v>
      </c>
      <c r="M73" s="182" t="str">
        <f t="shared" si="24"/>
        <v>AUDQM3AB50Y_Quote</v>
      </c>
      <c r="N73" s="174" t="str">
        <f>IFERROR(_xll.qlQuoteValue(H79),"--")</f>
        <v>--</v>
      </c>
      <c r="O73" s="174">
        <f t="shared" si="25"/>
        <v>0</v>
      </c>
      <c r="P73" s="91" t="b">
        <v>0</v>
      </c>
      <c r="Q73" s="88">
        <v>50</v>
      </c>
      <c r="R73" s="88">
        <v>1</v>
      </c>
      <c r="S73" s="122" t="str">
        <f t="shared" si="23"/>
        <v>--</v>
      </c>
      <c r="T73" s="92" t="str">
        <f>IFERROR(_xll.qlRateHelperEarliestDate(S73,Trigger),"--")</f>
        <v>--</v>
      </c>
      <c r="U73" s="92" t="str">
        <f>IFERROR(_xll.qlRateHelperPillarDate(S73,Trigger),"--")</f>
        <v>--</v>
      </c>
      <c r="W73" s="3" t="str">
        <f t="shared" si="28"/>
        <v/>
      </c>
      <c r="X73" s="3" t="e">
        <v>#N/A</v>
      </c>
      <c r="Y73" s="3" t="str">
        <f>IFERROR(_xll.qlRateHelperQuoteName(X73,Trigger),"")</f>
        <v/>
      </c>
      <c r="Z73" s="65" t="str">
        <f>IFERROR(_xll.qlRateHelperRate(X73,Trigger),"")</f>
        <v/>
      </c>
      <c r="AA73" s="9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1" t="e">
        <v>#N/A</v>
      </c>
    </row>
    <row r="74" spans="1:30" ht="11.25" customHeight="1" x14ac:dyDescent="0.2">
      <c r="A74" s="56" t="s">
        <v>25</v>
      </c>
      <c r="B74" s="57" t="s">
        <v>109</v>
      </c>
      <c r="C74" s="58" t="s">
        <v>6</v>
      </c>
      <c r="D74" s="58" t="s">
        <v>156</v>
      </c>
      <c r="E74" s="58" t="s">
        <v>7</v>
      </c>
      <c r="F74" s="58" t="s">
        <v>154</v>
      </c>
      <c r="G74" s="58" t="str">
        <f t="shared" si="26"/>
        <v>AudBBSW3M</v>
      </c>
      <c r="H74" s="56" t="str">
        <f t="shared" si="27"/>
        <v>AUDQM3AB28Y_Quote</v>
      </c>
      <c r="I74" s="114">
        <v>0</v>
      </c>
      <c r="J74" s="167" t="str">
        <f>IF(P68,_xll.qlSwapRateHelper2(,H74,1,B74,Calendar,D74,E74,F74,G74,I74,C74,Discounting,PillarDate,,Permanent,Trigger,ObjectOverwrite),"--")</f>
        <v>--</v>
      </c>
      <c r="L74" s="175" t="str">
        <f t="shared" si="22"/>
        <v>Sw</v>
      </c>
      <c r="M74" s="183" t="str">
        <f t="shared" si="24"/>
        <v>AUDQM3AB60Y_Quote</v>
      </c>
      <c r="N74" s="177" t="str">
        <f>IFERROR(_xll.qlQuoteValue(H80),"--")</f>
        <v>--</v>
      </c>
      <c r="O74" s="177">
        <f t="shared" si="25"/>
        <v>0</v>
      </c>
      <c r="P74" s="93" t="b">
        <v>0</v>
      </c>
      <c r="Q74" s="89">
        <v>50</v>
      </c>
      <c r="R74" s="89">
        <v>1</v>
      </c>
      <c r="S74" s="186" t="str">
        <f t="shared" si="23"/>
        <v>--</v>
      </c>
      <c r="T74" s="94" t="str">
        <f>IFERROR(_xll.qlRateHelperEarliestDate(S74,Trigger),"--")</f>
        <v>--</v>
      </c>
      <c r="U74" s="94" t="str">
        <f>IFERROR(_xll.qlRateHelperPillarDate(S74,Trigger),"--")</f>
        <v>--</v>
      </c>
      <c r="W74" s="3" t="str">
        <f t="shared" si="28"/>
        <v/>
      </c>
      <c r="X74" s="3" t="e">
        <v>#N/A</v>
      </c>
      <c r="Y74" s="3" t="str">
        <f>IFERROR(_xll.qlRateHelperQuoteName(X74,Trigger),"")</f>
        <v/>
      </c>
      <c r="Z74" s="65" t="str">
        <f>IFERROR(_xll.qlRateHelperRate(X74,Trigger),"")</f>
        <v/>
      </c>
      <c r="AA74" s="9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1" t="e">
        <v>#N/A</v>
      </c>
    </row>
    <row r="75" spans="1:30" ht="11.25" customHeight="1" x14ac:dyDescent="0.2">
      <c r="A75" s="56" t="s">
        <v>25</v>
      </c>
      <c r="B75" s="57" t="s">
        <v>110</v>
      </c>
      <c r="C75" s="58" t="s">
        <v>6</v>
      </c>
      <c r="D75" s="58" t="s">
        <v>156</v>
      </c>
      <c r="E75" s="58" t="s">
        <v>7</v>
      </c>
      <c r="F75" s="58" t="s">
        <v>154</v>
      </c>
      <c r="G75" s="58" t="str">
        <f t="shared" si="26"/>
        <v>AudBBSW3M</v>
      </c>
      <c r="H75" s="56" t="str">
        <f t="shared" si="27"/>
        <v>AUDQM3AB29Y_Quote</v>
      </c>
      <c r="I75" s="114">
        <v>0</v>
      </c>
      <c r="J75" s="167" t="str">
        <f>IF(P69,_xll.qlSwapRateHelper2(,H75,1,B75,Calendar,D75,E75,F75,G75,I75,C75,Discounting,PillarDate,,Permanent,Trigger,ObjectOverwrite),"--")</f>
        <v>--</v>
      </c>
      <c r="L75" s="173" t="str">
        <f t="shared" ref="L75:L111" si="29">A83</f>
        <v>BasSw</v>
      </c>
      <c r="M75" s="182" t="str">
        <f>H83</f>
        <v>AUDSM6AB1Y_Quote</v>
      </c>
      <c r="N75" s="174" t="str">
        <f>IFERROR(_xll.qlQuoteValue(H83),"--")</f>
        <v>--</v>
      </c>
      <c r="O75" s="174">
        <f>IFERROR(_xll.qlQuoteValue(I83),"--")</f>
        <v>1.9499999999999999E-3</v>
      </c>
      <c r="P75" s="91" t="b">
        <v>0</v>
      </c>
      <c r="Q75" s="88">
        <v>50</v>
      </c>
      <c r="R75" s="88">
        <v>1</v>
      </c>
      <c r="S75" s="122" t="str">
        <f t="shared" ref="S75:S111" si="30">J83</f>
        <v>--</v>
      </c>
      <c r="T75" s="92" t="str">
        <f>IFERROR(_xll.qlRateHelperEarliestDate(S75,Trigger),"--")</f>
        <v>--</v>
      </c>
      <c r="U75" s="92" t="str">
        <f>IFERROR(_xll.qlRateHelperPillarDate(S75,Trigger),"--")</f>
        <v>--</v>
      </c>
      <c r="W75" s="3" t="str">
        <f t="shared" si="28"/>
        <v/>
      </c>
      <c r="X75" s="3" t="e">
        <v>#N/A</v>
      </c>
      <c r="Y75" s="3" t="str">
        <f>IFERROR(_xll.qlRateHelperQuoteName(X75,Trigger),"")</f>
        <v/>
      </c>
      <c r="Z75" s="65" t="str">
        <f>IFERROR(_xll.qlRateHelperRate(X75,Trigger),"")</f>
        <v/>
      </c>
      <c r="AA75" s="9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1" t="e">
        <v>#N/A</v>
      </c>
    </row>
    <row r="76" spans="1:30" ht="11.25" customHeight="1" x14ac:dyDescent="0.2">
      <c r="A76" s="56" t="s">
        <v>25</v>
      </c>
      <c r="B76" s="57" t="s">
        <v>66</v>
      </c>
      <c r="C76" s="58" t="s">
        <v>6</v>
      </c>
      <c r="D76" s="58" t="s">
        <v>156</v>
      </c>
      <c r="E76" s="58" t="s">
        <v>7</v>
      </c>
      <c r="F76" s="58" t="s">
        <v>154</v>
      </c>
      <c r="G76" s="58" t="str">
        <f t="shared" si="26"/>
        <v>AudBBSW3M</v>
      </c>
      <c r="H76" s="56" t="str">
        <f t="shared" si="27"/>
        <v>AUDQM3AB30Y_Quote</v>
      </c>
      <c r="I76" s="114">
        <v>0</v>
      </c>
      <c r="J76" s="167" t="str">
        <f>IF(P70,_xll.qlSwapRateHelper2(,H76,1,B76,Calendar,D76,E76,F76,G76,I76,C76,Discounting,PillarDate,,Permanent,Trigger,ObjectOverwrite),"--")</f>
        <v>--</v>
      </c>
      <c r="L76" s="173" t="str">
        <f t="shared" si="29"/>
        <v>BasSw</v>
      </c>
      <c r="M76" s="182" t="str">
        <f t="shared" ref="M76:M111" si="31">H84</f>
        <v>AUDSM6AB15M_Quote</v>
      </c>
      <c r="N76" s="174" t="str">
        <f>IFERROR(_xll.qlQuoteValue(H84),"--")</f>
        <v>--</v>
      </c>
      <c r="O76" s="174" t="str">
        <f>IFERROR(_xll.qlQuoteValue(I84),"--")</f>
        <v>--</v>
      </c>
      <c r="P76" s="91" t="b">
        <v>0</v>
      </c>
      <c r="Q76" s="88">
        <v>50</v>
      </c>
      <c r="R76" s="88">
        <v>1</v>
      </c>
      <c r="S76" s="122" t="str">
        <f t="shared" si="30"/>
        <v>--</v>
      </c>
      <c r="T76" s="92" t="str">
        <f>IFERROR(_xll.qlRateHelperEarliestDate(S76,Trigger),"--")</f>
        <v>--</v>
      </c>
      <c r="U76" s="92" t="str">
        <f>IFERROR(_xll.qlRateHelperPillarDate(S76,Trigger),"--")</f>
        <v>--</v>
      </c>
      <c r="W76" s="3" t="str">
        <f t="shared" si="28"/>
        <v/>
      </c>
      <c r="X76" s="3" t="e">
        <v>#N/A</v>
      </c>
      <c r="Y76" s="3" t="str">
        <f>IFERROR(_xll.qlRateHelperQuoteName(X76,Trigger),"")</f>
        <v/>
      </c>
      <c r="Z76" s="65" t="str">
        <f>IFERROR(_xll.qlRateHelperRate(X76,Trigger),"")</f>
        <v/>
      </c>
      <c r="AA76" s="9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1" t="e">
        <v>#N/A</v>
      </c>
    </row>
    <row r="77" spans="1:30" ht="11.25" customHeight="1" x14ac:dyDescent="0.2">
      <c r="A77" s="56" t="s">
        <v>25</v>
      </c>
      <c r="B77" s="57" t="s">
        <v>67</v>
      </c>
      <c r="C77" s="58" t="s">
        <v>6</v>
      </c>
      <c r="D77" s="58" t="s">
        <v>156</v>
      </c>
      <c r="E77" s="58" t="s">
        <v>7</v>
      </c>
      <c r="F77" s="58" t="s">
        <v>154</v>
      </c>
      <c r="G77" s="58" t="str">
        <f t="shared" si="26"/>
        <v>AudBBSW3M</v>
      </c>
      <c r="H77" s="56" t="str">
        <f t="shared" si="27"/>
        <v>AUDQM3AB35Y_Quote</v>
      </c>
      <c r="I77" s="112">
        <v>0</v>
      </c>
      <c r="J77" s="167" t="str">
        <f>IF(P71,_xll.qlSwapRateHelper2(,H77,1,B77,Calendar,D77,E77,F77,G77,I77,C77,Discounting,PillarDate,,Permanent,Trigger,ObjectOverwrite),"--")</f>
        <v>--</v>
      </c>
      <c r="L77" s="173" t="str">
        <f t="shared" si="29"/>
        <v>BasSw</v>
      </c>
      <c r="M77" s="182" t="str">
        <f t="shared" si="31"/>
        <v>AUDSM6AB18M_Quote</v>
      </c>
      <c r="N77" s="174" t="str">
        <f>IFERROR(_xll.qlQuoteValue(H85),"--")</f>
        <v>--</v>
      </c>
      <c r="O77" s="174" t="str">
        <f>IFERROR(_xll.qlQuoteValue(I85),"--")</f>
        <v>--</v>
      </c>
      <c r="P77" s="91" t="b">
        <v>0</v>
      </c>
      <c r="Q77" s="88">
        <v>50</v>
      </c>
      <c r="R77" s="88">
        <v>1</v>
      </c>
      <c r="S77" s="122" t="str">
        <f t="shared" si="30"/>
        <v>--</v>
      </c>
      <c r="T77" s="92" t="str">
        <f>IFERROR(_xll.qlRateHelperEarliestDate(S77,Trigger),"--")</f>
        <v>--</v>
      </c>
      <c r="U77" s="92" t="str">
        <f>IFERROR(_xll.qlRateHelperPillarDate(S77,Trigger),"--")</f>
        <v>--</v>
      </c>
      <c r="W77" s="3" t="str">
        <f t="shared" si="28"/>
        <v/>
      </c>
      <c r="X77" s="3" t="e">
        <v>#N/A</v>
      </c>
      <c r="Y77" s="3" t="str">
        <f>IFERROR(_xll.qlRateHelperQuoteName(X77,Trigger),"")</f>
        <v/>
      </c>
      <c r="Z77" s="65" t="str">
        <f>IFERROR(_xll.qlRateHelperRate(X77,Trigger),"")</f>
        <v/>
      </c>
      <c r="AA77" s="9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1" t="e">
        <v>#N/A</v>
      </c>
    </row>
    <row r="78" spans="1:30" ht="11.25" customHeight="1" x14ac:dyDescent="0.2">
      <c r="A78" s="56" t="s">
        <v>25</v>
      </c>
      <c r="B78" s="57" t="s">
        <v>68</v>
      </c>
      <c r="C78" s="58" t="s">
        <v>6</v>
      </c>
      <c r="D78" s="58" t="s">
        <v>156</v>
      </c>
      <c r="E78" s="58" t="s">
        <v>7</v>
      </c>
      <c r="F78" s="58" t="s">
        <v>154</v>
      </c>
      <c r="G78" s="58" t="str">
        <f t="shared" si="26"/>
        <v>AudBBSW3M</v>
      </c>
      <c r="H78" s="56" t="str">
        <f t="shared" si="27"/>
        <v>AUDQM3AB40Y_Quote</v>
      </c>
      <c r="I78" s="112">
        <v>0</v>
      </c>
      <c r="J78" s="167" t="str">
        <f>IF(P72,_xll.qlSwapRateHelper2(,H78,1,B78,Calendar,D78,E78,F78,G78,I78,C78,Discounting,PillarDate,,Permanent,Trigger,ObjectOverwrite),"--")</f>
        <v>--</v>
      </c>
      <c r="L78" s="173" t="str">
        <f t="shared" si="29"/>
        <v>BasSw</v>
      </c>
      <c r="M78" s="182" t="str">
        <f t="shared" si="31"/>
        <v>AUDSM6AB21M_Quote</v>
      </c>
      <c r="N78" s="174" t="str">
        <f>IFERROR(_xll.qlQuoteValue(H86),"--")</f>
        <v>--</v>
      </c>
      <c r="O78" s="174" t="str">
        <f>IFERROR(_xll.qlQuoteValue(I86),"--")</f>
        <v>--</v>
      </c>
      <c r="P78" s="91" t="b">
        <v>0</v>
      </c>
      <c r="Q78" s="88">
        <v>50</v>
      </c>
      <c r="R78" s="88">
        <v>1</v>
      </c>
      <c r="S78" s="122" t="str">
        <f t="shared" si="30"/>
        <v>--</v>
      </c>
      <c r="T78" s="92" t="str">
        <f>IFERROR(_xll.qlRateHelperEarliestDate(S78,Trigger),"--")</f>
        <v>--</v>
      </c>
      <c r="U78" s="92" t="str">
        <f>IFERROR(_xll.qlRateHelperPillarDate(S78,Trigger),"--")</f>
        <v>--</v>
      </c>
      <c r="W78" s="3" t="str">
        <f t="shared" si="28"/>
        <v/>
      </c>
      <c r="X78" s="3" t="e">
        <v>#N/A</v>
      </c>
      <c r="Y78" s="3" t="str">
        <f>IFERROR(_xll.qlRateHelperQuoteName(X78,Trigger),"")</f>
        <v/>
      </c>
      <c r="Z78" s="65" t="str">
        <f>IFERROR(_xll.qlRateHelperRate(X78,Trigger),"")</f>
        <v/>
      </c>
      <c r="AA78" s="9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1" t="e">
        <v>#N/A</v>
      </c>
    </row>
    <row r="79" spans="1:30" ht="11.25" customHeight="1" x14ac:dyDescent="0.2">
      <c r="A79" s="56" t="s">
        <v>25</v>
      </c>
      <c r="B79" s="57" t="s">
        <v>69</v>
      </c>
      <c r="C79" s="58" t="s">
        <v>6</v>
      </c>
      <c r="D79" s="58" t="s">
        <v>156</v>
      </c>
      <c r="E79" s="58" t="s">
        <v>7</v>
      </c>
      <c r="F79" s="58" t="s">
        <v>154</v>
      </c>
      <c r="G79" s="58" t="str">
        <f t="shared" si="26"/>
        <v>AudBBSW3M</v>
      </c>
      <c r="H79" s="56" t="str">
        <f t="shared" si="27"/>
        <v>AUDQM3AB50Y_Quote</v>
      </c>
      <c r="I79" s="112">
        <v>0</v>
      </c>
      <c r="J79" s="167" t="str">
        <f>IF(P73,_xll.qlSwapRateHelper2(,H79,1,B79,Calendar,D79,E79,F79,G79,I79,C79,Discounting,PillarDate,,Permanent,Trigger,ObjectOverwrite),"--")</f>
        <v>--</v>
      </c>
      <c r="L79" s="173" t="str">
        <f t="shared" si="29"/>
        <v>BasSw</v>
      </c>
      <c r="M79" s="182" t="str">
        <f t="shared" si="31"/>
        <v>AUDSM6AB2Y_Quote</v>
      </c>
      <c r="N79" s="174" t="str">
        <f>IFERROR(_xll.qlQuoteValue(H87),"--")</f>
        <v>--</v>
      </c>
      <c r="O79" s="174">
        <f>IFERROR(_xll.qlQuoteValue(I87),"--")</f>
        <v>1.8625E-3</v>
      </c>
      <c r="P79" s="91" t="b">
        <v>0</v>
      </c>
      <c r="Q79" s="88">
        <v>50</v>
      </c>
      <c r="R79" s="88">
        <v>1</v>
      </c>
      <c r="S79" s="122" t="str">
        <f t="shared" si="30"/>
        <v>--</v>
      </c>
      <c r="T79" s="92" t="str">
        <f>IFERROR(_xll.qlRateHelperEarliestDate(S79,Trigger),"--")</f>
        <v>--</v>
      </c>
      <c r="U79" s="92" t="str">
        <f>IFERROR(_xll.qlRateHelperPillarDate(S79,Trigger),"--")</f>
        <v>--</v>
      </c>
      <c r="W79" s="3" t="str">
        <f t="shared" si="28"/>
        <v/>
      </c>
      <c r="X79" s="3" t="e">
        <v>#N/A</v>
      </c>
      <c r="Y79" s="3" t="str">
        <f>IFERROR(_xll.qlRateHelperQuoteName(X79,Trigger),"")</f>
        <v/>
      </c>
      <c r="Z79" s="65" t="str">
        <f>IFERROR(_xll.qlRateHelperRate(X79,Trigger),"")</f>
        <v/>
      </c>
      <c r="AA79" s="9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1" t="e">
        <v>#N/A</v>
      </c>
    </row>
    <row r="80" spans="1:30" ht="11.25" customHeight="1" x14ac:dyDescent="0.2">
      <c r="A80" s="1" t="s">
        <v>25</v>
      </c>
      <c r="B80" s="7" t="s">
        <v>111</v>
      </c>
      <c r="C80" s="6" t="s">
        <v>6</v>
      </c>
      <c r="D80" s="6" t="s">
        <v>156</v>
      </c>
      <c r="E80" s="6" t="s">
        <v>7</v>
      </c>
      <c r="F80" s="6" t="s">
        <v>154</v>
      </c>
      <c r="G80" s="6" t="str">
        <f t="shared" si="26"/>
        <v>AudBBSW3M</v>
      </c>
      <c r="H80" s="1" t="str">
        <f t="shared" si="27"/>
        <v>AUDQM3AB60Y_Quote</v>
      </c>
      <c r="I80" s="115">
        <v>0</v>
      </c>
      <c r="J80" s="166" t="str">
        <f>IF(P74,_xll.qlSwapRateHelper2(,H80,1,B80,Calendar,D80,E80,F80,G80,I80,C80,Discounting,PillarDate,,Permanent,Trigger,ObjectOverwrite),"--")</f>
        <v>--</v>
      </c>
      <c r="L80" s="173" t="str">
        <f t="shared" si="29"/>
        <v>BasSw</v>
      </c>
      <c r="M80" s="182" t="str">
        <f t="shared" si="31"/>
        <v>AUDSM6AB3Y_Quote</v>
      </c>
      <c r="N80" s="174" t="str">
        <f>IFERROR(_xll.qlQuoteValue(H88),"--")</f>
        <v>--</v>
      </c>
      <c r="O80" s="174">
        <f>IFERROR(_xll.qlQuoteValue(I88),"--")</f>
        <v>1.75E-3</v>
      </c>
      <c r="P80" s="91" t="b">
        <v>0</v>
      </c>
      <c r="Q80" s="88">
        <v>50</v>
      </c>
      <c r="R80" s="88">
        <v>1</v>
      </c>
      <c r="S80" s="122" t="str">
        <f t="shared" si="30"/>
        <v>--</v>
      </c>
      <c r="T80" s="92" t="str">
        <f>IFERROR(_xll.qlRateHelperEarliestDate(S80,Trigger),"--")</f>
        <v>--</v>
      </c>
      <c r="U80" s="92" t="str">
        <f>IFERROR(_xll.qlRateHelperPillarDate(S80,Trigger),"--")</f>
        <v>--</v>
      </c>
      <c r="W80" s="3" t="str">
        <f t="shared" si="28"/>
        <v/>
      </c>
      <c r="X80" s="3" t="e">
        <v>#N/A</v>
      </c>
      <c r="Y80" s="3" t="str">
        <f>IFERROR(_xll.qlRateHelperQuoteName(X80,Trigger),"")</f>
        <v/>
      </c>
      <c r="Z80" s="65" t="str">
        <f>IFERROR(_xll.qlRateHelperRate(X80,Trigger),"")</f>
        <v/>
      </c>
      <c r="AA80" s="9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1" t="e">
        <v>#N/A</v>
      </c>
    </row>
    <row r="81" spans="1:30" x14ac:dyDescent="0.2">
      <c r="G81" s="48" t="s">
        <v>160</v>
      </c>
      <c r="H81" s="95" t="s">
        <v>161</v>
      </c>
      <c r="L81" s="173" t="str">
        <f t="shared" si="29"/>
        <v>BasSw</v>
      </c>
      <c r="M81" s="182" t="str">
        <f t="shared" si="31"/>
        <v>AUDSM6AB4Y_Quote</v>
      </c>
      <c r="N81" s="174">
        <f>IFERROR(_xll.qlQuoteValue(H89),"--")</f>
        <v>1.9687500000000004E-2</v>
      </c>
      <c r="O81" s="174">
        <f>IFERROR(_xll.qlQuoteValue(I89),"--")</f>
        <v>1.65E-3</v>
      </c>
      <c r="P81" s="91" t="b">
        <v>1</v>
      </c>
      <c r="Q81" s="88">
        <v>50</v>
      </c>
      <c r="R81" s="88">
        <v>1</v>
      </c>
      <c r="S81" s="122" t="str">
        <f t="shared" si="30"/>
        <v>obj_0023c#0003</v>
      </c>
      <c r="T81" s="92">
        <f>IFERROR(_xll.qlRateHelperEarliestDate(S81,Trigger),"--")</f>
        <v>42682</v>
      </c>
      <c r="U81" s="92">
        <f>IFERROR(_xll.qlRateHelperPillarDate(S81,Trigger),"--")</f>
        <v>44144</v>
      </c>
      <c r="W81" s="3" t="str">
        <f t="shared" si="28"/>
        <v/>
      </c>
      <c r="X81" s="3" t="e">
        <v>#N/A</v>
      </c>
      <c r="Y81" s="3" t="str">
        <f>IFERROR(_xll.qlRateHelperQuoteName(X81,Trigger),"")</f>
        <v/>
      </c>
      <c r="Z81" s="65" t="str">
        <f>IFERROR(_xll.qlRateHelperRate(X81,Trigger),"")</f>
        <v/>
      </c>
      <c r="AA81" s="9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1" t="e">
        <v>#N/A</v>
      </c>
    </row>
    <row r="82" spans="1:30" ht="22.5" x14ac:dyDescent="0.2">
      <c r="A82" s="61" t="s">
        <v>8</v>
      </c>
      <c r="B82" s="61" t="s">
        <v>28</v>
      </c>
      <c r="C82" s="61" t="s">
        <v>113</v>
      </c>
      <c r="D82" s="61" t="s">
        <v>5</v>
      </c>
      <c r="E82" s="61" t="s">
        <v>33</v>
      </c>
      <c r="F82" s="61" t="s">
        <v>114</v>
      </c>
      <c r="G82" s="61" t="s">
        <v>4</v>
      </c>
      <c r="H82" s="61" t="s">
        <v>1</v>
      </c>
      <c r="I82" s="61" t="s">
        <v>112</v>
      </c>
      <c r="J82" s="61" t="s">
        <v>24</v>
      </c>
      <c r="L82" s="173" t="str">
        <f t="shared" si="29"/>
        <v>BasSw</v>
      </c>
      <c r="M82" s="182" t="str">
        <f t="shared" si="31"/>
        <v>AUDSM6AB5Y_Quote</v>
      </c>
      <c r="N82" s="174">
        <f>IFERROR(_xll.qlQuoteValue(H90),"--")</f>
        <v>1.9887500000000002E-2</v>
      </c>
      <c r="O82" s="174">
        <f>IFERROR(_xll.qlQuoteValue(I90),"--")</f>
        <v>1.5499999999999999E-3</v>
      </c>
      <c r="P82" s="91" t="b">
        <v>1</v>
      </c>
      <c r="Q82" s="88">
        <v>50</v>
      </c>
      <c r="R82" s="88">
        <v>1</v>
      </c>
      <c r="S82" s="122" t="str">
        <f t="shared" si="30"/>
        <v>obj_0023e#0003</v>
      </c>
      <c r="T82" s="92">
        <f>IFERROR(_xll.qlRateHelperEarliestDate(S82,Trigger),"--")</f>
        <v>42682</v>
      </c>
      <c r="U82" s="92">
        <f>IFERROR(_xll.qlRateHelperPillarDate(S82,Trigger),"--")</f>
        <v>44508</v>
      </c>
      <c r="W82" s="3" t="str">
        <f t="shared" si="28"/>
        <v/>
      </c>
      <c r="X82" s="3" t="e">
        <v>#N/A</v>
      </c>
      <c r="Y82" s="3" t="str">
        <f>IFERROR(_xll.qlRateHelperQuoteName(X82,Trigger),"")</f>
        <v/>
      </c>
      <c r="Z82" s="65" t="str">
        <f>IFERROR(_xll.qlRateHelperRate(X82,Trigger),"")</f>
        <v/>
      </c>
      <c r="AA82" s="9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1" t="e">
        <v>#N/A</v>
      </c>
    </row>
    <row r="83" spans="1:30" x14ac:dyDescent="0.2">
      <c r="A83" s="51" t="s">
        <v>116</v>
      </c>
      <c r="B83" s="102" t="s">
        <v>27</v>
      </c>
      <c r="C83" s="53" t="s">
        <v>6</v>
      </c>
      <c r="D83" s="58" t="s">
        <v>159</v>
      </c>
      <c r="E83" s="58" t="s">
        <v>7</v>
      </c>
      <c r="F83" s="58" t="s">
        <v>154</v>
      </c>
      <c r="G83" s="58" t="str">
        <f t="shared" ref="G83:G119" si="32">PROPER(Currency)&amp;FamilyName&amp;Tenor</f>
        <v>AudBBSW3M</v>
      </c>
      <c r="H83" s="56" t="str">
        <f t="shared" ref="H83:H119" si="33">Currency&amp;$G$81&amp;$H$81&amp;$B83&amp;QuoteSuffix</f>
        <v>AUDSM6AB1Y_Quote</v>
      </c>
      <c r="I83" s="113" t="str">
        <f t="shared" ref="I83:I119" si="34">Currency&amp;"3BR"&amp;"6BR"&amp;B83&amp;QuoteSuffix</f>
        <v>AUD3BR6BR1Y_Quote</v>
      </c>
      <c r="J83" s="165" t="str">
        <f>IF(P75,_xll.qlSwapRateHelper2(,H83,1,B83,Calendar,D83,E83,F83,G83,I83,C83,Discounting,PillarDate,,Permanent,Trigger,ObjectOverwrite),"--")</f>
        <v>--</v>
      </c>
      <c r="L83" s="173" t="str">
        <f t="shared" si="29"/>
        <v>BasSw</v>
      </c>
      <c r="M83" s="182" t="str">
        <f t="shared" si="31"/>
        <v>AUDSM6AB6Y_Quote</v>
      </c>
      <c r="N83" s="174">
        <f>IFERROR(_xll.qlQuoteValue(H91),"--")</f>
        <v>2.0262500000000003E-2</v>
      </c>
      <c r="O83" s="174">
        <f>IFERROR(_xll.qlQuoteValue(I91),"--")</f>
        <v>1.4499999999999999E-3</v>
      </c>
      <c r="P83" s="91" t="b">
        <v>0</v>
      </c>
      <c r="Q83" s="88">
        <v>50</v>
      </c>
      <c r="R83" s="88">
        <v>1</v>
      </c>
      <c r="S83" s="122" t="str">
        <f t="shared" si="30"/>
        <v>--</v>
      </c>
      <c r="T83" s="92" t="str">
        <f>IFERROR(_xll.qlRateHelperEarliestDate(S83,Trigger),"--")</f>
        <v>--</v>
      </c>
      <c r="U83" s="92" t="str">
        <f>IFERROR(_xll.qlRateHelperPillarDate(S83,Trigger),"--")</f>
        <v>--</v>
      </c>
      <c r="W83" s="3" t="str">
        <f t="shared" si="28"/>
        <v/>
      </c>
      <c r="X83" s="3" t="e">
        <v>#N/A</v>
      </c>
      <c r="Y83" s="3" t="str">
        <f>IFERROR(_xll.qlRateHelperQuoteName(X83,Trigger),"")</f>
        <v/>
      </c>
      <c r="Z83" s="65" t="str">
        <f>IFERROR(_xll.qlRateHelperRate(X83,Trigger),"")</f>
        <v/>
      </c>
      <c r="AA83" s="9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1" t="e">
        <v>#N/A</v>
      </c>
    </row>
    <row r="84" spans="1:30" x14ac:dyDescent="0.2">
      <c r="A84" s="56" t="s">
        <v>116</v>
      </c>
      <c r="B84" s="103" t="s">
        <v>49</v>
      </c>
      <c r="C84" s="58" t="s">
        <v>6</v>
      </c>
      <c r="D84" s="58" t="s">
        <v>159</v>
      </c>
      <c r="E84" s="58" t="s">
        <v>7</v>
      </c>
      <c r="F84" s="58" t="s">
        <v>154</v>
      </c>
      <c r="G84" s="58" t="str">
        <f t="shared" si="32"/>
        <v>AudBBSW3M</v>
      </c>
      <c r="H84" s="56" t="str">
        <f t="shared" si="33"/>
        <v>AUDSM6AB15M_Quote</v>
      </c>
      <c r="I84" s="114" t="str">
        <f t="shared" si="34"/>
        <v>AUD3BR6BR15M_Quote</v>
      </c>
      <c r="J84" s="167" t="str">
        <f>IF(P76,_xll.qlSwapRateHelper2(,H84,1,B84,Calendar,D84,E84,F84,G84,I84,C84,Discounting,PillarDate,,Permanent,Trigger,ObjectOverwrite),"--")</f>
        <v>--</v>
      </c>
      <c r="L84" s="173" t="str">
        <f t="shared" si="29"/>
        <v>BasSw</v>
      </c>
      <c r="M84" s="182" t="str">
        <f t="shared" si="31"/>
        <v>AUDSM6AB7Y_Quote</v>
      </c>
      <c r="N84" s="174">
        <f>IFERROR(_xll.qlQuoteValue(H92),"--")</f>
        <v>2.0650000000000005E-2</v>
      </c>
      <c r="O84" s="174">
        <f>IFERROR(_xll.qlQuoteValue(I92),"--")</f>
        <v>1.3749999999999999E-3</v>
      </c>
      <c r="P84" s="91" t="b">
        <v>1</v>
      </c>
      <c r="Q84" s="88">
        <v>50</v>
      </c>
      <c r="R84" s="88">
        <v>1</v>
      </c>
      <c r="S84" s="122" t="str">
        <f t="shared" si="30"/>
        <v>obj_0024c#0003</v>
      </c>
      <c r="T84" s="92">
        <f>IFERROR(_xll.qlRateHelperEarliestDate(S84,Trigger),"--")</f>
        <v>42682</v>
      </c>
      <c r="U84" s="92">
        <f>IFERROR(_xll.qlRateHelperPillarDate(S84,Trigger),"--")</f>
        <v>45238</v>
      </c>
      <c r="W84" s="3" t="str">
        <f t="shared" si="28"/>
        <v/>
      </c>
      <c r="X84" s="3" t="e">
        <v>#N/A</v>
      </c>
      <c r="Y84" s="3" t="str">
        <f>IFERROR(_xll.qlRateHelperQuoteName(X84,Trigger),"")</f>
        <v/>
      </c>
      <c r="Z84" s="65" t="str">
        <f>IFERROR(_xll.qlRateHelperRate(X84,Trigger),"")</f>
        <v/>
      </c>
      <c r="AA84" s="9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71" t="e">
        <v>#N/A</v>
      </c>
    </row>
    <row r="85" spans="1:30" x14ac:dyDescent="0.2">
      <c r="A85" s="56" t="s">
        <v>116</v>
      </c>
      <c r="B85" s="103" t="s">
        <v>50</v>
      </c>
      <c r="C85" s="58" t="s">
        <v>6</v>
      </c>
      <c r="D85" s="58" t="s">
        <v>159</v>
      </c>
      <c r="E85" s="58" t="s">
        <v>7</v>
      </c>
      <c r="F85" s="58" t="s">
        <v>154</v>
      </c>
      <c r="G85" s="58" t="str">
        <f t="shared" si="32"/>
        <v>AudBBSW3M</v>
      </c>
      <c r="H85" s="56" t="str">
        <f t="shared" si="33"/>
        <v>AUDSM6AB18M_Quote</v>
      </c>
      <c r="I85" s="114" t="str">
        <f t="shared" si="34"/>
        <v>AUD3BR6BR18M_Quote</v>
      </c>
      <c r="J85" s="167" t="str">
        <f>IF(P77,_xll.qlSwapRateHelper2(,H85,1,B85,Calendar,D85,E85,F85,G85,I85,C85,Discounting,PillarDate,,Permanent,Trigger,ObjectOverwrite),"--")</f>
        <v>--</v>
      </c>
      <c r="L85" s="173" t="str">
        <f t="shared" si="29"/>
        <v>BasSw</v>
      </c>
      <c r="M85" s="182" t="str">
        <f t="shared" si="31"/>
        <v>AUDSM6AB8Y_Quote</v>
      </c>
      <c r="N85" s="174">
        <f>IFERROR(_xll.qlQuoteValue(H93),"--")</f>
        <v>2.1062500000000001E-2</v>
      </c>
      <c r="O85" s="174">
        <f>IFERROR(_xll.qlQuoteValue(I93),"--")</f>
        <v>1.3374999999999999E-3</v>
      </c>
      <c r="P85" s="91" t="b">
        <v>0</v>
      </c>
      <c r="Q85" s="88">
        <v>50</v>
      </c>
      <c r="R85" s="88">
        <v>1</v>
      </c>
      <c r="S85" s="122" t="str">
        <f t="shared" si="30"/>
        <v>--</v>
      </c>
      <c r="T85" s="92" t="str">
        <f>IFERROR(_xll.qlRateHelperEarliestDate(S85,Trigger),"--")</f>
        <v>--</v>
      </c>
      <c r="U85" s="92" t="str">
        <f>IFERROR(_xll.qlRateHelperPillarDate(S85,Trigger),"--")</f>
        <v>--</v>
      </c>
      <c r="W85" s="3" t="str">
        <f t="shared" si="28"/>
        <v/>
      </c>
      <c r="X85" s="3" t="e">
        <v>#N/A</v>
      </c>
      <c r="Y85" s="3" t="str">
        <f>IFERROR(_xll.qlRateHelperQuoteName(X85,Trigger),"")</f>
        <v/>
      </c>
      <c r="Z85" s="65" t="str">
        <f>IFERROR(_xll.qlRateHelperRate(X85,Trigger),"")</f>
        <v/>
      </c>
      <c r="AA85" s="9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71" t="e">
        <v>#N/A</v>
      </c>
    </row>
    <row r="86" spans="1:30" x14ac:dyDescent="0.2">
      <c r="A86" s="56" t="s">
        <v>116</v>
      </c>
      <c r="B86" s="103" t="s">
        <v>51</v>
      </c>
      <c r="C86" s="58" t="s">
        <v>6</v>
      </c>
      <c r="D86" s="58" t="s">
        <v>159</v>
      </c>
      <c r="E86" s="58" t="s">
        <v>7</v>
      </c>
      <c r="F86" s="58" t="s">
        <v>154</v>
      </c>
      <c r="G86" s="58" t="str">
        <f t="shared" si="32"/>
        <v>AudBBSW3M</v>
      </c>
      <c r="H86" s="56" t="str">
        <f t="shared" si="33"/>
        <v>AUDSM6AB21M_Quote</v>
      </c>
      <c r="I86" s="114" t="str">
        <f t="shared" si="34"/>
        <v>AUD3BR6BR21M_Quote</v>
      </c>
      <c r="J86" s="167" t="str">
        <f>IF(P78,_xll.qlSwapRateHelper2(,H86,1,B86,Calendar,D86,E86,F86,G86,I86,C86,Discounting,PillarDate,,Permanent,Trigger,ObjectOverwrite),"--")</f>
        <v>--</v>
      </c>
      <c r="L86" s="173" t="str">
        <f t="shared" si="29"/>
        <v>BasSw</v>
      </c>
      <c r="M86" s="182" t="str">
        <f t="shared" si="31"/>
        <v>AUDSM6AB9Y_Quote</v>
      </c>
      <c r="N86" s="174">
        <f>IFERROR(_xll.qlQuoteValue(H94),"--")</f>
        <v>2.1462500000000002E-2</v>
      </c>
      <c r="O86" s="174">
        <f>IFERROR(_xll.qlQuoteValue(I94),"--")</f>
        <v>1.2750000000000001E-3</v>
      </c>
      <c r="P86" s="91" t="b">
        <v>0</v>
      </c>
      <c r="Q86" s="88">
        <v>50</v>
      </c>
      <c r="R86" s="88">
        <v>1</v>
      </c>
      <c r="S86" s="122" t="str">
        <f t="shared" si="30"/>
        <v>--</v>
      </c>
      <c r="T86" s="92" t="str">
        <f>IFERROR(_xll.qlRateHelperEarliestDate(S86,Trigger),"--")</f>
        <v>--</v>
      </c>
      <c r="U86" s="92" t="str">
        <f>IFERROR(_xll.qlRateHelperPillarDate(S86,Trigger),"--")</f>
        <v>--</v>
      </c>
      <c r="W86" s="3" t="str">
        <f t="shared" si="28"/>
        <v/>
      </c>
      <c r="X86" s="3" t="e">
        <v>#N/A</v>
      </c>
      <c r="Y86" s="3" t="str">
        <f>IFERROR(_xll.qlRateHelperQuoteName(X86,Trigger),"")</f>
        <v/>
      </c>
      <c r="Z86" s="65" t="str">
        <f>IFERROR(_xll.qlRateHelperRate(X86,Trigger),"")</f>
        <v/>
      </c>
      <c r="AA86" s="9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71" t="e">
        <v>#N/A</v>
      </c>
    </row>
    <row r="87" spans="1:30" x14ac:dyDescent="0.2">
      <c r="A87" s="56" t="s">
        <v>116</v>
      </c>
      <c r="B87" s="103" t="s">
        <v>52</v>
      </c>
      <c r="C87" s="58" t="s">
        <v>6</v>
      </c>
      <c r="D87" s="58" t="s">
        <v>159</v>
      </c>
      <c r="E87" s="58" t="s">
        <v>7</v>
      </c>
      <c r="F87" s="58" t="s">
        <v>154</v>
      </c>
      <c r="G87" s="58" t="str">
        <f t="shared" si="32"/>
        <v>AudBBSW3M</v>
      </c>
      <c r="H87" s="56" t="str">
        <f t="shared" si="33"/>
        <v>AUDSM6AB2Y_Quote</v>
      </c>
      <c r="I87" s="114" t="str">
        <f t="shared" si="34"/>
        <v>AUD3BR6BR2Y_Quote</v>
      </c>
      <c r="J87" s="167" t="str">
        <f>IF(P79,_xll.qlSwapRateHelper2(,H87,1,B87,Calendar,D87,E87,F87,G87,I87,C87,Discounting,PillarDate,,Permanent,Trigger,ObjectOverwrite),"--")</f>
        <v>--</v>
      </c>
      <c r="L87" s="173" t="str">
        <f t="shared" si="29"/>
        <v>BasSw</v>
      </c>
      <c r="M87" s="182" t="str">
        <f t="shared" si="31"/>
        <v>AUDSM6AB10Y_Quote</v>
      </c>
      <c r="N87" s="174">
        <f>IFERROR(_xll.qlQuoteValue(H95),"--")</f>
        <v>2.1825000000000001E-2</v>
      </c>
      <c r="O87" s="174">
        <f>IFERROR(_xll.qlQuoteValue(I95),"--")</f>
        <v>1.1999999999999999E-3</v>
      </c>
      <c r="P87" s="91" t="b">
        <v>1</v>
      </c>
      <c r="Q87" s="88">
        <v>50</v>
      </c>
      <c r="R87" s="88">
        <v>1</v>
      </c>
      <c r="S87" s="122" t="str">
        <f t="shared" si="30"/>
        <v>obj_00251#0003</v>
      </c>
      <c r="T87" s="92">
        <f>IFERROR(_xll.qlRateHelperEarliestDate(S87,Trigger),"--")</f>
        <v>42682</v>
      </c>
      <c r="U87" s="92">
        <f>IFERROR(_xll.qlRateHelperPillarDate(S87,Trigger),"--")</f>
        <v>46335</v>
      </c>
      <c r="W87" s="3" t="str">
        <f t="shared" si="28"/>
        <v/>
      </c>
      <c r="X87" s="3" t="e">
        <v>#N/A</v>
      </c>
      <c r="Y87" s="3" t="str">
        <f>IFERROR(_xll.qlRateHelperQuoteName(X87,Trigger),"")</f>
        <v/>
      </c>
      <c r="Z87" s="65" t="str">
        <f>IFERROR(_xll.qlRateHelperRate(X87,Trigger),"")</f>
        <v/>
      </c>
      <c r="AA87" s="9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71" t="e">
        <v>#N/A</v>
      </c>
    </row>
    <row r="88" spans="1:30" x14ac:dyDescent="0.2">
      <c r="A88" s="56" t="s">
        <v>116</v>
      </c>
      <c r="B88" s="103" t="s">
        <v>53</v>
      </c>
      <c r="C88" s="58" t="s">
        <v>6</v>
      </c>
      <c r="D88" s="58" t="s">
        <v>159</v>
      </c>
      <c r="E88" s="58" t="s">
        <v>7</v>
      </c>
      <c r="F88" s="58" t="s">
        <v>154</v>
      </c>
      <c r="G88" s="58" t="str">
        <f t="shared" si="32"/>
        <v>AudBBSW3M</v>
      </c>
      <c r="H88" s="56" t="str">
        <f t="shared" si="33"/>
        <v>AUDSM6AB3Y_Quote</v>
      </c>
      <c r="I88" s="114" t="str">
        <f t="shared" si="34"/>
        <v>AUD3BR6BR3Y_Quote</v>
      </c>
      <c r="J88" s="167" t="str">
        <f>IF(P80,_xll.qlSwapRateHelper2(,H88,1,B88,Calendar,D88,E88,F88,G88,I88,C88,Discounting,PillarDate,,Permanent,Trigger,ObjectOverwrite),"--")</f>
        <v>--</v>
      </c>
      <c r="L88" s="173" t="str">
        <f t="shared" si="29"/>
        <v>BasSw</v>
      </c>
      <c r="M88" s="182" t="str">
        <f t="shared" si="31"/>
        <v>AUDSM6AB11Y_Quote</v>
      </c>
      <c r="N88" s="174" t="str">
        <f>IFERROR(_xll.qlQuoteValue(H96),"--")</f>
        <v>--</v>
      </c>
      <c r="O88" s="174" t="str">
        <f>IFERROR(_xll.qlQuoteValue(I96),"--")</f>
        <v>--</v>
      </c>
      <c r="P88" s="91" t="b">
        <v>0</v>
      </c>
      <c r="Q88" s="88">
        <v>50</v>
      </c>
      <c r="R88" s="88">
        <v>1</v>
      </c>
      <c r="S88" s="122" t="str">
        <f t="shared" si="30"/>
        <v>--</v>
      </c>
      <c r="T88" s="92" t="str">
        <f>IFERROR(_xll.qlRateHelperEarliestDate(S88,Trigger),"--")</f>
        <v>--</v>
      </c>
      <c r="U88" s="92" t="str">
        <f>IFERROR(_xll.qlRateHelperPillarDate(S88,Trigger),"--")</f>
        <v>--</v>
      </c>
      <c r="W88" s="3" t="str">
        <f t="shared" si="28"/>
        <v/>
      </c>
      <c r="X88" s="3" t="e">
        <v>#N/A</v>
      </c>
      <c r="Y88" s="3" t="str">
        <f>IFERROR(_xll.qlRateHelperQuoteName(X88,Trigger),"")</f>
        <v/>
      </c>
      <c r="Z88" s="65" t="str">
        <f>IFERROR(_xll.qlRateHelperRate(X88,Trigger),"")</f>
        <v/>
      </c>
      <c r="AA88" s="96" t="str">
        <f>IF(ISERROR(_xll.qlSwapRateHelperSpread($X88)),IF(ISERROR(_xll.qlFuturesRateHelperConvexityAdjustment($X88)),"",_xll.qlFuturesRateHelperConvexityAdjustment($X88)),_xll.qlSwapRateHelperSpread($X88))</f>
        <v/>
      </c>
      <c r="AB88" s="4" t="str">
        <f>IFERROR(_xll.qlRateHelperEarliestDate(X88,Trigger),"")</f>
        <v/>
      </c>
      <c r="AC88" s="4" t="str">
        <f>IFERROR(_xll.qlRateHelperPillarDate(X88,Trigger),"")</f>
        <v/>
      </c>
      <c r="AD88" s="71" t="e">
        <v>#N/A</v>
      </c>
    </row>
    <row r="89" spans="1:30" x14ac:dyDescent="0.2">
      <c r="A89" s="56" t="s">
        <v>116</v>
      </c>
      <c r="B89" s="103" t="s">
        <v>54</v>
      </c>
      <c r="C89" s="58" t="s">
        <v>6</v>
      </c>
      <c r="D89" s="58" t="s">
        <v>159</v>
      </c>
      <c r="E89" s="58" t="s">
        <v>7</v>
      </c>
      <c r="F89" s="58" t="s">
        <v>154</v>
      </c>
      <c r="G89" s="58" t="str">
        <f t="shared" si="32"/>
        <v>AudBBSW3M</v>
      </c>
      <c r="H89" s="56" t="str">
        <f t="shared" si="33"/>
        <v>AUDSM6AB4Y_Quote</v>
      </c>
      <c r="I89" s="114" t="str">
        <f t="shared" si="34"/>
        <v>AUD3BR6BR4Y_Quote</v>
      </c>
      <c r="J89" s="167" t="str">
        <f>IF(P81,_xll.qlSwapRateHelper2(,H89,1,B89,Calendar,D89,E89,F89,G89,I89,C89,Discounting,PillarDate,,Permanent,Trigger,ObjectOverwrite),"--")</f>
        <v>obj_0023c#0003</v>
      </c>
      <c r="L89" s="173" t="str">
        <f t="shared" si="29"/>
        <v>BasSw</v>
      </c>
      <c r="M89" s="182" t="str">
        <f t="shared" si="31"/>
        <v>AUDSM6AB12Y_Quote</v>
      </c>
      <c r="N89" s="174">
        <f>IFERROR(_xll.qlQuoteValue(H97),"--")</f>
        <v>2.2550000000000001E-2</v>
      </c>
      <c r="O89" s="174">
        <f>IFERROR(_xll.qlQuoteValue(I97),"--")</f>
        <v>1.0874999999999999E-3</v>
      </c>
      <c r="P89" s="91" t="b">
        <v>1</v>
      </c>
      <c r="Q89" s="88">
        <v>50</v>
      </c>
      <c r="R89" s="88">
        <v>1</v>
      </c>
      <c r="S89" s="122" t="str">
        <f t="shared" si="30"/>
        <v>obj_0023f#0003</v>
      </c>
      <c r="T89" s="92">
        <f>IFERROR(_xll.qlRateHelperEarliestDate(S89,Trigger),"--")</f>
        <v>42682</v>
      </c>
      <c r="U89" s="92">
        <f>IFERROR(_xll.qlRateHelperPillarDate(S89,Trigger),"--")</f>
        <v>47065</v>
      </c>
      <c r="W89" s="3" t="str">
        <f t="shared" si="28"/>
        <v/>
      </c>
      <c r="X89" s="3" t="e">
        <v>#N/A</v>
      </c>
      <c r="Y89" s="3" t="str">
        <f>IFERROR(_xll.qlRateHelperQuoteName(X89,Trigger),"")</f>
        <v/>
      </c>
      <c r="Z89" s="65" t="str">
        <f>IFERROR(_xll.qlRateHelperRate(X89,Trigger),"")</f>
        <v/>
      </c>
      <c r="AA89" s="96" t="str">
        <f>IF(ISERROR(_xll.qlSwapRateHelperSpread($X89)),IF(ISERROR(_xll.qlFuturesRateHelperConvexityAdjustment($X89)),"",_xll.qlFuturesRateHelperConvexityAdjustment($X89)),_xll.qlSwapRateHelperSpread($X89))</f>
        <v/>
      </c>
      <c r="AB89" s="4" t="str">
        <f>IFERROR(_xll.qlRateHelperEarliestDate(X89,Trigger),"")</f>
        <v/>
      </c>
      <c r="AC89" s="4" t="str">
        <f>IFERROR(_xll.qlRateHelperPillarDate(X89,Trigger),"")</f>
        <v/>
      </c>
      <c r="AD89" s="71" t="e">
        <v>#N/A</v>
      </c>
    </row>
    <row r="90" spans="1:30" x14ac:dyDescent="0.2">
      <c r="A90" s="56" t="s">
        <v>116</v>
      </c>
      <c r="B90" s="103" t="s">
        <v>55</v>
      </c>
      <c r="C90" s="58" t="s">
        <v>6</v>
      </c>
      <c r="D90" s="58" t="s">
        <v>159</v>
      </c>
      <c r="E90" s="58" t="s">
        <v>7</v>
      </c>
      <c r="F90" s="58" t="s">
        <v>154</v>
      </c>
      <c r="G90" s="58" t="str">
        <f t="shared" si="32"/>
        <v>AudBBSW3M</v>
      </c>
      <c r="H90" s="56" t="str">
        <f t="shared" si="33"/>
        <v>AUDSM6AB5Y_Quote</v>
      </c>
      <c r="I90" s="114" t="str">
        <f t="shared" si="34"/>
        <v>AUD3BR6BR5Y_Quote</v>
      </c>
      <c r="J90" s="167" t="str">
        <f>IF(P82,_xll.qlSwapRateHelper2(,H90,1,B90,Calendar,D90,E90,F90,G90,I90,C90,Discounting,PillarDate,,Permanent,Trigger,ObjectOverwrite),"--")</f>
        <v>obj_0023e#0003</v>
      </c>
      <c r="K90" s="44" t="s">
        <v>35</v>
      </c>
      <c r="L90" s="173" t="str">
        <f t="shared" si="29"/>
        <v>BasSw</v>
      </c>
      <c r="M90" s="182" t="str">
        <f t="shared" si="31"/>
        <v>AUDSM6AB13Y_Quote</v>
      </c>
      <c r="N90" s="174" t="str">
        <f>IFERROR(_xll.qlQuoteValue(H98),"--")</f>
        <v>--</v>
      </c>
      <c r="O90" s="174" t="str">
        <f>IFERROR(_xll.qlQuoteValue(I98),"--")</f>
        <v>--</v>
      </c>
      <c r="P90" s="91" t="b">
        <v>0</v>
      </c>
      <c r="Q90" s="88">
        <v>50</v>
      </c>
      <c r="R90" s="88">
        <v>1</v>
      </c>
      <c r="S90" s="122" t="str">
        <f t="shared" si="30"/>
        <v>--</v>
      </c>
      <c r="T90" s="92" t="str">
        <f>IFERROR(_xll.qlRateHelperEarliestDate(S90,Trigger),"--")</f>
        <v>--</v>
      </c>
      <c r="U90" s="92" t="str">
        <f>IFERROR(_xll.qlRateHelperPillarDate(S90,Trigger),"--")</f>
        <v>--</v>
      </c>
      <c r="W90" s="3" t="str">
        <f t="shared" si="28"/>
        <v/>
      </c>
      <c r="X90" s="3" t="e">
        <v>#N/A</v>
      </c>
      <c r="Y90" s="3" t="str">
        <f>IFERROR(_xll.qlRateHelperQuoteName(X90,Trigger),"")</f>
        <v/>
      </c>
      <c r="Z90" s="65" t="str">
        <f>IFERROR(_xll.qlRateHelperRate(X90,Trigger),"")</f>
        <v/>
      </c>
      <c r="AA90" s="96" t="str">
        <f>IF(ISERROR(_xll.qlSwapRateHelperSpread($X90)),IF(ISERROR(_xll.qlFuturesRateHelperConvexityAdjustment($X90)),"",_xll.qlFuturesRateHelperConvexityAdjustment($X90)),_xll.qlSwapRateHelperSpread($X90))</f>
        <v/>
      </c>
      <c r="AB90" s="4" t="str">
        <f>IFERROR(_xll.qlRateHelperEarliestDate(X90,Trigger),"")</f>
        <v/>
      </c>
      <c r="AC90" s="4" t="str">
        <f>IFERROR(_xll.qlRateHelperPillarDate(X90,Trigger),"")</f>
        <v/>
      </c>
      <c r="AD90" s="71" t="e">
        <v>#N/A</v>
      </c>
    </row>
    <row r="91" spans="1:30" x14ac:dyDescent="0.2">
      <c r="A91" s="56" t="s">
        <v>116</v>
      </c>
      <c r="B91" s="103" t="s">
        <v>56</v>
      </c>
      <c r="C91" s="58" t="s">
        <v>6</v>
      </c>
      <c r="D91" s="58" t="s">
        <v>159</v>
      </c>
      <c r="E91" s="58" t="s">
        <v>7</v>
      </c>
      <c r="F91" s="58" t="s">
        <v>154</v>
      </c>
      <c r="G91" s="58" t="str">
        <f t="shared" si="32"/>
        <v>AudBBSW3M</v>
      </c>
      <c r="H91" s="56" t="str">
        <f t="shared" si="33"/>
        <v>AUDSM6AB6Y_Quote</v>
      </c>
      <c r="I91" s="114" t="str">
        <f t="shared" si="34"/>
        <v>AUD3BR6BR6Y_Quote</v>
      </c>
      <c r="J91" s="167" t="str">
        <f>IF(P83,_xll.qlSwapRateHelper2(,H91,1,B91,Calendar,D91,E91,F91,G91,I91,C91,Discounting,PillarDate,,Permanent,Trigger,ObjectOverwrite),"--")</f>
        <v>--</v>
      </c>
      <c r="L91" s="173" t="str">
        <f t="shared" si="29"/>
        <v>BasSw</v>
      </c>
      <c r="M91" s="182" t="str">
        <f t="shared" si="31"/>
        <v>AUDSM6AB14Y_Quote</v>
      </c>
      <c r="N91" s="174" t="str">
        <f>IFERROR(_xll.qlQuoteValue(H99),"--")</f>
        <v>--</v>
      </c>
      <c r="O91" s="174" t="str">
        <f>IFERROR(_xll.qlQuoteValue(I99),"--")</f>
        <v>--</v>
      </c>
      <c r="P91" s="91" t="b">
        <v>0</v>
      </c>
      <c r="Q91" s="88">
        <v>50</v>
      </c>
      <c r="R91" s="88">
        <v>1</v>
      </c>
      <c r="S91" s="122" t="str">
        <f t="shared" si="30"/>
        <v>--</v>
      </c>
      <c r="T91" s="92" t="str">
        <f>IFERROR(_xll.qlRateHelperEarliestDate(S91,Trigger),"--")</f>
        <v>--</v>
      </c>
      <c r="U91" s="92" t="str">
        <f>IFERROR(_xll.qlRateHelperPillarDate(S91,Trigger),"--")</f>
        <v>--</v>
      </c>
      <c r="W91" s="3" t="str">
        <f t="shared" si="28"/>
        <v/>
      </c>
      <c r="X91" s="3" t="e">
        <v>#N/A</v>
      </c>
      <c r="Y91" s="3" t="str">
        <f>IFERROR(_xll.qlRateHelperQuoteName(X91,Trigger),"")</f>
        <v/>
      </c>
      <c r="Z91" s="65" t="str">
        <f>IFERROR(_xll.qlRateHelperRate(X91,Trigger),"")</f>
        <v/>
      </c>
      <c r="AA91" s="96" t="str">
        <f>IF(ISERROR(_xll.qlSwapRateHelperSpread($X91)),IF(ISERROR(_xll.qlFuturesRateHelperConvexityAdjustment($X91)),"",_xll.qlFuturesRateHelperConvexityAdjustment($X91)),_xll.qlSwapRateHelperSpread($X91))</f>
        <v/>
      </c>
      <c r="AB91" s="4" t="str">
        <f>IFERROR(_xll.qlRateHelperEarliestDate(X91,Trigger),"")</f>
        <v/>
      </c>
      <c r="AC91" s="4" t="str">
        <f>IFERROR(_xll.qlRateHelperPillarDate(X91,Trigger),"")</f>
        <v/>
      </c>
      <c r="AD91" s="71" t="e">
        <v>#N/A</v>
      </c>
    </row>
    <row r="92" spans="1:30" x14ac:dyDescent="0.2">
      <c r="A92" s="56" t="s">
        <v>116</v>
      </c>
      <c r="B92" s="103" t="s">
        <v>57</v>
      </c>
      <c r="C92" s="58" t="s">
        <v>6</v>
      </c>
      <c r="D92" s="58" t="s">
        <v>159</v>
      </c>
      <c r="E92" s="58" t="s">
        <v>7</v>
      </c>
      <c r="F92" s="58" t="s">
        <v>154</v>
      </c>
      <c r="G92" s="58" t="str">
        <f t="shared" si="32"/>
        <v>AudBBSW3M</v>
      </c>
      <c r="H92" s="56" t="str">
        <f t="shared" si="33"/>
        <v>AUDSM6AB7Y_Quote</v>
      </c>
      <c r="I92" s="114" t="str">
        <f t="shared" si="34"/>
        <v>AUD3BR6BR7Y_Quote</v>
      </c>
      <c r="J92" s="167" t="str">
        <f>IF(P84,_xll.qlSwapRateHelper2(,H92,1,B92,Calendar,D92,E92,F92,G92,I92,C92,Discounting,PillarDate,,Permanent,Trigger,ObjectOverwrite),"--")</f>
        <v>obj_0024c#0003</v>
      </c>
      <c r="L92" s="173" t="str">
        <f t="shared" si="29"/>
        <v>BasSw</v>
      </c>
      <c r="M92" s="182" t="str">
        <f t="shared" si="31"/>
        <v>AUDSM6AB15Y_Quote</v>
      </c>
      <c r="N92" s="174">
        <f>IFERROR(_xll.qlQuoteValue(H100),"--")</f>
        <v>2.3475000000000003E-2</v>
      </c>
      <c r="O92" s="174">
        <f>IFERROR(_xll.qlQuoteValue(I100),"--")</f>
        <v>9.875000000000001E-4</v>
      </c>
      <c r="P92" s="91" t="b">
        <v>1</v>
      </c>
      <c r="Q92" s="88">
        <v>50</v>
      </c>
      <c r="R92" s="88">
        <v>1</v>
      </c>
      <c r="S92" s="122" t="str">
        <f t="shared" si="30"/>
        <v>obj_00246#0003</v>
      </c>
      <c r="T92" s="92">
        <f>IFERROR(_xll.qlRateHelperEarliestDate(S92,Trigger),"--")</f>
        <v>42682</v>
      </c>
      <c r="U92" s="92">
        <f>IFERROR(_xll.qlRateHelperPillarDate(S92,Trigger),"--")</f>
        <v>48162</v>
      </c>
      <c r="W92" s="3" t="str">
        <f t="shared" si="28"/>
        <v/>
      </c>
      <c r="X92" s="3" t="e">
        <v>#N/A</v>
      </c>
      <c r="Y92" s="3" t="str">
        <f>IFERROR(_xll.qlRateHelperQuoteName(X92,Trigger),"")</f>
        <v/>
      </c>
      <c r="Z92" s="65" t="str">
        <f>IFERROR(_xll.qlRateHelperRate(X92,Trigger),"")</f>
        <v/>
      </c>
      <c r="AA92" s="96" t="str">
        <f>IF(ISERROR(_xll.qlSwapRateHelperSpread($X92)),IF(ISERROR(_xll.qlFuturesRateHelperConvexityAdjustment($X92)),"",_xll.qlFuturesRateHelperConvexityAdjustment($X92)),_xll.qlSwapRateHelperSpread($X92))</f>
        <v/>
      </c>
      <c r="AB92" s="4" t="str">
        <f>IFERROR(_xll.qlRateHelperEarliestDate(X92,Trigger),"")</f>
        <v/>
      </c>
      <c r="AC92" s="4" t="str">
        <f>IFERROR(_xll.qlRateHelperPillarDate(X92,Trigger),"")</f>
        <v/>
      </c>
      <c r="AD92" s="71" t="e">
        <v>#N/A</v>
      </c>
    </row>
    <row r="93" spans="1:30" x14ac:dyDescent="0.2">
      <c r="A93" s="56" t="s">
        <v>116</v>
      </c>
      <c r="B93" s="103" t="s">
        <v>58</v>
      </c>
      <c r="C93" s="58" t="s">
        <v>6</v>
      </c>
      <c r="D93" s="58" t="s">
        <v>159</v>
      </c>
      <c r="E93" s="58" t="s">
        <v>7</v>
      </c>
      <c r="F93" s="58" t="s">
        <v>154</v>
      </c>
      <c r="G93" s="58" t="str">
        <f t="shared" si="32"/>
        <v>AudBBSW3M</v>
      </c>
      <c r="H93" s="56" t="str">
        <f t="shared" si="33"/>
        <v>AUDSM6AB8Y_Quote</v>
      </c>
      <c r="I93" s="114" t="str">
        <f t="shared" si="34"/>
        <v>AUD3BR6BR8Y_Quote</v>
      </c>
      <c r="J93" s="167" t="str">
        <f>IF(P85,_xll.qlSwapRateHelper2(,H93,1,B93,Calendar,D93,E93,F93,G93,I93,C93,Discounting,PillarDate,,Permanent,Trigger,ObjectOverwrite),"--")</f>
        <v>--</v>
      </c>
      <c r="L93" s="173" t="str">
        <f t="shared" si="29"/>
        <v>BasSw</v>
      </c>
      <c r="M93" s="182" t="str">
        <f t="shared" si="31"/>
        <v>AUDSM6AB16Y_Quote</v>
      </c>
      <c r="N93" s="174" t="str">
        <f>IFERROR(_xll.qlQuoteValue(H101),"--")</f>
        <v>--</v>
      </c>
      <c r="O93" s="174" t="str">
        <f>IFERROR(_xll.qlQuoteValue(I101),"--")</f>
        <v>--</v>
      </c>
      <c r="P93" s="91" t="b">
        <v>0</v>
      </c>
      <c r="Q93" s="88">
        <v>50</v>
      </c>
      <c r="R93" s="88">
        <v>1</v>
      </c>
      <c r="S93" s="122" t="str">
        <f t="shared" si="30"/>
        <v>--</v>
      </c>
      <c r="T93" s="92" t="str">
        <f>IFERROR(_xll.qlRateHelperEarliestDate(S93,Trigger),"--")</f>
        <v>--</v>
      </c>
      <c r="U93" s="92" t="str">
        <f>IFERROR(_xll.qlRateHelperPillarDate(S93,Trigger),"--")</f>
        <v>--</v>
      </c>
      <c r="W93" s="3" t="str">
        <f t="shared" si="28"/>
        <v/>
      </c>
      <c r="X93" s="3" t="e">
        <v>#N/A</v>
      </c>
      <c r="Y93" s="3" t="str">
        <f>IFERROR(_xll.qlRateHelperQuoteName(X93,Trigger),"")</f>
        <v/>
      </c>
      <c r="Z93" s="65" t="str">
        <f>IFERROR(_xll.qlRateHelperRate(X93,Trigger),"")</f>
        <v/>
      </c>
      <c r="AA93" s="96" t="str">
        <f>IF(ISERROR(_xll.qlSwapRateHelperSpread($X93)),IF(ISERROR(_xll.qlFuturesRateHelperConvexityAdjustment($X93)),"",_xll.qlFuturesRateHelperConvexityAdjustment($X93)),_xll.qlSwapRateHelperSpread($X93))</f>
        <v/>
      </c>
      <c r="AB93" s="4" t="str">
        <f>IFERROR(_xll.qlRateHelperEarliestDate(X93,Trigger),"")</f>
        <v/>
      </c>
      <c r="AC93" s="4" t="str">
        <f>IFERROR(_xll.qlRateHelperPillarDate(X93,Trigger),"")</f>
        <v/>
      </c>
      <c r="AD93" s="71" t="e">
        <v>#N/A</v>
      </c>
    </row>
    <row r="94" spans="1:30" x14ac:dyDescent="0.2">
      <c r="A94" s="56" t="s">
        <v>116</v>
      </c>
      <c r="B94" s="103" t="s">
        <v>59</v>
      </c>
      <c r="C94" s="58" t="s">
        <v>6</v>
      </c>
      <c r="D94" s="58" t="s">
        <v>159</v>
      </c>
      <c r="E94" s="58" t="s">
        <v>7</v>
      </c>
      <c r="F94" s="58" t="s">
        <v>154</v>
      </c>
      <c r="G94" s="58" t="str">
        <f t="shared" si="32"/>
        <v>AudBBSW3M</v>
      </c>
      <c r="H94" s="56" t="str">
        <f t="shared" si="33"/>
        <v>AUDSM6AB9Y_Quote</v>
      </c>
      <c r="I94" s="114" t="str">
        <f t="shared" si="34"/>
        <v>AUD3BR6BR9Y_Quote</v>
      </c>
      <c r="J94" s="167" t="str">
        <f>IF(P86,_xll.qlSwapRateHelper2(,H94,1,B94,Calendar,D94,E94,F94,G94,I94,C94,Discounting,PillarDate,,Permanent,Trigger,ObjectOverwrite),"--")</f>
        <v>--</v>
      </c>
      <c r="L94" s="173" t="str">
        <f t="shared" si="29"/>
        <v>BasSw</v>
      </c>
      <c r="M94" s="182" t="str">
        <f t="shared" si="31"/>
        <v>AUDSM6AB17Y_Quote</v>
      </c>
      <c r="N94" s="174" t="str">
        <f>IFERROR(_xll.qlQuoteValue(H102),"--")</f>
        <v>--</v>
      </c>
      <c r="O94" s="174" t="str">
        <f>IFERROR(_xll.qlQuoteValue(I102),"--")</f>
        <v>--</v>
      </c>
      <c r="P94" s="91" t="b">
        <v>0</v>
      </c>
      <c r="Q94" s="88">
        <v>50</v>
      </c>
      <c r="R94" s="88">
        <v>1</v>
      </c>
      <c r="S94" s="122" t="str">
        <f t="shared" si="30"/>
        <v>--</v>
      </c>
      <c r="T94" s="92" t="str">
        <f>IFERROR(_xll.qlRateHelperEarliestDate(S94,Trigger),"--")</f>
        <v>--</v>
      </c>
      <c r="U94" s="92" t="str">
        <f>IFERROR(_xll.qlRateHelperPillarDate(S94,Trigger),"--")</f>
        <v>--</v>
      </c>
      <c r="W94" s="3" t="str">
        <f t="shared" si="28"/>
        <v/>
      </c>
      <c r="X94" s="3" t="e">
        <v>#N/A</v>
      </c>
      <c r="Y94" s="3" t="str">
        <f>IFERROR(_xll.qlRateHelperQuoteName(X94,Trigger),"")</f>
        <v/>
      </c>
      <c r="Z94" s="65" t="str">
        <f>IFERROR(_xll.qlRateHelperRate(X94,Trigger),"")</f>
        <v/>
      </c>
      <c r="AA94" s="96" t="str">
        <f>IF(ISERROR(_xll.qlSwapRateHelperSpread($X94)),IF(ISERROR(_xll.qlFuturesRateHelperConvexityAdjustment($X94)),"",_xll.qlFuturesRateHelperConvexityAdjustment($X94)),_xll.qlSwapRateHelperSpread($X94))</f>
        <v/>
      </c>
      <c r="AB94" s="4" t="str">
        <f>IFERROR(_xll.qlRateHelperEarliestDate(X94,Trigger),"")</f>
        <v/>
      </c>
      <c r="AC94" s="4" t="str">
        <f>IFERROR(_xll.qlRateHelperPillarDate(X94,Trigger),"")</f>
        <v/>
      </c>
      <c r="AD94" s="71" t="e">
        <v>#N/A</v>
      </c>
    </row>
    <row r="95" spans="1:30" x14ac:dyDescent="0.2">
      <c r="A95" s="56" t="s">
        <v>116</v>
      </c>
      <c r="B95" s="103" t="s">
        <v>60</v>
      </c>
      <c r="C95" s="58" t="s">
        <v>6</v>
      </c>
      <c r="D95" s="58" t="s">
        <v>159</v>
      </c>
      <c r="E95" s="58" t="s">
        <v>7</v>
      </c>
      <c r="F95" s="58" t="s">
        <v>154</v>
      </c>
      <c r="G95" s="58" t="str">
        <f t="shared" si="32"/>
        <v>AudBBSW3M</v>
      </c>
      <c r="H95" s="56" t="str">
        <f t="shared" si="33"/>
        <v>AUDSM6AB10Y_Quote</v>
      </c>
      <c r="I95" s="114" t="str">
        <f t="shared" si="34"/>
        <v>AUD3BR6BR10Y_Quote</v>
      </c>
      <c r="J95" s="167" t="str">
        <f>IF(P87,_xll.qlSwapRateHelper2(,H95,1,B95,Calendar,D95,E95,F95,G95,I95,C95,Discounting,PillarDate,,Permanent,Trigger,ObjectOverwrite),"--")</f>
        <v>obj_00251#0003</v>
      </c>
      <c r="L95" s="173" t="str">
        <f t="shared" si="29"/>
        <v>BasSw</v>
      </c>
      <c r="M95" s="182" t="str">
        <f t="shared" si="31"/>
        <v>AUDSM6AB18Y_Quote</v>
      </c>
      <c r="N95" s="174" t="str">
        <f>IFERROR(_xll.qlQuoteValue(H103),"--")</f>
        <v>--</v>
      </c>
      <c r="O95" s="174" t="str">
        <f>IFERROR(_xll.qlQuoteValue(I103),"--")</f>
        <v>--</v>
      </c>
      <c r="P95" s="91" t="b">
        <v>0</v>
      </c>
      <c r="Q95" s="88">
        <v>50</v>
      </c>
      <c r="R95" s="88">
        <v>1</v>
      </c>
      <c r="S95" s="122" t="str">
        <f t="shared" si="30"/>
        <v>--</v>
      </c>
      <c r="T95" s="92" t="str">
        <f>IFERROR(_xll.qlRateHelperEarliestDate(S95,Trigger),"--")</f>
        <v>--</v>
      </c>
      <c r="U95" s="92" t="str">
        <f>IFERROR(_xll.qlRateHelperPillarDate(S95,Trigger),"--")</f>
        <v>--</v>
      </c>
      <c r="W95" s="3" t="str">
        <f t="shared" si="28"/>
        <v/>
      </c>
      <c r="X95" s="3" t="e">
        <v>#N/A</v>
      </c>
      <c r="Y95" s="3" t="str">
        <f>IFERROR(_xll.qlRateHelperQuoteName(X95,Trigger),"")</f>
        <v/>
      </c>
      <c r="Z95" s="65" t="str">
        <f>IFERROR(_xll.qlRateHelperRate(X95,Trigger),"")</f>
        <v/>
      </c>
      <c r="AA95" s="96" t="str">
        <f>IF(ISERROR(_xll.qlSwapRateHelperSpread($X95)),IF(ISERROR(_xll.qlFuturesRateHelperConvexityAdjustment($X95)),"",_xll.qlFuturesRateHelperConvexityAdjustment($X95)),_xll.qlSwapRateHelperSpread($X95))</f>
        <v/>
      </c>
      <c r="AB95" s="4" t="str">
        <f>IFERROR(_xll.qlRateHelperEarliestDate(X95,Trigger),"")</f>
        <v/>
      </c>
      <c r="AC95" s="4" t="str">
        <f>IFERROR(_xll.qlRateHelperPillarDate(X95,Trigger),"")</f>
        <v/>
      </c>
      <c r="AD95" s="71" t="e">
        <v>#N/A</v>
      </c>
    </row>
    <row r="96" spans="1:30" x14ac:dyDescent="0.2">
      <c r="A96" s="56" t="s">
        <v>116</v>
      </c>
      <c r="B96" s="103" t="s">
        <v>97</v>
      </c>
      <c r="C96" s="58" t="s">
        <v>6</v>
      </c>
      <c r="D96" s="58" t="s">
        <v>159</v>
      </c>
      <c r="E96" s="58" t="s">
        <v>7</v>
      </c>
      <c r="F96" s="58" t="s">
        <v>154</v>
      </c>
      <c r="G96" s="58" t="str">
        <f t="shared" si="32"/>
        <v>AudBBSW3M</v>
      </c>
      <c r="H96" s="56" t="str">
        <f t="shared" si="33"/>
        <v>AUDSM6AB11Y_Quote</v>
      </c>
      <c r="I96" s="114" t="str">
        <f t="shared" si="34"/>
        <v>AUD3BR6BR11Y_Quote</v>
      </c>
      <c r="J96" s="167" t="str">
        <f>IF(P88,_xll.qlSwapRateHelper2(,H96,1,B96,Calendar,D96,E96,F96,G96,I96,C96,Discounting,PillarDate,,Permanent,Trigger,ObjectOverwrite),"--")</f>
        <v>--</v>
      </c>
      <c r="L96" s="173" t="str">
        <f t="shared" si="29"/>
        <v>BasSw</v>
      </c>
      <c r="M96" s="182" t="str">
        <f t="shared" si="31"/>
        <v>AUDSM6AB19Y_Quote</v>
      </c>
      <c r="N96" s="174" t="str">
        <f>IFERROR(_xll.qlQuoteValue(H104),"--")</f>
        <v>--</v>
      </c>
      <c r="O96" s="174" t="str">
        <f>IFERROR(_xll.qlQuoteValue(I104),"--")</f>
        <v>--</v>
      </c>
      <c r="P96" s="91" t="b">
        <v>0</v>
      </c>
      <c r="Q96" s="88">
        <v>50</v>
      </c>
      <c r="R96" s="88">
        <v>1</v>
      </c>
      <c r="S96" s="122" t="str">
        <f t="shared" si="30"/>
        <v>--</v>
      </c>
      <c r="T96" s="92" t="str">
        <f>IFERROR(_xll.qlRateHelperEarliestDate(S96,Trigger),"--")</f>
        <v>--</v>
      </c>
      <c r="U96" s="92" t="str">
        <f>IFERROR(_xll.qlRateHelperPillarDate(S96,Trigger),"--")</f>
        <v>--</v>
      </c>
      <c r="W96" s="3" t="str">
        <f t="shared" si="28"/>
        <v/>
      </c>
      <c r="X96" s="3" t="e">
        <v>#N/A</v>
      </c>
      <c r="Y96" s="3" t="str">
        <f>IFERROR(_xll.qlRateHelperQuoteName(X96,Trigger),"")</f>
        <v/>
      </c>
      <c r="Z96" s="65" t="str">
        <f>IFERROR(_xll.qlRateHelperRate(X96,Trigger),"")</f>
        <v/>
      </c>
      <c r="AA96" s="96" t="str">
        <f>IF(ISERROR(_xll.qlSwapRateHelperSpread($X96)),IF(ISERROR(_xll.qlFuturesRateHelperConvexityAdjustment($X96)),"",_xll.qlFuturesRateHelperConvexityAdjustment($X96)),_xll.qlSwapRateHelperSpread($X96))</f>
        <v/>
      </c>
      <c r="AB96" s="4" t="str">
        <f>IFERROR(_xll.qlRateHelperEarliestDate(X96,Trigger),"")</f>
        <v/>
      </c>
      <c r="AC96" s="4" t="str">
        <f>IFERROR(_xll.qlRateHelperPillarDate(X96,Trigger),"")</f>
        <v/>
      </c>
      <c r="AD96" s="71" t="e">
        <v>#N/A</v>
      </c>
    </row>
    <row r="97" spans="1:30" x14ac:dyDescent="0.2">
      <c r="A97" s="56" t="s">
        <v>116</v>
      </c>
      <c r="B97" s="103" t="s">
        <v>61</v>
      </c>
      <c r="C97" s="58" t="s">
        <v>6</v>
      </c>
      <c r="D97" s="58" t="s">
        <v>159</v>
      </c>
      <c r="E97" s="58" t="s">
        <v>7</v>
      </c>
      <c r="F97" s="58" t="s">
        <v>154</v>
      </c>
      <c r="G97" s="58" t="str">
        <f t="shared" si="32"/>
        <v>AudBBSW3M</v>
      </c>
      <c r="H97" s="56" t="str">
        <f t="shared" si="33"/>
        <v>AUDSM6AB12Y_Quote</v>
      </c>
      <c r="I97" s="114" t="str">
        <f t="shared" si="34"/>
        <v>AUD3BR6BR12Y_Quote</v>
      </c>
      <c r="J97" s="167" t="str">
        <f>IF(P89,_xll.qlSwapRateHelper2(,H97,1,B97,Calendar,D97,E97,F97,G97,I97,C97,Discounting,PillarDate,,Permanent,Trigger,ObjectOverwrite),"--")</f>
        <v>obj_0023f#0003</v>
      </c>
      <c r="L97" s="173" t="str">
        <f t="shared" si="29"/>
        <v>BasSw</v>
      </c>
      <c r="M97" s="182" t="str">
        <f t="shared" si="31"/>
        <v>AUDSM6AB20Y_Quote</v>
      </c>
      <c r="N97" s="174">
        <f>IFERROR(_xll.qlQuoteValue(H105),"--")</f>
        <v>2.4387500000000003E-2</v>
      </c>
      <c r="O97" s="174">
        <f>IFERROR(_xll.qlQuoteValue(I105),"--")</f>
        <v>8.8750000000000005E-4</v>
      </c>
      <c r="P97" s="91" t="b">
        <v>1</v>
      </c>
      <c r="Q97" s="88">
        <v>50</v>
      </c>
      <c r="R97" s="88">
        <v>1</v>
      </c>
      <c r="S97" s="122" t="str">
        <f t="shared" si="30"/>
        <v>obj_00244#0003</v>
      </c>
      <c r="T97" s="92">
        <f>IFERROR(_xll.qlRateHelperEarliestDate(S97,Trigger),"--")</f>
        <v>42682</v>
      </c>
      <c r="U97" s="92">
        <f>IFERROR(_xll.qlRateHelperPillarDate(S97,Trigger),"--")</f>
        <v>49989</v>
      </c>
      <c r="W97" s="3" t="str">
        <f t="shared" si="28"/>
        <v/>
      </c>
      <c r="X97" s="3" t="e">
        <v>#N/A</v>
      </c>
      <c r="Y97" s="3" t="str">
        <f>IFERROR(_xll.qlRateHelperQuoteName(X97,Trigger),"")</f>
        <v/>
      </c>
      <c r="Z97" s="65" t="str">
        <f>IFERROR(_xll.qlRateHelperRate(X97,Trigger),"")</f>
        <v/>
      </c>
      <c r="AA97" s="96" t="str">
        <f>IF(ISERROR(_xll.qlSwapRateHelperSpread($X97)),IF(ISERROR(_xll.qlFuturesRateHelperConvexityAdjustment($X97)),"",_xll.qlFuturesRateHelperConvexityAdjustment($X97)),_xll.qlSwapRateHelperSpread($X97))</f>
        <v/>
      </c>
      <c r="AB97" s="4" t="str">
        <f>IFERROR(_xll.qlRateHelperEarliestDate(X97,Trigger),"")</f>
        <v/>
      </c>
      <c r="AC97" s="4" t="str">
        <f>IFERROR(_xll.qlRateHelperPillarDate(X97,Trigger),"")</f>
        <v/>
      </c>
      <c r="AD97" s="71" t="e">
        <v>#N/A</v>
      </c>
    </row>
    <row r="98" spans="1:30" x14ac:dyDescent="0.2">
      <c r="A98" s="56" t="s">
        <v>116</v>
      </c>
      <c r="B98" s="103" t="s">
        <v>98</v>
      </c>
      <c r="C98" s="58" t="s">
        <v>6</v>
      </c>
      <c r="D98" s="58" t="s">
        <v>159</v>
      </c>
      <c r="E98" s="58" t="s">
        <v>7</v>
      </c>
      <c r="F98" s="58" t="s">
        <v>154</v>
      </c>
      <c r="G98" s="58" t="str">
        <f t="shared" si="32"/>
        <v>AudBBSW3M</v>
      </c>
      <c r="H98" s="56" t="str">
        <f t="shared" si="33"/>
        <v>AUDSM6AB13Y_Quote</v>
      </c>
      <c r="I98" s="114" t="str">
        <f t="shared" si="34"/>
        <v>AUD3BR6BR13Y_Quote</v>
      </c>
      <c r="J98" s="167" t="str">
        <f>IF(P90,_xll.qlSwapRateHelper2(,H98,1,B98,Calendar,D98,E98,F98,G98,I98,C98,Discounting,PillarDate,,Permanent,Trigger,ObjectOverwrite),"--")</f>
        <v>--</v>
      </c>
      <c r="L98" s="173" t="str">
        <f t="shared" si="29"/>
        <v>BasSw</v>
      </c>
      <c r="M98" s="182" t="str">
        <f t="shared" si="31"/>
        <v>AUDSM6AB21Y_Quote</v>
      </c>
      <c r="N98" s="174" t="str">
        <f>IFERROR(_xll.qlQuoteValue(H106),"--")</f>
        <v>--</v>
      </c>
      <c r="O98" s="174" t="str">
        <f>IFERROR(_xll.qlQuoteValue(I106),"--")</f>
        <v>--</v>
      </c>
      <c r="P98" s="91" t="b">
        <v>0</v>
      </c>
      <c r="Q98" s="88">
        <v>50</v>
      </c>
      <c r="R98" s="88">
        <v>1</v>
      </c>
      <c r="S98" s="122" t="str">
        <f t="shared" si="30"/>
        <v>--</v>
      </c>
      <c r="T98" s="92" t="str">
        <f>IFERROR(_xll.qlRateHelperEarliestDate(S98,Trigger),"--")</f>
        <v>--</v>
      </c>
      <c r="U98" s="92" t="str">
        <f>IFERROR(_xll.qlRateHelperPillarDate(S98,Trigger),"--")</f>
        <v>--</v>
      </c>
      <c r="W98" s="3" t="str">
        <f t="shared" si="28"/>
        <v/>
      </c>
      <c r="X98" s="3" t="e">
        <v>#N/A</v>
      </c>
      <c r="Y98" s="3" t="str">
        <f>IFERROR(_xll.qlRateHelperQuoteName(X98,Trigger),"")</f>
        <v/>
      </c>
      <c r="Z98" s="65" t="str">
        <f>IFERROR(_xll.qlRateHelperRate(X98,Trigger),"")</f>
        <v/>
      </c>
      <c r="AA98" s="96" t="str">
        <f>IF(ISERROR(_xll.qlSwapRateHelperSpread($X98)),IF(ISERROR(_xll.qlFuturesRateHelperConvexityAdjustment($X98)),"",_xll.qlFuturesRateHelperConvexityAdjustment($X98)),_xll.qlSwapRateHelperSpread($X98))</f>
        <v/>
      </c>
      <c r="AB98" s="4" t="str">
        <f>IFERROR(_xll.qlRateHelperEarliestDate(X98,Trigger),"")</f>
        <v/>
      </c>
      <c r="AC98" s="4" t="str">
        <f>IFERROR(_xll.qlRateHelperPillarDate(X98,Trigger),"")</f>
        <v/>
      </c>
      <c r="AD98" s="71" t="e">
        <v>#N/A</v>
      </c>
    </row>
    <row r="99" spans="1:30" x14ac:dyDescent="0.2">
      <c r="A99" s="56" t="s">
        <v>116</v>
      </c>
      <c r="B99" s="103" t="s">
        <v>99</v>
      </c>
      <c r="C99" s="58" t="s">
        <v>6</v>
      </c>
      <c r="D99" s="58" t="s">
        <v>159</v>
      </c>
      <c r="E99" s="58" t="s">
        <v>7</v>
      </c>
      <c r="F99" s="58" t="s">
        <v>154</v>
      </c>
      <c r="G99" s="58" t="str">
        <f t="shared" si="32"/>
        <v>AudBBSW3M</v>
      </c>
      <c r="H99" s="56" t="str">
        <f t="shared" si="33"/>
        <v>AUDSM6AB14Y_Quote</v>
      </c>
      <c r="I99" s="114" t="str">
        <f t="shared" si="34"/>
        <v>AUD3BR6BR14Y_Quote</v>
      </c>
      <c r="J99" s="167" t="str">
        <f>IF(P91,_xll.qlSwapRateHelper2(,H99,1,B99,Calendar,D99,E99,F99,G99,I99,C99,Discounting,PillarDate,,Permanent,Trigger,ObjectOverwrite),"--")</f>
        <v>--</v>
      </c>
      <c r="L99" s="173" t="str">
        <f t="shared" si="29"/>
        <v>BasSw</v>
      </c>
      <c r="M99" s="182" t="str">
        <f t="shared" si="31"/>
        <v>AUDSM6AB22Y_Quote</v>
      </c>
      <c r="N99" s="174" t="str">
        <f>IFERROR(_xll.qlQuoteValue(H107),"--")</f>
        <v>--</v>
      </c>
      <c r="O99" s="174" t="str">
        <f>IFERROR(_xll.qlQuoteValue(I107),"--")</f>
        <v>--</v>
      </c>
      <c r="P99" s="91" t="b">
        <v>0</v>
      </c>
      <c r="Q99" s="88">
        <v>50</v>
      </c>
      <c r="R99" s="88">
        <v>1</v>
      </c>
      <c r="S99" s="122" t="str">
        <f t="shared" si="30"/>
        <v>--</v>
      </c>
      <c r="T99" s="92" t="str">
        <f>IFERROR(_xll.qlRateHelperEarliestDate(S99,Trigger),"--")</f>
        <v>--</v>
      </c>
      <c r="U99" s="92" t="str">
        <f>IFERROR(_xll.qlRateHelperPillarDate(S99,Trigger),"--")</f>
        <v>--</v>
      </c>
      <c r="W99" s="3" t="str">
        <f t="shared" ref="W99:W111" si="35">IFERROR(INDEX($L$3:$L$111,MATCH(Y99,$M$3:$M$111,0),1),"")</f>
        <v/>
      </c>
      <c r="X99" s="3" t="e">
        <v>#N/A</v>
      </c>
      <c r="Y99" s="3" t="str">
        <f>IFERROR(_xll.qlRateHelperQuoteName(X99,Trigger),"")</f>
        <v/>
      </c>
      <c r="Z99" s="65" t="str">
        <f>IFERROR(_xll.qlRateHelperRate(X99,Trigger),"")</f>
        <v/>
      </c>
      <c r="AA99" s="96" t="str">
        <f>IF(ISERROR(_xll.qlSwapRateHelperSpread($X99)),IF(ISERROR(_xll.qlFuturesRateHelperConvexityAdjustment($X99)),"",_xll.qlFuturesRateHelperConvexityAdjustment($X99)),_xll.qlSwapRateHelperSpread($X99))</f>
        <v/>
      </c>
      <c r="AB99" s="4" t="str">
        <f>IFERROR(_xll.qlRateHelperEarliestDate(X99,Trigger),"")</f>
        <v/>
      </c>
      <c r="AC99" s="4" t="str">
        <f>IFERROR(_xll.qlRateHelperPillarDate(X99,Trigger),"")</f>
        <v/>
      </c>
      <c r="AD99" s="71" t="e">
        <v>#N/A</v>
      </c>
    </row>
    <row r="100" spans="1:30" x14ac:dyDescent="0.2">
      <c r="A100" s="56" t="s">
        <v>116</v>
      </c>
      <c r="B100" s="103" t="s">
        <v>62</v>
      </c>
      <c r="C100" s="58" t="s">
        <v>6</v>
      </c>
      <c r="D100" s="58" t="s">
        <v>159</v>
      </c>
      <c r="E100" s="58" t="s">
        <v>7</v>
      </c>
      <c r="F100" s="58" t="s">
        <v>154</v>
      </c>
      <c r="G100" s="58" t="str">
        <f t="shared" si="32"/>
        <v>AudBBSW3M</v>
      </c>
      <c r="H100" s="56" t="str">
        <f t="shared" si="33"/>
        <v>AUDSM6AB15Y_Quote</v>
      </c>
      <c r="I100" s="114" t="str">
        <f t="shared" si="34"/>
        <v>AUD3BR6BR15Y_Quote</v>
      </c>
      <c r="J100" s="167" t="str">
        <f>IF(P92,_xll.qlSwapRateHelper2(,H100,1,B100,Calendar,D100,E100,F100,G100,I100,C100,Discounting,PillarDate,,Permanent,Trigger,ObjectOverwrite),"--")</f>
        <v>obj_00246#0003</v>
      </c>
      <c r="L100" s="173" t="str">
        <f t="shared" si="29"/>
        <v>BasSw</v>
      </c>
      <c r="M100" s="182" t="str">
        <f t="shared" si="31"/>
        <v>AUDSM6AB23Y_Quote</v>
      </c>
      <c r="N100" s="174" t="str">
        <f>IFERROR(_xll.qlQuoteValue(H108),"--")</f>
        <v>--</v>
      </c>
      <c r="O100" s="174" t="str">
        <f>IFERROR(_xll.qlQuoteValue(I108),"--")</f>
        <v>--</v>
      </c>
      <c r="P100" s="91" t="b">
        <v>0</v>
      </c>
      <c r="Q100" s="88">
        <v>50</v>
      </c>
      <c r="R100" s="88">
        <v>1</v>
      </c>
      <c r="S100" s="122" t="str">
        <f t="shared" si="30"/>
        <v>--</v>
      </c>
      <c r="T100" s="92" t="str">
        <f>IFERROR(_xll.qlRateHelperEarliestDate(S100,Trigger),"--")</f>
        <v>--</v>
      </c>
      <c r="U100" s="92" t="str">
        <f>IFERROR(_xll.qlRateHelperPillarDate(S100,Trigger),"--")</f>
        <v>--</v>
      </c>
      <c r="W100" s="3" t="str">
        <f t="shared" si="35"/>
        <v/>
      </c>
      <c r="X100" s="3" t="e">
        <v>#N/A</v>
      </c>
      <c r="Y100" s="3" t="str">
        <f>IFERROR(_xll.qlRateHelperQuoteName(X100,Trigger),"")</f>
        <v/>
      </c>
      <c r="Z100" s="65" t="str">
        <f>IFERROR(_xll.qlRateHelperRate(X100,Trigger),"")</f>
        <v/>
      </c>
      <c r="AA100" s="96" t="str">
        <f>IF(ISERROR(_xll.qlSwapRateHelperSpread($X100)),IF(ISERROR(_xll.qlFuturesRateHelperConvexityAdjustment($X100)),"",_xll.qlFuturesRateHelperConvexityAdjustment($X100)),_xll.qlSwapRateHelperSpread($X100))</f>
        <v/>
      </c>
      <c r="AB100" s="4" t="str">
        <f>IFERROR(_xll.qlRateHelperEarliestDate(X100,Trigger),"")</f>
        <v/>
      </c>
      <c r="AC100" s="4" t="str">
        <f>IFERROR(_xll.qlRateHelperPillarDate(X100,Trigger),"")</f>
        <v/>
      </c>
      <c r="AD100" s="71" t="e">
        <v>#N/A</v>
      </c>
    </row>
    <row r="101" spans="1:30" x14ac:dyDescent="0.2">
      <c r="A101" s="56" t="s">
        <v>116</v>
      </c>
      <c r="B101" s="103" t="s">
        <v>100</v>
      </c>
      <c r="C101" s="58" t="s">
        <v>6</v>
      </c>
      <c r="D101" s="58" t="s">
        <v>159</v>
      </c>
      <c r="E101" s="58" t="s">
        <v>7</v>
      </c>
      <c r="F101" s="58" t="s">
        <v>154</v>
      </c>
      <c r="G101" s="58" t="str">
        <f t="shared" si="32"/>
        <v>AudBBSW3M</v>
      </c>
      <c r="H101" s="56" t="str">
        <f t="shared" si="33"/>
        <v>AUDSM6AB16Y_Quote</v>
      </c>
      <c r="I101" s="114" t="str">
        <f t="shared" si="34"/>
        <v>AUD3BR6BR16Y_Quote</v>
      </c>
      <c r="J101" s="167" t="str">
        <f>IF(P93,_xll.qlSwapRateHelper2(,H101,1,B101,Calendar,D101,E101,F101,G101,I101,C101,Discounting,PillarDate,,Permanent,Trigger,ObjectOverwrite),"--")</f>
        <v>--</v>
      </c>
      <c r="L101" s="173" t="str">
        <f t="shared" si="29"/>
        <v>BasSw</v>
      </c>
      <c r="M101" s="182" t="str">
        <f t="shared" si="31"/>
        <v>AUDSM6AB24Y_Quote</v>
      </c>
      <c r="N101" s="174" t="str">
        <f>IFERROR(_xll.qlQuoteValue(H109),"--")</f>
        <v>--</v>
      </c>
      <c r="O101" s="174" t="str">
        <f>IFERROR(_xll.qlQuoteValue(I109),"--")</f>
        <v>--</v>
      </c>
      <c r="P101" s="91" t="b">
        <v>0</v>
      </c>
      <c r="Q101" s="88">
        <v>50</v>
      </c>
      <c r="R101" s="88">
        <v>1</v>
      </c>
      <c r="S101" s="122" t="str">
        <f t="shared" si="30"/>
        <v>--</v>
      </c>
      <c r="T101" s="92" t="str">
        <f>IFERROR(_xll.qlRateHelperEarliestDate(S101,Trigger),"--")</f>
        <v>--</v>
      </c>
      <c r="U101" s="92" t="str">
        <f>IFERROR(_xll.qlRateHelperPillarDate(S101,Trigger),"--")</f>
        <v>--</v>
      </c>
      <c r="W101" s="3" t="str">
        <f t="shared" si="35"/>
        <v/>
      </c>
      <c r="X101" s="3" t="e">
        <v>#N/A</v>
      </c>
      <c r="Y101" s="3" t="str">
        <f>IFERROR(_xll.qlRateHelperQuoteName(X101,Trigger),"")</f>
        <v/>
      </c>
      <c r="Z101" s="65" t="str">
        <f>IFERROR(_xll.qlRateHelperRate(X101,Trigger),"")</f>
        <v/>
      </c>
      <c r="AA101" s="96" t="str">
        <f>IF(ISERROR(_xll.qlSwapRateHelperSpread($X101)),IF(ISERROR(_xll.qlFuturesRateHelperConvexityAdjustment($X101)),"",_xll.qlFuturesRateHelperConvexityAdjustment($X101)),_xll.qlSwapRateHelperSpread($X101))</f>
        <v/>
      </c>
      <c r="AB101" s="4" t="str">
        <f>IFERROR(_xll.qlRateHelperEarliestDate(X101,Trigger),"")</f>
        <v/>
      </c>
      <c r="AC101" s="4" t="str">
        <f>IFERROR(_xll.qlRateHelperPillarDate(X101,Trigger),"")</f>
        <v/>
      </c>
      <c r="AD101" s="71" t="e">
        <v>#N/A</v>
      </c>
    </row>
    <row r="102" spans="1:30" x14ac:dyDescent="0.2">
      <c r="A102" s="56" t="s">
        <v>116</v>
      </c>
      <c r="B102" s="103" t="s">
        <v>101</v>
      </c>
      <c r="C102" s="58" t="s">
        <v>6</v>
      </c>
      <c r="D102" s="58" t="s">
        <v>159</v>
      </c>
      <c r="E102" s="58" t="s">
        <v>7</v>
      </c>
      <c r="F102" s="58" t="s">
        <v>154</v>
      </c>
      <c r="G102" s="58" t="str">
        <f t="shared" si="32"/>
        <v>AudBBSW3M</v>
      </c>
      <c r="H102" s="56" t="str">
        <f t="shared" si="33"/>
        <v>AUDSM6AB17Y_Quote</v>
      </c>
      <c r="I102" s="114" t="str">
        <f t="shared" si="34"/>
        <v>AUD3BR6BR17Y_Quote</v>
      </c>
      <c r="J102" s="167" t="str">
        <f>IF(P94,_xll.qlSwapRateHelper2(,H102,1,B102,Calendar,D102,E102,F102,G102,I102,C102,Discounting,PillarDate,,Permanent,Trigger,ObjectOverwrite),"--")</f>
        <v>--</v>
      </c>
      <c r="L102" s="173" t="str">
        <f t="shared" si="29"/>
        <v>BasSw</v>
      </c>
      <c r="M102" s="182" t="str">
        <f t="shared" si="31"/>
        <v>AUDSM6AB25Y_Quote</v>
      </c>
      <c r="N102" s="174">
        <f>IFERROR(_xll.qlQuoteValue(H110),"--")</f>
        <v>2.4900000000000002E-2</v>
      </c>
      <c r="O102" s="174">
        <f>IFERROR(_xll.qlQuoteValue(I110),"--")</f>
        <v>7.8750000000000001E-4</v>
      </c>
      <c r="P102" s="91" t="b">
        <v>1</v>
      </c>
      <c r="Q102" s="88">
        <v>50</v>
      </c>
      <c r="R102" s="88">
        <v>1</v>
      </c>
      <c r="S102" s="122" t="str">
        <f t="shared" si="30"/>
        <v>obj_00239#0003</v>
      </c>
      <c r="T102" s="92">
        <f>IFERROR(_xll.qlRateHelperEarliestDate(S102,Trigger),"--")</f>
        <v>42682</v>
      </c>
      <c r="U102" s="92">
        <f>IFERROR(_xll.qlRateHelperPillarDate(S102,Trigger),"--")</f>
        <v>51813</v>
      </c>
      <c r="W102" s="3" t="str">
        <f t="shared" si="35"/>
        <v/>
      </c>
      <c r="X102" s="3" t="e">
        <v>#N/A</v>
      </c>
      <c r="Y102" s="3" t="str">
        <f>IFERROR(_xll.qlRateHelperQuoteName(X102,Trigger),"")</f>
        <v/>
      </c>
      <c r="Z102" s="65" t="str">
        <f>IFERROR(_xll.qlRateHelperRate(X102,Trigger),"")</f>
        <v/>
      </c>
      <c r="AA102" s="96" t="str">
        <f>IF(ISERROR(_xll.qlSwapRateHelperSpread($X102)),IF(ISERROR(_xll.qlFuturesRateHelperConvexityAdjustment($X102)),"",_xll.qlFuturesRateHelperConvexityAdjustment($X102)),_xll.qlSwapRateHelperSpread($X102))</f>
        <v/>
      </c>
      <c r="AB102" s="4" t="str">
        <f>IFERROR(_xll.qlRateHelperEarliestDate(X102,Trigger),"")</f>
        <v/>
      </c>
      <c r="AC102" s="4" t="str">
        <f>IFERROR(_xll.qlRateHelperPillarDate(X102,Trigger),"")</f>
        <v/>
      </c>
      <c r="AD102" s="71" t="e">
        <v>#N/A</v>
      </c>
    </row>
    <row r="103" spans="1:30" x14ac:dyDescent="0.2">
      <c r="A103" s="56" t="s">
        <v>116</v>
      </c>
      <c r="B103" s="103" t="s">
        <v>102</v>
      </c>
      <c r="C103" s="58" t="s">
        <v>6</v>
      </c>
      <c r="D103" s="58" t="s">
        <v>159</v>
      </c>
      <c r="E103" s="58" t="s">
        <v>7</v>
      </c>
      <c r="F103" s="58" t="s">
        <v>154</v>
      </c>
      <c r="G103" s="58" t="str">
        <f t="shared" si="32"/>
        <v>AudBBSW3M</v>
      </c>
      <c r="H103" s="56" t="str">
        <f t="shared" si="33"/>
        <v>AUDSM6AB18Y_Quote</v>
      </c>
      <c r="I103" s="114" t="str">
        <f t="shared" si="34"/>
        <v>AUD3BR6BR18Y_Quote</v>
      </c>
      <c r="J103" s="167" t="str">
        <f>IF(P95,_xll.qlSwapRateHelper2(,H103,1,B103,Calendar,D103,E103,F103,G103,I103,C103,Discounting,PillarDate,,Permanent,Trigger,ObjectOverwrite),"--")</f>
        <v>--</v>
      </c>
      <c r="L103" s="173" t="str">
        <f t="shared" si="29"/>
        <v>BasSw</v>
      </c>
      <c r="M103" s="182" t="str">
        <f t="shared" si="31"/>
        <v>AUDSM6AB26Y_Quote</v>
      </c>
      <c r="N103" s="174" t="str">
        <f>IFERROR(_xll.qlQuoteValue(H111),"--")</f>
        <v>--</v>
      </c>
      <c r="O103" s="174" t="str">
        <f>IFERROR(_xll.qlQuoteValue(I111),"--")</f>
        <v>--</v>
      </c>
      <c r="P103" s="91" t="b">
        <v>0</v>
      </c>
      <c r="Q103" s="88">
        <v>50</v>
      </c>
      <c r="R103" s="88">
        <v>1</v>
      </c>
      <c r="S103" s="122" t="str">
        <f t="shared" si="30"/>
        <v>--</v>
      </c>
      <c r="T103" s="92" t="str">
        <f>IFERROR(_xll.qlRateHelperEarliestDate(S103,Trigger),"--")</f>
        <v>--</v>
      </c>
      <c r="U103" s="92" t="str">
        <f>IFERROR(_xll.qlRateHelperPillarDate(S103,Trigger),"--")</f>
        <v>--</v>
      </c>
      <c r="W103" s="3" t="str">
        <f t="shared" si="35"/>
        <v/>
      </c>
      <c r="X103" s="3" t="e">
        <v>#N/A</v>
      </c>
      <c r="Y103" s="3" t="str">
        <f>IFERROR(_xll.qlRateHelperQuoteName(X103,Trigger),"")</f>
        <v/>
      </c>
      <c r="Z103" s="65" t="str">
        <f>IFERROR(_xll.qlRateHelperRate(X103,Trigger),"")</f>
        <v/>
      </c>
      <c r="AA103" s="96" t="str">
        <f>IF(ISERROR(_xll.qlSwapRateHelperSpread($X103)),IF(ISERROR(_xll.qlFuturesRateHelperConvexityAdjustment($X103)),"",_xll.qlFuturesRateHelperConvexityAdjustment($X103)),_xll.qlSwapRateHelperSpread($X103))</f>
        <v/>
      </c>
      <c r="AB103" s="4" t="str">
        <f>IFERROR(_xll.qlRateHelperEarliestDate(X103,Trigger),"")</f>
        <v/>
      </c>
      <c r="AC103" s="4" t="str">
        <f>IFERROR(_xll.qlRateHelperPillarDate(X103,Trigger),"")</f>
        <v/>
      </c>
      <c r="AD103" s="71" t="e">
        <v>#N/A</v>
      </c>
    </row>
    <row r="104" spans="1:30" x14ac:dyDescent="0.2">
      <c r="A104" s="56" t="s">
        <v>116</v>
      </c>
      <c r="B104" s="103" t="s">
        <v>103</v>
      </c>
      <c r="C104" s="58" t="s">
        <v>6</v>
      </c>
      <c r="D104" s="58" t="s">
        <v>159</v>
      </c>
      <c r="E104" s="58" t="s">
        <v>7</v>
      </c>
      <c r="F104" s="58" t="s">
        <v>154</v>
      </c>
      <c r="G104" s="58" t="str">
        <f t="shared" si="32"/>
        <v>AudBBSW3M</v>
      </c>
      <c r="H104" s="56" t="str">
        <f t="shared" si="33"/>
        <v>AUDSM6AB19Y_Quote</v>
      </c>
      <c r="I104" s="114" t="str">
        <f t="shared" si="34"/>
        <v>AUD3BR6BR19Y_Quote</v>
      </c>
      <c r="J104" s="167" t="str">
        <f>IF(P96,_xll.qlSwapRateHelper2(,H104,1,B104,Calendar,D104,E104,F104,G104,I104,C104,Discounting,PillarDate,,Permanent,Trigger,ObjectOverwrite),"--")</f>
        <v>--</v>
      </c>
      <c r="L104" s="173" t="str">
        <f t="shared" si="29"/>
        <v>BasSw</v>
      </c>
      <c r="M104" s="182" t="str">
        <f t="shared" si="31"/>
        <v>AUDSM6AB27Y_Quote</v>
      </c>
      <c r="N104" s="174" t="str">
        <f>IFERROR(_xll.qlQuoteValue(H112),"--")</f>
        <v>--</v>
      </c>
      <c r="O104" s="174" t="str">
        <f>IFERROR(_xll.qlQuoteValue(I112),"--")</f>
        <v>--</v>
      </c>
      <c r="P104" s="91" t="b">
        <v>0</v>
      </c>
      <c r="Q104" s="88">
        <v>50</v>
      </c>
      <c r="R104" s="88">
        <v>1</v>
      </c>
      <c r="S104" s="122" t="str">
        <f t="shared" si="30"/>
        <v>--</v>
      </c>
      <c r="T104" s="92" t="str">
        <f>IFERROR(_xll.qlRateHelperEarliestDate(S104,Trigger),"--")</f>
        <v>--</v>
      </c>
      <c r="U104" s="92" t="str">
        <f>IFERROR(_xll.qlRateHelperPillarDate(S104,Trigger),"--")</f>
        <v>--</v>
      </c>
      <c r="W104" s="3" t="str">
        <f t="shared" si="35"/>
        <v/>
      </c>
      <c r="X104" s="3" t="e">
        <v>#N/A</v>
      </c>
      <c r="Y104" s="3" t="str">
        <f>IFERROR(_xll.qlRateHelperQuoteName(X104,Trigger),"")</f>
        <v/>
      </c>
      <c r="Z104" s="65" t="str">
        <f>IFERROR(_xll.qlRateHelperRate(X104,Trigger),"")</f>
        <v/>
      </c>
      <c r="AA104" s="96" t="str">
        <f>IF(ISERROR(_xll.qlSwapRateHelperSpread($X104)),IF(ISERROR(_xll.qlFuturesRateHelperConvexityAdjustment($X104)),"",_xll.qlFuturesRateHelperConvexityAdjustment($X104)),_xll.qlSwapRateHelperSpread($X104))</f>
        <v/>
      </c>
      <c r="AB104" s="4" t="str">
        <f>IFERROR(_xll.qlRateHelperEarliestDate(X104,Trigger),"")</f>
        <v/>
      </c>
      <c r="AC104" s="4" t="str">
        <f>IFERROR(_xll.qlRateHelperPillarDate(X104,Trigger),"")</f>
        <v/>
      </c>
      <c r="AD104" s="71" t="e">
        <v>#N/A</v>
      </c>
    </row>
    <row r="105" spans="1:30" x14ac:dyDescent="0.2">
      <c r="A105" s="56" t="s">
        <v>116</v>
      </c>
      <c r="B105" s="103" t="s">
        <v>63</v>
      </c>
      <c r="C105" s="58" t="s">
        <v>6</v>
      </c>
      <c r="D105" s="58" t="s">
        <v>159</v>
      </c>
      <c r="E105" s="58" t="s">
        <v>7</v>
      </c>
      <c r="F105" s="58" t="s">
        <v>154</v>
      </c>
      <c r="G105" s="58" t="str">
        <f t="shared" si="32"/>
        <v>AudBBSW3M</v>
      </c>
      <c r="H105" s="56" t="str">
        <f t="shared" si="33"/>
        <v>AUDSM6AB20Y_Quote</v>
      </c>
      <c r="I105" s="114" t="str">
        <f t="shared" si="34"/>
        <v>AUD3BR6BR20Y_Quote</v>
      </c>
      <c r="J105" s="167" t="str">
        <f>IF(P97,_xll.qlSwapRateHelper2(,H105,1,B105,Calendar,D105,E105,F105,G105,I105,C105,Discounting,PillarDate,,Permanent,Trigger,ObjectOverwrite),"--")</f>
        <v>obj_00244#0003</v>
      </c>
      <c r="L105" s="173" t="str">
        <f t="shared" si="29"/>
        <v>BasSw</v>
      </c>
      <c r="M105" s="182" t="str">
        <f t="shared" si="31"/>
        <v>AUDSM6AB28Y_Quote</v>
      </c>
      <c r="N105" s="174" t="str">
        <f>IFERROR(_xll.qlQuoteValue(H113),"--")</f>
        <v>--</v>
      </c>
      <c r="O105" s="174" t="str">
        <f>IFERROR(_xll.qlQuoteValue(I113),"--")</f>
        <v>--</v>
      </c>
      <c r="P105" s="91" t="b">
        <v>0</v>
      </c>
      <c r="Q105" s="88">
        <v>50</v>
      </c>
      <c r="R105" s="88">
        <v>1</v>
      </c>
      <c r="S105" s="122" t="str">
        <f t="shared" si="30"/>
        <v>--</v>
      </c>
      <c r="T105" s="92" t="str">
        <f>IFERROR(_xll.qlRateHelperEarliestDate(S105,Trigger),"--")</f>
        <v>--</v>
      </c>
      <c r="U105" s="92" t="str">
        <f>IFERROR(_xll.qlRateHelperPillarDate(S105,Trigger),"--")</f>
        <v>--</v>
      </c>
      <c r="W105" s="3" t="str">
        <f t="shared" si="35"/>
        <v/>
      </c>
      <c r="X105" s="3" t="e">
        <v>#N/A</v>
      </c>
      <c r="Y105" s="3" t="str">
        <f>IFERROR(_xll.qlRateHelperQuoteName(X105,Trigger),"")</f>
        <v/>
      </c>
      <c r="Z105" s="65" t="str">
        <f>IFERROR(_xll.qlRateHelperRate(X105,Trigger),"")</f>
        <v/>
      </c>
      <c r="AA105" s="96" t="str">
        <f>IF(ISERROR(_xll.qlSwapRateHelperSpread($X105)),IF(ISERROR(_xll.qlFuturesRateHelperConvexityAdjustment($X105)),"",_xll.qlFuturesRateHelperConvexityAdjustment($X105)),_xll.qlSwapRateHelperSpread($X105))</f>
        <v/>
      </c>
      <c r="AB105" s="4" t="str">
        <f>IFERROR(_xll.qlRateHelperEarliestDate(X105,Trigger),"")</f>
        <v/>
      </c>
      <c r="AC105" s="4" t="str">
        <f>IFERROR(_xll.qlRateHelperPillarDate(X105,Trigger),"")</f>
        <v/>
      </c>
      <c r="AD105" s="71" t="e">
        <v>#N/A</v>
      </c>
    </row>
    <row r="106" spans="1:30" x14ac:dyDescent="0.2">
      <c r="A106" s="56" t="s">
        <v>116</v>
      </c>
      <c r="B106" s="103" t="s">
        <v>104</v>
      </c>
      <c r="C106" s="58" t="s">
        <v>6</v>
      </c>
      <c r="D106" s="58" t="s">
        <v>159</v>
      </c>
      <c r="E106" s="58" t="s">
        <v>7</v>
      </c>
      <c r="F106" s="58" t="s">
        <v>154</v>
      </c>
      <c r="G106" s="58" t="str">
        <f t="shared" si="32"/>
        <v>AudBBSW3M</v>
      </c>
      <c r="H106" s="56" t="str">
        <f t="shared" si="33"/>
        <v>AUDSM6AB21Y_Quote</v>
      </c>
      <c r="I106" s="114" t="str">
        <f t="shared" si="34"/>
        <v>AUD3BR6BR21Y_Quote</v>
      </c>
      <c r="J106" s="167" t="str">
        <f>IF(P98,_xll.qlSwapRateHelper2(,H106,1,B106,Calendar,D106,E106,F106,G106,I106,C106,Discounting,PillarDate,,Permanent,Trigger,ObjectOverwrite),"--")</f>
        <v>--</v>
      </c>
      <c r="L106" s="173" t="str">
        <f t="shared" si="29"/>
        <v>BasSw</v>
      </c>
      <c r="M106" s="182" t="str">
        <f t="shared" si="31"/>
        <v>AUDSM6AB29Y_Quote</v>
      </c>
      <c r="N106" s="174" t="str">
        <f>IFERROR(_xll.qlQuoteValue(H114),"--")</f>
        <v>--</v>
      </c>
      <c r="O106" s="174" t="str">
        <f>IFERROR(_xll.qlQuoteValue(I114),"--")</f>
        <v>--</v>
      </c>
      <c r="P106" s="91" t="b">
        <v>0</v>
      </c>
      <c r="Q106" s="88">
        <v>50</v>
      </c>
      <c r="R106" s="88">
        <v>1</v>
      </c>
      <c r="S106" s="122" t="str">
        <f t="shared" si="30"/>
        <v>--</v>
      </c>
      <c r="T106" s="92" t="str">
        <f>IFERROR(_xll.qlRateHelperEarliestDate(S106,Trigger),"--")</f>
        <v>--</v>
      </c>
      <c r="U106" s="92" t="str">
        <f>IFERROR(_xll.qlRateHelperPillarDate(S106,Trigger),"--")</f>
        <v>--</v>
      </c>
      <c r="W106" s="3" t="str">
        <f t="shared" si="35"/>
        <v/>
      </c>
      <c r="X106" s="3" t="e">
        <v>#N/A</v>
      </c>
      <c r="Y106" s="3" t="str">
        <f>IFERROR(_xll.qlRateHelperQuoteName(X106,Trigger),"")</f>
        <v/>
      </c>
      <c r="Z106" s="65" t="str">
        <f>IFERROR(_xll.qlRateHelperRate(X106,Trigger),"")</f>
        <v/>
      </c>
      <c r="AA106" s="96" t="str">
        <f>IF(ISERROR(_xll.qlSwapRateHelperSpread($X106)),IF(ISERROR(_xll.qlFuturesRateHelperConvexityAdjustment($X106)),"",_xll.qlFuturesRateHelperConvexityAdjustment($X106)),_xll.qlSwapRateHelperSpread($X106))</f>
        <v/>
      </c>
      <c r="AB106" s="4" t="str">
        <f>IFERROR(_xll.qlRateHelperEarliestDate(X106,Trigger),"")</f>
        <v/>
      </c>
      <c r="AC106" s="4" t="str">
        <f>IFERROR(_xll.qlRateHelperPillarDate(X106,Trigger),"")</f>
        <v/>
      </c>
      <c r="AD106" s="71" t="e">
        <v>#N/A</v>
      </c>
    </row>
    <row r="107" spans="1:30" x14ac:dyDescent="0.2">
      <c r="A107" s="56" t="s">
        <v>116</v>
      </c>
      <c r="B107" s="103" t="s">
        <v>105</v>
      </c>
      <c r="C107" s="58" t="s">
        <v>6</v>
      </c>
      <c r="D107" s="58" t="s">
        <v>159</v>
      </c>
      <c r="E107" s="58" t="s">
        <v>7</v>
      </c>
      <c r="F107" s="58" t="s">
        <v>154</v>
      </c>
      <c r="G107" s="58" t="str">
        <f t="shared" si="32"/>
        <v>AudBBSW3M</v>
      </c>
      <c r="H107" s="56" t="str">
        <f t="shared" si="33"/>
        <v>AUDSM6AB22Y_Quote</v>
      </c>
      <c r="I107" s="114" t="str">
        <f t="shared" si="34"/>
        <v>AUD3BR6BR22Y_Quote</v>
      </c>
      <c r="J107" s="167" t="str">
        <f>IF(P99,_xll.qlSwapRateHelper2(,H107,1,B107,Calendar,D107,E107,F107,G107,I107,C107,Discounting,PillarDate,,Permanent,Trigger,ObjectOverwrite),"--")</f>
        <v>--</v>
      </c>
      <c r="L107" s="173" t="str">
        <f t="shared" si="29"/>
        <v>BasSw</v>
      </c>
      <c r="M107" s="182" t="str">
        <f t="shared" si="31"/>
        <v>AUDSM6AB30Y_Quote</v>
      </c>
      <c r="N107" s="174">
        <f>IFERROR(_xll.qlQuoteValue(H115),"--")</f>
        <v>2.4975000000000001E-2</v>
      </c>
      <c r="O107" s="174">
        <f>IFERROR(_xll.qlQuoteValue(I115),"--")</f>
        <v>7.5000000000000002E-4</v>
      </c>
      <c r="P107" s="91" t="b">
        <v>1</v>
      </c>
      <c r="Q107" s="88">
        <v>50</v>
      </c>
      <c r="R107" s="88">
        <v>1</v>
      </c>
      <c r="S107" s="122" t="str">
        <f t="shared" si="30"/>
        <v>obj_00238#0003</v>
      </c>
      <c r="T107" s="92">
        <f>IFERROR(_xll.qlRateHelperEarliestDate(S107,Trigger),"--")</f>
        <v>42682</v>
      </c>
      <c r="U107" s="92">
        <f>IFERROR(_xll.qlRateHelperPillarDate(S107,Trigger),"--")</f>
        <v>53639</v>
      </c>
      <c r="W107" s="3" t="str">
        <f t="shared" si="35"/>
        <v/>
      </c>
      <c r="X107" s="3" t="e">
        <v>#N/A</v>
      </c>
      <c r="Y107" s="3" t="str">
        <f>IFERROR(_xll.qlRateHelperQuoteName(X107,Trigger),"")</f>
        <v/>
      </c>
      <c r="Z107" s="65" t="str">
        <f>IFERROR(_xll.qlRateHelperRate(X107,Trigger),"")</f>
        <v/>
      </c>
      <c r="AA107" s="96" t="str">
        <f>IF(ISERROR(_xll.qlSwapRateHelperSpread($X107)),IF(ISERROR(_xll.qlFuturesRateHelperConvexityAdjustment($X107)),"",_xll.qlFuturesRateHelperConvexityAdjustment($X107)),_xll.qlSwapRateHelperSpread($X107))</f>
        <v/>
      </c>
      <c r="AB107" s="4" t="str">
        <f>IFERROR(_xll.qlRateHelperEarliestDate(X107,Trigger),"")</f>
        <v/>
      </c>
      <c r="AC107" s="4" t="str">
        <f>IFERROR(_xll.qlRateHelperPillarDate(X107,Trigger),"")</f>
        <v/>
      </c>
      <c r="AD107" s="71" t="e">
        <v>#N/A</v>
      </c>
    </row>
    <row r="108" spans="1:30" x14ac:dyDescent="0.2">
      <c r="A108" s="56" t="s">
        <v>116</v>
      </c>
      <c r="B108" s="103" t="s">
        <v>106</v>
      </c>
      <c r="C108" s="58" t="s">
        <v>6</v>
      </c>
      <c r="D108" s="58" t="s">
        <v>159</v>
      </c>
      <c r="E108" s="58" t="s">
        <v>7</v>
      </c>
      <c r="F108" s="58" t="s">
        <v>154</v>
      </c>
      <c r="G108" s="58" t="str">
        <f t="shared" si="32"/>
        <v>AudBBSW3M</v>
      </c>
      <c r="H108" s="56" t="str">
        <f t="shared" si="33"/>
        <v>AUDSM6AB23Y_Quote</v>
      </c>
      <c r="I108" s="114" t="str">
        <f t="shared" si="34"/>
        <v>AUD3BR6BR23Y_Quote</v>
      </c>
      <c r="J108" s="167" t="str">
        <f>IF(P100,_xll.qlSwapRateHelper2(,H108,1,B108,Calendar,D108,E108,F108,G108,I108,C108,Discounting,PillarDate,,Permanent,Trigger,ObjectOverwrite),"--")</f>
        <v>--</v>
      </c>
      <c r="L108" s="173" t="str">
        <f t="shared" si="29"/>
        <v>BasSw</v>
      </c>
      <c r="M108" s="182" t="str">
        <f t="shared" si="31"/>
        <v>AUDSM6AB35Y_Quote</v>
      </c>
      <c r="N108" s="174" t="str">
        <f>IFERROR(_xll.qlQuoteValue(H116),"--")</f>
        <v>--</v>
      </c>
      <c r="O108" s="174" t="str">
        <f>IFERROR(_xll.qlQuoteValue(I116),"--")</f>
        <v>--</v>
      </c>
      <c r="P108" s="91" t="b">
        <v>0</v>
      </c>
      <c r="Q108" s="88">
        <v>50</v>
      </c>
      <c r="R108" s="88">
        <v>1</v>
      </c>
      <c r="S108" s="122" t="str">
        <f t="shared" si="30"/>
        <v>--</v>
      </c>
      <c r="T108" s="92" t="str">
        <f>IFERROR(_xll.qlRateHelperEarliestDate(S108,Trigger),"--")</f>
        <v>--</v>
      </c>
      <c r="U108" s="92" t="str">
        <f>IFERROR(_xll.qlRateHelperPillarDate(S108,Trigger),"--")</f>
        <v>--</v>
      </c>
      <c r="W108" s="3" t="str">
        <f t="shared" si="35"/>
        <v/>
      </c>
      <c r="X108" s="3" t="e">
        <v>#N/A</v>
      </c>
      <c r="Y108" s="3" t="str">
        <f>IFERROR(_xll.qlRateHelperQuoteName(X108,Trigger),"")</f>
        <v/>
      </c>
      <c r="Z108" s="65" t="str">
        <f>IFERROR(_xll.qlRateHelperRate(X108,Trigger),"")</f>
        <v/>
      </c>
      <c r="AA108" s="96" t="str">
        <f>IF(ISERROR(_xll.qlSwapRateHelperSpread($X108)),IF(ISERROR(_xll.qlFuturesRateHelperConvexityAdjustment($X108)),"",_xll.qlFuturesRateHelperConvexityAdjustment($X108)),_xll.qlSwapRateHelperSpread($X108))</f>
        <v/>
      </c>
      <c r="AB108" s="4" t="str">
        <f>IFERROR(_xll.qlRateHelperEarliestDate(X108,Trigger),"")</f>
        <v/>
      </c>
      <c r="AC108" s="4" t="str">
        <f>IFERROR(_xll.qlRateHelperPillarDate(X108,Trigger),"")</f>
        <v/>
      </c>
      <c r="AD108" s="71" t="e">
        <v>#N/A</v>
      </c>
    </row>
    <row r="109" spans="1:30" x14ac:dyDescent="0.2">
      <c r="A109" s="56" t="s">
        <v>116</v>
      </c>
      <c r="B109" s="103" t="s">
        <v>107</v>
      </c>
      <c r="C109" s="58" t="s">
        <v>6</v>
      </c>
      <c r="D109" s="58" t="s">
        <v>159</v>
      </c>
      <c r="E109" s="58" t="s">
        <v>7</v>
      </c>
      <c r="F109" s="58" t="s">
        <v>154</v>
      </c>
      <c r="G109" s="58" t="str">
        <f t="shared" si="32"/>
        <v>AudBBSW3M</v>
      </c>
      <c r="H109" s="56" t="str">
        <f t="shared" si="33"/>
        <v>AUDSM6AB24Y_Quote</v>
      </c>
      <c r="I109" s="114" t="str">
        <f t="shared" si="34"/>
        <v>AUD3BR6BR24Y_Quote</v>
      </c>
      <c r="J109" s="167" t="str">
        <f>IF(P101,_xll.qlSwapRateHelper2(,H109,1,B109,Calendar,D109,E109,F109,G109,I109,C109,Discounting,PillarDate,,Permanent,Trigger,ObjectOverwrite),"--")</f>
        <v>--</v>
      </c>
      <c r="L109" s="173" t="str">
        <f t="shared" si="29"/>
        <v>BasSw</v>
      </c>
      <c r="M109" s="182" t="str">
        <f t="shared" si="31"/>
        <v>AUDSM6AB40Y_Quote</v>
      </c>
      <c r="N109" s="174">
        <f>IFERROR(_xll.qlQuoteValue(H117),"--")</f>
        <v>2.4812500000000001E-2</v>
      </c>
      <c r="O109" s="174" t="str">
        <f>IFERROR(_xll.qlQuoteValue(I117),"--")</f>
        <v>--</v>
      </c>
      <c r="P109" s="91" t="b">
        <v>0</v>
      </c>
      <c r="Q109" s="88">
        <v>50</v>
      </c>
      <c r="R109" s="88">
        <v>1</v>
      </c>
      <c r="S109" s="122" t="str">
        <f t="shared" si="30"/>
        <v>--</v>
      </c>
      <c r="T109" s="92" t="str">
        <f>IFERROR(_xll.qlRateHelperEarliestDate(S109,Trigger),"--")</f>
        <v>--</v>
      </c>
      <c r="U109" s="92" t="str">
        <f>IFERROR(_xll.qlRateHelperPillarDate(S109,Trigger),"--")</f>
        <v>--</v>
      </c>
      <c r="W109" s="3" t="str">
        <f t="shared" si="35"/>
        <v/>
      </c>
      <c r="X109" s="3" t="e">
        <v>#N/A</v>
      </c>
      <c r="Y109" s="3" t="str">
        <f>IFERROR(_xll.qlRateHelperQuoteName(X109,Trigger),"")</f>
        <v/>
      </c>
      <c r="Z109" s="65" t="str">
        <f>IFERROR(_xll.qlRateHelperRate(X109,Trigger),"")</f>
        <v/>
      </c>
      <c r="AA109" s="96" t="str">
        <f>IF(ISERROR(_xll.qlSwapRateHelperSpread($X109)),IF(ISERROR(_xll.qlFuturesRateHelperConvexityAdjustment($X109)),"",_xll.qlFuturesRateHelperConvexityAdjustment($X109)),_xll.qlSwapRateHelperSpread($X109))</f>
        <v/>
      </c>
      <c r="AB109" s="4" t="str">
        <f>IFERROR(_xll.qlRateHelperEarliestDate(X109,Trigger),"")</f>
        <v/>
      </c>
      <c r="AC109" s="4" t="str">
        <f>IFERROR(_xll.qlRateHelperPillarDate(X109,Trigger),"")</f>
        <v/>
      </c>
      <c r="AD109" s="71" t="e">
        <v>#N/A</v>
      </c>
    </row>
    <row r="110" spans="1:30" x14ac:dyDescent="0.2">
      <c r="A110" s="56" t="s">
        <v>116</v>
      </c>
      <c r="B110" s="103" t="s">
        <v>64</v>
      </c>
      <c r="C110" s="58" t="s">
        <v>6</v>
      </c>
      <c r="D110" s="58" t="s">
        <v>159</v>
      </c>
      <c r="E110" s="58" t="s">
        <v>7</v>
      </c>
      <c r="F110" s="58" t="s">
        <v>154</v>
      </c>
      <c r="G110" s="58" t="str">
        <f t="shared" si="32"/>
        <v>AudBBSW3M</v>
      </c>
      <c r="H110" s="56" t="str">
        <f t="shared" si="33"/>
        <v>AUDSM6AB25Y_Quote</v>
      </c>
      <c r="I110" s="114" t="str">
        <f t="shared" si="34"/>
        <v>AUD3BR6BR25Y_Quote</v>
      </c>
      <c r="J110" s="167" t="str">
        <f>IF(P102,_xll.qlSwapRateHelper2(,H110,1,B110,Calendar,D110,E110,F110,G110,I110,C110,Discounting,PillarDate,,Permanent,Trigger,ObjectOverwrite),"--")</f>
        <v>obj_00239#0003</v>
      </c>
      <c r="L110" s="173" t="str">
        <f t="shared" si="29"/>
        <v>BasSw</v>
      </c>
      <c r="M110" s="182" t="str">
        <f t="shared" si="31"/>
        <v>AUDSM6AB50Y_Quote</v>
      </c>
      <c r="N110" s="174" t="str">
        <f>IFERROR(_xll.qlQuoteValue(H118),"--")</f>
        <v>--</v>
      </c>
      <c r="O110" s="174" t="str">
        <f>IFERROR(_xll.qlQuoteValue(I118),"--")</f>
        <v>--</v>
      </c>
      <c r="P110" s="91" t="b">
        <v>0</v>
      </c>
      <c r="Q110" s="88">
        <v>50</v>
      </c>
      <c r="R110" s="88">
        <v>1</v>
      </c>
      <c r="S110" s="122" t="str">
        <f t="shared" si="30"/>
        <v>--</v>
      </c>
      <c r="T110" s="92" t="str">
        <f>IFERROR(_xll.qlRateHelperEarliestDate(S110,Trigger),"--")</f>
        <v>--</v>
      </c>
      <c r="U110" s="92" t="str">
        <f>IFERROR(_xll.qlRateHelperPillarDate(S110,Trigger),"--")</f>
        <v>--</v>
      </c>
      <c r="W110" s="3" t="str">
        <f t="shared" si="35"/>
        <v/>
      </c>
      <c r="X110" s="3" t="e">
        <v>#N/A</v>
      </c>
      <c r="Y110" s="3" t="str">
        <f>IFERROR(_xll.qlRateHelperQuoteName(X110,Trigger),"")</f>
        <v/>
      </c>
      <c r="Z110" s="65" t="str">
        <f>IFERROR(_xll.qlRateHelperRate(X110,Trigger),"")</f>
        <v/>
      </c>
      <c r="AA110" s="96" t="str">
        <f>IF(ISERROR(_xll.qlSwapRateHelperSpread($X110)),IF(ISERROR(_xll.qlFuturesRateHelperConvexityAdjustment($X110)),"",_xll.qlFuturesRateHelperConvexityAdjustment($X110)),_xll.qlSwapRateHelperSpread($X110))</f>
        <v/>
      </c>
      <c r="AB110" s="4" t="str">
        <f>IFERROR(_xll.qlRateHelperEarliestDate(X110,Trigger),"")</f>
        <v/>
      </c>
      <c r="AC110" s="4" t="str">
        <f>IFERROR(_xll.qlRateHelperPillarDate(X110,Trigger),"")</f>
        <v/>
      </c>
      <c r="AD110" s="71" t="e">
        <v>#N/A</v>
      </c>
    </row>
    <row r="111" spans="1:30" x14ac:dyDescent="0.2">
      <c r="A111" s="56" t="s">
        <v>116</v>
      </c>
      <c r="B111" s="103" t="s">
        <v>108</v>
      </c>
      <c r="C111" s="58" t="s">
        <v>6</v>
      </c>
      <c r="D111" s="58" t="s">
        <v>159</v>
      </c>
      <c r="E111" s="58" t="s">
        <v>7</v>
      </c>
      <c r="F111" s="58" t="s">
        <v>154</v>
      </c>
      <c r="G111" s="58" t="str">
        <f t="shared" si="32"/>
        <v>AudBBSW3M</v>
      </c>
      <c r="H111" s="56" t="str">
        <f t="shared" si="33"/>
        <v>AUDSM6AB26Y_Quote</v>
      </c>
      <c r="I111" s="114" t="str">
        <f t="shared" si="34"/>
        <v>AUD3BR6BR26Y_Quote</v>
      </c>
      <c r="J111" s="167" t="str">
        <f>IF(P103,_xll.qlSwapRateHelper2(,H111,1,B111,Calendar,D111,E111,F111,G111,I111,C111,Discounting,PillarDate,,Permanent,Trigger,ObjectOverwrite),"--")</f>
        <v>--</v>
      </c>
      <c r="L111" s="175" t="str">
        <f t="shared" si="29"/>
        <v>BasSw</v>
      </c>
      <c r="M111" s="183" t="str">
        <f t="shared" si="31"/>
        <v>AUDSM6AB60Y_Quote</v>
      </c>
      <c r="N111" s="177" t="str">
        <f>IFERROR(_xll.qlQuoteValue(H119),"--")</f>
        <v>--</v>
      </c>
      <c r="O111" s="177" t="str">
        <f>IFERROR(_xll.qlQuoteValue(I119),"--")</f>
        <v>--</v>
      </c>
      <c r="P111" s="93" t="b">
        <v>0</v>
      </c>
      <c r="Q111" s="89">
        <v>50</v>
      </c>
      <c r="R111" s="89">
        <v>1</v>
      </c>
      <c r="S111" s="186" t="str">
        <f t="shared" si="30"/>
        <v>--</v>
      </c>
      <c r="T111" s="94" t="str">
        <f>IFERROR(_xll.qlRateHelperEarliestDate(S111,Trigger),"--")</f>
        <v>--</v>
      </c>
      <c r="U111" s="94" t="str">
        <f>IFERROR(_xll.qlRateHelperPillarDate(S111,Trigger),"--")</f>
        <v>--</v>
      </c>
      <c r="W111" s="5" t="str">
        <f t="shared" si="35"/>
        <v/>
      </c>
      <c r="X111" s="5" t="e">
        <v>#N/A</v>
      </c>
      <c r="Y111" s="5" t="str">
        <f>IFERROR(_xll.qlRateHelperQuoteName(X111,Trigger),"")</f>
        <v/>
      </c>
      <c r="Z111" s="73" t="str">
        <f>IFERROR(_xll.qlRateHelperRate(X111,Trigger),"")</f>
        <v/>
      </c>
      <c r="AA111" s="97" t="str">
        <f>IF(ISERROR(_xll.qlSwapRateHelperSpread($X111)),IF(ISERROR(_xll.qlFuturesRateHelperConvexityAdjustment($X111)),"",_xll.qlFuturesRateHelperConvexityAdjustment($X111)),_xll.qlSwapRateHelperSpread($X111))</f>
        <v/>
      </c>
      <c r="AB111" s="9" t="str">
        <f>IFERROR(_xll.qlRateHelperEarliestDate(X111,Trigger),"")</f>
        <v/>
      </c>
      <c r="AC111" s="9" t="str">
        <f>IFERROR(_xll.qlRateHelperPillarDate(X111,Trigger),"")</f>
        <v/>
      </c>
      <c r="AD111" s="72" t="e">
        <v>#N/A</v>
      </c>
    </row>
    <row r="112" spans="1:30" x14ac:dyDescent="0.2">
      <c r="A112" s="56" t="s">
        <v>116</v>
      </c>
      <c r="B112" s="103" t="s">
        <v>65</v>
      </c>
      <c r="C112" s="58" t="s">
        <v>6</v>
      </c>
      <c r="D112" s="58" t="s">
        <v>159</v>
      </c>
      <c r="E112" s="58" t="s">
        <v>7</v>
      </c>
      <c r="F112" s="58" t="s">
        <v>154</v>
      </c>
      <c r="G112" s="58" t="str">
        <f t="shared" si="32"/>
        <v>AudBBSW3M</v>
      </c>
      <c r="H112" s="56" t="str">
        <f t="shared" si="33"/>
        <v>AUDSM6AB27Y_Quote</v>
      </c>
      <c r="I112" s="114" t="str">
        <f t="shared" si="34"/>
        <v>AUD3BR6BR27Y_Quote</v>
      </c>
      <c r="J112" s="167" t="str">
        <f>IF(P104,_xll.qlSwapRateHelper2(,H112,1,B112,Calendar,D112,E112,F112,G112,I112,C112,Discounting,PillarDate,,Permanent,Trigger,ObjectOverwrite),"--")</f>
        <v>--</v>
      </c>
      <c r="L112" s="145"/>
      <c r="Y112" s="187" t="str">
        <f>_xll.ohGroup("AUD3M_instruments",_xll.ohPack(Y3:Y111),Permanent,Trigger,ObjectOverwrite)</f>
        <v>AUD3M_instruments#0003</v>
      </c>
    </row>
    <row r="113" spans="1:12" x14ac:dyDescent="0.2">
      <c r="A113" s="56" t="s">
        <v>116</v>
      </c>
      <c r="B113" s="103" t="s">
        <v>109</v>
      </c>
      <c r="C113" s="58" t="s">
        <v>6</v>
      </c>
      <c r="D113" s="58" t="s">
        <v>159</v>
      </c>
      <c r="E113" s="58" t="s">
        <v>7</v>
      </c>
      <c r="F113" s="58" t="s">
        <v>154</v>
      </c>
      <c r="G113" s="58" t="str">
        <f t="shared" si="32"/>
        <v>AudBBSW3M</v>
      </c>
      <c r="H113" s="56" t="str">
        <f t="shared" si="33"/>
        <v>AUDSM6AB28Y_Quote</v>
      </c>
      <c r="I113" s="114" t="str">
        <f t="shared" si="34"/>
        <v>AUD3BR6BR28Y_Quote</v>
      </c>
      <c r="J113" s="167" t="str">
        <f>IF(P105,_xll.qlSwapRateHelper2(,H113,1,B113,Calendar,D113,E113,F113,G113,I113,C113,Discounting,PillarDate,,Permanent,Trigger,ObjectOverwrite),"--")</f>
        <v>--</v>
      </c>
      <c r="L113" s="145"/>
    </row>
    <row r="114" spans="1:12" x14ac:dyDescent="0.2">
      <c r="A114" s="56" t="s">
        <v>116</v>
      </c>
      <c r="B114" s="103" t="s">
        <v>110</v>
      </c>
      <c r="C114" s="58" t="s">
        <v>6</v>
      </c>
      <c r="D114" s="58" t="s">
        <v>159</v>
      </c>
      <c r="E114" s="58" t="s">
        <v>7</v>
      </c>
      <c r="F114" s="58" t="s">
        <v>154</v>
      </c>
      <c r="G114" s="58" t="str">
        <f t="shared" si="32"/>
        <v>AudBBSW3M</v>
      </c>
      <c r="H114" s="56" t="str">
        <f t="shared" si="33"/>
        <v>AUDSM6AB29Y_Quote</v>
      </c>
      <c r="I114" s="114" t="str">
        <f t="shared" si="34"/>
        <v>AUD3BR6BR29Y_Quote</v>
      </c>
      <c r="J114" s="167" t="str">
        <f>IF(P106,_xll.qlSwapRateHelper2(,H114,1,B114,Calendar,D114,E114,F114,G114,I114,C114,Discounting,PillarDate,,Permanent,Trigger,ObjectOverwrite),"--")</f>
        <v>--</v>
      </c>
      <c r="L114" s="145"/>
    </row>
    <row r="115" spans="1:12" x14ac:dyDescent="0.2">
      <c r="A115" s="56" t="s">
        <v>116</v>
      </c>
      <c r="B115" s="103" t="s">
        <v>66</v>
      </c>
      <c r="C115" s="58" t="s">
        <v>6</v>
      </c>
      <c r="D115" s="58" t="s">
        <v>159</v>
      </c>
      <c r="E115" s="58" t="s">
        <v>7</v>
      </c>
      <c r="F115" s="58" t="s">
        <v>154</v>
      </c>
      <c r="G115" s="58" t="str">
        <f t="shared" si="32"/>
        <v>AudBBSW3M</v>
      </c>
      <c r="H115" s="56" t="str">
        <f t="shared" si="33"/>
        <v>AUDSM6AB30Y_Quote</v>
      </c>
      <c r="I115" s="114" t="str">
        <f t="shared" si="34"/>
        <v>AUD3BR6BR30Y_Quote</v>
      </c>
      <c r="J115" s="167" t="str">
        <f>IF(P107,_xll.qlSwapRateHelper2(,H115,1,B115,Calendar,D115,E115,F115,G115,I115,C115,Discounting,PillarDate,,Permanent,Trigger,ObjectOverwrite),"--")</f>
        <v>obj_00238#0003</v>
      </c>
      <c r="L115" s="145"/>
    </row>
    <row r="116" spans="1:12" x14ac:dyDescent="0.2">
      <c r="A116" s="56" t="s">
        <v>116</v>
      </c>
      <c r="B116" s="103" t="s">
        <v>67</v>
      </c>
      <c r="C116" s="58" t="s">
        <v>6</v>
      </c>
      <c r="D116" s="58" t="s">
        <v>159</v>
      </c>
      <c r="E116" s="58" t="s">
        <v>7</v>
      </c>
      <c r="F116" s="58" t="s">
        <v>154</v>
      </c>
      <c r="G116" s="58" t="str">
        <f t="shared" si="32"/>
        <v>AudBBSW3M</v>
      </c>
      <c r="H116" s="56" t="str">
        <f t="shared" si="33"/>
        <v>AUDSM6AB35Y_Quote</v>
      </c>
      <c r="I116" s="114" t="str">
        <f t="shared" si="34"/>
        <v>AUD3BR6BR35Y_Quote</v>
      </c>
      <c r="J116" s="167" t="str">
        <f>IF(P108,_xll.qlSwapRateHelper2(,H116,1,B116,Calendar,D116,E116,F116,G116,I116,C116,Discounting,PillarDate,,Permanent,Trigger,ObjectOverwrite),"--")</f>
        <v>--</v>
      </c>
    </row>
    <row r="117" spans="1:12" x14ac:dyDescent="0.2">
      <c r="A117" s="56" t="s">
        <v>116</v>
      </c>
      <c r="B117" s="103" t="s">
        <v>68</v>
      </c>
      <c r="C117" s="58" t="s">
        <v>6</v>
      </c>
      <c r="D117" s="58" t="s">
        <v>159</v>
      </c>
      <c r="E117" s="58" t="s">
        <v>7</v>
      </c>
      <c r="F117" s="58" t="s">
        <v>154</v>
      </c>
      <c r="G117" s="58" t="str">
        <f t="shared" si="32"/>
        <v>AudBBSW3M</v>
      </c>
      <c r="H117" s="56" t="str">
        <f t="shared" si="33"/>
        <v>AUDSM6AB40Y_Quote</v>
      </c>
      <c r="I117" s="114" t="str">
        <f t="shared" si="34"/>
        <v>AUD3BR6BR40Y_Quote</v>
      </c>
      <c r="J117" s="167" t="str">
        <f>IF(P109,_xll.qlSwapRateHelper2(,H117,1,B117,Calendar,D117,E117,F117,G117,I117,C117,Discounting,PillarDate,,Permanent,Trigger,ObjectOverwrite),"--")</f>
        <v>--</v>
      </c>
    </row>
    <row r="118" spans="1:12" x14ac:dyDescent="0.2">
      <c r="A118" s="56" t="s">
        <v>116</v>
      </c>
      <c r="B118" s="103" t="s">
        <v>69</v>
      </c>
      <c r="C118" s="58" t="s">
        <v>6</v>
      </c>
      <c r="D118" s="58" t="s">
        <v>159</v>
      </c>
      <c r="E118" s="58" t="s">
        <v>7</v>
      </c>
      <c r="F118" s="58" t="s">
        <v>154</v>
      </c>
      <c r="G118" s="58" t="str">
        <f t="shared" si="32"/>
        <v>AudBBSW3M</v>
      </c>
      <c r="H118" s="56" t="str">
        <f t="shared" si="33"/>
        <v>AUDSM6AB50Y_Quote</v>
      </c>
      <c r="I118" s="114" t="str">
        <f t="shared" si="34"/>
        <v>AUD3BR6BR50Y_Quote</v>
      </c>
      <c r="J118" s="167" t="str">
        <f>IF(P110,_xll.qlSwapRateHelper2(,H118,1,B118,Calendar,D118,E118,F118,G118,I118,C118,Discounting,PillarDate,,Permanent,Trigger,ObjectOverwrite),"--")</f>
        <v>--</v>
      </c>
    </row>
    <row r="119" spans="1:12" x14ac:dyDescent="0.2">
      <c r="A119" s="1" t="s">
        <v>116</v>
      </c>
      <c r="B119" s="104" t="s">
        <v>111</v>
      </c>
      <c r="C119" s="6" t="s">
        <v>6</v>
      </c>
      <c r="D119" s="6" t="s">
        <v>159</v>
      </c>
      <c r="E119" s="6" t="s">
        <v>7</v>
      </c>
      <c r="F119" s="6" t="s">
        <v>154</v>
      </c>
      <c r="G119" s="6" t="str">
        <f t="shared" si="32"/>
        <v>AudBBSW3M</v>
      </c>
      <c r="H119" s="1" t="str">
        <f t="shared" si="33"/>
        <v>AUDSM6AB60Y_Quote</v>
      </c>
      <c r="I119" s="117" t="str">
        <f t="shared" si="34"/>
        <v>AUD3BR6BR60Y_Quote</v>
      </c>
      <c r="J119" s="166" t="str">
        <f>IF(P111,_xll.qlSwapRateHelper2(,H119,1,B119,Calendar,D119,E119,F119,G119,I119,C119,Discounting,PillarDate,,Permanent,Trigger,ObjectOverwrite),"--")</f>
        <v>--</v>
      </c>
    </row>
  </sheetData>
  <dataValidations count="5">
    <dataValidation type="list" allowBlank="1" showInputMessage="1" showErrorMessage="1" sqref="D83:D119 D44:D80">
      <formula1>"Annual,Semiannual,EveryFourthMonth,Quarterly,Bimonthly,Monthly,Biweekly,Weekly,Daily,Once,NoFrequency"</formula1>
    </dataValidation>
    <dataValidation type="list" allowBlank="1" showInputMessage="1" showErrorMessage="1" sqref="E83:E119 E44:E80 E3:E6">
      <formula1>"Following,Modified Following,Preceding,Modified Preceding,Unadjusted,Half-Month Modified Following"</formula1>
    </dataValidation>
    <dataValidation type="list" allowBlank="1" showInputMessage="1" showErrorMessage="1" sqref="F83:F119 F44:F80 F3:F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111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01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4" hidden="1" customWidth="1" outlineLevel="1"/>
    <col min="2" max="2" width="5.7109375" style="49" hidden="1" customWidth="1" outlineLevel="1"/>
    <col min="3" max="3" width="5.7109375" style="48" hidden="1" customWidth="1" outlineLevel="1"/>
    <col min="4" max="4" width="10.7109375" style="48" hidden="1" customWidth="1" outlineLevel="1"/>
    <col min="5" max="5" width="30.7109375" style="48" hidden="1" customWidth="1" outlineLevel="1"/>
    <col min="6" max="6" width="20.7109375" style="48" hidden="1" customWidth="1" outlineLevel="1"/>
    <col min="7" max="7" width="15.7109375" style="48" hidden="1" customWidth="1" outlineLevel="1"/>
    <col min="8" max="8" width="20.7109375" style="50" hidden="1" customWidth="1" outlineLevel="1"/>
    <col min="9" max="9" width="25.7109375" style="44" hidden="1" customWidth="1" outlineLevel="1"/>
    <col min="10" max="10" width="15.7109375" style="95" hidden="1" customWidth="1" outlineLevel="1"/>
    <col min="11" max="11" width="2.7109375" style="44" customWidth="1" collapsed="1"/>
    <col min="12" max="12" width="5.7109375" style="44" hidden="1" customWidth="1" outlineLevel="1"/>
    <col min="13" max="13" width="20.7109375" style="95" hidden="1" customWidth="1" outlineLevel="1"/>
    <col min="14" max="18" width="8.7109375" style="95" hidden="1" customWidth="1" outlineLevel="1"/>
    <col min="19" max="19" width="15.7109375" style="95" hidden="1" customWidth="1" outlineLevel="1"/>
    <col min="20" max="21" width="10.7109375" style="95" hidden="1" customWidth="1" outlineLevel="1"/>
    <col min="22" max="22" width="2.7109375" style="46" hidden="1" customWidth="1" outlineLevel="1"/>
    <col min="23" max="23" width="6" style="44" bestFit="1" customWidth="1" collapsed="1"/>
    <col min="24" max="24" width="10.140625" style="44" hidden="1" customWidth="1" outlineLevel="1"/>
    <col min="25" max="25" width="24.7109375" style="44" customWidth="1" collapsed="1"/>
    <col min="26" max="27" width="9.7109375" style="44" customWidth="1"/>
    <col min="28" max="29" width="17.28515625" style="44" bestFit="1" customWidth="1"/>
    <col min="30" max="30" width="12" style="44" bestFit="1" customWidth="1"/>
    <col min="31" max="32" width="2.7109375" style="44" customWidth="1"/>
    <col min="33" max="33" width="24.42578125" style="44" bestFit="1" customWidth="1"/>
    <col min="34" max="34" width="21.42578125" style="44" hidden="1" customWidth="1" outlineLevel="1"/>
    <col min="35" max="35" width="7" style="44" hidden="1" customWidth="1" outlineLevel="1"/>
    <col min="36" max="36" width="11" style="44" hidden="1" customWidth="1" outlineLevel="1"/>
    <col min="37" max="37" width="9" style="44" bestFit="1" customWidth="1" collapsed="1"/>
    <col min="38" max="38" width="10" style="44" customWidth="1"/>
    <col min="39" max="39" width="24.42578125" style="44" bestFit="1" customWidth="1"/>
    <col min="40" max="16384" width="9.140625" style="44"/>
  </cols>
  <sheetData>
    <row r="1" spans="1:39" ht="18" customHeight="1" x14ac:dyDescent="0.2">
      <c r="G1" s="48" t="s">
        <v>3</v>
      </c>
      <c r="H1" s="48" t="str">
        <f>"_SYNTH"&amp;$G$1</f>
        <v>_SYNTH6M</v>
      </c>
      <c r="L1" s="63" t="s">
        <v>163</v>
      </c>
      <c r="M1" s="98"/>
      <c r="N1" s="98"/>
      <c r="O1" s="90"/>
      <c r="P1" s="90" t="s">
        <v>164</v>
      </c>
      <c r="Q1" s="98"/>
      <c r="R1" s="98"/>
      <c r="S1" s="98"/>
      <c r="T1" s="98"/>
      <c r="U1" s="90"/>
      <c r="V1" s="87"/>
      <c r="W1" s="68" t="str">
        <f>Currency&amp;$G$1</f>
        <v>AUD6M</v>
      </c>
      <c r="X1" s="62"/>
      <c r="Y1" s="62"/>
      <c r="Z1" s="64"/>
      <c r="AA1" s="64"/>
      <c r="AB1" s="62"/>
      <c r="AC1" s="62"/>
      <c r="AD1" s="66" t="s">
        <v>31</v>
      </c>
    </row>
    <row r="2" spans="1:39" ht="21.75" customHeight="1" x14ac:dyDescent="0.2">
      <c r="A2" s="61" t="s">
        <v>8</v>
      </c>
      <c r="B2" s="61" t="s">
        <v>28</v>
      </c>
      <c r="C2" s="61" t="s">
        <v>77</v>
      </c>
      <c r="D2" s="61" t="s">
        <v>127</v>
      </c>
      <c r="E2" s="61" t="s">
        <v>33</v>
      </c>
      <c r="F2" s="61" t="s">
        <v>114</v>
      </c>
      <c r="G2" s="61" t="s">
        <v>4</v>
      </c>
      <c r="H2" s="61" t="s">
        <v>1</v>
      </c>
      <c r="I2" s="61"/>
      <c r="J2" s="61" t="s">
        <v>24</v>
      </c>
      <c r="L2" s="67" t="s">
        <v>8</v>
      </c>
      <c r="M2" s="67" t="s">
        <v>78</v>
      </c>
      <c r="N2" s="67" t="s">
        <v>81</v>
      </c>
      <c r="O2" s="67" t="s">
        <v>83</v>
      </c>
      <c r="P2" s="67" t="s">
        <v>79</v>
      </c>
      <c r="Q2" s="67" t="s">
        <v>80</v>
      </c>
      <c r="R2" s="67" t="s">
        <v>82</v>
      </c>
      <c r="S2" s="67" t="s">
        <v>24</v>
      </c>
      <c r="T2" s="67" t="s">
        <v>22</v>
      </c>
      <c r="U2" s="67" t="s">
        <v>75</v>
      </c>
      <c r="V2" s="87"/>
      <c r="W2" s="67" t="s">
        <v>8</v>
      </c>
      <c r="X2" s="67" t="s">
        <v>24</v>
      </c>
      <c r="Y2" s="67" t="s">
        <v>78</v>
      </c>
      <c r="Z2" s="69" t="s">
        <v>23</v>
      </c>
      <c r="AA2" s="69" t="s">
        <v>83</v>
      </c>
      <c r="AB2" s="67" t="s">
        <v>22</v>
      </c>
      <c r="AC2" s="67" t="s">
        <v>75</v>
      </c>
      <c r="AD2" s="70">
        <f t="array" ref="AD2:AD95">_xll.qlPiecewiseYieldCurveData(YieldCurve_6M,Trigger)</f>
        <v>1</v>
      </c>
      <c r="AE2" s="146"/>
      <c r="AG2" s="147" t="s">
        <v>84</v>
      </c>
      <c r="AH2" s="148"/>
      <c r="AI2" s="148"/>
      <c r="AJ2" s="148"/>
      <c r="AK2" s="149"/>
    </row>
    <row r="3" spans="1:39" ht="11.25" customHeight="1" x14ac:dyDescent="0.2">
      <c r="A3" s="51" t="s">
        <v>26</v>
      </c>
      <c r="B3" s="52" t="s">
        <v>74</v>
      </c>
      <c r="C3" s="53">
        <v>0</v>
      </c>
      <c r="D3" s="54" t="b">
        <v>1</v>
      </c>
      <c r="E3" s="54" t="s">
        <v>153</v>
      </c>
      <c r="F3" s="54" t="s">
        <v>154</v>
      </c>
      <c r="G3" s="53" t="str">
        <f>_xll.qlIborIndex(,FamilyName,SUBSTITUTE(SUBSTITUTE(B3,"S","1"),"N","D"),C3,Currency,Calendar,E3,D3,F3,,Permanent,Trigger,ObjectOverwrite)</f>
        <v>obj_0021a#0004</v>
      </c>
      <c r="H3" s="125" t="str">
        <f t="shared" ref="H3:H12" si="0">Currency&amp;$B3&amp;"D"&amp;$H$1&amp;QuoteSuffix</f>
        <v>AUDSND_SYNTH6M_Quote</v>
      </c>
      <c r="I3" s="116"/>
      <c r="J3" s="165" t="str">
        <f>IF(P3,_xll.qlDepositRateHelper(,H3,G3,Permanent,Trigger,ObjectOverwrite),"--")</f>
        <v>obj_00267#0003</v>
      </c>
      <c r="K3" s="47"/>
      <c r="L3" s="171" t="str">
        <f>A3</f>
        <v>Dp</v>
      </c>
      <c r="M3" s="168" t="str">
        <f>H3</f>
        <v>AUDSND_SYNTH6M_Quote</v>
      </c>
      <c r="N3" s="172">
        <f>IFERROR(_xll.qlQuoteValue(H3),"--")</f>
        <v>2.3368E-2</v>
      </c>
      <c r="O3" s="178"/>
      <c r="P3" s="121" t="b">
        <v>1</v>
      </c>
      <c r="Q3" s="118">
        <v>10</v>
      </c>
      <c r="R3" s="118">
        <v>1</v>
      </c>
      <c r="S3" s="118" t="str">
        <f t="shared" ref="S3:S12" si="1">J3</f>
        <v>obj_00267#0003</v>
      </c>
      <c r="T3" s="120">
        <f>IFERROR(_xll.qlRateHelperEarliestDate(S3,Trigger),"--")</f>
        <v>42681</v>
      </c>
      <c r="U3" s="120">
        <f>IFERROR(_xll.qlRateHelperPillarDate(S3,Trigger),"--")</f>
        <v>42682</v>
      </c>
      <c r="W3" s="3" t="str">
        <f t="shared" ref="W3:W34" si="2">IFERROR(INDEX($L$3:$L$95,MATCH(Y3,$M$3:$M$95,0),1),"")</f>
        <v>Dp</v>
      </c>
      <c r="X3" s="3" t="str">
        <f t="array" ref="X3:X95">_xll.qlRateHelperSelection(_xll.ohFilter(RateHelpers,IncludeFlag),_xll.ohFilter(Priority,IncludeFlag),$AK$3,$AK$4,$AK$5,$AK$6,_xll.ohFilter(MinDistance,IncludeFlag),Trigger)</f>
        <v>obj_00267</v>
      </c>
      <c r="Y3" s="3" t="str">
        <f>IFERROR(_xll.qlRateHelperQuoteName(X3,Trigger),"")</f>
        <v>AUDSND_SYNTH6M_Quote</v>
      </c>
      <c r="Z3" s="65">
        <f>IFERROR(_xll.qlRateHelperRate(X3,Trigger),"")</f>
        <v>2.0177E-2</v>
      </c>
      <c r="AA3" s="9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42681</v>
      </c>
      <c r="AC3" s="4">
        <f>IFERROR(_xll.qlRateHelperPillarDate(X3,Trigger),"")</f>
        <v>42682</v>
      </c>
      <c r="AD3" s="71">
        <v>0.99994472360359399</v>
      </c>
      <c r="AE3" s="146"/>
      <c r="AG3" s="156" t="s">
        <v>85</v>
      </c>
      <c r="AK3" s="157">
        <v>0</v>
      </c>
    </row>
    <row r="4" spans="1:39" ht="11.25" customHeight="1" x14ac:dyDescent="0.2">
      <c r="A4" s="56" t="s">
        <v>26</v>
      </c>
      <c r="B4" s="57" t="s">
        <v>90</v>
      </c>
      <c r="C4" s="58">
        <v>0</v>
      </c>
      <c r="D4" s="59" t="b">
        <v>1</v>
      </c>
      <c r="E4" s="59" t="s">
        <v>153</v>
      </c>
      <c r="F4" s="59" t="s">
        <v>154</v>
      </c>
      <c r="G4" s="58" t="str">
        <f>_xll.qlIborIndex(,FamilyName,SUBSTITUTE(SUBSTITUTE(B4,"S","1"),"N","D"),C4,Currency,Calendar,E4,D4,F4,,Permanent,Trigger,ObjectOverwrite)</f>
        <v>obj_00218#0004</v>
      </c>
      <c r="H4" s="108" t="str">
        <f t="shared" si="0"/>
        <v>AUDSWD_SYNTH6M_Quote</v>
      </c>
      <c r="I4" s="110"/>
      <c r="J4" s="167" t="str">
        <f>IF(P4,_xll.qlDepositRateHelper(,H4,G4,Permanent,Trigger,ObjectOverwrite),"--")</f>
        <v>obj_0026c#0003</v>
      </c>
      <c r="K4" s="46"/>
      <c r="L4" s="173" t="str">
        <f t="shared" ref="L4:L9" si="3">A4</f>
        <v>Dp</v>
      </c>
      <c r="M4" s="169" t="str">
        <f t="shared" ref="M4:M12" si="4">H4</f>
        <v>AUDSWD_SYNTH6M_Quote</v>
      </c>
      <c r="N4" s="174">
        <f>IFERROR(_xll.qlQuoteValue(H4),"--")</f>
        <v>2.3376000000000001E-2</v>
      </c>
      <c r="O4" s="179"/>
      <c r="P4" s="123" t="b">
        <v>1</v>
      </c>
      <c r="Q4" s="88">
        <v>10</v>
      </c>
      <c r="R4" s="88">
        <v>1</v>
      </c>
      <c r="S4" s="88" t="str">
        <f t="shared" si="1"/>
        <v>obj_0026c#0003</v>
      </c>
      <c r="T4" s="92">
        <f>IFERROR(_xll.qlRateHelperEarliestDate(S4,Trigger),"--")</f>
        <v>42681</v>
      </c>
      <c r="U4" s="92">
        <f>IFERROR(_xll.qlRateHelperPillarDate(S4,Trigger),"--")</f>
        <v>42688</v>
      </c>
      <c r="W4" s="3" t="str">
        <f t="shared" si="2"/>
        <v>Dp</v>
      </c>
      <c r="X4" s="3" t="str">
        <v>obj_0026c</v>
      </c>
      <c r="Y4" s="3" t="str">
        <f>IFERROR(_xll.qlRateHelperQuoteName(X4,Trigger),"")</f>
        <v>AUDSWD_SYNTH6M_Quote</v>
      </c>
      <c r="Z4" s="65">
        <f>IFERROR(_xll.qlRateHelperRate(X4,Trigger),"")</f>
        <v>2.0187E-2</v>
      </c>
      <c r="AA4" s="9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42681</v>
      </c>
      <c r="AC4" s="4">
        <f>IFERROR(_xll.qlRateHelperPillarDate(X4,Trigger),"")</f>
        <v>42688</v>
      </c>
      <c r="AD4" s="71">
        <v>0.99961300188032121</v>
      </c>
      <c r="AE4" s="146"/>
      <c r="AG4" s="99" t="s">
        <v>86</v>
      </c>
      <c r="AK4" s="100">
        <v>0</v>
      </c>
    </row>
    <row r="5" spans="1:39" ht="11.25" customHeight="1" x14ac:dyDescent="0.2">
      <c r="A5" s="56" t="s">
        <v>26</v>
      </c>
      <c r="B5" s="57" t="s">
        <v>39</v>
      </c>
      <c r="C5" s="58">
        <v>0</v>
      </c>
      <c r="D5" s="59" t="b">
        <v>1</v>
      </c>
      <c r="E5" s="59" t="s">
        <v>153</v>
      </c>
      <c r="F5" s="59" t="s">
        <v>154</v>
      </c>
      <c r="G5" s="58" t="str">
        <f>_xll.qlIborIndex(,FamilyName,SUBSTITUTE(SUBSTITUTE(B5,"S","1"),"N","D"),C5,Currency,Calendar,E5,D5,F5,,Permanent,Trigger,ObjectOverwrite)</f>
        <v>obj_00214#0004</v>
      </c>
      <c r="H5" s="108" t="str">
        <f t="shared" si="0"/>
        <v>AUD2WD_SYNTH6M_Quote</v>
      </c>
      <c r="I5" s="110"/>
      <c r="J5" s="167" t="str">
        <f>IF(P5,_xll.qlDepositRateHelper(,H5,G5,Permanent,Trigger,ObjectOverwrite),"--")</f>
        <v>obj_00262#0003</v>
      </c>
      <c r="K5" s="46"/>
      <c r="L5" s="173" t="str">
        <f t="shared" si="3"/>
        <v>Dp</v>
      </c>
      <c r="M5" s="169" t="str">
        <f t="shared" si="4"/>
        <v>AUD2WD_SYNTH6M_Quote</v>
      </c>
      <c r="N5" s="174">
        <f>IFERROR(_xll.qlQuoteValue(H5),"--")</f>
        <v>2.3397000000000001E-2</v>
      </c>
      <c r="O5" s="179"/>
      <c r="P5" s="123" t="b">
        <v>1</v>
      </c>
      <c r="Q5" s="88">
        <v>10</v>
      </c>
      <c r="R5" s="88">
        <v>1</v>
      </c>
      <c r="S5" s="88" t="str">
        <f t="shared" si="1"/>
        <v>obj_00262#0003</v>
      </c>
      <c r="T5" s="92">
        <f>IFERROR(_xll.qlRateHelperEarliestDate(S5,Trigger),"--")</f>
        <v>42681</v>
      </c>
      <c r="U5" s="92">
        <f>IFERROR(_xll.qlRateHelperPillarDate(S5,Trigger),"--")</f>
        <v>42695</v>
      </c>
      <c r="W5" s="3" t="str">
        <f t="shared" si="2"/>
        <v>Dp</v>
      </c>
      <c r="X5" s="3" t="str">
        <v>obj_00262</v>
      </c>
      <c r="Y5" s="3" t="str">
        <f>IFERROR(_xll.qlRateHelperQuoteName(X5,Trigger),"")</f>
        <v>AUD2WD_SYNTH6M_Quote</v>
      </c>
      <c r="Z5" s="65">
        <f>IFERROR(_xll.qlRateHelperRate(X5,Trigger),"")</f>
        <v>2.0205000000000001E-2</v>
      </c>
      <c r="AA5" s="9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42681</v>
      </c>
      <c r="AC5" s="4">
        <f>IFERROR(_xll.qlRateHelperPillarDate(X5,Trigger),"")</f>
        <v>42695</v>
      </c>
      <c r="AD5" s="71">
        <v>0.99922561383729802</v>
      </c>
      <c r="AE5" s="146"/>
      <c r="AF5" s="74"/>
      <c r="AG5" s="99" t="s">
        <v>87</v>
      </c>
      <c r="AK5" s="100">
        <v>0</v>
      </c>
    </row>
    <row r="6" spans="1:39" ht="11.25" customHeight="1" x14ac:dyDescent="0.2">
      <c r="A6" s="1" t="s">
        <v>26</v>
      </c>
      <c r="B6" s="7" t="s">
        <v>40</v>
      </c>
      <c r="C6" s="6">
        <v>0</v>
      </c>
      <c r="D6" s="8" t="b">
        <v>1</v>
      </c>
      <c r="E6" s="8" t="s">
        <v>153</v>
      </c>
      <c r="F6" s="8" t="s">
        <v>154</v>
      </c>
      <c r="G6" s="6" t="str">
        <f>_xll.qlIborIndex(,FamilyName,SUBSTITUTE(SUBSTITUTE(B6,"S","1"),"N","D"),C6,Currency,Calendar,E6,D6,F6,,Permanent,Trigger,ObjectOverwrite)</f>
        <v>obj_00216#0004</v>
      </c>
      <c r="H6" s="109" t="str">
        <f t="shared" si="0"/>
        <v>AUD3WD_SYNTH6M_Quote</v>
      </c>
      <c r="I6" s="111"/>
      <c r="J6" s="166" t="str">
        <f>IF(P6,_xll.qlDepositRateHelper(,H6,G6,Permanent,Trigger,ObjectOverwrite),"--")</f>
        <v>obj_0026b#0003</v>
      </c>
      <c r="K6" s="46"/>
      <c r="L6" s="173" t="str">
        <f t="shared" si="3"/>
        <v>Dp</v>
      </c>
      <c r="M6" s="169" t="str">
        <f t="shared" si="4"/>
        <v>AUD3WD_SYNTH6M_Quote</v>
      </c>
      <c r="N6" s="174">
        <f>IFERROR(_xll.qlQuoteValue(H6),"--")</f>
        <v>2.3382E-2</v>
      </c>
      <c r="O6" s="179"/>
      <c r="P6" s="123" t="b">
        <v>1</v>
      </c>
      <c r="Q6" s="88">
        <v>10</v>
      </c>
      <c r="R6" s="88">
        <v>1</v>
      </c>
      <c r="S6" s="88" t="str">
        <f t="shared" si="1"/>
        <v>obj_0026b#0003</v>
      </c>
      <c r="T6" s="92">
        <f>IFERROR(_xll.qlRateHelperEarliestDate(S6,Trigger),"--")</f>
        <v>42681</v>
      </c>
      <c r="U6" s="92">
        <f>IFERROR(_xll.qlRateHelperPillarDate(S6,Trigger),"--")</f>
        <v>42702</v>
      </c>
      <c r="W6" s="3" t="str">
        <f t="shared" si="2"/>
        <v>Dp</v>
      </c>
      <c r="X6" s="3" t="str">
        <v>obj_0026b</v>
      </c>
      <c r="Y6" s="3" t="str">
        <f>IFERROR(_xll.qlRateHelperQuoteName(X6,Trigger),"")</f>
        <v>AUD3WD_SYNTH6M_Quote</v>
      </c>
      <c r="Z6" s="65">
        <f>IFERROR(_xll.qlRateHelperRate(X6,Trigger),"")</f>
        <v>2.0215E-2</v>
      </c>
      <c r="AA6" s="9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42681</v>
      </c>
      <c r="AC6" s="4">
        <f>IFERROR(_xll.qlRateHelperPillarDate(X6,Trigger),"")</f>
        <v>42702</v>
      </c>
      <c r="AD6" s="71">
        <v>0.99883829633050214</v>
      </c>
      <c r="AE6" s="146"/>
      <c r="AG6" s="99" t="s">
        <v>88</v>
      </c>
      <c r="AK6" s="101" t="s">
        <v>89</v>
      </c>
    </row>
    <row r="7" spans="1:39" ht="11.25" customHeight="1" x14ac:dyDescent="0.2">
      <c r="A7" s="51" t="s">
        <v>26</v>
      </c>
      <c r="B7" s="52" t="s">
        <v>2</v>
      </c>
      <c r="C7" s="116"/>
      <c r="D7" s="116"/>
      <c r="E7" s="116"/>
      <c r="F7" s="116"/>
      <c r="G7" s="53" t="str">
        <f t="shared" ref="G7:G12" si="5">PROPER(Currency)&amp;FamilyName&amp;B7</f>
        <v>AudBBSW1M</v>
      </c>
      <c r="H7" s="125" t="str">
        <f t="shared" si="0"/>
        <v>AUD1MD_SYNTH6M_Quote</v>
      </c>
      <c r="I7" s="116"/>
      <c r="J7" s="165" t="str">
        <f>IF(P7,_xll.qlDepositRateHelper(,H7,G7,Permanent,Trigger,ObjectOverwrite),"--")</f>
        <v>obj_00263#0003</v>
      </c>
      <c r="K7" s="46"/>
      <c r="L7" s="173" t="str">
        <f t="shared" si="3"/>
        <v>Dp</v>
      </c>
      <c r="M7" s="169" t="str">
        <f t="shared" si="4"/>
        <v>AUD1MD_SYNTH6M_Quote</v>
      </c>
      <c r="N7" s="174">
        <f>IFERROR(_xll.qlQuoteValue(H7),"--")</f>
        <v>2.3299E-2</v>
      </c>
      <c r="O7" s="179"/>
      <c r="P7" s="123" t="b">
        <v>1</v>
      </c>
      <c r="Q7" s="88">
        <v>10</v>
      </c>
      <c r="R7" s="88">
        <v>1</v>
      </c>
      <c r="S7" s="88" t="str">
        <f t="shared" si="1"/>
        <v>obj_00263#0003</v>
      </c>
      <c r="T7" s="92">
        <f>IFERROR(_xll.qlRateHelperEarliestDate(S7,Trigger),"--")</f>
        <v>42681</v>
      </c>
      <c r="U7" s="92">
        <f>IFERROR(_xll.qlRateHelperPillarDate(S7,Trigger),"--")</f>
        <v>42711</v>
      </c>
      <c r="W7" s="3" t="str">
        <f t="shared" si="2"/>
        <v>Dp</v>
      </c>
      <c r="X7" s="3" t="str">
        <v>obj_00263</v>
      </c>
      <c r="Y7" s="3" t="str">
        <f>IFERROR(_xll.qlRateHelperQuoteName(X7,Trigger),"")</f>
        <v>AUD1MD_SYNTH6M_Quote</v>
      </c>
      <c r="Z7" s="65">
        <f>IFERROR(_xll.qlRateHelperRate(X7,Trigger),"")</f>
        <v>2.0208E-2</v>
      </c>
      <c r="AA7" s="9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42681</v>
      </c>
      <c r="AC7" s="4">
        <f>IFERROR(_xll.qlRateHelperPillarDate(X7,Trigger),"")</f>
        <v>42711</v>
      </c>
      <c r="AD7" s="71">
        <v>0.9983418226122428</v>
      </c>
      <c r="AE7" s="146"/>
    </row>
    <row r="8" spans="1:39" ht="11.25" customHeight="1" x14ac:dyDescent="0.2">
      <c r="A8" s="56" t="s">
        <v>26</v>
      </c>
      <c r="B8" s="57" t="s">
        <v>41</v>
      </c>
      <c r="C8" s="110"/>
      <c r="D8" s="110"/>
      <c r="E8" s="110"/>
      <c r="F8" s="110"/>
      <c r="G8" s="58" t="str">
        <f t="shared" si="5"/>
        <v>AudBBSW2M</v>
      </c>
      <c r="H8" s="108" t="str">
        <f t="shared" si="0"/>
        <v>AUD2MD_SYNTH6M_Quote</v>
      </c>
      <c r="I8" s="110"/>
      <c r="J8" s="167" t="str">
        <f>IF(P8,_xll.qlDepositRateHelper(,H8,G8,Permanent,Trigger,ObjectOverwrite),"--")</f>
        <v>obj_00256#0003</v>
      </c>
      <c r="K8" s="46"/>
      <c r="L8" s="173" t="str">
        <f t="shared" si="3"/>
        <v>Dp</v>
      </c>
      <c r="M8" s="169" t="str">
        <f t="shared" si="4"/>
        <v>AUD2MD_SYNTH6M_Quote</v>
      </c>
      <c r="N8" s="174">
        <f>IFERROR(_xll.qlQuoteValue(H8),"--")</f>
        <v>2.2595000000000001E-2</v>
      </c>
      <c r="O8" s="179"/>
      <c r="P8" s="123" t="b">
        <v>1</v>
      </c>
      <c r="Q8" s="88">
        <v>10</v>
      </c>
      <c r="R8" s="88">
        <v>1</v>
      </c>
      <c r="S8" s="88" t="str">
        <f t="shared" si="1"/>
        <v>obj_00256#0003</v>
      </c>
      <c r="T8" s="92">
        <f>IFERROR(_xll.qlRateHelperEarliestDate(S8,Trigger),"--")</f>
        <v>42681</v>
      </c>
      <c r="U8" s="92">
        <f>IFERROR(_xll.qlRateHelperPillarDate(S8,Trigger),"--")</f>
        <v>42744</v>
      </c>
      <c r="W8" s="3" t="str">
        <f t="shared" si="2"/>
        <v>Dp</v>
      </c>
      <c r="X8" s="3" t="str">
        <v>obj_00256</v>
      </c>
      <c r="Y8" s="3" t="str">
        <f>IFERROR(_xll.qlRateHelperQuoteName(X8,Trigger),"")</f>
        <v>AUD2MD_SYNTH6M_Quote</v>
      </c>
      <c r="Z8" s="65">
        <f>IFERROR(_xll.qlRateHelperRate(X8,Trigger),"")</f>
        <v>2.0126999999999999E-2</v>
      </c>
      <c r="AA8" s="9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42681</v>
      </c>
      <c r="AC8" s="4">
        <f>IFERROR(_xll.qlRateHelperPillarDate(X8,Trigger),"")</f>
        <v>42744</v>
      </c>
      <c r="AD8" s="71">
        <v>0.99653805138167117</v>
      </c>
      <c r="AE8" s="146"/>
    </row>
    <row r="9" spans="1:39" ht="11.25" customHeight="1" x14ac:dyDescent="0.2">
      <c r="A9" s="56" t="s">
        <v>26</v>
      </c>
      <c r="B9" s="57" t="s">
        <v>0</v>
      </c>
      <c r="C9" s="110"/>
      <c r="D9" s="110"/>
      <c r="E9" s="110"/>
      <c r="F9" s="110"/>
      <c r="G9" s="58" t="str">
        <f t="shared" si="5"/>
        <v>AudBBSW3M</v>
      </c>
      <c r="H9" s="108" t="str">
        <f t="shared" si="0"/>
        <v>AUD3MD_SYNTH6M_Quote</v>
      </c>
      <c r="I9" s="110"/>
      <c r="J9" s="167" t="str">
        <f>IF(P9,_xll.qlDepositRateHelper(,H9,G9,Permanent,Trigger,ObjectOverwrite),"--")</f>
        <v>obj_0026a#0003</v>
      </c>
      <c r="K9" s="46"/>
      <c r="L9" s="173" t="str">
        <f t="shared" si="3"/>
        <v>Dp</v>
      </c>
      <c r="M9" s="169" t="str">
        <f t="shared" si="4"/>
        <v>AUD3MD_SYNTH6M_Quote</v>
      </c>
      <c r="N9" s="174">
        <f>IFERROR(_xll.qlQuoteValue(H9),"--")</f>
        <v>2.2251E-2</v>
      </c>
      <c r="O9" s="179"/>
      <c r="P9" s="123" t="b">
        <v>1</v>
      </c>
      <c r="Q9" s="88">
        <v>10</v>
      </c>
      <c r="R9" s="88">
        <v>1</v>
      </c>
      <c r="S9" s="88" t="str">
        <f t="shared" si="1"/>
        <v>obj_0026a#0003</v>
      </c>
      <c r="T9" s="92">
        <f>IFERROR(_xll.qlRateHelperEarliestDate(S9,Trigger),"--")</f>
        <v>42681</v>
      </c>
      <c r="U9" s="92">
        <f>IFERROR(_xll.qlRateHelperPillarDate(S9,Trigger),"--")</f>
        <v>42773</v>
      </c>
      <c r="W9" s="3" t="str">
        <f t="shared" si="2"/>
        <v>Dp</v>
      </c>
      <c r="X9" s="3" t="str">
        <v>obj_0026a</v>
      </c>
      <c r="Y9" s="3" t="str">
        <f>IFERROR(_xll.qlRateHelperQuoteName(X9,Trigger),"")</f>
        <v>AUD3MD_SYNTH6M_Quote</v>
      </c>
      <c r="Z9" s="65">
        <f>IFERROR(_xll.qlRateHelperRate(X9,Trigger),"")</f>
        <v>2.0146000000000001E-2</v>
      </c>
      <c r="AA9" s="9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42681</v>
      </c>
      <c r="AC9" s="4">
        <f>IFERROR(_xll.qlRateHelperPillarDate(X9,Trigger),"")</f>
        <v>42773</v>
      </c>
      <c r="AD9" s="71">
        <v>0.99494775886408737</v>
      </c>
      <c r="AE9" s="146"/>
      <c r="AH9" s="44" t="s">
        <v>124</v>
      </c>
    </row>
    <row r="10" spans="1:39" ht="11.25" customHeight="1" x14ac:dyDescent="0.2">
      <c r="A10" s="56" t="s">
        <v>26</v>
      </c>
      <c r="B10" s="57" t="s">
        <v>42</v>
      </c>
      <c r="C10" s="110"/>
      <c r="D10" s="110"/>
      <c r="E10" s="110"/>
      <c r="F10" s="110"/>
      <c r="G10" s="58" t="str">
        <f t="shared" si="5"/>
        <v>AudBBSW4M</v>
      </c>
      <c r="H10" s="108" t="str">
        <f t="shared" si="0"/>
        <v>AUD4MD_SYNTH6M_Quote</v>
      </c>
      <c r="I10" s="110"/>
      <c r="J10" s="167" t="str">
        <f>IF(P10,_xll.qlDepositRateHelper(,H10,G10,Permanent,Trigger,ObjectOverwrite),"--")</f>
        <v>obj_00269#0003</v>
      </c>
      <c r="K10" s="46"/>
      <c r="L10" s="173" t="str">
        <f t="shared" ref="L10:L12" si="6">A10</f>
        <v>Dp</v>
      </c>
      <c r="M10" s="169" t="str">
        <f t="shared" si="4"/>
        <v>AUD4MD_SYNTH6M_Quote</v>
      </c>
      <c r="N10" s="174">
        <f>IFERROR(_xll.qlQuoteValue(H10),"--")</f>
        <v>2.1961000000000001E-2</v>
      </c>
      <c r="O10" s="179"/>
      <c r="P10" s="123" t="b">
        <v>1</v>
      </c>
      <c r="Q10" s="88">
        <v>10</v>
      </c>
      <c r="R10" s="88">
        <v>1</v>
      </c>
      <c r="S10" s="88" t="str">
        <f t="shared" si="1"/>
        <v>obj_00269#0003</v>
      </c>
      <c r="T10" s="92">
        <f>IFERROR(_xll.qlRateHelperEarliestDate(S10,Trigger),"--")</f>
        <v>42681</v>
      </c>
      <c r="U10" s="92">
        <f>IFERROR(_xll.qlRateHelperPillarDate(S10,Trigger),"--")</f>
        <v>42801</v>
      </c>
      <c r="W10" s="3" t="str">
        <f t="shared" si="2"/>
        <v>Dp</v>
      </c>
      <c r="X10" s="3" t="str">
        <v>obj_00269</v>
      </c>
      <c r="Y10" s="3" t="str">
        <f>IFERROR(_xll.qlRateHelperQuoteName(X10,Trigger),"")</f>
        <v>AUD4MD_SYNTH6M_Quote</v>
      </c>
      <c r="Z10" s="65">
        <f>IFERROR(_xll.qlRateHelperRate(X10,Trigger),"")</f>
        <v>2.0115999999999998E-2</v>
      </c>
      <c r="AA10" s="9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42681</v>
      </c>
      <c r="AC10" s="4">
        <f>IFERROR(_xll.qlRateHelperPillarDate(X10,Trigger),"")</f>
        <v>42801</v>
      </c>
      <c r="AD10" s="71">
        <v>0.99342997129776689</v>
      </c>
      <c r="AE10" s="146"/>
      <c r="AF10" s="67" t="s">
        <v>118</v>
      </c>
      <c r="AG10" s="67" t="s">
        <v>119</v>
      </c>
      <c r="AH10" s="67" t="s">
        <v>120</v>
      </c>
      <c r="AI10" s="67" t="s">
        <v>128</v>
      </c>
      <c r="AJ10" s="67" t="s">
        <v>121</v>
      </c>
      <c r="AK10" s="67" t="s">
        <v>129</v>
      </c>
      <c r="AL10" s="67" t="s">
        <v>122</v>
      </c>
      <c r="AM10" s="67" t="s">
        <v>123</v>
      </c>
    </row>
    <row r="11" spans="1:39" ht="11.25" customHeight="1" x14ac:dyDescent="0.2">
      <c r="A11" s="56" t="s">
        <v>26</v>
      </c>
      <c r="B11" s="57" t="s">
        <v>43</v>
      </c>
      <c r="C11" s="110"/>
      <c r="D11" s="110"/>
      <c r="E11" s="110"/>
      <c r="F11" s="110"/>
      <c r="G11" s="58" t="str">
        <f t="shared" si="5"/>
        <v>AudBBSW5M</v>
      </c>
      <c r="H11" s="108" t="str">
        <f t="shared" si="0"/>
        <v>AUD5MD_SYNTH6M_Quote</v>
      </c>
      <c r="I11" s="110"/>
      <c r="J11" s="167" t="str">
        <f>IF(P11,_xll.qlDepositRateHelper(,H11,G11,Permanent,Trigger,ObjectOverwrite),"--")</f>
        <v>obj_00266#0003</v>
      </c>
      <c r="K11" s="46"/>
      <c r="L11" s="173" t="str">
        <f t="shared" si="6"/>
        <v>Dp</v>
      </c>
      <c r="M11" s="169" t="str">
        <f t="shared" si="4"/>
        <v>AUD5MD_SYNTH6M_Quote</v>
      </c>
      <c r="N11" s="174">
        <f>IFERROR(_xll.qlQuoteValue(H11),"--")</f>
        <v>2.1724E-2</v>
      </c>
      <c r="O11" s="179"/>
      <c r="P11" s="123" t="b">
        <v>1</v>
      </c>
      <c r="Q11" s="88">
        <v>10</v>
      </c>
      <c r="R11" s="88">
        <v>1</v>
      </c>
      <c r="S11" s="88" t="str">
        <f t="shared" si="1"/>
        <v>obj_00266#0003</v>
      </c>
      <c r="T11" s="92">
        <f>IFERROR(_xll.qlRateHelperEarliestDate(S11,Trigger),"--")</f>
        <v>42681</v>
      </c>
      <c r="U11" s="92">
        <f>IFERROR(_xll.qlRateHelperPillarDate(S11,Trigger),"--")</f>
        <v>42832</v>
      </c>
      <c r="W11" s="3" t="str">
        <f t="shared" si="2"/>
        <v>Dp</v>
      </c>
      <c r="X11" s="3" t="str">
        <v>obj_00266</v>
      </c>
      <c r="Y11" s="3" t="str">
        <f>IFERROR(_xll.qlRateHelperQuoteName(X11,Trigger),"")</f>
        <v>AUD5MD_SYNTH6M_Quote</v>
      </c>
      <c r="Z11" s="65">
        <f>IFERROR(_xll.qlRateHelperRate(X11,Trigger),"")</f>
        <v>2.0042000000000001E-2</v>
      </c>
      <c r="AA11" s="9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42681</v>
      </c>
      <c r="AC11" s="4">
        <f>IFERROR(_xll.qlRateHelperPillarDate(X11,Trigger),"")</f>
        <v>42832</v>
      </c>
      <c r="AD11" s="71">
        <v>0.99177683319201093</v>
      </c>
      <c r="AE11" s="146"/>
      <c r="AF11" s="128">
        <v>1</v>
      </c>
      <c r="AG11" s="129">
        <f>_xll.qlCalendarEndOfMonth(Calendar,Settlementdate,Trigger)</f>
        <v>42704</v>
      </c>
      <c r="AH11" s="128" t="str">
        <f t="shared" ref="AH11:AH23" si="7">Currency&amp;$AH$9&amp;AF11&amp;JumpSuffix&amp;QuoteSuffix</f>
        <v>AUDJump1_SYNTHON_Quote</v>
      </c>
      <c r="AI11" s="150">
        <f>_xll.qlDayCounterYearFraction("actual/360",AG11,_xll.qlCalendarAdvance(Calendar,AG11,"1D",,,Trigger))</f>
        <v>2.7777777777777779E-3</v>
      </c>
      <c r="AJ11" s="130" t="e">
        <f>IF(_xll.qlQuoteIsValid(AH11,Trigger),_xll.qlQuoteValue(AH11,Trigger),1)</f>
        <v>#NUM!</v>
      </c>
      <c r="AK11" s="153" t="e">
        <f>-LN(AJ11)/AI11</f>
        <v>#NUM!</v>
      </c>
      <c r="AL11" s="131"/>
      <c r="AM11" s="130" t="str">
        <f>IF(ISBLANK(AL11),AH11,EXP(-AL11*AI11))</f>
        <v>AUDJump1_SYNTHON_Quote</v>
      </c>
    </row>
    <row r="12" spans="1:39" ht="11.25" customHeight="1" x14ac:dyDescent="0.2">
      <c r="A12" s="1" t="s">
        <v>26</v>
      </c>
      <c r="B12" s="7" t="s">
        <v>3</v>
      </c>
      <c r="C12" s="111"/>
      <c r="D12" s="111"/>
      <c r="E12" s="111"/>
      <c r="F12" s="111"/>
      <c r="G12" s="6" t="str">
        <f t="shared" si="5"/>
        <v>AudBBSW6M</v>
      </c>
      <c r="H12" s="109" t="str">
        <f t="shared" si="0"/>
        <v>AUD6MD_SYNTH6M_Quote</v>
      </c>
      <c r="I12" s="111"/>
      <c r="J12" s="166" t="str">
        <f>IF(P12,_xll.qlDepositRateHelper(,H12,G12,Permanent,Trigger,ObjectOverwrite),"--")</f>
        <v>obj_00268#0003</v>
      </c>
      <c r="K12" s="46" t="s">
        <v>35</v>
      </c>
      <c r="L12" s="175" t="str">
        <f t="shared" si="6"/>
        <v>Dp</v>
      </c>
      <c r="M12" s="176" t="str">
        <f t="shared" si="4"/>
        <v>AUD6MD_SYNTH6M_Quote</v>
      </c>
      <c r="N12" s="177">
        <f>IFERROR(_xll.qlQuoteValue(H12),"--")</f>
        <v>2.145E-2</v>
      </c>
      <c r="O12" s="180"/>
      <c r="P12" s="124" t="b">
        <v>1</v>
      </c>
      <c r="Q12" s="89">
        <v>10</v>
      </c>
      <c r="R12" s="89">
        <v>1</v>
      </c>
      <c r="S12" s="89" t="str">
        <f t="shared" si="1"/>
        <v>obj_00268#0003</v>
      </c>
      <c r="T12" s="94">
        <f>IFERROR(_xll.qlRateHelperEarliestDate(S12,Trigger),"--")</f>
        <v>42681</v>
      </c>
      <c r="U12" s="94">
        <f>IFERROR(_xll.qlRateHelperPillarDate(S12,Trigger),"--")</f>
        <v>42863</v>
      </c>
      <c r="W12" s="3" t="str">
        <f t="shared" si="2"/>
        <v>Dp</v>
      </c>
      <c r="X12" s="3" t="str">
        <v>obj_00268</v>
      </c>
      <c r="Y12" s="3" t="str">
        <f>IFERROR(_xll.qlRateHelperQuoteName(X12,Trigger),"")</f>
        <v>AUD6MD_SYNTH6M_Quote</v>
      </c>
      <c r="Z12" s="65">
        <f>IFERROR(_xll.qlRateHelperRate(X12,Trigger),"")</f>
        <v>1.9993E-2</v>
      </c>
      <c r="AA12" s="9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42681</v>
      </c>
      <c r="AC12" s="4">
        <f>IFERROR(_xll.qlRateHelperPillarDate(X12,Trigger),"")</f>
        <v>42863</v>
      </c>
      <c r="AD12" s="71">
        <v>0.99012928988909332</v>
      </c>
      <c r="AE12" s="146"/>
      <c r="AF12" s="132">
        <v>2</v>
      </c>
      <c r="AG12" s="133">
        <f>_xll.qlCalendarEndOfMonth(Calendar,_xll.qlCalendarAdvance(Calendar,AG11,"1m","mf",TRUE),Trigger)</f>
        <v>42734</v>
      </c>
      <c r="AH12" s="132" t="str">
        <f t="shared" si="7"/>
        <v>AUDJump2_SYNTHON_Quote</v>
      </c>
      <c r="AI12" s="151">
        <f>_xll.qlDayCounterYearFraction("actual/360",AG12,_xll.qlCalendarAdvance(Calendar,AG12,"1D",,,Trigger))</f>
        <v>8.3333333333333332E-3</v>
      </c>
      <c r="AJ12" s="134" t="e">
        <f>IF(_xll.qlQuoteIsValid(AH12,Trigger),_xll.qlQuoteValue(AH12,Trigger),1)</f>
        <v>#NUM!</v>
      </c>
      <c r="AK12" s="154" t="e">
        <f t="shared" ref="AK12:AK23" si="8">-LN(AJ12)/AI12</f>
        <v>#NUM!</v>
      </c>
      <c r="AL12" s="135"/>
      <c r="AM12" s="134" t="str">
        <f t="shared" ref="AM12:AM23" si="9">IF(ISBLANK(AL12),AH12,EXP(-AL12*AI12))</f>
        <v>AUDJump2_SYNTHON_Quote</v>
      </c>
    </row>
    <row r="13" spans="1:39" ht="11.25" customHeight="1" x14ac:dyDescent="0.2">
      <c r="B13" s="44"/>
      <c r="C13" s="44"/>
      <c r="D13" s="44"/>
      <c r="E13" s="44"/>
      <c r="F13" s="44"/>
      <c r="G13" s="44"/>
      <c r="H13" s="44"/>
      <c r="K13" s="46"/>
      <c r="L13" s="171" t="str">
        <f>A15</f>
        <v>FRA</v>
      </c>
      <c r="M13" s="168" t="str">
        <f>H15</f>
        <v>AUD1x7F_Quote</v>
      </c>
      <c r="N13" s="172" t="str">
        <f>IFERROR(_xll.qlQuoteValue(H15),"--")</f>
        <v>--</v>
      </c>
      <c r="O13" s="178"/>
      <c r="P13" s="121" t="b">
        <v>0</v>
      </c>
      <c r="Q13" s="118">
        <v>20</v>
      </c>
      <c r="R13" s="118">
        <v>1</v>
      </c>
      <c r="S13" s="118" t="str">
        <f t="shared" ref="S13:S21" si="10">J15</f>
        <v>--</v>
      </c>
      <c r="T13" s="120" t="str">
        <f>IFERROR(_xll.qlRateHelperEarliestDate(S13,Trigger),"--")</f>
        <v>--</v>
      </c>
      <c r="U13" s="120" t="str">
        <f>IFERROR(_xll.qlRateHelperPillarDate(S13,Trigger),"--")</f>
        <v>--</v>
      </c>
      <c r="W13" s="3" t="str">
        <f t="shared" si="2"/>
        <v>BasSw</v>
      </c>
      <c r="X13" s="3" t="str">
        <v>obj_00249</v>
      </c>
      <c r="Y13" s="3" t="str">
        <f>IFERROR(_xll.qlRateHelperQuoteName(X13,Trigger),"")</f>
        <v>AUDQM3AB1Y_S3BR6BR_Quote</v>
      </c>
      <c r="Z13" s="65">
        <f>IFERROR(_xll.qlRateHelperRate(X13,Trigger),"")</f>
        <v>1.9736236426983397E-2</v>
      </c>
      <c r="AA13" s="96">
        <f>IF(ISERROR(_xll.qlSwapRateHelperSpread($X13)),IF(ISERROR(_xll.qlFuturesRateHelperConvexityAdjustment($X13)),"",_xll.qlFuturesRateHelperConvexityAdjustment($X13)),_xll.qlSwapRateHelperSpread($X13))</f>
        <v>0</v>
      </c>
      <c r="AB13" s="4">
        <f>IFERROR(_xll.qlRateHelperEarliestDate(X13,Trigger),"")</f>
        <v>42682</v>
      </c>
      <c r="AC13" s="4">
        <f>IFERROR(_xll.qlRateHelperPillarDate(X13,Trigger),"")</f>
        <v>43047</v>
      </c>
      <c r="AD13" s="71">
        <v>0.98046463149918106</v>
      </c>
      <c r="AE13" s="146"/>
      <c r="AF13" s="132">
        <v>3</v>
      </c>
      <c r="AG13" s="133">
        <f>_xll.qlCalendarEndOfMonth(Calendar,_xll.qlCalendarAdvance(Calendar,AG12,"1m","mf",TRUE),Trigger)</f>
        <v>42766</v>
      </c>
      <c r="AH13" s="132" t="str">
        <f t="shared" si="7"/>
        <v>AUDJump3_SYNTHON_Quote</v>
      </c>
      <c r="AI13" s="151">
        <f>_xll.qlDayCounterYearFraction("actual/360",AG13,_xll.qlCalendarAdvance(Calendar,AG13,"1D",,,Trigger))</f>
        <v>2.7777777777777779E-3</v>
      </c>
      <c r="AJ13" s="134" t="e">
        <f>IF(_xll.qlQuoteIsValid(AH13,Trigger),_xll.qlQuoteValue(AH13,Trigger),1)</f>
        <v>#NUM!</v>
      </c>
      <c r="AK13" s="154" t="e">
        <f t="shared" si="8"/>
        <v>#NUM!</v>
      </c>
      <c r="AL13" s="135"/>
      <c r="AM13" s="134" t="str">
        <f t="shared" si="9"/>
        <v>AUDJump3_SYNTHON_Quote</v>
      </c>
    </row>
    <row r="14" spans="1:39" ht="11.25" customHeight="1" x14ac:dyDescent="0.2">
      <c r="A14" s="61" t="s">
        <v>8</v>
      </c>
      <c r="B14" s="61" t="s">
        <v>91</v>
      </c>
      <c r="C14" s="61" t="s">
        <v>92</v>
      </c>
      <c r="D14" s="61"/>
      <c r="E14" s="61"/>
      <c r="F14" s="61"/>
      <c r="G14" s="61" t="s">
        <v>4</v>
      </c>
      <c r="H14" s="61" t="s">
        <v>1</v>
      </c>
      <c r="I14" s="61"/>
      <c r="J14" s="61" t="s">
        <v>24</v>
      </c>
      <c r="K14" s="46"/>
      <c r="L14" s="173" t="str">
        <f t="shared" ref="L14:L21" si="11">A16</f>
        <v>FRA</v>
      </c>
      <c r="M14" s="169" t="str">
        <f t="shared" ref="M14:M21" si="12">H16</f>
        <v>AUD2x8F_Quote</v>
      </c>
      <c r="N14" s="174" t="str">
        <f>IFERROR(_xll.qlQuoteValue(H16),"--")</f>
        <v>--</v>
      </c>
      <c r="O14" s="179"/>
      <c r="P14" s="123" t="b">
        <v>0</v>
      </c>
      <c r="Q14" s="88">
        <v>20</v>
      </c>
      <c r="R14" s="88">
        <v>1</v>
      </c>
      <c r="S14" s="88" t="str">
        <f t="shared" si="10"/>
        <v>--</v>
      </c>
      <c r="T14" s="92" t="str">
        <f>IFERROR(_xll.qlRateHelperEarliestDate(S14,Trigger),"--")</f>
        <v>--</v>
      </c>
      <c r="U14" s="92" t="str">
        <f>IFERROR(_xll.qlRateHelperPillarDate(S14,Trigger),"--")</f>
        <v>--</v>
      </c>
      <c r="W14" s="3" t="str">
        <f t="shared" si="2"/>
        <v>BasSw</v>
      </c>
      <c r="X14" s="3" t="str">
        <v>obj_0023b</v>
      </c>
      <c r="Y14" s="3" t="str">
        <f>IFERROR(_xll.qlRateHelperQuoteName(X14,Trigger),"")</f>
        <v>AUDQM3AB2Y_S3BR6BR_Quote</v>
      </c>
      <c r="Z14" s="65">
        <f>IFERROR(_xll.qlRateHelperRate(X14,Trigger),"")</f>
        <v>1.9926480958310715E-2</v>
      </c>
      <c r="AA14" s="96">
        <f>IF(ISERROR(_xll.qlSwapRateHelperSpread($X14)),IF(ISERROR(_xll.qlFuturesRateHelperConvexityAdjustment($X14)),"",_xll.qlFuturesRateHelperConvexityAdjustment($X14)),_xll.qlSwapRateHelperSpread($X14))</f>
        <v>0</v>
      </c>
      <c r="AB14" s="4">
        <f>IFERROR(_xll.qlRateHelperEarliestDate(X14,Trigger),"")</f>
        <v>42682</v>
      </c>
      <c r="AC14" s="4">
        <f>IFERROR(_xll.qlRateHelperPillarDate(X14,Trigger),"")</f>
        <v>43412</v>
      </c>
      <c r="AD14" s="71">
        <v>0.96099392840502595</v>
      </c>
      <c r="AE14" s="146"/>
      <c r="AF14" s="132">
        <v>4</v>
      </c>
      <c r="AG14" s="133">
        <f>_xll.qlCalendarEndOfMonth(Calendar,_xll.qlCalendarAdvance(Calendar,AG13,"1m","mf",TRUE),Trigger)</f>
        <v>42794</v>
      </c>
      <c r="AH14" s="132" t="str">
        <f t="shared" si="7"/>
        <v>AUDJump4_SYNTHON_Quote</v>
      </c>
      <c r="AI14" s="151">
        <f>_xll.qlDayCounterYearFraction("actual/360",AG14,_xll.qlCalendarAdvance(Calendar,AG14,"1D",,,Trigger))</f>
        <v>2.7777777777777779E-3</v>
      </c>
      <c r="AJ14" s="134" t="e">
        <f>IF(_xll.qlQuoteIsValid(AH14,Trigger),_xll.qlQuoteValue(AH14,Trigger),1)</f>
        <v>#NUM!</v>
      </c>
      <c r="AK14" s="154" t="e">
        <f t="shared" si="8"/>
        <v>#NUM!</v>
      </c>
      <c r="AL14" s="135"/>
      <c r="AM14" s="134" t="str">
        <f t="shared" si="9"/>
        <v>AUDJump4_SYNTHON_Quote</v>
      </c>
    </row>
    <row r="15" spans="1:39" ht="11.25" customHeight="1" x14ac:dyDescent="0.2">
      <c r="A15" s="51" t="s">
        <v>93</v>
      </c>
      <c r="B15" s="102">
        <v>1</v>
      </c>
      <c r="C15" s="54" t="str">
        <f t="shared" ref="C15:C23" si="13">"x"&amp;B15+SUBSTITUTE($G$1,"M","")&amp;"F"</f>
        <v>x7F</v>
      </c>
      <c r="D15" s="116"/>
      <c r="E15" s="116"/>
      <c r="F15" s="116"/>
      <c r="G15" s="53" t="str">
        <f t="shared" ref="G15:G23" si="14">PROPER(Currency)&amp;FamilyName&amp;$G$1</f>
        <v>AudBBSW6M</v>
      </c>
      <c r="H15" s="105" t="str">
        <f t="shared" ref="H15:H23" si="15">Currency&amp;B15&amp;C15&amp;QuoteSuffix</f>
        <v>AUD1x7F_Quote</v>
      </c>
      <c r="I15" s="116"/>
      <c r="J15" s="165" t="str">
        <f>IF(P13,_xll.qlFraRateHelper(,H15,B15&amp;"M",G15,PillarDate,,Permanent,Trigger,ObjectOverwrite),"--")</f>
        <v>--</v>
      </c>
      <c r="K15" s="46"/>
      <c r="L15" s="173" t="str">
        <f t="shared" si="11"/>
        <v>FRA</v>
      </c>
      <c r="M15" s="169" t="str">
        <f t="shared" si="12"/>
        <v>AUD3x9F_Quote</v>
      </c>
      <c r="N15" s="174" t="str">
        <f>IFERROR(_xll.qlQuoteValue(H17),"--")</f>
        <v>--</v>
      </c>
      <c r="O15" s="179"/>
      <c r="P15" s="123" t="b">
        <v>0</v>
      </c>
      <c r="Q15" s="88">
        <v>20</v>
      </c>
      <c r="R15" s="88">
        <v>1</v>
      </c>
      <c r="S15" s="88" t="str">
        <f t="shared" si="10"/>
        <v>--</v>
      </c>
      <c r="T15" s="92" t="str">
        <f>IFERROR(_xll.qlRateHelperEarliestDate(S15,Trigger),"--")</f>
        <v>--</v>
      </c>
      <c r="U15" s="92" t="str">
        <f>IFERROR(_xll.qlRateHelperPillarDate(S15,Trigger),"--")</f>
        <v>--</v>
      </c>
      <c r="W15" s="3" t="str">
        <f t="shared" si="2"/>
        <v>BasSw</v>
      </c>
      <c r="X15" s="3" t="str">
        <v>obj_0024d</v>
      </c>
      <c r="Y15" s="3" t="str">
        <f>IFERROR(_xll.qlRateHelperQuoteName(X15,Trigger),"")</f>
        <v>AUDQM3AB3Y_S3BR6BR_Quote</v>
      </c>
      <c r="Z15" s="65">
        <f>IFERROR(_xll.qlRateHelperRate(X15,Trigger),"")</f>
        <v>2.0444033689970012E-2</v>
      </c>
      <c r="AA15" s="96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42682</v>
      </c>
      <c r="AC15" s="4">
        <f>IFERROR(_xll.qlRateHelperPillarDate(X15,Trigger),"")</f>
        <v>43777</v>
      </c>
      <c r="AD15" s="71">
        <v>0.94061279279511589</v>
      </c>
      <c r="AE15" s="146"/>
      <c r="AF15" s="132">
        <v>5</v>
      </c>
      <c r="AG15" s="133">
        <f>_xll.qlCalendarEndOfMonth(Calendar,_xll.qlCalendarAdvance(Calendar,AG14,"1m","mf",TRUE),Trigger)</f>
        <v>42825</v>
      </c>
      <c r="AH15" s="132" t="str">
        <f t="shared" si="7"/>
        <v>AUDJump5_SYNTHON_Quote</v>
      </c>
      <c r="AI15" s="151">
        <f>_xll.qlDayCounterYearFraction("actual/360",AG15,_xll.qlCalendarAdvance(Calendar,AG15,"1D",,,Trigger))</f>
        <v>8.3333333333333332E-3</v>
      </c>
      <c r="AJ15" s="134" t="e">
        <f>IF(_xll.qlQuoteIsValid(AH15,Trigger),_xll.qlQuoteValue(AH15,Trigger),1)</f>
        <v>#NUM!</v>
      </c>
      <c r="AK15" s="154" t="e">
        <f t="shared" si="8"/>
        <v>#NUM!</v>
      </c>
      <c r="AL15" s="135"/>
      <c r="AM15" s="134" t="str">
        <f t="shared" si="9"/>
        <v>AUDJump5_SYNTHON_Quote</v>
      </c>
    </row>
    <row r="16" spans="1:39" ht="11.25" customHeight="1" x14ac:dyDescent="0.2">
      <c r="A16" s="56" t="s">
        <v>93</v>
      </c>
      <c r="B16" s="103">
        <v>2</v>
      </c>
      <c r="C16" s="59" t="str">
        <f t="shared" si="13"/>
        <v>x8F</v>
      </c>
      <c r="D16" s="110"/>
      <c r="E16" s="110"/>
      <c r="F16" s="110"/>
      <c r="G16" s="58" t="str">
        <f t="shared" si="14"/>
        <v>AudBBSW6M</v>
      </c>
      <c r="H16" s="106" t="str">
        <f t="shared" si="15"/>
        <v>AUD2x8F_Quote</v>
      </c>
      <c r="I16" s="110"/>
      <c r="J16" s="167" t="str">
        <f>IF(P14,_xll.qlFraRateHelper(,H16,B16&amp;"M",G16,PillarDate,,Permanent,Trigger,ObjectOverwrite),"--")</f>
        <v>--</v>
      </c>
      <c r="K16" s="46"/>
      <c r="L16" s="173" t="str">
        <f t="shared" si="11"/>
        <v>FRA</v>
      </c>
      <c r="M16" s="169" t="str">
        <f t="shared" si="12"/>
        <v>AUD4x10F_Quote</v>
      </c>
      <c r="N16" s="174" t="str">
        <f>IFERROR(_xll.qlQuoteValue(H18),"--")</f>
        <v>--</v>
      </c>
      <c r="O16" s="179"/>
      <c r="P16" s="123" t="b">
        <v>0</v>
      </c>
      <c r="Q16" s="88">
        <v>20</v>
      </c>
      <c r="R16" s="88">
        <v>1</v>
      </c>
      <c r="S16" s="88" t="str">
        <f t="shared" si="10"/>
        <v>--</v>
      </c>
      <c r="T16" s="92" t="str">
        <f>IFERROR(_xll.qlRateHelperEarliestDate(S16,Trigger),"--")</f>
        <v>--</v>
      </c>
      <c r="U16" s="92" t="str">
        <f>IFERROR(_xll.qlRateHelperPillarDate(S16,Trigger),"--")</f>
        <v>--</v>
      </c>
      <c r="W16" s="3" t="str">
        <f t="shared" si="2"/>
        <v>Sw</v>
      </c>
      <c r="X16" s="3" t="str">
        <v>obj_00259</v>
      </c>
      <c r="Y16" s="3" t="str">
        <f>IFERROR(_xll.qlRateHelperQuoteName(X16,Trigger),"")</f>
        <v>AUDSM6AB4Y_Quote</v>
      </c>
      <c r="Z16" s="65">
        <f>IFERROR(_xll.qlRateHelperRate(X16,Trigger),"")</f>
        <v>2.1112499999999999E-2</v>
      </c>
      <c r="AA16" s="96">
        <f>IF(ISERROR(_xll.qlSwapRateHelperSpread($X16)),IF(ISERROR(_xll.qlFuturesRateHelperConvexityAdjustment($X16)),"",_xll.qlFuturesRateHelperConvexityAdjustment($X16)),_xll.qlSwapRateHelperSpread($X16))</f>
        <v>0</v>
      </c>
      <c r="AB16" s="4">
        <f>IFERROR(_xll.qlRateHelperEarliestDate(X16,Trigger),"")</f>
        <v>42682</v>
      </c>
      <c r="AC16" s="4">
        <f>IFERROR(_xll.qlRateHelperPillarDate(X16,Trigger),"")</f>
        <v>44144</v>
      </c>
      <c r="AD16" s="71">
        <v>0.91918184200286768</v>
      </c>
      <c r="AE16" s="146"/>
      <c r="AF16" s="132">
        <v>6</v>
      </c>
      <c r="AG16" s="133">
        <f>_xll.qlCalendarEndOfMonth(Calendar,_xll.qlCalendarAdvance(Calendar,AG15,"1m","mf",TRUE),Trigger)</f>
        <v>42853</v>
      </c>
      <c r="AH16" s="132" t="str">
        <f t="shared" si="7"/>
        <v>AUDJump6_SYNTHON_Quote</v>
      </c>
      <c r="AI16" s="151">
        <f>_xll.qlDayCounterYearFraction("actual/360",AG16,_xll.qlCalendarAdvance(Calendar,AG16,"1D",,,Trigger))</f>
        <v>8.3333333333333332E-3</v>
      </c>
      <c r="AJ16" s="134" t="e">
        <f>IF(_xll.qlQuoteIsValid(AH16,Trigger),_xll.qlQuoteValue(AH16,Trigger),1)</f>
        <v>#NUM!</v>
      </c>
      <c r="AK16" s="154" t="e">
        <f t="shared" si="8"/>
        <v>#NUM!</v>
      </c>
      <c r="AL16" s="135"/>
      <c r="AM16" s="134" t="str">
        <f t="shared" si="9"/>
        <v>AUDJump6_SYNTHON_Quote</v>
      </c>
    </row>
    <row r="17" spans="1:39" ht="11.25" customHeight="1" x14ac:dyDescent="0.2">
      <c r="A17" s="56" t="s">
        <v>93</v>
      </c>
      <c r="B17" s="103">
        <v>3</v>
      </c>
      <c r="C17" s="59" t="str">
        <f t="shared" si="13"/>
        <v>x9F</v>
      </c>
      <c r="D17" s="110"/>
      <c r="E17" s="110"/>
      <c r="F17" s="110"/>
      <c r="G17" s="58" t="str">
        <f t="shared" si="14"/>
        <v>AudBBSW6M</v>
      </c>
      <c r="H17" s="106" t="str">
        <f t="shared" si="15"/>
        <v>AUD3x9F_Quote</v>
      </c>
      <c r="I17" s="110"/>
      <c r="J17" s="167" t="str">
        <f>IF(P15,_xll.qlFraRateHelper(,H17,B17&amp;"M",G17,PillarDate,,Permanent,Trigger,ObjectOverwrite),"--")</f>
        <v>--</v>
      </c>
      <c r="K17" s="46"/>
      <c r="L17" s="173" t="str">
        <f t="shared" si="11"/>
        <v>FRA</v>
      </c>
      <c r="M17" s="169" t="str">
        <f t="shared" si="12"/>
        <v>AUD5x11F_Quote</v>
      </c>
      <c r="N17" s="174" t="str">
        <f>IFERROR(_xll.qlQuoteValue(H19),"--")</f>
        <v>--</v>
      </c>
      <c r="O17" s="179"/>
      <c r="P17" s="123" t="b">
        <v>0</v>
      </c>
      <c r="Q17" s="88">
        <v>20</v>
      </c>
      <c r="R17" s="88">
        <v>1</v>
      </c>
      <c r="S17" s="88" t="str">
        <f t="shared" si="10"/>
        <v>--</v>
      </c>
      <c r="T17" s="92" t="str">
        <f>IFERROR(_xll.qlRateHelperEarliestDate(S17,Trigger),"--")</f>
        <v>--</v>
      </c>
      <c r="U17" s="92" t="str">
        <f>IFERROR(_xll.qlRateHelperPillarDate(S17,Trigger),"--")</f>
        <v>--</v>
      </c>
      <c r="W17" s="3" t="str">
        <f t="shared" si="2"/>
        <v>Sw</v>
      </c>
      <c r="X17" s="3" t="str">
        <v>obj_0025a</v>
      </c>
      <c r="Y17" s="3" t="str">
        <f>IFERROR(_xll.qlRateHelperQuoteName(X17,Trigger),"")</f>
        <v>AUDSM6AB5Y_Quote</v>
      </c>
      <c r="Z17" s="65">
        <f>IFERROR(_xll.qlRateHelperRate(X17,Trigger),"")</f>
        <v>2.1725000000000005E-2</v>
      </c>
      <c r="AA17" s="96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42682</v>
      </c>
      <c r="AC17" s="4">
        <f>IFERROR(_xll.qlRateHelperPillarDate(X17,Trigger),"")</f>
        <v>44508</v>
      </c>
      <c r="AD17" s="71">
        <v>0.89730475560448031</v>
      </c>
      <c r="AE17" s="146"/>
      <c r="AF17" s="132">
        <v>7</v>
      </c>
      <c r="AG17" s="133">
        <f>_xll.qlCalendarEndOfMonth(Calendar,_xll.qlCalendarAdvance(Calendar,AG16,"1m","mf",TRUE),Trigger)</f>
        <v>42886</v>
      </c>
      <c r="AH17" s="132" t="str">
        <f t="shared" si="7"/>
        <v>AUDJump7_SYNTHON_Quote</v>
      </c>
      <c r="AI17" s="151">
        <f>_xll.qlDayCounterYearFraction("actual/360",AG17,_xll.qlCalendarAdvance(Calendar,AG17,"1D",,,Trigger))</f>
        <v>2.7777777777777779E-3</v>
      </c>
      <c r="AJ17" s="134" t="e">
        <f>IF(_xll.qlQuoteIsValid(AH17,Trigger),_xll.qlQuoteValue(AH17,Trigger),1)</f>
        <v>#NUM!</v>
      </c>
      <c r="AK17" s="154" t="e">
        <f t="shared" si="8"/>
        <v>#NUM!</v>
      </c>
      <c r="AL17" s="135"/>
      <c r="AM17" s="134" t="str">
        <f t="shared" si="9"/>
        <v>AUDJump7_SYNTHON_Quote</v>
      </c>
    </row>
    <row r="18" spans="1:39" ht="11.25" customHeight="1" x14ac:dyDescent="0.2">
      <c r="A18" s="56" t="s">
        <v>93</v>
      </c>
      <c r="B18" s="103">
        <v>4</v>
      </c>
      <c r="C18" s="59" t="str">
        <f t="shared" si="13"/>
        <v>x10F</v>
      </c>
      <c r="D18" s="110"/>
      <c r="E18" s="110"/>
      <c r="F18" s="110"/>
      <c r="G18" s="58" t="str">
        <f t="shared" si="14"/>
        <v>AudBBSW6M</v>
      </c>
      <c r="H18" s="106" t="str">
        <f t="shared" si="15"/>
        <v>AUD4x10F_Quote</v>
      </c>
      <c r="I18" s="110"/>
      <c r="J18" s="167" t="str">
        <f>IF(P16,_xll.qlFraRateHelper(,H18,B18&amp;"M",G18,PillarDate,,Permanent,Trigger,ObjectOverwrite),"--")</f>
        <v>--</v>
      </c>
      <c r="K18" s="46"/>
      <c r="L18" s="173" t="str">
        <f t="shared" si="11"/>
        <v>FRA</v>
      </c>
      <c r="M18" s="169" t="str">
        <f t="shared" si="12"/>
        <v>AUD6x12F_Quote</v>
      </c>
      <c r="N18" s="174" t="str">
        <f>IFERROR(_xll.qlQuoteValue(H20),"--")</f>
        <v>--</v>
      </c>
      <c r="O18" s="179"/>
      <c r="P18" s="123" t="b">
        <v>0</v>
      </c>
      <c r="Q18" s="88">
        <v>20</v>
      </c>
      <c r="R18" s="88">
        <v>1</v>
      </c>
      <c r="S18" s="88" t="str">
        <f t="shared" si="10"/>
        <v>--</v>
      </c>
      <c r="T18" s="92" t="str">
        <f>IFERROR(_xll.qlRateHelperEarliestDate(S18,Trigger),"--")</f>
        <v>--</v>
      </c>
      <c r="U18" s="92" t="str">
        <f>IFERROR(_xll.qlRateHelperPillarDate(S18,Trigger),"--")</f>
        <v>--</v>
      </c>
      <c r="W18" s="3" t="str">
        <f t="shared" si="2"/>
        <v>Sw</v>
      </c>
      <c r="X18" s="3" t="str">
        <v>obj_00258</v>
      </c>
      <c r="Y18" s="3" t="str">
        <f>IFERROR(_xll.qlRateHelperQuoteName(X18,Trigger),"")</f>
        <v>AUDSM6AB6Y_Quote</v>
      </c>
      <c r="Z18" s="65">
        <f>IFERROR(_xll.qlRateHelperRate(X18,Trigger),"")</f>
        <v>2.2350000000000002E-2</v>
      </c>
      <c r="AA18" s="96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42682</v>
      </c>
      <c r="AC18" s="4">
        <f>IFERROR(_xll.qlRateHelperPillarDate(X18,Trigger),"")</f>
        <v>44873</v>
      </c>
      <c r="AD18" s="71">
        <v>0.87471133863552752</v>
      </c>
      <c r="AE18" s="146"/>
      <c r="AF18" s="132">
        <v>8</v>
      </c>
      <c r="AG18" s="133">
        <f>_xll.qlCalendarEndOfMonth(Calendar,_xll.qlCalendarAdvance(Calendar,AG17,"1m","mf",TRUE),Trigger)</f>
        <v>42916</v>
      </c>
      <c r="AH18" s="132" t="str">
        <f t="shared" si="7"/>
        <v>AUDJump8_SYNTHON_Quote</v>
      </c>
      <c r="AI18" s="151">
        <f>_xll.qlDayCounterYearFraction("actual/360",AG18,_xll.qlCalendarAdvance(Calendar,AG18,"1D",,,Trigger))</f>
        <v>8.3333333333333332E-3</v>
      </c>
      <c r="AJ18" s="134" t="e">
        <f>IF(_xll.qlQuoteIsValid(AH18,Trigger),_xll.qlQuoteValue(AH18,Trigger),1)</f>
        <v>#NUM!</v>
      </c>
      <c r="AK18" s="154" t="e">
        <f t="shared" si="8"/>
        <v>#NUM!</v>
      </c>
      <c r="AL18" s="135"/>
      <c r="AM18" s="134" t="str">
        <f t="shared" si="9"/>
        <v>AUDJump8_SYNTHON_Quote</v>
      </c>
    </row>
    <row r="19" spans="1:39" ht="11.25" customHeight="1" x14ac:dyDescent="0.2">
      <c r="A19" s="56" t="s">
        <v>93</v>
      </c>
      <c r="B19" s="103">
        <v>5</v>
      </c>
      <c r="C19" s="59" t="str">
        <f t="shared" si="13"/>
        <v>x11F</v>
      </c>
      <c r="D19" s="110"/>
      <c r="E19" s="110"/>
      <c r="F19" s="110"/>
      <c r="G19" s="58" t="str">
        <f t="shared" si="14"/>
        <v>AudBBSW6M</v>
      </c>
      <c r="H19" s="106" t="str">
        <f t="shared" si="15"/>
        <v>AUD5x11F_Quote</v>
      </c>
      <c r="I19" s="110"/>
      <c r="J19" s="167" t="str">
        <f>IF(P17,_xll.qlFraRateHelper(,H19,B19&amp;"M",G19,PillarDate,,Permanent,Trigger,ObjectOverwrite),"--")</f>
        <v>--</v>
      </c>
      <c r="K19" s="46"/>
      <c r="L19" s="173" t="str">
        <f t="shared" si="11"/>
        <v>FRA</v>
      </c>
      <c r="M19" s="169" t="str">
        <f t="shared" si="12"/>
        <v>AUD9x15F_Quote</v>
      </c>
      <c r="N19" s="174" t="str">
        <f>IFERROR(_xll.qlQuoteValue(H21),"--")</f>
        <v>--</v>
      </c>
      <c r="O19" s="179"/>
      <c r="P19" s="123" t="b">
        <v>0</v>
      </c>
      <c r="Q19" s="88">
        <v>20</v>
      </c>
      <c r="R19" s="88">
        <v>1</v>
      </c>
      <c r="S19" s="88" t="str">
        <f t="shared" si="10"/>
        <v>--</v>
      </c>
      <c r="T19" s="92" t="str">
        <f>IFERROR(_xll.qlRateHelperEarliestDate(S19,Trigger),"--")</f>
        <v>--</v>
      </c>
      <c r="U19" s="92" t="str">
        <f>IFERROR(_xll.qlRateHelperPillarDate(S19,Trigger),"--")</f>
        <v>--</v>
      </c>
      <c r="W19" s="3" t="str">
        <f t="shared" si="2"/>
        <v>Sw</v>
      </c>
      <c r="X19" s="3" t="str">
        <v>obj_00253</v>
      </c>
      <c r="Y19" s="3" t="str">
        <f>IFERROR(_xll.qlRateHelperQuoteName(X19,Trigger),"")</f>
        <v>AUDSM6AB7Y_Quote</v>
      </c>
      <c r="Z19" s="65">
        <f>IFERROR(_xll.qlRateHelperRate(X19,Trigger),"")</f>
        <v>2.2962500000000007E-2</v>
      </c>
      <c r="AA19" s="96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42682</v>
      </c>
      <c r="AC19" s="4">
        <f>IFERROR(_xll.qlRateHelperPillarDate(X19,Trigger),"")</f>
        <v>45238</v>
      </c>
      <c r="AD19" s="71">
        <v>0.85163704297808063</v>
      </c>
      <c r="AE19" s="146"/>
      <c r="AF19" s="132">
        <v>9</v>
      </c>
      <c r="AG19" s="133">
        <f>_xll.qlCalendarEndOfMonth(Calendar,_xll.qlCalendarAdvance(Calendar,AG18,"1m","mf",TRUE),Trigger)</f>
        <v>42947</v>
      </c>
      <c r="AH19" s="132" t="str">
        <f t="shared" si="7"/>
        <v>AUDJump9_SYNTHON_Quote</v>
      </c>
      <c r="AI19" s="151">
        <f>_xll.qlDayCounterYearFraction("actual/360",AG19,_xll.qlCalendarAdvance(Calendar,AG19,"1D",,,Trigger))</f>
        <v>2.7777777777777779E-3</v>
      </c>
      <c r="AJ19" s="134" t="e">
        <f>IF(_xll.qlQuoteIsValid(AH19,Trigger),_xll.qlQuoteValue(AH19,Trigger),1)</f>
        <v>#NUM!</v>
      </c>
      <c r="AK19" s="154" t="e">
        <f t="shared" si="8"/>
        <v>#NUM!</v>
      </c>
      <c r="AL19" s="135"/>
      <c r="AM19" s="134" t="str">
        <f t="shared" si="9"/>
        <v>AUDJump9_SYNTHON_Quote</v>
      </c>
    </row>
    <row r="20" spans="1:39" ht="11.25" customHeight="1" x14ac:dyDescent="0.2">
      <c r="A20" s="56" t="s">
        <v>93</v>
      </c>
      <c r="B20" s="103">
        <v>6</v>
      </c>
      <c r="C20" s="59" t="str">
        <f t="shared" si="13"/>
        <v>x12F</v>
      </c>
      <c r="D20" s="110"/>
      <c r="E20" s="110"/>
      <c r="F20" s="110"/>
      <c r="G20" s="58" t="str">
        <f t="shared" si="14"/>
        <v>AudBBSW6M</v>
      </c>
      <c r="H20" s="106" t="str">
        <f t="shared" si="15"/>
        <v>AUD6x12F_Quote</v>
      </c>
      <c r="I20" s="110"/>
      <c r="J20" s="167" t="str">
        <f>IF(P18,_xll.qlFraRateHelper(,H20,B20&amp;"M",G20,PillarDate,,Permanent,Trigger,ObjectOverwrite),"--")</f>
        <v>--</v>
      </c>
      <c r="K20" s="46"/>
      <c r="L20" s="173" t="str">
        <f t="shared" si="11"/>
        <v>FRA</v>
      </c>
      <c r="M20" s="169" t="str">
        <f t="shared" si="12"/>
        <v>AUD12x18F_Quote</v>
      </c>
      <c r="N20" s="174" t="str">
        <f>IFERROR(_xll.qlQuoteValue(H22),"--")</f>
        <v>--</v>
      </c>
      <c r="O20" s="179"/>
      <c r="P20" s="123" t="b">
        <v>0</v>
      </c>
      <c r="Q20" s="88">
        <v>20</v>
      </c>
      <c r="R20" s="88">
        <v>1</v>
      </c>
      <c r="S20" s="88" t="str">
        <f t="shared" si="10"/>
        <v>--</v>
      </c>
      <c r="T20" s="92" t="str">
        <f>IFERROR(_xll.qlRateHelperEarliestDate(S20,Trigger),"--")</f>
        <v>--</v>
      </c>
      <c r="U20" s="92" t="str">
        <f>IFERROR(_xll.qlRateHelperPillarDate(S20,Trigger),"--")</f>
        <v>--</v>
      </c>
      <c r="W20" s="3" t="str">
        <f t="shared" si="2"/>
        <v>Sw</v>
      </c>
      <c r="X20" s="3" t="str">
        <v>obj_00260</v>
      </c>
      <c r="Y20" s="3" t="str">
        <f>IFERROR(_xll.qlRateHelperQuoteName(X20,Trigger),"")</f>
        <v>AUDSM6AB8Y_Quote</v>
      </c>
      <c r="Z20" s="65">
        <f>IFERROR(_xll.qlRateHelperRate(X20,Trigger),"")</f>
        <v>2.3500000000000007E-2</v>
      </c>
      <c r="AA20" s="96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42682</v>
      </c>
      <c r="AC20" s="4">
        <f>IFERROR(_xll.qlRateHelperPillarDate(X20,Trigger),"")</f>
        <v>45604</v>
      </c>
      <c r="AD20" s="71">
        <v>0.82855684920172312</v>
      </c>
      <c r="AE20" s="146"/>
      <c r="AF20" s="132">
        <v>10</v>
      </c>
      <c r="AG20" s="133">
        <f>_xll.qlCalendarEndOfMonth(Calendar,_xll.qlCalendarAdvance(Calendar,AG19,"1m","mf",TRUE),Trigger)</f>
        <v>42978</v>
      </c>
      <c r="AH20" s="132" t="str">
        <f t="shared" si="7"/>
        <v>AUDJump10_SYNTHON_Quote</v>
      </c>
      <c r="AI20" s="151">
        <f>_xll.qlDayCounterYearFraction("actual/360",AG20,_xll.qlCalendarAdvance(Calendar,AG20,"1D",,,Trigger))</f>
        <v>2.7777777777777779E-3</v>
      </c>
      <c r="AJ20" s="134" t="e">
        <f>IF(_xll.qlQuoteIsValid(AH20,Trigger),_xll.qlQuoteValue(AH20,Trigger),1)</f>
        <v>#NUM!</v>
      </c>
      <c r="AK20" s="154" t="e">
        <f t="shared" si="8"/>
        <v>#NUM!</v>
      </c>
      <c r="AL20" s="135"/>
      <c r="AM20" s="134" t="str">
        <f t="shared" si="9"/>
        <v>AUDJump10_SYNTHON_Quote</v>
      </c>
    </row>
    <row r="21" spans="1:39" ht="11.25" customHeight="1" x14ac:dyDescent="0.2">
      <c r="A21" s="56" t="s">
        <v>93</v>
      </c>
      <c r="B21" s="103">
        <v>9</v>
      </c>
      <c r="C21" s="59" t="str">
        <f t="shared" si="13"/>
        <v>x15F</v>
      </c>
      <c r="D21" s="110"/>
      <c r="E21" s="110"/>
      <c r="F21" s="110"/>
      <c r="G21" s="58" t="str">
        <f t="shared" si="14"/>
        <v>AudBBSW6M</v>
      </c>
      <c r="H21" s="106" t="str">
        <f t="shared" si="15"/>
        <v>AUD9x15F_Quote</v>
      </c>
      <c r="I21" s="110"/>
      <c r="J21" s="167" t="str">
        <f>IF(P19,_xll.qlFraRateHelper(,H21,B21&amp;"M",G21,PillarDate,,Permanent,Trigger,ObjectOverwrite),"--")</f>
        <v>--</v>
      </c>
      <c r="K21" s="46"/>
      <c r="L21" s="175" t="str">
        <f t="shared" si="11"/>
        <v>FRA</v>
      </c>
      <c r="M21" s="176" t="str">
        <f t="shared" si="12"/>
        <v>AUD18x24F_Quote</v>
      </c>
      <c r="N21" s="177" t="str">
        <f>IFERROR(_xll.qlQuoteValue(H23),"--")</f>
        <v>--</v>
      </c>
      <c r="O21" s="180"/>
      <c r="P21" s="124" t="b">
        <v>0</v>
      </c>
      <c r="Q21" s="89">
        <v>20</v>
      </c>
      <c r="R21" s="89">
        <v>1</v>
      </c>
      <c r="S21" s="89" t="str">
        <f t="shared" si="10"/>
        <v>--</v>
      </c>
      <c r="T21" s="94" t="str">
        <f>IFERROR(_xll.qlRateHelperEarliestDate(S21,Trigger),"--")</f>
        <v>--</v>
      </c>
      <c r="U21" s="94" t="str">
        <f>IFERROR(_xll.qlRateHelperPillarDate(S21,Trigger),"--")</f>
        <v>--</v>
      </c>
      <c r="W21" s="3" t="str">
        <f t="shared" si="2"/>
        <v>Sw</v>
      </c>
      <c r="X21" s="3" t="str">
        <v>obj_0025e</v>
      </c>
      <c r="Y21" s="3" t="str">
        <f>IFERROR(_xll.qlRateHelperQuoteName(X21,Trigger),"")</f>
        <v>AUDSM6AB9Y_Quote</v>
      </c>
      <c r="Z21" s="65">
        <f>IFERROR(_xll.qlRateHelperRate(X21,Trigger),"")</f>
        <v>2.4012500000000003E-2</v>
      </c>
      <c r="AA21" s="9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42682</v>
      </c>
      <c r="AC21" s="4">
        <f>IFERROR(_xll.qlRateHelperPillarDate(X21,Trigger),"")</f>
        <v>45971</v>
      </c>
      <c r="AD21" s="71">
        <v>0.80529504973557076</v>
      </c>
      <c r="AE21" s="146"/>
      <c r="AF21" s="132">
        <v>11</v>
      </c>
      <c r="AG21" s="133">
        <f>_xll.qlCalendarEndOfMonth(Calendar,_xll.qlCalendarAdvance(Calendar,AG20,"1m","mf",TRUE),Trigger)</f>
        <v>43007</v>
      </c>
      <c r="AH21" s="132" t="str">
        <f t="shared" si="7"/>
        <v>AUDJump11_SYNTHON_Quote</v>
      </c>
      <c r="AI21" s="151">
        <f>_xll.qlDayCounterYearFraction("actual/360",AG21,_xll.qlCalendarAdvance(Calendar,AG21,"1D",,,Trigger))</f>
        <v>1.1111111111111112E-2</v>
      </c>
      <c r="AJ21" s="134" t="e">
        <f>IF(_xll.qlQuoteIsValid(AH21,Trigger),_xll.qlQuoteValue(AH21,Trigger),1)</f>
        <v>#NUM!</v>
      </c>
      <c r="AK21" s="154" t="e">
        <f t="shared" si="8"/>
        <v>#NUM!</v>
      </c>
      <c r="AL21" s="135"/>
      <c r="AM21" s="134" t="str">
        <f t="shared" si="9"/>
        <v>AUDJump11_SYNTHON_Quote</v>
      </c>
    </row>
    <row r="22" spans="1:39" ht="11.25" customHeight="1" x14ac:dyDescent="0.2">
      <c r="A22" s="56" t="s">
        <v>93</v>
      </c>
      <c r="B22" s="103">
        <v>12</v>
      </c>
      <c r="C22" s="59" t="str">
        <f t="shared" si="13"/>
        <v>x18F</v>
      </c>
      <c r="D22" s="110"/>
      <c r="E22" s="110"/>
      <c r="F22" s="110"/>
      <c r="G22" s="58" t="str">
        <f t="shared" si="14"/>
        <v>AudBBSW6M</v>
      </c>
      <c r="H22" s="106" t="str">
        <f t="shared" si="15"/>
        <v>AUD12x18F_Quote</v>
      </c>
      <c r="I22" s="110"/>
      <c r="J22" s="167" t="str">
        <f>IF(P20,_xll.qlFraRateHelper(,H22,B22&amp;"M",G22,PillarDate,,Permanent,Trigger,ObjectOverwrite),"--")</f>
        <v>--</v>
      </c>
      <c r="K22" s="46"/>
      <c r="L22" s="173" t="str">
        <f t="shared" ref="L22:L58" si="16">A26</f>
        <v>Sw</v>
      </c>
      <c r="M22" s="181" t="str">
        <f>H26</f>
        <v>AUDSM6AB1Y_Quote</v>
      </c>
      <c r="N22" s="174" t="str">
        <f>IFERROR(_xll.qlQuoteValue(H26),"--")</f>
        <v>--</v>
      </c>
      <c r="O22" s="174">
        <f>I26</f>
        <v>0</v>
      </c>
      <c r="P22" s="123" t="b">
        <v>0</v>
      </c>
      <c r="Q22" s="88">
        <v>50</v>
      </c>
      <c r="R22" s="88">
        <v>1</v>
      </c>
      <c r="S22" s="88" t="str">
        <f t="shared" ref="S22:S58" si="17">J26</f>
        <v>--</v>
      </c>
      <c r="T22" s="92" t="str">
        <f>IFERROR(_xll.qlRateHelperEarliestDate(S22,Trigger),"--")</f>
        <v>--</v>
      </c>
      <c r="U22" s="92" t="str">
        <f>IFERROR(_xll.qlRateHelperPillarDate(S22,Trigger),"--")</f>
        <v>--</v>
      </c>
      <c r="W22" s="3" t="str">
        <f t="shared" si="2"/>
        <v>Sw</v>
      </c>
      <c r="X22" s="3" t="str">
        <v>obj_00257</v>
      </c>
      <c r="Y22" s="3" t="str">
        <f>IFERROR(_xll.qlRateHelperQuoteName(X22,Trigger),"")</f>
        <v>AUDSM6AB10Y_Quote</v>
      </c>
      <c r="Z22" s="65">
        <f>IFERROR(_xll.qlRateHelperRate(X22,Trigger),"")</f>
        <v>2.4525000000000005E-2</v>
      </c>
      <c r="AA22" s="9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42682</v>
      </c>
      <c r="AC22" s="4">
        <f>IFERROR(_xll.qlRateHelperPillarDate(X22,Trigger),"")</f>
        <v>46335</v>
      </c>
      <c r="AD22" s="71">
        <v>0.78194384809103534</v>
      </c>
      <c r="AE22" s="146"/>
      <c r="AF22" s="132">
        <v>12</v>
      </c>
      <c r="AG22" s="133">
        <f>_xll.qlCalendarEndOfMonth(Calendar,_xll.qlCalendarAdvance(Calendar,AG21,"1m","mf",TRUE),Trigger)</f>
        <v>43039</v>
      </c>
      <c r="AH22" s="132" t="str">
        <f t="shared" si="7"/>
        <v>AUDJump12_SYNTHON_Quote</v>
      </c>
      <c r="AI22" s="151">
        <f>_xll.qlDayCounterYearFraction("actual/360",AG22,_xll.qlCalendarAdvance(Calendar,AG22,"1D",,,Trigger))</f>
        <v>2.7777777777777779E-3</v>
      </c>
      <c r="AJ22" s="134" t="e">
        <f>IF(_xll.qlQuoteIsValid(AH22,Trigger),_xll.qlQuoteValue(AH22,Trigger),1)</f>
        <v>#NUM!</v>
      </c>
      <c r="AK22" s="154" t="e">
        <f t="shared" si="8"/>
        <v>#NUM!</v>
      </c>
      <c r="AL22" s="135"/>
      <c r="AM22" s="134" t="str">
        <f t="shared" si="9"/>
        <v>AUDJump12_SYNTHON_Quote</v>
      </c>
    </row>
    <row r="23" spans="1:39" ht="11.25" customHeight="1" x14ac:dyDescent="0.2">
      <c r="A23" s="1" t="s">
        <v>93</v>
      </c>
      <c r="B23" s="104">
        <v>18</v>
      </c>
      <c r="C23" s="8" t="str">
        <f t="shared" si="13"/>
        <v>x24F</v>
      </c>
      <c r="D23" s="111"/>
      <c r="E23" s="111"/>
      <c r="F23" s="111"/>
      <c r="G23" s="6" t="str">
        <f t="shared" si="14"/>
        <v>AudBBSW6M</v>
      </c>
      <c r="H23" s="107" t="str">
        <f t="shared" si="15"/>
        <v>AUD18x24F_Quote</v>
      </c>
      <c r="I23" s="111"/>
      <c r="J23" s="166" t="str">
        <f>IF(P21,_xll.qlFraRateHelper(,H23,B23&amp;"M",G23,PillarDate,,Permanent,Trigger,ObjectOverwrite),"--")</f>
        <v>--</v>
      </c>
      <c r="K23" s="46"/>
      <c r="L23" s="173" t="str">
        <f t="shared" si="16"/>
        <v>Sw</v>
      </c>
      <c r="M23" s="169" t="str">
        <f t="shared" ref="M23:M58" si="18">H27</f>
        <v>AUDSM6AB15M_Quote</v>
      </c>
      <c r="N23" s="174" t="str">
        <f>IFERROR(_xll.qlQuoteValue(H27),"--")</f>
        <v>--</v>
      </c>
      <c r="O23" s="174">
        <f t="shared" ref="O23:O58" si="19">I27</f>
        <v>0</v>
      </c>
      <c r="P23" s="123" t="b">
        <v>0</v>
      </c>
      <c r="Q23" s="88">
        <v>50</v>
      </c>
      <c r="R23" s="88">
        <v>1</v>
      </c>
      <c r="S23" s="88" t="str">
        <f t="shared" si="17"/>
        <v>--</v>
      </c>
      <c r="T23" s="92" t="str">
        <f>IFERROR(_xll.qlRateHelperEarliestDate(S23,Trigger),"--")</f>
        <v>--</v>
      </c>
      <c r="U23" s="92" t="str">
        <f>IFERROR(_xll.qlRateHelperPillarDate(S23,Trigger),"--")</f>
        <v>--</v>
      </c>
      <c r="W23" s="3" t="str">
        <f t="shared" si="2"/>
        <v>Sw</v>
      </c>
      <c r="X23" s="3" t="str">
        <v>obj_0025f</v>
      </c>
      <c r="Y23" s="3" t="str">
        <f>IFERROR(_xll.qlRateHelperQuoteName(X23,Trigger),"")</f>
        <v>AUDSM6AB12Y_Quote</v>
      </c>
      <c r="Z23" s="65">
        <f>IFERROR(_xll.qlRateHelperRate(X23,Trigger),"")</f>
        <v>2.5399999999999999E-2</v>
      </c>
      <c r="AA23" s="9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42682</v>
      </c>
      <c r="AC23" s="4">
        <f>IFERROR(_xll.qlRateHelperPillarDate(X23,Trigger),"")</f>
        <v>47065</v>
      </c>
      <c r="AD23" s="71">
        <v>0.73606191334314131</v>
      </c>
      <c r="AE23" s="146"/>
      <c r="AF23" s="136">
        <v>13</v>
      </c>
      <c r="AG23" s="137">
        <f>_xll.qlCalendarAdjust(Calendar,DATE(YEAR(AG11)+1,12,31),"preceding",Trigger)</f>
        <v>43098</v>
      </c>
      <c r="AH23" s="136" t="str">
        <f t="shared" si="7"/>
        <v>AUDJump13_SYNTHON_Quote</v>
      </c>
      <c r="AI23" s="152">
        <f>_xll.qlDayCounterYearFraction("actual/360",AG23,_xll.qlCalendarAdvance(Calendar,AG23,"1D",,,Trigger))</f>
        <v>1.1111111111111112E-2</v>
      </c>
      <c r="AJ23" s="138" t="e">
        <f>IF(_xll.qlQuoteIsValid(AH23,Trigger),_xll.qlQuoteValue(AH23,Trigger),1)</f>
        <v>#NUM!</v>
      </c>
      <c r="AK23" s="155" t="e">
        <f t="shared" si="8"/>
        <v>#NUM!</v>
      </c>
      <c r="AL23" s="139"/>
      <c r="AM23" s="138" t="str">
        <f t="shared" si="9"/>
        <v>AUDJump13_SYNTHON_Quote</v>
      </c>
    </row>
    <row r="24" spans="1:39" ht="11.25" customHeight="1" x14ac:dyDescent="0.2">
      <c r="B24" s="44"/>
      <c r="C24" s="44"/>
      <c r="D24" s="44"/>
      <c r="E24" s="44"/>
      <c r="F24" s="44"/>
      <c r="G24" s="95" t="s">
        <v>160</v>
      </c>
      <c r="H24" s="95" t="s">
        <v>161</v>
      </c>
      <c r="K24" s="46"/>
      <c r="L24" s="173" t="str">
        <f t="shared" si="16"/>
        <v>Sw</v>
      </c>
      <c r="M24" s="169" t="str">
        <f t="shared" si="18"/>
        <v>AUDSM6AB18M_Quote</v>
      </c>
      <c r="N24" s="174" t="str">
        <f>IFERROR(_xll.qlQuoteValue(H28),"--")</f>
        <v>--</v>
      </c>
      <c r="O24" s="174">
        <f t="shared" si="19"/>
        <v>0</v>
      </c>
      <c r="P24" s="123" t="b">
        <v>0</v>
      </c>
      <c r="Q24" s="88">
        <v>50</v>
      </c>
      <c r="R24" s="88">
        <v>1</v>
      </c>
      <c r="S24" s="88" t="str">
        <f t="shared" si="17"/>
        <v>--</v>
      </c>
      <c r="T24" s="92" t="str">
        <f>IFERROR(_xll.qlRateHelperEarliestDate(S24,Trigger),"--")</f>
        <v>--</v>
      </c>
      <c r="U24" s="92" t="str">
        <f>IFERROR(_xll.qlRateHelperPillarDate(S24,Trigger),"--")</f>
        <v>--</v>
      </c>
      <c r="W24" s="3" t="str">
        <f t="shared" si="2"/>
        <v>Sw</v>
      </c>
      <c r="X24" s="3" t="str">
        <v>obj_00255</v>
      </c>
      <c r="Y24" s="3" t="str">
        <f>IFERROR(_xll.qlRateHelperQuoteName(X24,Trigger),"")</f>
        <v>AUDSM6AB15Y_Quote</v>
      </c>
      <c r="Z24" s="65">
        <f>IFERROR(_xll.qlRateHelperRate(X24,Trigger),"")</f>
        <v>2.6375000000000003E-2</v>
      </c>
      <c r="AA24" s="9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42682</v>
      </c>
      <c r="AC24" s="4">
        <f>IFERROR(_xll.qlRateHelperPillarDate(X24,Trigger),"")</f>
        <v>48162</v>
      </c>
      <c r="AD24" s="71">
        <v>0.67087714534129406</v>
      </c>
      <c r="AE24" s="146"/>
    </row>
    <row r="25" spans="1:39" ht="11.25" customHeight="1" x14ac:dyDescent="0.2">
      <c r="A25" s="61" t="s">
        <v>8</v>
      </c>
      <c r="B25" s="61" t="s">
        <v>28</v>
      </c>
      <c r="C25" s="61" t="s">
        <v>113</v>
      </c>
      <c r="D25" s="61" t="s">
        <v>5</v>
      </c>
      <c r="E25" s="61" t="s">
        <v>33</v>
      </c>
      <c r="F25" s="61" t="s">
        <v>114</v>
      </c>
      <c r="G25" s="61" t="s">
        <v>4</v>
      </c>
      <c r="H25" s="61" t="s">
        <v>1</v>
      </c>
      <c r="I25" s="61" t="s">
        <v>112</v>
      </c>
      <c r="J25" s="61" t="s">
        <v>24</v>
      </c>
      <c r="K25" s="46"/>
      <c r="L25" s="173" t="str">
        <f t="shared" si="16"/>
        <v>Sw</v>
      </c>
      <c r="M25" s="169" t="str">
        <f t="shared" si="18"/>
        <v>AUDSM6AB21M_Quote</v>
      </c>
      <c r="N25" s="174" t="str">
        <f>IFERROR(_xll.qlQuoteValue(H29),"--")</f>
        <v>--</v>
      </c>
      <c r="O25" s="174">
        <f t="shared" si="19"/>
        <v>0</v>
      </c>
      <c r="P25" s="123" t="b">
        <v>0</v>
      </c>
      <c r="Q25" s="88">
        <v>50</v>
      </c>
      <c r="R25" s="88">
        <v>1</v>
      </c>
      <c r="S25" s="88" t="str">
        <f t="shared" si="17"/>
        <v>--</v>
      </c>
      <c r="T25" s="92" t="str">
        <f>IFERROR(_xll.qlRateHelperEarliestDate(S25,Trigger),"--")</f>
        <v>--</v>
      </c>
      <c r="U25" s="92" t="str">
        <f>IFERROR(_xll.qlRateHelperPillarDate(S25,Trigger),"--")</f>
        <v>--</v>
      </c>
      <c r="W25" s="3" t="str">
        <f t="shared" si="2"/>
        <v>Sw</v>
      </c>
      <c r="X25" s="3" t="str">
        <v>obj_0025c</v>
      </c>
      <c r="Y25" s="3" t="str">
        <f>IFERROR(_xll.qlRateHelperQuoteName(X25,Trigger),"")</f>
        <v>AUDSM6AB20Y_Quote</v>
      </c>
      <c r="Z25" s="65">
        <f>IFERROR(_xll.qlRateHelperRate(X25,Trigger),"")</f>
        <v>2.7350000000000003E-2</v>
      </c>
      <c r="AA25" s="9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42682</v>
      </c>
      <c r="AC25" s="4">
        <f>IFERROR(_xll.qlRateHelperPillarDate(X25,Trigger),"")</f>
        <v>49989</v>
      </c>
      <c r="AD25" s="71">
        <v>0.57464270803165829</v>
      </c>
      <c r="AE25" s="146"/>
    </row>
    <row r="26" spans="1:39" ht="11.25" customHeight="1" x14ac:dyDescent="0.2">
      <c r="A26" s="51" t="s">
        <v>25</v>
      </c>
      <c r="B26" s="52" t="s">
        <v>27</v>
      </c>
      <c r="C26" s="53" t="s">
        <v>6</v>
      </c>
      <c r="D26" s="53" t="s">
        <v>159</v>
      </c>
      <c r="E26" s="53" t="s">
        <v>7</v>
      </c>
      <c r="F26" s="53" t="s">
        <v>154</v>
      </c>
      <c r="G26" s="53" t="str">
        <f t="shared" ref="G26:G62" si="20">PROPER(Currency)&amp;FamilyName&amp;$G$1</f>
        <v>AudBBSW6M</v>
      </c>
      <c r="H26" s="51" t="str">
        <f t="shared" ref="H26:H62" si="21">Currency&amp;$G$24&amp;$H$24&amp;$B26&amp;QuoteSuffix</f>
        <v>AUDSM6AB1Y_Quote</v>
      </c>
      <c r="I26" s="113">
        <v>0</v>
      </c>
      <c r="J26" s="167" t="str">
        <f>IF(P22,_xll.qlSwapRateHelper2(,H26,1,B26,Calendar,D26,E26,F26,G26,I26,C26,Discounting,PillarDate,,Permanent,Trigger,ObjectOverwrite),"--")</f>
        <v>--</v>
      </c>
      <c r="K26" s="46"/>
      <c r="L26" s="173" t="str">
        <f t="shared" si="16"/>
        <v>Sw</v>
      </c>
      <c r="M26" s="169" t="str">
        <f t="shared" si="18"/>
        <v>AUDSM6AB2Y_Quote</v>
      </c>
      <c r="N26" s="174" t="str">
        <f>IFERROR(_xll.qlQuoteValue(H30),"--")</f>
        <v>--</v>
      </c>
      <c r="O26" s="174">
        <f t="shared" si="19"/>
        <v>0</v>
      </c>
      <c r="P26" s="123" t="b">
        <v>0</v>
      </c>
      <c r="Q26" s="88">
        <v>50</v>
      </c>
      <c r="R26" s="88">
        <v>1</v>
      </c>
      <c r="S26" s="88" t="str">
        <f t="shared" si="17"/>
        <v>--</v>
      </c>
      <c r="T26" s="92" t="str">
        <f>IFERROR(_xll.qlRateHelperEarliestDate(S26,Trigger),"--")</f>
        <v>--</v>
      </c>
      <c r="U26" s="92" t="str">
        <f>IFERROR(_xll.qlRateHelperPillarDate(S26,Trigger),"--")</f>
        <v>--</v>
      </c>
      <c r="W26" s="3" t="str">
        <f t="shared" si="2"/>
        <v>Sw</v>
      </c>
      <c r="X26" s="3" t="str">
        <v>obj_0025d</v>
      </c>
      <c r="Y26" s="3" t="str">
        <f>IFERROR(_xll.qlRateHelperQuoteName(X26,Trigger),"")</f>
        <v>AUDSM6AB25Y_Quote</v>
      </c>
      <c r="Z26" s="65">
        <f>IFERROR(_xll.qlRateHelperRate(X26,Trigger),"")</f>
        <v>2.7925000000000005E-2</v>
      </c>
      <c r="AA26" s="9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42682</v>
      </c>
      <c r="AC26" s="4">
        <f>IFERROR(_xll.qlRateHelperPillarDate(X26,Trigger),"")</f>
        <v>51813</v>
      </c>
      <c r="AD26" s="71">
        <v>0.49236686803482294</v>
      </c>
      <c r="AE26" s="146"/>
    </row>
    <row r="27" spans="1:39" ht="11.25" customHeight="1" x14ac:dyDescent="0.2">
      <c r="A27" s="56" t="s">
        <v>25</v>
      </c>
      <c r="B27" s="57" t="s">
        <v>49</v>
      </c>
      <c r="C27" s="58" t="s">
        <v>6</v>
      </c>
      <c r="D27" s="58" t="s">
        <v>159</v>
      </c>
      <c r="E27" s="58" t="s">
        <v>7</v>
      </c>
      <c r="F27" s="58" t="s">
        <v>154</v>
      </c>
      <c r="G27" s="58" t="str">
        <f t="shared" si="20"/>
        <v>AudBBSW6M</v>
      </c>
      <c r="H27" s="56" t="str">
        <f t="shared" si="21"/>
        <v>AUDSM6AB15M_Quote</v>
      </c>
      <c r="I27" s="114">
        <v>0</v>
      </c>
      <c r="J27" s="167" t="str">
        <f>IF(P23,_xll.qlSwapRateHelper2(,H27,1,B27,Calendar,D27,E27,F27,G27,I27,C27,Discounting,PillarDate,,Permanent,Trigger,ObjectOverwrite),"--")</f>
        <v>--</v>
      </c>
      <c r="K27" s="46"/>
      <c r="L27" s="173" t="str">
        <f t="shared" si="16"/>
        <v>Sw</v>
      </c>
      <c r="M27" s="169" t="str">
        <f t="shared" si="18"/>
        <v>AUDSM6AB3Y_Quote</v>
      </c>
      <c r="N27" s="174" t="str">
        <f>IFERROR(_xll.qlQuoteValue(H31),"--")</f>
        <v>--</v>
      </c>
      <c r="O27" s="174">
        <f t="shared" si="19"/>
        <v>0</v>
      </c>
      <c r="P27" s="123" t="b">
        <v>0</v>
      </c>
      <c r="Q27" s="88">
        <v>50</v>
      </c>
      <c r="R27" s="88">
        <v>1</v>
      </c>
      <c r="S27" s="88" t="str">
        <f t="shared" si="17"/>
        <v>--</v>
      </c>
      <c r="T27" s="92" t="str">
        <f>IFERROR(_xll.qlRateHelperEarliestDate(S27,Trigger),"--")</f>
        <v>--</v>
      </c>
      <c r="U27" s="92" t="str">
        <f>IFERROR(_xll.qlRateHelperPillarDate(S27,Trigger),"--")</f>
        <v>--</v>
      </c>
      <c r="W27" s="3" t="str">
        <f t="shared" si="2"/>
        <v>Sw</v>
      </c>
      <c r="X27" s="3" t="str">
        <v>obj_00254</v>
      </c>
      <c r="Y27" s="3" t="str">
        <f>IFERROR(_xll.qlRateHelperQuoteName(X27,Trigger),"")</f>
        <v>AUDSM6AB30Y_Quote</v>
      </c>
      <c r="Z27" s="65">
        <f>IFERROR(_xll.qlRateHelperRate(X27,Trigger),"")</f>
        <v>2.7950000000000003E-2</v>
      </c>
      <c r="AA27" s="9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42682</v>
      </c>
      <c r="AC27" s="4">
        <f>IFERROR(_xll.qlRateHelperPillarDate(X27,Trigger),"")</f>
        <v>53639</v>
      </c>
      <c r="AD27" s="71">
        <v>0.42818526891817699</v>
      </c>
      <c r="AE27" s="146"/>
    </row>
    <row r="28" spans="1:39" ht="11.25" customHeight="1" x14ac:dyDescent="0.2">
      <c r="A28" s="56" t="s">
        <v>25</v>
      </c>
      <c r="B28" s="57" t="s">
        <v>50</v>
      </c>
      <c r="C28" s="58" t="s">
        <v>6</v>
      </c>
      <c r="D28" s="58" t="s">
        <v>159</v>
      </c>
      <c r="E28" s="58" t="s">
        <v>7</v>
      </c>
      <c r="F28" s="58" t="s">
        <v>154</v>
      </c>
      <c r="G28" s="58" t="str">
        <f t="shared" si="20"/>
        <v>AudBBSW6M</v>
      </c>
      <c r="H28" s="56" t="str">
        <f t="shared" si="21"/>
        <v>AUDSM6AB18M_Quote</v>
      </c>
      <c r="I28" s="114">
        <v>0</v>
      </c>
      <c r="J28" s="167" t="str">
        <f>IF(P24,_xll.qlSwapRateHelper2(,H28,1,B28,Calendar,D28,E28,F28,G28,I28,C28,Discounting,PillarDate,,Permanent,Trigger,ObjectOverwrite),"--")</f>
        <v>--</v>
      </c>
      <c r="K28" s="46"/>
      <c r="L28" s="173" t="str">
        <f t="shared" si="16"/>
        <v>Sw</v>
      </c>
      <c r="M28" s="169" t="str">
        <f t="shared" si="18"/>
        <v>AUDSM6AB4Y_Quote</v>
      </c>
      <c r="N28" s="174">
        <f>IFERROR(_xll.qlQuoteValue(H32),"--")</f>
        <v>1.9687500000000004E-2</v>
      </c>
      <c r="O28" s="174">
        <f t="shared" si="19"/>
        <v>0</v>
      </c>
      <c r="P28" s="123" t="b">
        <v>1</v>
      </c>
      <c r="Q28" s="88">
        <v>50</v>
      </c>
      <c r="R28" s="88">
        <v>1</v>
      </c>
      <c r="S28" s="88" t="str">
        <f t="shared" si="17"/>
        <v>obj_00259#0003</v>
      </c>
      <c r="T28" s="92">
        <f>IFERROR(_xll.qlRateHelperEarliestDate(S28,Trigger),"--")</f>
        <v>42682</v>
      </c>
      <c r="U28" s="92">
        <f>IFERROR(_xll.qlRateHelperPillarDate(S28,Trigger),"--")</f>
        <v>44144</v>
      </c>
      <c r="W28" s="3" t="str">
        <f t="shared" si="2"/>
        <v/>
      </c>
      <c r="X28" s="3" t="e">
        <v>#N/A</v>
      </c>
      <c r="Y28" s="3" t="str">
        <f>IFERROR(_xll.qlRateHelperQuoteName(X28,Trigger),"")</f>
        <v/>
      </c>
      <c r="Z28" s="65" t="str">
        <f>IFERROR(_xll.qlRateHelperRate(X28,Trigger),"")</f>
        <v/>
      </c>
      <c r="AA28" s="9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1" t="e">
        <v>#N/A</v>
      </c>
      <c r="AE28" s="146"/>
    </row>
    <row r="29" spans="1:39" ht="11.25" customHeight="1" x14ac:dyDescent="0.2">
      <c r="A29" s="56" t="s">
        <v>25</v>
      </c>
      <c r="B29" s="57" t="s">
        <v>51</v>
      </c>
      <c r="C29" s="58" t="s">
        <v>6</v>
      </c>
      <c r="D29" s="58" t="s">
        <v>159</v>
      </c>
      <c r="E29" s="58" t="s">
        <v>7</v>
      </c>
      <c r="F29" s="58" t="s">
        <v>154</v>
      </c>
      <c r="G29" s="58" t="str">
        <f t="shared" si="20"/>
        <v>AudBBSW6M</v>
      </c>
      <c r="H29" s="56" t="str">
        <f t="shared" si="21"/>
        <v>AUDSM6AB21M_Quote</v>
      </c>
      <c r="I29" s="114">
        <v>0</v>
      </c>
      <c r="J29" s="167" t="str">
        <f>IF(P25,_xll.qlSwapRateHelper2(,H29,1,B29,Calendar,D29,E29,F29,G29,I29,C29,Discounting,PillarDate,,Permanent,Trigger,ObjectOverwrite),"--")</f>
        <v>--</v>
      </c>
      <c r="K29" s="46"/>
      <c r="L29" s="173" t="str">
        <f t="shared" si="16"/>
        <v>Sw</v>
      </c>
      <c r="M29" s="169" t="str">
        <f t="shared" si="18"/>
        <v>AUDSM6AB5Y_Quote</v>
      </c>
      <c r="N29" s="174">
        <f>IFERROR(_xll.qlQuoteValue(H33),"--")</f>
        <v>1.9887500000000002E-2</v>
      </c>
      <c r="O29" s="174">
        <f t="shared" si="19"/>
        <v>0</v>
      </c>
      <c r="P29" s="123" t="b">
        <v>1</v>
      </c>
      <c r="Q29" s="88">
        <v>50</v>
      </c>
      <c r="R29" s="88">
        <v>1</v>
      </c>
      <c r="S29" s="88" t="str">
        <f t="shared" si="17"/>
        <v>obj_0025a#0003</v>
      </c>
      <c r="T29" s="92">
        <f>IFERROR(_xll.qlRateHelperEarliestDate(S29,Trigger),"--")</f>
        <v>42682</v>
      </c>
      <c r="U29" s="92">
        <f>IFERROR(_xll.qlRateHelperPillarDate(S29,Trigger),"--")</f>
        <v>44508</v>
      </c>
      <c r="W29" s="3" t="str">
        <f t="shared" si="2"/>
        <v/>
      </c>
      <c r="X29" s="3" t="e">
        <v>#N/A</v>
      </c>
      <c r="Y29" s="3" t="str">
        <f>IFERROR(_xll.qlRateHelperQuoteName(X29,Trigger),"")</f>
        <v/>
      </c>
      <c r="Z29" s="65" t="str">
        <f>IFERROR(_xll.qlRateHelperRate(X29,Trigger),"")</f>
        <v/>
      </c>
      <c r="AA29" s="9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1" t="e">
        <v>#N/A</v>
      </c>
      <c r="AE29" s="146"/>
    </row>
    <row r="30" spans="1:39" ht="11.25" customHeight="1" x14ac:dyDescent="0.2">
      <c r="A30" s="56" t="s">
        <v>25</v>
      </c>
      <c r="B30" s="57" t="s">
        <v>52</v>
      </c>
      <c r="C30" s="58" t="s">
        <v>6</v>
      </c>
      <c r="D30" s="58" t="s">
        <v>159</v>
      </c>
      <c r="E30" s="58" t="s">
        <v>7</v>
      </c>
      <c r="F30" s="58" t="s">
        <v>154</v>
      </c>
      <c r="G30" s="58" t="str">
        <f t="shared" si="20"/>
        <v>AudBBSW6M</v>
      </c>
      <c r="H30" s="56" t="str">
        <f t="shared" si="21"/>
        <v>AUDSM6AB2Y_Quote</v>
      </c>
      <c r="I30" s="114">
        <v>0</v>
      </c>
      <c r="J30" s="167" t="str">
        <f>IF(P26,_xll.qlSwapRateHelper2(,H30,1,B30,Calendar,D30,E30,F30,G30,I30,C30,Discounting,PillarDate,,Permanent,Trigger,ObjectOverwrite),"--")</f>
        <v>--</v>
      </c>
      <c r="K30" s="46"/>
      <c r="L30" s="173" t="str">
        <f t="shared" si="16"/>
        <v>Sw</v>
      </c>
      <c r="M30" s="169" t="str">
        <f t="shared" si="18"/>
        <v>AUDSM6AB6Y_Quote</v>
      </c>
      <c r="N30" s="174">
        <f>IFERROR(_xll.qlQuoteValue(H34),"--")</f>
        <v>2.0262500000000003E-2</v>
      </c>
      <c r="O30" s="174">
        <f t="shared" si="19"/>
        <v>0</v>
      </c>
      <c r="P30" s="123" t="b">
        <v>1</v>
      </c>
      <c r="Q30" s="88">
        <v>50</v>
      </c>
      <c r="R30" s="88">
        <v>1</v>
      </c>
      <c r="S30" s="88" t="str">
        <f t="shared" si="17"/>
        <v>obj_00258#0003</v>
      </c>
      <c r="T30" s="92">
        <f>IFERROR(_xll.qlRateHelperEarliestDate(S30,Trigger),"--")</f>
        <v>42682</v>
      </c>
      <c r="U30" s="92">
        <f>IFERROR(_xll.qlRateHelperPillarDate(S30,Trigger),"--")</f>
        <v>44873</v>
      </c>
      <c r="W30" s="3" t="str">
        <f t="shared" si="2"/>
        <v/>
      </c>
      <c r="X30" s="3" t="e">
        <v>#N/A</v>
      </c>
      <c r="Y30" s="3" t="str">
        <f>IFERROR(_xll.qlRateHelperQuoteName(X30,Trigger),"")</f>
        <v/>
      </c>
      <c r="Z30" s="65" t="str">
        <f>IFERROR(_xll.qlRateHelperRate(X30,Trigger),"")</f>
        <v/>
      </c>
      <c r="AA30" s="9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1" t="e">
        <v>#N/A</v>
      </c>
      <c r="AE30" s="146"/>
    </row>
    <row r="31" spans="1:39" ht="11.25" customHeight="1" x14ac:dyDescent="0.2">
      <c r="A31" s="56" t="s">
        <v>25</v>
      </c>
      <c r="B31" s="57" t="s">
        <v>53</v>
      </c>
      <c r="C31" s="58" t="s">
        <v>6</v>
      </c>
      <c r="D31" s="58" t="s">
        <v>159</v>
      </c>
      <c r="E31" s="58" t="s">
        <v>7</v>
      </c>
      <c r="F31" s="58" t="s">
        <v>154</v>
      </c>
      <c r="G31" s="58" t="str">
        <f t="shared" si="20"/>
        <v>AudBBSW6M</v>
      </c>
      <c r="H31" s="56" t="str">
        <f t="shared" si="21"/>
        <v>AUDSM6AB3Y_Quote</v>
      </c>
      <c r="I31" s="114">
        <v>0</v>
      </c>
      <c r="J31" s="167" t="str">
        <f>IF(P27,_xll.qlSwapRateHelper2(,H31,1,B31,Calendar,D31,E31,F31,G31,I31,C31,Discounting,PillarDate,,Permanent,Trigger,ObjectOverwrite),"--")</f>
        <v>--</v>
      </c>
      <c r="K31" s="46"/>
      <c r="L31" s="173" t="str">
        <f t="shared" si="16"/>
        <v>Sw</v>
      </c>
      <c r="M31" s="169" t="str">
        <f t="shared" si="18"/>
        <v>AUDSM6AB7Y_Quote</v>
      </c>
      <c r="N31" s="174">
        <f>IFERROR(_xll.qlQuoteValue(H35),"--")</f>
        <v>2.0650000000000005E-2</v>
      </c>
      <c r="O31" s="174">
        <f t="shared" si="19"/>
        <v>0</v>
      </c>
      <c r="P31" s="123" t="b">
        <v>1</v>
      </c>
      <c r="Q31" s="88">
        <v>50</v>
      </c>
      <c r="R31" s="88">
        <v>1</v>
      </c>
      <c r="S31" s="88" t="str">
        <f t="shared" si="17"/>
        <v>obj_00253#0003</v>
      </c>
      <c r="T31" s="92">
        <f>IFERROR(_xll.qlRateHelperEarliestDate(S31,Trigger),"--")</f>
        <v>42682</v>
      </c>
      <c r="U31" s="92">
        <f>IFERROR(_xll.qlRateHelperPillarDate(S31,Trigger),"--")</f>
        <v>45238</v>
      </c>
      <c r="W31" s="3" t="str">
        <f t="shared" si="2"/>
        <v/>
      </c>
      <c r="X31" s="3" t="e">
        <v>#N/A</v>
      </c>
      <c r="Y31" s="3" t="str">
        <f>IFERROR(_xll.qlRateHelperQuoteName(X31,Trigger),"")</f>
        <v/>
      </c>
      <c r="Z31" s="65" t="str">
        <f>IFERROR(_xll.qlRateHelperRate(X31,Trigger),"")</f>
        <v/>
      </c>
      <c r="AA31" s="9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1" t="e">
        <v>#N/A</v>
      </c>
      <c r="AE31" s="146"/>
    </row>
    <row r="32" spans="1:39" ht="11.25" customHeight="1" x14ac:dyDescent="0.2">
      <c r="A32" s="56" t="s">
        <v>25</v>
      </c>
      <c r="B32" s="57" t="s">
        <v>54</v>
      </c>
      <c r="C32" s="58" t="s">
        <v>6</v>
      </c>
      <c r="D32" s="58" t="s">
        <v>159</v>
      </c>
      <c r="E32" s="58" t="s">
        <v>7</v>
      </c>
      <c r="F32" s="58" t="s">
        <v>154</v>
      </c>
      <c r="G32" s="58" t="str">
        <f t="shared" si="20"/>
        <v>AudBBSW6M</v>
      </c>
      <c r="H32" s="56" t="str">
        <f t="shared" si="21"/>
        <v>AUDSM6AB4Y_Quote</v>
      </c>
      <c r="I32" s="114">
        <v>0</v>
      </c>
      <c r="J32" s="167" t="str">
        <f>IF(P28,_xll.qlSwapRateHelper2(,H32,1,B32,Calendar,D32,E32,F32,G32,I32,C32,Discounting,PillarDate,,Permanent,Trigger,ObjectOverwrite),"--")</f>
        <v>obj_00259#0003</v>
      </c>
      <c r="K32" s="46"/>
      <c r="L32" s="173" t="str">
        <f t="shared" si="16"/>
        <v>Sw</v>
      </c>
      <c r="M32" s="169" t="str">
        <f t="shared" si="18"/>
        <v>AUDSM6AB8Y_Quote</v>
      </c>
      <c r="N32" s="174">
        <f>IFERROR(_xll.qlQuoteValue(H36),"--")</f>
        <v>2.1062500000000001E-2</v>
      </c>
      <c r="O32" s="174">
        <f t="shared" si="19"/>
        <v>0</v>
      </c>
      <c r="P32" s="123" t="b">
        <v>1</v>
      </c>
      <c r="Q32" s="88">
        <v>50</v>
      </c>
      <c r="R32" s="88">
        <v>1</v>
      </c>
      <c r="S32" s="88" t="str">
        <f t="shared" si="17"/>
        <v>obj_00260#0003</v>
      </c>
      <c r="T32" s="92">
        <f>IFERROR(_xll.qlRateHelperEarliestDate(S32,Trigger),"--")</f>
        <v>42682</v>
      </c>
      <c r="U32" s="92">
        <f>IFERROR(_xll.qlRateHelperPillarDate(S32,Trigger),"--")</f>
        <v>45604</v>
      </c>
      <c r="W32" s="3" t="str">
        <f t="shared" si="2"/>
        <v/>
      </c>
      <c r="X32" s="3" t="e">
        <v>#N/A</v>
      </c>
      <c r="Y32" s="3" t="str">
        <f>IFERROR(_xll.qlRateHelperQuoteName(X32,Trigger),"")</f>
        <v/>
      </c>
      <c r="Z32" s="65" t="str">
        <f>IFERROR(_xll.qlRateHelperRate(X32,Trigger),"")</f>
        <v/>
      </c>
      <c r="AA32" s="9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1" t="e">
        <v>#N/A</v>
      </c>
      <c r="AE32" s="146"/>
    </row>
    <row r="33" spans="1:31" ht="11.25" customHeight="1" x14ac:dyDescent="0.2">
      <c r="A33" s="56" t="s">
        <v>25</v>
      </c>
      <c r="B33" s="57" t="s">
        <v>55</v>
      </c>
      <c r="C33" s="58" t="s">
        <v>6</v>
      </c>
      <c r="D33" s="58" t="s">
        <v>159</v>
      </c>
      <c r="E33" s="58" t="s">
        <v>7</v>
      </c>
      <c r="F33" s="58" t="s">
        <v>154</v>
      </c>
      <c r="G33" s="58" t="str">
        <f t="shared" si="20"/>
        <v>AudBBSW6M</v>
      </c>
      <c r="H33" s="56" t="str">
        <f t="shared" si="21"/>
        <v>AUDSM6AB5Y_Quote</v>
      </c>
      <c r="I33" s="114">
        <v>0</v>
      </c>
      <c r="J33" s="167" t="str">
        <f>IF(P29,_xll.qlSwapRateHelper2(,H33,1,B33,Calendar,D33,E33,F33,G33,I33,C33,Discounting,PillarDate,,Permanent,Trigger,ObjectOverwrite),"--")</f>
        <v>obj_0025a#0003</v>
      </c>
      <c r="K33" s="46"/>
      <c r="L33" s="173" t="str">
        <f t="shared" si="16"/>
        <v>Sw</v>
      </c>
      <c r="M33" s="169" t="str">
        <f t="shared" si="18"/>
        <v>AUDSM6AB9Y_Quote</v>
      </c>
      <c r="N33" s="174">
        <f>IFERROR(_xll.qlQuoteValue(H37),"--")</f>
        <v>2.1462500000000002E-2</v>
      </c>
      <c r="O33" s="174">
        <f t="shared" si="19"/>
        <v>0</v>
      </c>
      <c r="P33" s="123" t="b">
        <v>1</v>
      </c>
      <c r="Q33" s="88">
        <v>50</v>
      </c>
      <c r="R33" s="88">
        <v>1</v>
      </c>
      <c r="S33" s="88" t="str">
        <f t="shared" si="17"/>
        <v>obj_0025e#0003</v>
      </c>
      <c r="T33" s="92">
        <f>IFERROR(_xll.qlRateHelperEarliestDate(S33,Trigger),"--")</f>
        <v>42682</v>
      </c>
      <c r="U33" s="92">
        <f>IFERROR(_xll.qlRateHelperPillarDate(S33,Trigger),"--")</f>
        <v>45971</v>
      </c>
      <c r="W33" s="3" t="str">
        <f t="shared" si="2"/>
        <v/>
      </c>
      <c r="X33" s="3" t="e">
        <v>#N/A</v>
      </c>
      <c r="Y33" s="3" t="str">
        <f>IFERROR(_xll.qlRateHelperQuoteName(X33,Trigger),"")</f>
        <v/>
      </c>
      <c r="Z33" s="65" t="str">
        <f>IFERROR(_xll.qlRateHelperRate(X33,Trigger),"")</f>
        <v/>
      </c>
      <c r="AA33" s="9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1" t="e">
        <v>#N/A</v>
      </c>
      <c r="AE33" s="146"/>
    </row>
    <row r="34" spans="1:31" ht="11.25" customHeight="1" x14ac:dyDescent="0.2">
      <c r="A34" s="56" t="s">
        <v>25</v>
      </c>
      <c r="B34" s="57" t="s">
        <v>56</v>
      </c>
      <c r="C34" s="58" t="s">
        <v>6</v>
      </c>
      <c r="D34" s="58" t="s">
        <v>159</v>
      </c>
      <c r="E34" s="58" t="s">
        <v>7</v>
      </c>
      <c r="F34" s="58" t="s">
        <v>154</v>
      </c>
      <c r="G34" s="58" t="str">
        <f t="shared" si="20"/>
        <v>AudBBSW6M</v>
      </c>
      <c r="H34" s="56" t="str">
        <f t="shared" si="21"/>
        <v>AUDSM6AB6Y_Quote</v>
      </c>
      <c r="I34" s="114">
        <v>0</v>
      </c>
      <c r="J34" s="167" t="str">
        <f>IF(P30,_xll.qlSwapRateHelper2(,H34,1,B34,Calendar,D34,E34,F34,G34,I34,C34,Discounting,PillarDate,,Permanent,Trigger,ObjectOverwrite),"--")</f>
        <v>obj_00258#0003</v>
      </c>
      <c r="K34" s="46"/>
      <c r="L34" s="173" t="str">
        <f t="shared" si="16"/>
        <v>Sw</v>
      </c>
      <c r="M34" s="169" t="str">
        <f t="shared" si="18"/>
        <v>AUDSM6AB10Y_Quote</v>
      </c>
      <c r="N34" s="174">
        <f>IFERROR(_xll.qlQuoteValue(H38),"--")</f>
        <v>2.1825000000000001E-2</v>
      </c>
      <c r="O34" s="174">
        <f t="shared" si="19"/>
        <v>0</v>
      </c>
      <c r="P34" s="123" t="b">
        <v>1</v>
      </c>
      <c r="Q34" s="88">
        <v>50</v>
      </c>
      <c r="R34" s="88">
        <v>1</v>
      </c>
      <c r="S34" s="88" t="str">
        <f t="shared" si="17"/>
        <v>obj_00257#0003</v>
      </c>
      <c r="T34" s="92">
        <f>IFERROR(_xll.qlRateHelperEarliestDate(S34,Trigger),"--")</f>
        <v>42682</v>
      </c>
      <c r="U34" s="92">
        <f>IFERROR(_xll.qlRateHelperPillarDate(S34,Trigger),"--")</f>
        <v>46335</v>
      </c>
      <c r="W34" s="3" t="str">
        <f t="shared" si="2"/>
        <v/>
      </c>
      <c r="X34" s="3" t="e">
        <v>#N/A</v>
      </c>
      <c r="Y34" s="3" t="str">
        <f>IFERROR(_xll.qlRateHelperQuoteName(X34,Trigger),"")</f>
        <v/>
      </c>
      <c r="Z34" s="65" t="str">
        <f>IFERROR(_xll.qlRateHelperRate(X34,Trigger),"")</f>
        <v/>
      </c>
      <c r="AA34" s="9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1" t="e">
        <v>#N/A</v>
      </c>
      <c r="AE34" s="146"/>
    </row>
    <row r="35" spans="1:31" ht="11.25" customHeight="1" x14ac:dyDescent="0.2">
      <c r="A35" s="56" t="s">
        <v>25</v>
      </c>
      <c r="B35" s="57" t="s">
        <v>57</v>
      </c>
      <c r="C35" s="58" t="s">
        <v>6</v>
      </c>
      <c r="D35" s="58" t="s">
        <v>159</v>
      </c>
      <c r="E35" s="58" t="s">
        <v>7</v>
      </c>
      <c r="F35" s="58" t="s">
        <v>154</v>
      </c>
      <c r="G35" s="58" t="str">
        <f t="shared" si="20"/>
        <v>AudBBSW6M</v>
      </c>
      <c r="H35" s="56" t="str">
        <f t="shared" si="21"/>
        <v>AUDSM6AB7Y_Quote</v>
      </c>
      <c r="I35" s="114">
        <v>0</v>
      </c>
      <c r="J35" s="167" t="str">
        <f>IF(P31,_xll.qlSwapRateHelper2(,H35,1,B35,Calendar,D35,E35,F35,G35,I35,C35,Discounting,PillarDate,,Permanent,Trigger,ObjectOverwrite),"--")</f>
        <v>obj_00253#0003</v>
      </c>
      <c r="K35" s="46"/>
      <c r="L35" s="173" t="str">
        <f t="shared" si="16"/>
        <v>Sw</v>
      </c>
      <c r="M35" s="169" t="str">
        <f t="shared" si="18"/>
        <v>AUDSM6AB11Y_Quote</v>
      </c>
      <c r="N35" s="174" t="str">
        <f>IFERROR(_xll.qlQuoteValue(H39),"--")</f>
        <v>--</v>
      </c>
      <c r="O35" s="174">
        <f t="shared" si="19"/>
        <v>0</v>
      </c>
      <c r="P35" s="123" t="b">
        <v>0</v>
      </c>
      <c r="Q35" s="88">
        <v>50</v>
      </c>
      <c r="R35" s="88">
        <v>1</v>
      </c>
      <c r="S35" s="88" t="str">
        <f t="shared" si="17"/>
        <v>--</v>
      </c>
      <c r="T35" s="92" t="str">
        <f>IFERROR(_xll.qlRateHelperEarliestDate(S35,Trigger),"--")</f>
        <v>--</v>
      </c>
      <c r="U35" s="92" t="str">
        <f>IFERROR(_xll.qlRateHelperPillarDate(S35,Trigger),"--")</f>
        <v>--</v>
      </c>
      <c r="W35" s="3" t="str">
        <f t="shared" ref="W35:W66" si="22">IFERROR(INDEX($L$3:$L$95,MATCH(Y35,$M$3:$M$95,0),1),"")</f>
        <v/>
      </c>
      <c r="X35" s="3" t="e">
        <v>#N/A</v>
      </c>
      <c r="Y35" s="3" t="str">
        <f>IFERROR(_xll.qlRateHelperQuoteName(X35,Trigger),"")</f>
        <v/>
      </c>
      <c r="Z35" s="65" t="str">
        <f>IFERROR(_xll.qlRateHelperRate(X35,Trigger),"")</f>
        <v/>
      </c>
      <c r="AA35" s="9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1" t="e">
        <v>#N/A</v>
      </c>
      <c r="AE35" s="146"/>
    </row>
    <row r="36" spans="1:31" ht="11.25" customHeight="1" x14ac:dyDescent="0.2">
      <c r="A36" s="56" t="s">
        <v>25</v>
      </c>
      <c r="B36" s="57" t="s">
        <v>58</v>
      </c>
      <c r="C36" s="58" t="s">
        <v>6</v>
      </c>
      <c r="D36" s="58" t="s">
        <v>159</v>
      </c>
      <c r="E36" s="58" t="s">
        <v>7</v>
      </c>
      <c r="F36" s="58" t="s">
        <v>154</v>
      </c>
      <c r="G36" s="58" t="str">
        <f t="shared" si="20"/>
        <v>AudBBSW6M</v>
      </c>
      <c r="H36" s="56" t="str">
        <f t="shared" si="21"/>
        <v>AUDSM6AB8Y_Quote</v>
      </c>
      <c r="I36" s="114">
        <v>0</v>
      </c>
      <c r="J36" s="167" t="str">
        <f>IF(P32,_xll.qlSwapRateHelper2(,H36,1,B36,Calendar,D36,E36,F36,G36,I36,C36,Discounting,PillarDate,,Permanent,Trigger,ObjectOverwrite),"--")</f>
        <v>obj_00260#0003</v>
      </c>
      <c r="K36" s="46"/>
      <c r="L36" s="173" t="str">
        <f t="shared" si="16"/>
        <v>Sw</v>
      </c>
      <c r="M36" s="169" t="str">
        <f t="shared" si="18"/>
        <v>AUDSM6AB12Y_Quote</v>
      </c>
      <c r="N36" s="174">
        <f>IFERROR(_xll.qlQuoteValue(H40),"--")</f>
        <v>2.2550000000000001E-2</v>
      </c>
      <c r="O36" s="174">
        <f t="shared" si="19"/>
        <v>0</v>
      </c>
      <c r="P36" s="123" t="b">
        <v>1</v>
      </c>
      <c r="Q36" s="88">
        <v>50</v>
      </c>
      <c r="R36" s="88">
        <v>1</v>
      </c>
      <c r="S36" s="88" t="str">
        <f t="shared" si="17"/>
        <v>obj_0025f#0003</v>
      </c>
      <c r="T36" s="92">
        <f>IFERROR(_xll.qlRateHelperEarliestDate(S36,Trigger),"--")</f>
        <v>42682</v>
      </c>
      <c r="U36" s="92">
        <f>IFERROR(_xll.qlRateHelperPillarDate(S36,Trigger),"--")</f>
        <v>47065</v>
      </c>
      <c r="W36" s="3" t="str">
        <f t="shared" si="22"/>
        <v/>
      </c>
      <c r="X36" s="3" t="e">
        <v>#N/A</v>
      </c>
      <c r="Y36" s="3" t="str">
        <f>IFERROR(_xll.qlRateHelperQuoteName(X36,Trigger),"")</f>
        <v/>
      </c>
      <c r="Z36" s="65" t="str">
        <f>IFERROR(_xll.qlRateHelperRate(X36,Trigger),"")</f>
        <v/>
      </c>
      <c r="AA36" s="9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1" t="e">
        <v>#N/A</v>
      </c>
      <c r="AE36" s="146"/>
    </row>
    <row r="37" spans="1:31" ht="11.25" customHeight="1" x14ac:dyDescent="0.2">
      <c r="A37" s="56" t="s">
        <v>25</v>
      </c>
      <c r="B37" s="57" t="s">
        <v>59</v>
      </c>
      <c r="C37" s="58" t="s">
        <v>6</v>
      </c>
      <c r="D37" s="58" t="s">
        <v>159</v>
      </c>
      <c r="E37" s="58" t="s">
        <v>7</v>
      </c>
      <c r="F37" s="58" t="s">
        <v>154</v>
      </c>
      <c r="G37" s="58" t="str">
        <f t="shared" si="20"/>
        <v>AudBBSW6M</v>
      </c>
      <c r="H37" s="56" t="str">
        <f t="shared" si="21"/>
        <v>AUDSM6AB9Y_Quote</v>
      </c>
      <c r="I37" s="114">
        <v>0</v>
      </c>
      <c r="J37" s="167" t="str">
        <f>IF(P33,_xll.qlSwapRateHelper2(,H37,1,B37,Calendar,D37,E37,F37,G37,I37,C37,Discounting,PillarDate,,Permanent,Trigger,ObjectOverwrite),"--")</f>
        <v>obj_0025e#0003</v>
      </c>
      <c r="K37" s="46"/>
      <c r="L37" s="173" t="str">
        <f t="shared" si="16"/>
        <v>Sw</v>
      </c>
      <c r="M37" s="169" t="str">
        <f t="shared" si="18"/>
        <v>AUDSM6AB13Y_Quote</v>
      </c>
      <c r="N37" s="174" t="str">
        <f>IFERROR(_xll.qlQuoteValue(H41),"--")</f>
        <v>--</v>
      </c>
      <c r="O37" s="174">
        <f t="shared" si="19"/>
        <v>0</v>
      </c>
      <c r="P37" s="123" t="b">
        <v>0</v>
      </c>
      <c r="Q37" s="88">
        <v>50</v>
      </c>
      <c r="R37" s="88">
        <v>1</v>
      </c>
      <c r="S37" s="88" t="str">
        <f t="shared" si="17"/>
        <v>--</v>
      </c>
      <c r="T37" s="92" t="str">
        <f>IFERROR(_xll.qlRateHelperEarliestDate(S37,Trigger),"--")</f>
        <v>--</v>
      </c>
      <c r="U37" s="92" t="str">
        <f>IFERROR(_xll.qlRateHelperPillarDate(S37,Trigger),"--")</f>
        <v>--</v>
      </c>
      <c r="W37" s="3" t="str">
        <f t="shared" si="22"/>
        <v/>
      </c>
      <c r="X37" s="3" t="e">
        <v>#N/A</v>
      </c>
      <c r="Y37" s="3" t="str">
        <f>IFERROR(_xll.qlRateHelperQuoteName(X37,Trigger),"")</f>
        <v/>
      </c>
      <c r="Z37" s="65" t="str">
        <f>IFERROR(_xll.qlRateHelperRate(X37,Trigger),"")</f>
        <v/>
      </c>
      <c r="AA37" s="9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1" t="e">
        <v>#N/A</v>
      </c>
      <c r="AE37" s="146"/>
    </row>
    <row r="38" spans="1:31" ht="11.25" customHeight="1" x14ac:dyDescent="0.2">
      <c r="A38" s="56" t="s">
        <v>25</v>
      </c>
      <c r="B38" s="57" t="s">
        <v>60</v>
      </c>
      <c r="C38" s="58" t="s">
        <v>6</v>
      </c>
      <c r="D38" s="58" t="s">
        <v>159</v>
      </c>
      <c r="E38" s="58" t="s">
        <v>7</v>
      </c>
      <c r="F38" s="58" t="s">
        <v>154</v>
      </c>
      <c r="G38" s="58" t="str">
        <f t="shared" si="20"/>
        <v>AudBBSW6M</v>
      </c>
      <c r="H38" s="56" t="str">
        <f t="shared" si="21"/>
        <v>AUDSM6AB10Y_Quote</v>
      </c>
      <c r="I38" s="114">
        <v>0</v>
      </c>
      <c r="J38" s="167" t="str">
        <f>IF(P34,_xll.qlSwapRateHelper2(,H38,1,B38,Calendar,D38,E38,F38,G38,I38,C38,Discounting,PillarDate,,Permanent,Trigger,ObjectOverwrite),"--")</f>
        <v>obj_00257#0003</v>
      </c>
      <c r="K38" s="46"/>
      <c r="L38" s="173" t="str">
        <f t="shared" si="16"/>
        <v>Sw</v>
      </c>
      <c r="M38" s="169" t="str">
        <f t="shared" si="18"/>
        <v>AUDSM6AB14Y_Quote</v>
      </c>
      <c r="N38" s="174" t="str">
        <f>IFERROR(_xll.qlQuoteValue(H42),"--")</f>
        <v>--</v>
      </c>
      <c r="O38" s="174">
        <f t="shared" si="19"/>
        <v>0</v>
      </c>
      <c r="P38" s="123" t="b">
        <v>0</v>
      </c>
      <c r="Q38" s="88">
        <v>50</v>
      </c>
      <c r="R38" s="88">
        <v>1</v>
      </c>
      <c r="S38" s="88" t="str">
        <f t="shared" si="17"/>
        <v>--</v>
      </c>
      <c r="T38" s="92" t="str">
        <f>IFERROR(_xll.qlRateHelperEarliestDate(S38,Trigger),"--")</f>
        <v>--</v>
      </c>
      <c r="U38" s="92" t="str">
        <f>IFERROR(_xll.qlRateHelperPillarDate(S38,Trigger),"--")</f>
        <v>--</v>
      </c>
      <c r="W38" s="3" t="str">
        <f t="shared" si="22"/>
        <v/>
      </c>
      <c r="X38" s="3" t="e">
        <v>#N/A</v>
      </c>
      <c r="Y38" s="3" t="str">
        <f>IFERROR(_xll.qlRateHelperQuoteName(X38,Trigger),"")</f>
        <v/>
      </c>
      <c r="Z38" s="65" t="str">
        <f>IFERROR(_xll.qlRateHelperRate(X38,Trigger),"")</f>
        <v/>
      </c>
      <c r="AA38" s="9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1" t="e">
        <v>#N/A</v>
      </c>
      <c r="AE38" s="146"/>
    </row>
    <row r="39" spans="1:31" ht="11.25" customHeight="1" x14ac:dyDescent="0.2">
      <c r="A39" s="56" t="s">
        <v>25</v>
      </c>
      <c r="B39" s="57" t="s">
        <v>97</v>
      </c>
      <c r="C39" s="58" t="s">
        <v>6</v>
      </c>
      <c r="D39" s="58" t="s">
        <v>159</v>
      </c>
      <c r="E39" s="58" t="s">
        <v>7</v>
      </c>
      <c r="F39" s="58" t="s">
        <v>154</v>
      </c>
      <c r="G39" s="58" t="str">
        <f t="shared" si="20"/>
        <v>AudBBSW6M</v>
      </c>
      <c r="H39" s="56" t="str">
        <f t="shared" si="21"/>
        <v>AUDSM6AB11Y_Quote</v>
      </c>
      <c r="I39" s="114">
        <v>0</v>
      </c>
      <c r="J39" s="167" t="str">
        <f>IF(P35,_xll.qlSwapRateHelper2(,H39,1,B39,Calendar,D39,E39,F39,G39,I39,C39,Discounting,PillarDate,,Permanent,Trigger,ObjectOverwrite),"--")</f>
        <v>--</v>
      </c>
      <c r="K39" s="46"/>
      <c r="L39" s="173" t="str">
        <f t="shared" si="16"/>
        <v>Sw</v>
      </c>
      <c r="M39" s="169" t="str">
        <f t="shared" si="18"/>
        <v>AUDSM6AB15Y_Quote</v>
      </c>
      <c r="N39" s="174">
        <f>IFERROR(_xll.qlQuoteValue(H43),"--")</f>
        <v>2.3475000000000003E-2</v>
      </c>
      <c r="O39" s="174">
        <f t="shared" si="19"/>
        <v>0</v>
      </c>
      <c r="P39" s="123" t="b">
        <v>1</v>
      </c>
      <c r="Q39" s="88">
        <v>50</v>
      </c>
      <c r="R39" s="88">
        <v>1</v>
      </c>
      <c r="S39" s="88" t="str">
        <f t="shared" si="17"/>
        <v>obj_00255#0003</v>
      </c>
      <c r="T39" s="92">
        <f>IFERROR(_xll.qlRateHelperEarliestDate(S39,Trigger),"--")</f>
        <v>42682</v>
      </c>
      <c r="U39" s="92">
        <f>IFERROR(_xll.qlRateHelperPillarDate(S39,Trigger),"--")</f>
        <v>48162</v>
      </c>
      <c r="W39" s="3" t="str">
        <f t="shared" si="22"/>
        <v/>
      </c>
      <c r="X39" s="3" t="e">
        <v>#N/A</v>
      </c>
      <c r="Y39" s="3" t="str">
        <f>IFERROR(_xll.qlRateHelperQuoteName(X39,Trigger),"")</f>
        <v/>
      </c>
      <c r="Z39" s="65" t="str">
        <f>IFERROR(_xll.qlRateHelperRate(X39,Trigger),"")</f>
        <v/>
      </c>
      <c r="AA39" s="9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1" t="e">
        <v>#N/A</v>
      </c>
      <c r="AE39" s="146"/>
    </row>
    <row r="40" spans="1:31" ht="11.25" customHeight="1" x14ac:dyDescent="0.2">
      <c r="A40" s="56" t="s">
        <v>25</v>
      </c>
      <c r="B40" s="57" t="s">
        <v>61</v>
      </c>
      <c r="C40" s="58" t="s">
        <v>6</v>
      </c>
      <c r="D40" s="58" t="s">
        <v>159</v>
      </c>
      <c r="E40" s="58" t="s">
        <v>7</v>
      </c>
      <c r="F40" s="58" t="s">
        <v>154</v>
      </c>
      <c r="G40" s="58" t="str">
        <f t="shared" si="20"/>
        <v>AudBBSW6M</v>
      </c>
      <c r="H40" s="56" t="str">
        <f t="shared" si="21"/>
        <v>AUDSM6AB12Y_Quote</v>
      </c>
      <c r="I40" s="114">
        <v>0</v>
      </c>
      <c r="J40" s="167" t="str">
        <f>IF(P36,_xll.qlSwapRateHelper2(,H40,1,B40,Calendar,D40,E40,F40,G40,I40,C40,Discounting,PillarDate,,Permanent,Trigger,ObjectOverwrite),"--")</f>
        <v>obj_0025f#0003</v>
      </c>
      <c r="K40" s="46"/>
      <c r="L40" s="173" t="str">
        <f t="shared" si="16"/>
        <v>Sw</v>
      </c>
      <c r="M40" s="169" t="str">
        <f t="shared" si="18"/>
        <v>AUDSM6AB16Y_Quote</v>
      </c>
      <c r="N40" s="174" t="str">
        <f>IFERROR(_xll.qlQuoteValue(H44),"--")</f>
        <v>--</v>
      </c>
      <c r="O40" s="174">
        <f t="shared" si="19"/>
        <v>0</v>
      </c>
      <c r="P40" s="123" t="b">
        <v>0</v>
      </c>
      <c r="Q40" s="88">
        <v>50</v>
      </c>
      <c r="R40" s="88">
        <v>1</v>
      </c>
      <c r="S40" s="88" t="str">
        <f t="shared" si="17"/>
        <v>--</v>
      </c>
      <c r="T40" s="92" t="str">
        <f>IFERROR(_xll.qlRateHelperEarliestDate(S40,Trigger),"--")</f>
        <v>--</v>
      </c>
      <c r="U40" s="92" t="str">
        <f>IFERROR(_xll.qlRateHelperPillarDate(S40,Trigger),"--")</f>
        <v>--</v>
      </c>
      <c r="W40" s="3" t="str">
        <f t="shared" si="22"/>
        <v/>
      </c>
      <c r="X40" s="3" t="e">
        <v>#N/A</v>
      </c>
      <c r="Y40" s="3" t="str">
        <f>IFERROR(_xll.qlRateHelperQuoteName(X40,Trigger),"")</f>
        <v/>
      </c>
      <c r="Z40" s="65" t="str">
        <f>IFERROR(_xll.qlRateHelperRate(X40,Trigger),"")</f>
        <v/>
      </c>
      <c r="AA40" s="9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1" t="e">
        <v>#N/A</v>
      </c>
      <c r="AE40" s="146"/>
    </row>
    <row r="41" spans="1:31" ht="11.25" customHeight="1" x14ac:dyDescent="0.2">
      <c r="A41" s="56" t="s">
        <v>25</v>
      </c>
      <c r="B41" s="57" t="s">
        <v>98</v>
      </c>
      <c r="C41" s="58" t="s">
        <v>6</v>
      </c>
      <c r="D41" s="58" t="s">
        <v>159</v>
      </c>
      <c r="E41" s="58" t="s">
        <v>7</v>
      </c>
      <c r="F41" s="58" t="s">
        <v>154</v>
      </c>
      <c r="G41" s="58" t="str">
        <f t="shared" si="20"/>
        <v>AudBBSW6M</v>
      </c>
      <c r="H41" s="56" t="str">
        <f t="shared" si="21"/>
        <v>AUDSM6AB13Y_Quote</v>
      </c>
      <c r="I41" s="114">
        <v>0</v>
      </c>
      <c r="J41" s="167" t="str">
        <f>IF(P37,_xll.qlSwapRateHelper2(,H41,1,B41,Calendar,D41,E41,F41,G41,I41,C41,Discounting,PillarDate,,Permanent,Trigger,ObjectOverwrite),"--")</f>
        <v>--</v>
      </c>
      <c r="L41" s="173" t="str">
        <f t="shared" si="16"/>
        <v>Sw</v>
      </c>
      <c r="M41" s="169" t="str">
        <f t="shared" si="18"/>
        <v>AUDSM6AB17Y_Quote</v>
      </c>
      <c r="N41" s="174" t="str">
        <f>IFERROR(_xll.qlQuoteValue(H45),"--")</f>
        <v>--</v>
      </c>
      <c r="O41" s="174">
        <f t="shared" si="19"/>
        <v>0</v>
      </c>
      <c r="P41" s="123" t="b">
        <v>0</v>
      </c>
      <c r="Q41" s="88">
        <v>50</v>
      </c>
      <c r="R41" s="88">
        <v>1</v>
      </c>
      <c r="S41" s="88" t="str">
        <f t="shared" si="17"/>
        <v>--</v>
      </c>
      <c r="T41" s="92" t="str">
        <f>IFERROR(_xll.qlRateHelperEarliestDate(S41,Trigger),"--")</f>
        <v>--</v>
      </c>
      <c r="U41" s="92" t="str">
        <f>IFERROR(_xll.qlRateHelperPillarDate(S41,Trigger),"--")</f>
        <v>--</v>
      </c>
      <c r="W41" s="3" t="str">
        <f t="shared" si="22"/>
        <v/>
      </c>
      <c r="X41" s="3" t="e">
        <v>#N/A</v>
      </c>
      <c r="Y41" s="3" t="str">
        <f>IFERROR(_xll.qlRateHelperQuoteName(X41,Trigger),"")</f>
        <v/>
      </c>
      <c r="Z41" s="65" t="str">
        <f>IFERROR(_xll.qlRateHelperRate(X41,Trigger),"")</f>
        <v/>
      </c>
      <c r="AA41" s="9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1" t="e">
        <v>#N/A</v>
      </c>
      <c r="AE41" s="146"/>
    </row>
    <row r="42" spans="1:31" ht="11.25" customHeight="1" x14ac:dyDescent="0.2">
      <c r="A42" s="56" t="s">
        <v>25</v>
      </c>
      <c r="B42" s="57" t="s">
        <v>99</v>
      </c>
      <c r="C42" s="58" t="s">
        <v>6</v>
      </c>
      <c r="D42" s="58" t="s">
        <v>159</v>
      </c>
      <c r="E42" s="58" t="s">
        <v>7</v>
      </c>
      <c r="F42" s="58" t="s">
        <v>154</v>
      </c>
      <c r="G42" s="58" t="str">
        <f t="shared" si="20"/>
        <v>AudBBSW6M</v>
      </c>
      <c r="H42" s="56" t="str">
        <f t="shared" si="21"/>
        <v>AUDSM6AB14Y_Quote</v>
      </c>
      <c r="I42" s="114">
        <v>0</v>
      </c>
      <c r="J42" s="167" t="str">
        <f>IF(P38,_xll.qlSwapRateHelper2(,H42,1,B42,Calendar,D42,E42,F42,G42,I42,C42,Discounting,PillarDate,,Permanent,Trigger,ObjectOverwrite),"--")</f>
        <v>--</v>
      </c>
      <c r="L42" s="173" t="str">
        <f t="shared" si="16"/>
        <v>Sw</v>
      </c>
      <c r="M42" s="169" t="str">
        <f t="shared" si="18"/>
        <v>AUDSM6AB18Y_Quote</v>
      </c>
      <c r="N42" s="174" t="str">
        <f>IFERROR(_xll.qlQuoteValue(H46),"--")</f>
        <v>--</v>
      </c>
      <c r="O42" s="174">
        <f t="shared" si="19"/>
        <v>0</v>
      </c>
      <c r="P42" s="123" t="b">
        <v>0</v>
      </c>
      <c r="Q42" s="88">
        <v>50</v>
      </c>
      <c r="R42" s="88">
        <v>1</v>
      </c>
      <c r="S42" s="88" t="str">
        <f t="shared" si="17"/>
        <v>--</v>
      </c>
      <c r="T42" s="92" t="str">
        <f>IFERROR(_xll.qlRateHelperEarliestDate(S42,Trigger),"--")</f>
        <v>--</v>
      </c>
      <c r="U42" s="92" t="str">
        <f>IFERROR(_xll.qlRateHelperPillarDate(S42,Trigger),"--")</f>
        <v>--</v>
      </c>
      <c r="W42" s="3" t="str">
        <f t="shared" si="22"/>
        <v/>
      </c>
      <c r="X42" s="3" t="e">
        <v>#N/A</v>
      </c>
      <c r="Y42" s="3" t="str">
        <f>IFERROR(_xll.qlRateHelperQuoteName(X42,Trigger),"")</f>
        <v/>
      </c>
      <c r="Z42" s="65" t="str">
        <f>IFERROR(_xll.qlRateHelperRate(X42,Trigger),"")</f>
        <v/>
      </c>
      <c r="AA42" s="9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1" t="e">
        <v>#N/A</v>
      </c>
      <c r="AE42" s="146"/>
    </row>
    <row r="43" spans="1:31" ht="11.25" customHeight="1" x14ac:dyDescent="0.2">
      <c r="A43" s="56" t="s">
        <v>25</v>
      </c>
      <c r="B43" s="57" t="s">
        <v>62</v>
      </c>
      <c r="C43" s="58" t="s">
        <v>6</v>
      </c>
      <c r="D43" s="58" t="s">
        <v>159</v>
      </c>
      <c r="E43" s="58" t="s">
        <v>7</v>
      </c>
      <c r="F43" s="58" t="s">
        <v>154</v>
      </c>
      <c r="G43" s="58" t="str">
        <f t="shared" si="20"/>
        <v>AudBBSW6M</v>
      </c>
      <c r="H43" s="56" t="str">
        <f t="shared" si="21"/>
        <v>AUDSM6AB15Y_Quote</v>
      </c>
      <c r="I43" s="114">
        <v>0</v>
      </c>
      <c r="J43" s="167" t="str">
        <f>IF(P39,_xll.qlSwapRateHelper2(,H43,1,B43,Calendar,D43,E43,F43,G43,I43,C43,Discounting,PillarDate,,Permanent,Trigger,ObjectOverwrite),"--")</f>
        <v>obj_00255#0003</v>
      </c>
      <c r="L43" s="173" t="str">
        <f t="shared" si="16"/>
        <v>Sw</v>
      </c>
      <c r="M43" s="169" t="str">
        <f t="shared" si="18"/>
        <v>AUDSM6AB19Y_Quote</v>
      </c>
      <c r="N43" s="174" t="str">
        <f>IFERROR(_xll.qlQuoteValue(H47),"--")</f>
        <v>--</v>
      </c>
      <c r="O43" s="174">
        <f t="shared" si="19"/>
        <v>0</v>
      </c>
      <c r="P43" s="123" t="b">
        <v>0</v>
      </c>
      <c r="Q43" s="88">
        <v>50</v>
      </c>
      <c r="R43" s="88">
        <v>1</v>
      </c>
      <c r="S43" s="88" t="str">
        <f t="shared" si="17"/>
        <v>--</v>
      </c>
      <c r="T43" s="92" t="str">
        <f>IFERROR(_xll.qlRateHelperEarliestDate(S43,Trigger),"--")</f>
        <v>--</v>
      </c>
      <c r="U43" s="92" t="str">
        <f>IFERROR(_xll.qlRateHelperPillarDate(S43,Trigger),"--")</f>
        <v>--</v>
      </c>
      <c r="W43" s="3" t="str">
        <f t="shared" si="22"/>
        <v/>
      </c>
      <c r="X43" s="3" t="e">
        <v>#N/A</v>
      </c>
      <c r="Y43" s="3" t="str">
        <f>IFERROR(_xll.qlRateHelperQuoteName(X43,Trigger),"")</f>
        <v/>
      </c>
      <c r="Z43" s="65" t="str">
        <f>IFERROR(_xll.qlRateHelperRate(X43,Trigger),"")</f>
        <v/>
      </c>
      <c r="AA43" s="9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1" t="e">
        <v>#N/A</v>
      </c>
      <c r="AE43" s="146"/>
    </row>
    <row r="44" spans="1:31" ht="11.25" customHeight="1" x14ac:dyDescent="0.2">
      <c r="A44" s="56" t="s">
        <v>25</v>
      </c>
      <c r="B44" s="57" t="s">
        <v>100</v>
      </c>
      <c r="C44" s="58" t="s">
        <v>6</v>
      </c>
      <c r="D44" s="58" t="s">
        <v>159</v>
      </c>
      <c r="E44" s="58" t="s">
        <v>7</v>
      </c>
      <c r="F44" s="58" t="s">
        <v>154</v>
      </c>
      <c r="G44" s="58" t="str">
        <f t="shared" si="20"/>
        <v>AudBBSW6M</v>
      </c>
      <c r="H44" s="56" t="str">
        <f t="shared" si="21"/>
        <v>AUDSM6AB16Y_Quote</v>
      </c>
      <c r="I44" s="114">
        <v>0</v>
      </c>
      <c r="J44" s="167" t="str">
        <f>IF(P40,_xll.qlSwapRateHelper2(,H44,1,B44,Calendar,D44,E44,F44,G44,I44,C44,Discounting,PillarDate,,Permanent,Trigger,ObjectOverwrite),"--")</f>
        <v>--</v>
      </c>
      <c r="L44" s="173" t="str">
        <f t="shared" si="16"/>
        <v>Sw</v>
      </c>
      <c r="M44" s="169" t="str">
        <f t="shared" si="18"/>
        <v>AUDSM6AB20Y_Quote</v>
      </c>
      <c r="N44" s="174">
        <f>IFERROR(_xll.qlQuoteValue(H48),"--")</f>
        <v>2.4387500000000003E-2</v>
      </c>
      <c r="O44" s="174">
        <f t="shared" si="19"/>
        <v>0</v>
      </c>
      <c r="P44" s="123" t="b">
        <v>1</v>
      </c>
      <c r="Q44" s="88">
        <v>50</v>
      </c>
      <c r="R44" s="88">
        <v>1</v>
      </c>
      <c r="S44" s="88" t="str">
        <f t="shared" si="17"/>
        <v>obj_0025c#0003</v>
      </c>
      <c r="T44" s="92">
        <f>IFERROR(_xll.qlRateHelperEarliestDate(S44,Trigger),"--")</f>
        <v>42682</v>
      </c>
      <c r="U44" s="92">
        <f>IFERROR(_xll.qlRateHelperPillarDate(S44,Trigger),"--")</f>
        <v>49989</v>
      </c>
      <c r="W44" s="3" t="str">
        <f t="shared" si="22"/>
        <v/>
      </c>
      <c r="X44" s="3" t="e">
        <v>#N/A</v>
      </c>
      <c r="Y44" s="3" t="str">
        <f>IFERROR(_xll.qlRateHelperQuoteName(X44,Trigger),"")</f>
        <v/>
      </c>
      <c r="Z44" s="65" t="str">
        <f>IFERROR(_xll.qlRateHelperRate(X44,Trigger),"")</f>
        <v/>
      </c>
      <c r="AA44" s="9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1" t="e">
        <v>#N/A</v>
      </c>
      <c r="AE44" s="146"/>
    </row>
    <row r="45" spans="1:31" ht="11.25" customHeight="1" x14ac:dyDescent="0.2">
      <c r="A45" s="56" t="s">
        <v>25</v>
      </c>
      <c r="B45" s="57" t="s">
        <v>101</v>
      </c>
      <c r="C45" s="58" t="s">
        <v>6</v>
      </c>
      <c r="D45" s="58" t="s">
        <v>159</v>
      </c>
      <c r="E45" s="58" t="s">
        <v>7</v>
      </c>
      <c r="F45" s="58" t="s">
        <v>154</v>
      </c>
      <c r="G45" s="58" t="str">
        <f t="shared" si="20"/>
        <v>AudBBSW6M</v>
      </c>
      <c r="H45" s="56" t="str">
        <f t="shared" si="21"/>
        <v>AUDSM6AB17Y_Quote</v>
      </c>
      <c r="I45" s="114">
        <v>0</v>
      </c>
      <c r="J45" s="167" t="str">
        <f>IF(P41,_xll.qlSwapRateHelper2(,H45,1,B45,Calendar,D45,E45,F45,G45,I45,C45,Discounting,PillarDate,,Permanent,Trigger,ObjectOverwrite),"--")</f>
        <v>--</v>
      </c>
      <c r="L45" s="173" t="str">
        <f t="shared" si="16"/>
        <v>Sw</v>
      </c>
      <c r="M45" s="169" t="str">
        <f t="shared" si="18"/>
        <v>AUDSM6AB21Y_Quote</v>
      </c>
      <c r="N45" s="174" t="str">
        <f>IFERROR(_xll.qlQuoteValue(H49),"--")</f>
        <v>--</v>
      </c>
      <c r="O45" s="174">
        <f t="shared" si="19"/>
        <v>0</v>
      </c>
      <c r="P45" s="123" t="b">
        <v>0</v>
      </c>
      <c r="Q45" s="88">
        <v>50</v>
      </c>
      <c r="R45" s="88">
        <v>1</v>
      </c>
      <c r="S45" s="88" t="str">
        <f t="shared" si="17"/>
        <v>--</v>
      </c>
      <c r="T45" s="92" t="str">
        <f>IFERROR(_xll.qlRateHelperEarliestDate(S45,Trigger),"--")</f>
        <v>--</v>
      </c>
      <c r="U45" s="92" t="str">
        <f>IFERROR(_xll.qlRateHelperPillarDate(S45,Trigger),"--")</f>
        <v>--</v>
      </c>
      <c r="W45" s="3" t="str">
        <f t="shared" si="22"/>
        <v/>
      </c>
      <c r="X45" s="3" t="e">
        <v>#N/A</v>
      </c>
      <c r="Y45" s="3" t="str">
        <f>IFERROR(_xll.qlRateHelperQuoteName(X45,Trigger),"")</f>
        <v/>
      </c>
      <c r="Z45" s="65" t="str">
        <f>IFERROR(_xll.qlRateHelperRate(X45,Trigger),"")</f>
        <v/>
      </c>
      <c r="AA45" s="9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1" t="e">
        <v>#N/A</v>
      </c>
      <c r="AE45" s="146"/>
    </row>
    <row r="46" spans="1:31" ht="11.25" customHeight="1" x14ac:dyDescent="0.2">
      <c r="A46" s="56" t="s">
        <v>25</v>
      </c>
      <c r="B46" s="57" t="s">
        <v>102</v>
      </c>
      <c r="C46" s="58" t="s">
        <v>6</v>
      </c>
      <c r="D46" s="58" t="s">
        <v>159</v>
      </c>
      <c r="E46" s="58" t="s">
        <v>7</v>
      </c>
      <c r="F46" s="58" t="s">
        <v>154</v>
      </c>
      <c r="G46" s="58" t="str">
        <f t="shared" si="20"/>
        <v>AudBBSW6M</v>
      </c>
      <c r="H46" s="56" t="str">
        <f t="shared" si="21"/>
        <v>AUDSM6AB18Y_Quote</v>
      </c>
      <c r="I46" s="114">
        <v>0</v>
      </c>
      <c r="J46" s="167" t="str">
        <f>IF(P42,_xll.qlSwapRateHelper2(,H46,1,B46,Calendar,D46,E46,F46,G46,I46,C46,Discounting,PillarDate,,Permanent,Trigger,ObjectOverwrite),"--")</f>
        <v>--</v>
      </c>
      <c r="L46" s="173" t="str">
        <f t="shared" si="16"/>
        <v>Sw</v>
      </c>
      <c r="M46" s="169" t="str">
        <f t="shared" si="18"/>
        <v>AUDSM6AB22Y_Quote</v>
      </c>
      <c r="N46" s="174" t="str">
        <f>IFERROR(_xll.qlQuoteValue(H50),"--")</f>
        <v>--</v>
      </c>
      <c r="O46" s="174">
        <f t="shared" si="19"/>
        <v>0</v>
      </c>
      <c r="P46" s="123" t="b">
        <v>0</v>
      </c>
      <c r="Q46" s="88">
        <v>50</v>
      </c>
      <c r="R46" s="88">
        <v>1</v>
      </c>
      <c r="S46" s="88" t="str">
        <f t="shared" si="17"/>
        <v>--</v>
      </c>
      <c r="T46" s="92" t="str">
        <f>IFERROR(_xll.qlRateHelperEarliestDate(S46,Trigger),"--")</f>
        <v>--</v>
      </c>
      <c r="U46" s="92" t="str">
        <f>IFERROR(_xll.qlRateHelperPillarDate(S46,Trigger),"--")</f>
        <v>--</v>
      </c>
      <c r="W46" s="3" t="str">
        <f t="shared" si="22"/>
        <v/>
      </c>
      <c r="X46" s="3" t="e">
        <v>#N/A</v>
      </c>
      <c r="Y46" s="3" t="str">
        <f>IFERROR(_xll.qlRateHelperQuoteName(X46,Trigger),"")</f>
        <v/>
      </c>
      <c r="Z46" s="65" t="str">
        <f>IFERROR(_xll.qlRateHelperRate(X46,Trigger),"")</f>
        <v/>
      </c>
      <c r="AA46" s="9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1" t="e">
        <v>#N/A</v>
      </c>
    </row>
    <row r="47" spans="1:31" ht="11.25" customHeight="1" x14ac:dyDescent="0.2">
      <c r="A47" s="56" t="s">
        <v>25</v>
      </c>
      <c r="B47" s="57" t="s">
        <v>103</v>
      </c>
      <c r="C47" s="58" t="s">
        <v>6</v>
      </c>
      <c r="D47" s="58" t="s">
        <v>159</v>
      </c>
      <c r="E47" s="58" t="s">
        <v>7</v>
      </c>
      <c r="F47" s="58" t="s">
        <v>154</v>
      </c>
      <c r="G47" s="58" t="str">
        <f t="shared" si="20"/>
        <v>AudBBSW6M</v>
      </c>
      <c r="H47" s="56" t="str">
        <f t="shared" si="21"/>
        <v>AUDSM6AB19Y_Quote</v>
      </c>
      <c r="I47" s="114">
        <v>0</v>
      </c>
      <c r="J47" s="167" t="str">
        <f>IF(P43,_xll.qlSwapRateHelper2(,H47,1,B47,Calendar,D47,E47,F47,G47,I47,C47,Discounting,PillarDate,,Permanent,Trigger,ObjectOverwrite),"--")</f>
        <v>--</v>
      </c>
      <c r="L47" s="173" t="str">
        <f t="shared" si="16"/>
        <v>Sw</v>
      </c>
      <c r="M47" s="169" t="str">
        <f t="shared" si="18"/>
        <v>AUDSM6AB23Y_Quote</v>
      </c>
      <c r="N47" s="174" t="str">
        <f>IFERROR(_xll.qlQuoteValue(H51),"--")</f>
        <v>--</v>
      </c>
      <c r="O47" s="174">
        <f t="shared" si="19"/>
        <v>0</v>
      </c>
      <c r="P47" s="123" t="b">
        <v>0</v>
      </c>
      <c r="Q47" s="88">
        <v>50</v>
      </c>
      <c r="R47" s="88">
        <v>1</v>
      </c>
      <c r="S47" s="88" t="str">
        <f t="shared" si="17"/>
        <v>--</v>
      </c>
      <c r="T47" s="92" t="str">
        <f>IFERROR(_xll.qlRateHelperEarliestDate(S47,Trigger),"--")</f>
        <v>--</v>
      </c>
      <c r="U47" s="92" t="str">
        <f>IFERROR(_xll.qlRateHelperPillarDate(S47,Trigger),"--")</f>
        <v>--</v>
      </c>
      <c r="W47" s="3" t="str">
        <f t="shared" si="22"/>
        <v/>
      </c>
      <c r="X47" s="3" t="e">
        <v>#N/A</v>
      </c>
      <c r="Y47" s="3" t="str">
        <f>IFERROR(_xll.qlRateHelperQuoteName(X47,Trigger),"")</f>
        <v/>
      </c>
      <c r="Z47" s="65" t="str">
        <f>IFERROR(_xll.qlRateHelperRate(X47,Trigger),"")</f>
        <v/>
      </c>
      <c r="AA47" s="9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1" t="e">
        <v>#N/A</v>
      </c>
    </row>
    <row r="48" spans="1:31" ht="11.25" customHeight="1" x14ac:dyDescent="0.2">
      <c r="A48" s="56" t="s">
        <v>25</v>
      </c>
      <c r="B48" s="57" t="s">
        <v>63</v>
      </c>
      <c r="C48" s="58" t="s">
        <v>6</v>
      </c>
      <c r="D48" s="58" t="s">
        <v>159</v>
      </c>
      <c r="E48" s="58" t="s">
        <v>7</v>
      </c>
      <c r="F48" s="58" t="s">
        <v>154</v>
      </c>
      <c r="G48" s="58" t="str">
        <f t="shared" si="20"/>
        <v>AudBBSW6M</v>
      </c>
      <c r="H48" s="56" t="str">
        <f t="shared" si="21"/>
        <v>AUDSM6AB20Y_Quote</v>
      </c>
      <c r="I48" s="114">
        <v>0</v>
      </c>
      <c r="J48" s="167" t="str">
        <f>IF(P44,_xll.qlSwapRateHelper2(,H48,1,B48,Calendar,D48,E48,F48,G48,I48,C48,Discounting,PillarDate,,Permanent,Trigger,ObjectOverwrite),"--")</f>
        <v>obj_0025c#0003</v>
      </c>
      <c r="L48" s="173" t="str">
        <f t="shared" si="16"/>
        <v>Sw</v>
      </c>
      <c r="M48" s="169" t="str">
        <f t="shared" si="18"/>
        <v>AUDSM6AB24Y_Quote</v>
      </c>
      <c r="N48" s="174" t="str">
        <f>IFERROR(_xll.qlQuoteValue(H52),"--")</f>
        <v>--</v>
      </c>
      <c r="O48" s="174">
        <f t="shared" si="19"/>
        <v>0</v>
      </c>
      <c r="P48" s="123" t="b">
        <v>0</v>
      </c>
      <c r="Q48" s="88">
        <v>50</v>
      </c>
      <c r="R48" s="88">
        <v>1</v>
      </c>
      <c r="S48" s="88" t="str">
        <f t="shared" si="17"/>
        <v>--</v>
      </c>
      <c r="T48" s="92" t="str">
        <f>IFERROR(_xll.qlRateHelperEarliestDate(S48,Trigger),"--")</f>
        <v>--</v>
      </c>
      <c r="U48" s="92" t="str">
        <f>IFERROR(_xll.qlRateHelperPillarDate(S48,Trigger),"--")</f>
        <v>--</v>
      </c>
      <c r="W48" s="3" t="str">
        <f t="shared" si="22"/>
        <v/>
      </c>
      <c r="X48" s="3" t="e">
        <v>#N/A</v>
      </c>
      <c r="Y48" s="3" t="str">
        <f>IFERROR(_xll.qlRateHelperQuoteName(X48,Trigger),"")</f>
        <v/>
      </c>
      <c r="Z48" s="65" t="str">
        <f>IFERROR(_xll.qlRateHelperRate(X48,Trigger),"")</f>
        <v/>
      </c>
      <c r="AA48" s="9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1" t="e">
        <v>#N/A</v>
      </c>
    </row>
    <row r="49" spans="1:30" ht="11.25" customHeight="1" x14ac:dyDescent="0.2">
      <c r="A49" s="56" t="s">
        <v>25</v>
      </c>
      <c r="B49" s="57" t="s">
        <v>104</v>
      </c>
      <c r="C49" s="58" t="s">
        <v>6</v>
      </c>
      <c r="D49" s="58" t="s">
        <v>159</v>
      </c>
      <c r="E49" s="58" t="s">
        <v>7</v>
      </c>
      <c r="F49" s="58" t="s">
        <v>154</v>
      </c>
      <c r="G49" s="58" t="str">
        <f t="shared" si="20"/>
        <v>AudBBSW6M</v>
      </c>
      <c r="H49" s="56" t="str">
        <f t="shared" si="21"/>
        <v>AUDSM6AB21Y_Quote</v>
      </c>
      <c r="I49" s="114">
        <v>0</v>
      </c>
      <c r="J49" s="167" t="str">
        <f>IF(P45,_xll.qlSwapRateHelper2(,H49,1,B49,Calendar,D49,E49,F49,G49,I49,C49,Discounting,PillarDate,,Permanent,Trigger,ObjectOverwrite),"--")</f>
        <v>--</v>
      </c>
      <c r="L49" s="173" t="str">
        <f t="shared" si="16"/>
        <v>Sw</v>
      </c>
      <c r="M49" s="169" t="str">
        <f t="shared" si="18"/>
        <v>AUDSM6AB25Y_Quote</v>
      </c>
      <c r="N49" s="174">
        <f>IFERROR(_xll.qlQuoteValue(H53),"--")</f>
        <v>2.4900000000000002E-2</v>
      </c>
      <c r="O49" s="174">
        <f t="shared" si="19"/>
        <v>0</v>
      </c>
      <c r="P49" s="123" t="b">
        <v>1</v>
      </c>
      <c r="Q49" s="88">
        <v>50</v>
      </c>
      <c r="R49" s="88">
        <v>1</v>
      </c>
      <c r="S49" s="88" t="str">
        <f t="shared" si="17"/>
        <v>obj_0025d#0003</v>
      </c>
      <c r="T49" s="92">
        <f>IFERROR(_xll.qlRateHelperEarliestDate(S49,Trigger),"--")</f>
        <v>42682</v>
      </c>
      <c r="U49" s="92">
        <f>IFERROR(_xll.qlRateHelperPillarDate(S49,Trigger),"--")</f>
        <v>51813</v>
      </c>
      <c r="W49" s="3" t="str">
        <f t="shared" si="22"/>
        <v/>
      </c>
      <c r="X49" s="3" t="e">
        <v>#N/A</v>
      </c>
      <c r="Y49" s="3" t="str">
        <f>IFERROR(_xll.qlRateHelperQuoteName(X49,Trigger),"")</f>
        <v/>
      </c>
      <c r="Z49" s="65" t="str">
        <f>IFERROR(_xll.qlRateHelperRate(X49,Trigger),"")</f>
        <v/>
      </c>
      <c r="AA49" s="9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1" t="e">
        <v>#N/A</v>
      </c>
    </row>
    <row r="50" spans="1:30" ht="11.25" customHeight="1" x14ac:dyDescent="0.2">
      <c r="A50" s="56" t="s">
        <v>25</v>
      </c>
      <c r="B50" s="57" t="s">
        <v>105</v>
      </c>
      <c r="C50" s="58" t="s">
        <v>6</v>
      </c>
      <c r="D50" s="58" t="s">
        <v>159</v>
      </c>
      <c r="E50" s="58" t="s">
        <v>7</v>
      </c>
      <c r="F50" s="58" t="s">
        <v>154</v>
      </c>
      <c r="G50" s="58" t="str">
        <f t="shared" si="20"/>
        <v>AudBBSW6M</v>
      </c>
      <c r="H50" s="56" t="str">
        <f t="shared" si="21"/>
        <v>AUDSM6AB22Y_Quote</v>
      </c>
      <c r="I50" s="114">
        <v>0</v>
      </c>
      <c r="J50" s="167" t="str">
        <f>IF(P46,_xll.qlSwapRateHelper2(,H50,1,B50,Calendar,D50,E50,F50,G50,I50,C50,Discounting,PillarDate,,Permanent,Trigger,ObjectOverwrite),"--")</f>
        <v>--</v>
      </c>
      <c r="L50" s="173" t="str">
        <f t="shared" si="16"/>
        <v>Sw</v>
      </c>
      <c r="M50" s="169" t="str">
        <f t="shared" si="18"/>
        <v>AUDSM6AB26Y_Quote</v>
      </c>
      <c r="N50" s="174" t="str">
        <f>IFERROR(_xll.qlQuoteValue(H54),"--")</f>
        <v>--</v>
      </c>
      <c r="O50" s="174">
        <f t="shared" si="19"/>
        <v>0</v>
      </c>
      <c r="P50" s="123" t="b">
        <v>0</v>
      </c>
      <c r="Q50" s="88">
        <v>50</v>
      </c>
      <c r="R50" s="88">
        <v>1</v>
      </c>
      <c r="S50" s="88" t="str">
        <f t="shared" si="17"/>
        <v>--</v>
      </c>
      <c r="T50" s="92" t="str">
        <f>IFERROR(_xll.qlRateHelperEarliestDate(S50,Trigger),"--")</f>
        <v>--</v>
      </c>
      <c r="U50" s="92" t="str">
        <f>IFERROR(_xll.qlRateHelperPillarDate(S50,Trigger),"--")</f>
        <v>--</v>
      </c>
      <c r="W50" s="3" t="str">
        <f t="shared" si="22"/>
        <v/>
      </c>
      <c r="X50" s="3" t="e">
        <v>#N/A</v>
      </c>
      <c r="Y50" s="3" t="str">
        <f>IFERROR(_xll.qlRateHelperQuoteName(X50,Trigger),"")</f>
        <v/>
      </c>
      <c r="Z50" s="65" t="str">
        <f>IFERROR(_xll.qlRateHelperRate(X50,Trigger),"")</f>
        <v/>
      </c>
      <c r="AA50" s="9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1" t="e">
        <v>#N/A</v>
      </c>
    </row>
    <row r="51" spans="1:30" ht="11.25" customHeight="1" x14ac:dyDescent="0.2">
      <c r="A51" s="56" t="s">
        <v>25</v>
      </c>
      <c r="B51" s="57" t="s">
        <v>106</v>
      </c>
      <c r="C51" s="58" t="s">
        <v>6</v>
      </c>
      <c r="D51" s="58" t="s">
        <v>159</v>
      </c>
      <c r="E51" s="58" t="s">
        <v>7</v>
      </c>
      <c r="F51" s="58" t="s">
        <v>154</v>
      </c>
      <c r="G51" s="58" t="str">
        <f t="shared" si="20"/>
        <v>AudBBSW6M</v>
      </c>
      <c r="H51" s="56" t="str">
        <f t="shared" si="21"/>
        <v>AUDSM6AB23Y_Quote</v>
      </c>
      <c r="I51" s="114">
        <v>0</v>
      </c>
      <c r="J51" s="167" t="str">
        <f>IF(P47,_xll.qlSwapRateHelper2(,H51,1,B51,Calendar,D51,E51,F51,G51,I51,C51,Discounting,PillarDate,,Permanent,Trigger,ObjectOverwrite),"--")</f>
        <v>--</v>
      </c>
      <c r="L51" s="173" t="str">
        <f t="shared" si="16"/>
        <v>Sw</v>
      </c>
      <c r="M51" s="169" t="str">
        <f t="shared" si="18"/>
        <v>AUDSM6AB27Y_Quote</v>
      </c>
      <c r="N51" s="174" t="str">
        <f>IFERROR(_xll.qlQuoteValue(H55),"--")</f>
        <v>--</v>
      </c>
      <c r="O51" s="174">
        <f t="shared" si="19"/>
        <v>0</v>
      </c>
      <c r="P51" s="123" t="b">
        <v>0</v>
      </c>
      <c r="Q51" s="88">
        <v>50</v>
      </c>
      <c r="R51" s="88">
        <v>1</v>
      </c>
      <c r="S51" s="88" t="str">
        <f t="shared" si="17"/>
        <v>--</v>
      </c>
      <c r="T51" s="92" t="str">
        <f>IFERROR(_xll.qlRateHelperEarliestDate(S51,Trigger),"--")</f>
        <v>--</v>
      </c>
      <c r="U51" s="92" t="str">
        <f>IFERROR(_xll.qlRateHelperPillarDate(S51,Trigger),"--")</f>
        <v>--</v>
      </c>
      <c r="W51" s="3" t="str">
        <f t="shared" si="22"/>
        <v/>
      </c>
      <c r="X51" s="3" t="e">
        <v>#N/A</v>
      </c>
      <c r="Y51" s="3" t="str">
        <f>IFERROR(_xll.qlRateHelperQuoteName(X51,Trigger),"")</f>
        <v/>
      </c>
      <c r="Z51" s="65" t="str">
        <f>IFERROR(_xll.qlRateHelperRate(X51,Trigger),"")</f>
        <v/>
      </c>
      <c r="AA51" s="9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1" t="e">
        <v>#N/A</v>
      </c>
    </row>
    <row r="52" spans="1:30" ht="11.25" customHeight="1" x14ac:dyDescent="0.2">
      <c r="A52" s="56" t="s">
        <v>25</v>
      </c>
      <c r="B52" s="57" t="s">
        <v>107</v>
      </c>
      <c r="C52" s="58" t="s">
        <v>6</v>
      </c>
      <c r="D52" s="58" t="s">
        <v>159</v>
      </c>
      <c r="E52" s="58" t="s">
        <v>7</v>
      </c>
      <c r="F52" s="58" t="s">
        <v>154</v>
      </c>
      <c r="G52" s="58" t="str">
        <f t="shared" si="20"/>
        <v>AudBBSW6M</v>
      </c>
      <c r="H52" s="56" t="str">
        <f t="shared" si="21"/>
        <v>AUDSM6AB24Y_Quote</v>
      </c>
      <c r="I52" s="114">
        <v>0</v>
      </c>
      <c r="J52" s="167" t="str">
        <f>IF(P48,_xll.qlSwapRateHelper2(,H52,1,B52,Calendar,D52,E52,F52,G52,I52,C52,Discounting,PillarDate,,Permanent,Trigger,ObjectOverwrite),"--")</f>
        <v>--</v>
      </c>
      <c r="L52" s="173" t="str">
        <f t="shared" si="16"/>
        <v>Sw</v>
      </c>
      <c r="M52" s="169" t="str">
        <f t="shared" si="18"/>
        <v>AUDSM6AB28Y_Quote</v>
      </c>
      <c r="N52" s="174" t="str">
        <f>IFERROR(_xll.qlQuoteValue(H56),"--")</f>
        <v>--</v>
      </c>
      <c r="O52" s="174">
        <f t="shared" si="19"/>
        <v>0</v>
      </c>
      <c r="P52" s="123" t="b">
        <v>0</v>
      </c>
      <c r="Q52" s="88">
        <v>50</v>
      </c>
      <c r="R52" s="88">
        <v>1</v>
      </c>
      <c r="S52" s="88" t="str">
        <f t="shared" si="17"/>
        <v>--</v>
      </c>
      <c r="T52" s="92" t="str">
        <f>IFERROR(_xll.qlRateHelperEarliestDate(S52,Trigger),"--")</f>
        <v>--</v>
      </c>
      <c r="U52" s="92" t="str">
        <f>IFERROR(_xll.qlRateHelperPillarDate(S52,Trigger),"--")</f>
        <v>--</v>
      </c>
      <c r="W52" s="3" t="str">
        <f t="shared" si="22"/>
        <v/>
      </c>
      <c r="X52" s="3" t="e">
        <v>#N/A</v>
      </c>
      <c r="Y52" s="3" t="str">
        <f>IFERROR(_xll.qlRateHelperQuoteName(X52,Trigger),"")</f>
        <v/>
      </c>
      <c r="Z52" s="65" t="str">
        <f>IFERROR(_xll.qlRateHelperRate(X52,Trigger),"")</f>
        <v/>
      </c>
      <c r="AA52" s="9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1" t="e">
        <v>#N/A</v>
      </c>
    </row>
    <row r="53" spans="1:30" ht="11.25" customHeight="1" x14ac:dyDescent="0.2">
      <c r="A53" s="56" t="s">
        <v>25</v>
      </c>
      <c r="B53" s="57" t="s">
        <v>64</v>
      </c>
      <c r="C53" s="58" t="s">
        <v>6</v>
      </c>
      <c r="D53" s="58" t="s">
        <v>159</v>
      </c>
      <c r="E53" s="58" t="s">
        <v>7</v>
      </c>
      <c r="F53" s="58" t="s">
        <v>154</v>
      </c>
      <c r="G53" s="58" t="str">
        <f t="shared" si="20"/>
        <v>AudBBSW6M</v>
      </c>
      <c r="H53" s="56" t="str">
        <f t="shared" si="21"/>
        <v>AUDSM6AB25Y_Quote</v>
      </c>
      <c r="I53" s="114">
        <v>0</v>
      </c>
      <c r="J53" s="167" t="str">
        <f>IF(P49,_xll.qlSwapRateHelper2(,H53,1,B53,Calendar,D53,E53,F53,G53,I53,C53,Discounting,PillarDate,,Permanent,Trigger,ObjectOverwrite),"--")</f>
        <v>obj_0025d#0003</v>
      </c>
      <c r="L53" s="173" t="str">
        <f t="shared" si="16"/>
        <v>Sw</v>
      </c>
      <c r="M53" s="169" t="str">
        <f t="shared" si="18"/>
        <v>AUDSM6AB29Y_Quote</v>
      </c>
      <c r="N53" s="174" t="str">
        <f>IFERROR(_xll.qlQuoteValue(H57),"--")</f>
        <v>--</v>
      </c>
      <c r="O53" s="174">
        <f t="shared" si="19"/>
        <v>0</v>
      </c>
      <c r="P53" s="123" t="b">
        <v>0</v>
      </c>
      <c r="Q53" s="88">
        <v>50</v>
      </c>
      <c r="R53" s="88">
        <v>1</v>
      </c>
      <c r="S53" s="88" t="str">
        <f t="shared" si="17"/>
        <v>--</v>
      </c>
      <c r="T53" s="92" t="str">
        <f>IFERROR(_xll.qlRateHelperEarliestDate(S53,Trigger),"--")</f>
        <v>--</v>
      </c>
      <c r="U53" s="92" t="str">
        <f>IFERROR(_xll.qlRateHelperPillarDate(S53,Trigger),"--")</f>
        <v>--</v>
      </c>
      <c r="W53" s="3" t="str">
        <f t="shared" si="22"/>
        <v/>
      </c>
      <c r="X53" s="3" t="e">
        <v>#N/A</v>
      </c>
      <c r="Y53" s="3" t="str">
        <f>IFERROR(_xll.qlRateHelperQuoteName(X53,Trigger),"")</f>
        <v/>
      </c>
      <c r="Z53" s="65" t="str">
        <f>IFERROR(_xll.qlRateHelperRate(X53,Trigger),"")</f>
        <v/>
      </c>
      <c r="AA53" s="9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1" t="e">
        <v>#N/A</v>
      </c>
    </row>
    <row r="54" spans="1:30" ht="11.25" customHeight="1" x14ac:dyDescent="0.2">
      <c r="A54" s="56" t="s">
        <v>25</v>
      </c>
      <c r="B54" s="57" t="s">
        <v>108</v>
      </c>
      <c r="C54" s="58" t="s">
        <v>6</v>
      </c>
      <c r="D54" s="58" t="s">
        <v>159</v>
      </c>
      <c r="E54" s="58" t="s">
        <v>7</v>
      </c>
      <c r="F54" s="58" t="s">
        <v>154</v>
      </c>
      <c r="G54" s="58" t="str">
        <f t="shared" si="20"/>
        <v>AudBBSW6M</v>
      </c>
      <c r="H54" s="56" t="str">
        <f t="shared" si="21"/>
        <v>AUDSM6AB26Y_Quote</v>
      </c>
      <c r="I54" s="114">
        <v>0</v>
      </c>
      <c r="J54" s="167" t="str">
        <f>IF(P50,_xll.qlSwapRateHelper2(,H54,1,B54,Calendar,D54,E54,F54,G54,I54,C54,Discounting,PillarDate,,Permanent,Trigger,ObjectOverwrite),"--")</f>
        <v>--</v>
      </c>
      <c r="L54" s="173" t="str">
        <f t="shared" si="16"/>
        <v>Sw</v>
      </c>
      <c r="M54" s="169" t="str">
        <f t="shared" si="18"/>
        <v>AUDSM6AB30Y_Quote</v>
      </c>
      <c r="N54" s="174">
        <f>IFERROR(_xll.qlQuoteValue(H58),"--")</f>
        <v>2.4975000000000001E-2</v>
      </c>
      <c r="O54" s="174">
        <f t="shared" si="19"/>
        <v>0</v>
      </c>
      <c r="P54" s="123" t="b">
        <v>1</v>
      </c>
      <c r="Q54" s="88">
        <v>50</v>
      </c>
      <c r="R54" s="88">
        <v>1</v>
      </c>
      <c r="S54" s="88" t="str">
        <f t="shared" si="17"/>
        <v>obj_00254#0003</v>
      </c>
      <c r="T54" s="92">
        <f>IFERROR(_xll.qlRateHelperEarliestDate(S54,Trigger),"--")</f>
        <v>42682</v>
      </c>
      <c r="U54" s="92">
        <f>IFERROR(_xll.qlRateHelperPillarDate(S54,Trigger),"--")</f>
        <v>53639</v>
      </c>
      <c r="W54" s="3" t="str">
        <f t="shared" si="22"/>
        <v/>
      </c>
      <c r="X54" s="3" t="e">
        <v>#N/A</v>
      </c>
      <c r="Y54" s="3" t="str">
        <f>IFERROR(_xll.qlRateHelperQuoteName(X54,Trigger),"")</f>
        <v/>
      </c>
      <c r="Z54" s="65" t="str">
        <f>IFERROR(_xll.qlRateHelperRate(X54,Trigger),"")</f>
        <v/>
      </c>
      <c r="AA54" s="9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1" t="e">
        <v>#N/A</v>
      </c>
    </row>
    <row r="55" spans="1:30" ht="11.25" customHeight="1" x14ac:dyDescent="0.2">
      <c r="A55" s="56" t="s">
        <v>25</v>
      </c>
      <c r="B55" s="57" t="s">
        <v>65</v>
      </c>
      <c r="C55" s="58" t="s">
        <v>6</v>
      </c>
      <c r="D55" s="58" t="s">
        <v>159</v>
      </c>
      <c r="E55" s="58" t="s">
        <v>7</v>
      </c>
      <c r="F55" s="58" t="s">
        <v>154</v>
      </c>
      <c r="G55" s="58" t="str">
        <f t="shared" si="20"/>
        <v>AudBBSW6M</v>
      </c>
      <c r="H55" s="56" t="str">
        <f t="shared" si="21"/>
        <v>AUDSM6AB27Y_Quote</v>
      </c>
      <c r="I55" s="114">
        <v>0</v>
      </c>
      <c r="J55" s="167" t="str">
        <f>IF(P51,_xll.qlSwapRateHelper2(,H55,1,B55,Calendar,D55,E55,F55,G55,I55,C55,Discounting,PillarDate,,Permanent,Trigger,ObjectOverwrite),"--")</f>
        <v>--</v>
      </c>
      <c r="L55" s="173" t="str">
        <f t="shared" si="16"/>
        <v>Sw</v>
      </c>
      <c r="M55" s="169" t="str">
        <f t="shared" si="18"/>
        <v>AUDSM6AB35Y_Quote</v>
      </c>
      <c r="N55" s="174" t="str">
        <f>IFERROR(_xll.qlQuoteValue(H59),"--")</f>
        <v>--</v>
      </c>
      <c r="O55" s="174">
        <f t="shared" si="19"/>
        <v>0</v>
      </c>
      <c r="P55" s="123" t="b">
        <v>0</v>
      </c>
      <c r="Q55" s="88">
        <v>50</v>
      </c>
      <c r="R55" s="88">
        <v>1</v>
      </c>
      <c r="S55" s="88" t="str">
        <f t="shared" si="17"/>
        <v>--</v>
      </c>
      <c r="T55" s="92" t="str">
        <f>IFERROR(_xll.qlRateHelperEarliestDate(S55,Trigger),"--")</f>
        <v>--</v>
      </c>
      <c r="U55" s="92" t="str">
        <f>IFERROR(_xll.qlRateHelperPillarDate(S55,Trigger),"--")</f>
        <v>--</v>
      </c>
      <c r="W55" s="3" t="str">
        <f t="shared" si="22"/>
        <v/>
      </c>
      <c r="X55" s="3" t="e">
        <v>#N/A</v>
      </c>
      <c r="Y55" s="3" t="str">
        <f>IFERROR(_xll.qlRateHelperQuoteName(X55,Trigger),"")</f>
        <v/>
      </c>
      <c r="Z55" s="65" t="str">
        <f>IFERROR(_xll.qlRateHelperRate(X55,Trigger),"")</f>
        <v/>
      </c>
      <c r="AA55" s="9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1" t="e">
        <v>#N/A</v>
      </c>
    </row>
    <row r="56" spans="1:30" ht="11.25" customHeight="1" x14ac:dyDescent="0.2">
      <c r="A56" s="56" t="s">
        <v>25</v>
      </c>
      <c r="B56" s="57" t="s">
        <v>109</v>
      </c>
      <c r="C56" s="58" t="s">
        <v>6</v>
      </c>
      <c r="D56" s="58" t="s">
        <v>159</v>
      </c>
      <c r="E56" s="58" t="s">
        <v>7</v>
      </c>
      <c r="F56" s="58" t="s">
        <v>154</v>
      </c>
      <c r="G56" s="58" t="str">
        <f t="shared" si="20"/>
        <v>AudBBSW6M</v>
      </c>
      <c r="H56" s="56" t="str">
        <f t="shared" si="21"/>
        <v>AUDSM6AB28Y_Quote</v>
      </c>
      <c r="I56" s="114">
        <v>0</v>
      </c>
      <c r="J56" s="167" t="str">
        <f>IF(P52,_xll.qlSwapRateHelper2(,H56,1,B56,Calendar,D56,E56,F56,G56,I56,C56,Discounting,PillarDate,,Permanent,Trigger,ObjectOverwrite),"--")</f>
        <v>--</v>
      </c>
      <c r="L56" s="173" t="str">
        <f t="shared" si="16"/>
        <v>Sw</v>
      </c>
      <c r="M56" s="169" t="str">
        <f t="shared" si="18"/>
        <v>AUDSM6AB40Y_Quote</v>
      </c>
      <c r="N56" s="174">
        <f>IFERROR(_xll.qlQuoteValue(H60),"--")</f>
        <v>2.4812500000000001E-2</v>
      </c>
      <c r="O56" s="174">
        <f t="shared" si="19"/>
        <v>0</v>
      </c>
      <c r="P56" s="123" t="b">
        <v>0</v>
      </c>
      <c r="Q56" s="88">
        <v>50</v>
      </c>
      <c r="R56" s="88">
        <v>1</v>
      </c>
      <c r="S56" s="88" t="str">
        <f t="shared" si="17"/>
        <v>--</v>
      </c>
      <c r="T56" s="92" t="str">
        <f>IFERROR(_xll.qlRateHelperEarliestDate(S56,Trigger),"--")</f>
        <v>--</v>
      </c>
      <c r="U56" s="92" t="str">
        <f>IFERROR(_xll.qlRateHelperPillarDate(S56,Trigger),"--")</f>
        <v>--</v>
      </c>
      <c r="W56" s="3" t="str">
        <f t="shared" si="22"/>
        <v/>
      </c>
      <c r="X56" s="3" t="e">
        <v>#N/A</v>
      </c>
      <c r="Y56" s="3" t="str">
        <f>IFERROR(_xll.qlRateHelperQuoteName(X56,Trigger),"")</f>
        <v/>
      </c>
      <c r="Z56" s="65" t="str">
        <f>IFERROR(_xll.qlRateHelperRate(X56,Trigger),"")</f>
        <v/>
      </c>
      <c r="AA56" s="9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1" t="e">
        <v>#N/A</v>
      </c>
    </row>
    <row r="57" spans="1:30" ht="11.25" customHeight="1" x14ac:dyDescent="0.2">
      <c r="A57" s="56" t="s">
        <v>25</v>
      </c>
      <c r="B57" s="57" t="s">
        <v>110</v>
      </c>
      <c r="C57" s="58" t="s">
        <v>6</v>
      </c>
      <c r="D57" s="58" t="s">
        <v>159</v>
      </c>
      <c r="E57" s="58" t="s">
        <v>7</v>
      </c>
      <c r="F57" s="58" t="s">
        <v>154</v>
      </c>
      <c r="G57" s="58" t="str">
        <f t="shared" si="20"/>
        <v>AudBBSW6M</v>
      </c>
      <c r="H57" s="56" t="str">
        <f t="shared" si="21"/>
        <v>AUDSM6AB29Y_Quote</v>
      </c>
      <c r="I57" s="114">
        <v>0</v>
      </c>
      <c r="J57" s="167" t="str">
        <f>IF(P53,_xll.qlSwapRateHelper2(,H57,1,B57,Calendar,D57,E57,F57,G57,I57,C57,Discounting,PillarDate,,Permanent,Trigger,ObjectOverwrite),"--")</f>
        <v>--</v>
      </c>
      <c r="L57" s="173" t="str">
        <f t="shared" si="16"/>
        <v>Sw</v>
      </c>
      <c r="M57" s="169" t="str">
        <f t="shared" si="18"/>
        <v>AUDSM6AB50Y_Quote</v>
      </c>
      <c r="N57" s="174" t="str">
        <f>IFERROR(_xll.qlQuoteValue(H61),"--")</f>
        <v>--</v>
      </c>
      <c r="O57" s="174">
        <f t="shared" si="19"/>
        <v>0</v>
      </c>
      <c r="P57" s="123" t="b">
        <v>0</v>
      </c>
      <c r="Q57" s="88">
        <v>50</v>
      </c>
      <c r="R57" s="88">
        <v>1</v>
      </c>
      <c r="S57" s="88" t="str">
        <f t="shared" si="17"/>
        <v>--</v>
      </c>
      <c r="T57" s="92" t="str">
        <f>IFERROR(_xll.qlRateHelperEarliestDate(S57,Trigger),"--")</f>
        <v>--</v>
      </c>
      <c r="U57" s="92" t="str">
        <f>IFERROR(_xll.qlRateHelperPillarDate(S57,Trigger),"--")</f>
        <v>--</v>
      </c>
      <c r="W57" s="3" t="str">
        <f t="shared" si="22"/>
        <v/>
      </c>
      <c r="X57" s="3" t="e">
        <v>#N/A</v>
      </c>
      <c r="Y57" s="3" t="str">
        <f>IFERROR(_xll.qlRateHelperQuoteName(X57,Trigger),"")</f>
        <v/>
      </c>
      <c r="Z57" s="65" t="str">
        <f>IFERROR(_xll.qlRateHelperRate(X57,Trigger),"")</f>
        <v/>
      </c>
      <c r="AA57" s="9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1" t="e">
        <v>#N/A</v>
      </c>
    </row>
    <row r="58" spans="1:30" ht="11.25" customHeight="1" x14ac:dyDescent="0.2">
      <c r="A58" s="56" t="s">
        <v>25</v>
      </c>
      <c r="B58" s="57" t="s">
        <v>66</v>
      </c>
      <c r="C58" s="58" t="s">
        <v>6</v>
      </c>
      <c r="D58" s="58" t="s">
        <v>159</v>
      </c>
      <c r="E58" s="58" t="s">
        <v>7</v>
      </c>
      <c r="F58" s="58" t="s">
        <v>154</v>
      </c>
      <c r="G58" s="58" t="str">
        <f t="shared" si="20"/>
        <v>AudBBSW6M</v>
      </c>
      <c r="H58" s="56" t="str">
        <f t="shared" si="21"/>
        <v>AUDSM6AB30Y_Quote</v>
      </c>
      <c r="I58" s="114">
        <v>0</v>
      </c>
      <c r="J58" s="167" t="str">
        <f>IF(P54,_xll.qlSwapRateHelper2(,H58,1,B58,Calendar,D58,E58,F58,G58,I58,C58,Discounting,PillarDate,,Permanent,Trigger,ObjectOverwrite),"--")</f>
        <v>obj_00254#0003</v>
      </c>
      <c r="L58" s="173" t="str">
        <f t="shared" si="16"/>
        <v>Sw</v>
      </c>
      <c r="M58" s="169" t="str">
        <f t="shared" si="18"/>
        <v>AUDSM6AB60Y_Quote</v>
      </c>
      <c r="N58" s="174" t="str">
        <f>IFERROR(_xll.qlQuoteValue(H62),"--")</f>
        <v>--</v>
      </c>
      <c r="O58" s="174">
        <f t="shared" si="19"/>
        <v>0</v>
      </c>
      <c r="P58" s="123" t="b">
        <v>0</v>
      </c>
      <c r="Q58" s="88">
        <v>50</v>
      </c>
      <c r="R58" s="88">
        <v>1</v>
      </c>
      <c r="S58" s="88" t="str">
        <f t="shared" si="17"/>
        <v>--</v>
      </c>
      <c r="T58" s="92" t="str">
        <f>IFERROR(_xll.qlRateHelperEarliestDate(S58,Trigger),"--")</f>
        <v>--</v>
      </c>
      <c r="U58" s="92" t="str">
        <f>IFERROR(_xll.qlRateHelperPillarDate(S58,Trigger),"--")</f>
        <v>--</v>
      </c>
      <c r="W58" s="3" t="str">
        <f t="shared" si="22"/>
        <v/>
      </c>
      <c r="X58" s="3" t="e">
        <v>#N/A</v>
      </c>
      <c r="Y58" s="3" t="str">
        <f>IFERROR(_xll.qlRateHelperQuoteName(X58,Trigger),"")</f>
        <v/>
      </c>
      <c r="Z58" s="65" t="str">
        <f>IFERROR(_xll.qlRateHelperRate(X58,Trigger),"")</f>
        <v/>
      </c>
      <c r="AA58" s="9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1" t="e">
        <v>#N/A</v>
      </c>
    </row>
    <row r="59" spans="1:30" ht="11.25" customHeight="1" x14ac:dyDescent="0.2">
      <c r="A59" s="56" t="s">
        <v>25</v>
      </c>
      <c r="B59" s="57" t="s">
        <v>67</v>
      </c>
      <c r="C59" s="58" t="s">
        <v>6</v>
      </c>
      <c r="D59" s="58" t="s">
        <v>159</v>
      </c>
      <c r="E59" s="58" t="s">
        <v>7</v>
      </c>
      <c r="F59" s="58" t="s">
        <v>154</v>
      </c>
      <c r="G59" s="58" t="str">
        <f t="shared" si="20"/>
        <v>AudBBSW6M</v>
      </c>
      <c r="H59" s="56" t="str">
        <f t="shared" si="21"/>
        <v>AUDSM6AB35Y_Quote</v>
      </c>
      <c r="I59" s="114">
        <v>0</v>
      </c>
      <c r="J59" s="167" t="str">
        <f>IF(P55,_xll.qlSwapRateHelper2(,H59,1,B59,Calendar,D59,E59,F59,G59,I59,C59,Discounting,PillarDate,,Permanent,Trigger,ObjectOverwrite),"--")</f>
        <v>--</v>
      </c>
      <c r="L59" s="171" t="str">
        <f t="shared" ref="L59:L95" si="23">A65</f>
        <v>BasSw</v>
      </c>
      <c r="M59" s="170" t="str">
        <f>H65</f>
        <v>AUDQM3AB1Y_S3BR6BR_Quote</v>
      </c>
      <c r="N59" s="172">
        <f>IFERROR(_xll.qlQuoteValue(H65),"--")</f>
        <v>2.0247541759014331E-2</v>
      </c>
      <c r="O59" s="172">
        <f>I65</f>
        <v>0</v>
      </c>
      <c r="P59" s="121" t="b">
        <v>1</v>
      </c>
      <c r="Q59" s="118">
        <v>50</v>
      </c>
      <c r="R59" s="118">
        <v>1</v>
      </c>
      <c r="S59" s="118" t="str">
        <f t="shared" ref="S59:S95" si="24">J65</f>
        <v>obj_00249#0003</v>
      </c>
      <c r="T59" s="120">
        <f>IFERROR(_xll.qlRateHelperEarliestDate(S59,Trigger),"--")</f>
        <v>42682</v>
      </c>
      <c r="U59" s="120">
        <f>IFERROR(_xll.qlRateHelperPillarDate(S59,Trigger),"--")</f>
        <v>43047</v>
      </c>
      <c r="W59" s="3" t="str">
        <f t="shared" si="22"/>
        <v/>
      </c>
      <c r="X59" s="3" t="e">
        <v>#N/A</v>
      </c>
      <c r="Y59" s="3" t="str">
        <f>IFERROR(_xll.qlRateHelperQuoteName(X59,Trigger),"")</f>
        <v/>
      </c>
      <c r="Z59" s="65" t="str">
        <f>IFERROR(_xll.qlRateHelperRate(X59,Trigger),"")</f>
        <v/>
      </c>
      <c r="AA59" s="9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1" t="e">
        <v>#N/A</v>
      </c>
    </row>
    <row r="60" spans="1:30" ht="11.25" customHeight="1" x14ac:dyDescent="0.2">
      <c r="A60" s="56" t="s">
        <v>25</v>
      </c>
      <c r="B60" s="57" t="s">
        <v>68</v>
      </c>
      <c r="C60" s="58" t="s">
        <v>6</v>
      </c>
      <c r="D60" s="58" t="s">
        <v>159</v>
      </c>
      <c r="E60" s="58" t="s">
        <v>7</v>
      </c>
      <c r="F60" s="58" t="s">
        <v>154</v>
      </c>
      <c r="G60" s="58" t="str">
        <f t="shared" si="20"/>
        <v>AudBBSW6M</v>
      </c>
      <c r="H60" s="56" t="str">
        <f t="shared" si="21"/>
        <v>AUDSM6AB40Y_Quote</v>
      </c>
      <c r="I60" s="114">
        <v>0</v>
      </c>
      <c r="J60" s="167" t="str">
        <f>IF(P56,_xll.qlSwapRateHelper2(,H60,1,B60,Calendar,D60,E60,F60,G60,I60,C60,Discounting,PillarDate,,Permanent,Trigger,ObjectOverwrite),"--")</f>
        <v>--</v>
      </c>
      <c r="L60" s="173" t="str">
        <f t="shared" si="23"/>
        <v>BasSw</v>
      </c>
      <c r="M60" s="169" t="str">
        <f t="shared" ref="M60:M95" si="25">H66</f>
        <v>AUDQM3AB15M_S3BR6BR_Quote</v>
      </c>
      <c r="N60" s="174" t="str">
        <f>IFERROR(_xll.qlQuoteValue(H66),"--")</f>
        <v>--</v>
      </c>
      <c r="O60" s="174">
        <f t="shared" ref="O60:O95" si="26">I66</f>
        <v>0</v>
      </c>
      <c r="P60" s="123" t="b">
        <v>0</v>
      </c>
      <c r="Q60" s="88">
        <v>50</v>
      </c>
      <c r="R60" s="88">
        <v>1</v>
      </c>
      <c r="S60" s="88" t="str">
        <f t="shared" si="24"/>
        <v>--</v>
      </c>
      <c r="T60" s="92" t="str">
        <f>IFERROR(_xll.qlRateHelperEarliestDate(S60,Trigger),"--")</f>
        <v>--</v>
      </c>
      <c r="U60" s="92" t="str">
        <f>IFERROR(_xll.qlRateHelperPillarDate(S60,Trigger),"--")</f>
        <v>--</v>
      </c>
      <c r="W60" s="3" t="str">
        <f t="shared" si="22"/>
        <v/>
      </c>
      <c r="X60" s="3" t="e">
        <v>#N/A</v>
      </c>
      <c r="Y60" s="3" t="str">
        <f>IFERROR(_xll.qlRateHelperQuoteName(X60,Trigger),"")</f>
        <v/>
      </c>
      <c r="Z60" s="65" t="str">
        <f>IFERROR(_xll.qlRateHelperRate(X60,Trigger),"")</f>
        <v/>
      </c>
      <c r="AA60" s="9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1" t="e">
        <v>#N/A</v>
      </c>
    </row>
    <row r="61" spans="1:30" ht="11.25" customHeight="1" x14ac:dyDescent="0.2">
      <c r="A61" s="56" t="s">
        <v>25</v>
      </c>
      <c r="B61" s="57" t="s">
        <v>69</v>
      </c>
      <c r="C61" s="58" t="s">
        <v>6</v>
      </c>
      <c r="D61" s="58" t="s">
        <v>159</v>
      </c>
      <c r="E61" s="58" t="s">
        <v>7</v>
      </c>
      <c r="F61" s="58" t="s">
        <v>154</v>
      </c>
      <c r="G61" s="58" t="str">
        <f t="shared" si="20"/>
        <v>AudBBSW6M</v>
      </c>
      <c r="H61" s="56" t="str">
        <f t="shared" si="21"/>
        <v>AUDSM6AB50Y_Quote</v>
      </c>
      <c r="I61" s="112">
        <v>0</v>
      </c>
      <c r="J61" s="167" t="str">
        <f>IF(P57,_xll.qlSwapRateHelper2(,H61,1,B61,Calendar,D61,E61,F61,G61,I61,C61,Discounting,PillarDate,,Permanent,Trigger,ObjectOverwrite),"--")</f>
        <v>--</v>
      </c>
      <c r="L61" s="173" t="str">
        <f t="shared" si="23"/>
        <v>BasSw</v>
      </c>
      <c r="M61" s="169" t="str">
        <f t="shared" si="25"/>
        <v>AUDQM3AB18M_S3BR6BR_Quote</v>
      </c>
      <c r="N61" s="174" t="str">
        <f>IFERROR(_xll.qlQuoteValue(H67),"--")</f>
        <v>--</v>
      </c>
      <c r="O61" s="174">
        <f t="shared" si="26"/>
        <v>0</v>
      </c>
      <c r="P61" s="123" t="b">
        <v>0</v>
      </c>
      <c r="Q61" s="88">
        <v>50</v>
      </c>
      <c r="R61" s="88">
        <v>1</v>
      </c>
      <c r="S61" s="88" t="str">
        <f t="shared" si="24"/>
        <v>--</v>
      </c>
      <c r="T61" s="92" t="str">
        <f>IFERROR(_xll.qlRateHelperEarliestDate(S61,Trigger),"--")</f>
        <v>--</v>
      </c>
      <c r="U61" s="92" t="str">
        <f>IFERROR(_xll.qlRateHelperPillarDate(S61,Trigger),"--")</f>
        <v>--</v>
      </c>
      <c r="W61" s="3" t="str">
        <f t="shared" si="22"/>
        <v/>
      </c>
      <c r="X61" s="3" t="e">
        <v>#N/A</v>
      </c>
      <c r="Y61" s="3" t="str">
        <f>IFERROR(_xll.qlRateHelperQuoteName(X61,Trigger),"")</f>
        <v/>
      </c>
      <c r="Z61" s="65" t="str">
        <f>IFERROR(_xll.qlRateHelperRate(X61,Trigger),"")</f>
        <v/>
      </c>
      <c r="AA61" s="9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1" t="e">
        <v>#N/A</v>
      </c>
    </row>
    <row r="62" spans="1:30" ht="11.25" customHeight="1" x14ac:dyDescent="0.2">
      <c r="A62" s="1" t="s">
        <v>25</v>
      </c>
      <c r="B62" s="7" t="s">
        <v>111</v>
      </c>
      <c r="C62" s="6" t="s">
        <v>6</v>
      </c>
      <c r="D62" s="6" t="s">
        <v>159</v>
      </c>
      <c r="E62" s="6" t="s">
        <v>7</v>
      </c>
      <c r="F62" s="6" t="s">
        <v>154</v>
      </c>
      <c r="G62" s="6" t="str">
        <f t="shared" si="20"/>
        <v>AudBBSW6M</v>
      </c>
      <c r="H62" s="1" t="str">
        <f t="shared" si="21"/>
        <v>AUDSM6AB60Y_Quote</v>
      </c>
      <c r="I62" s="115">
        <v>0</v>
      </c>
      <c r="J62" s="166" t="str">
        <f>IF(P58,_xll.qlSwapRateHelper2(,H62,1,B62,Calendar,D62,E62,F62,G62,I62,C62,Discounting,PillarDate,,Permanent,Trigger,ObjectOverwrite),"--")</f>
        <v>--</v>
      </c>
      <c r="L62" s="173" t="str">
        <f t="shared" si="23"/>
        <v>BasSw</v>
      </c>
      <c r="M62" s="169" t="str">
        <f t="shared" si="25"/>
        <v>AUDQM3AB21M_S3BR6BR_Quote</v>
      </c>
      <c r="N62" s="174" t="str">
        <f>IFERROR(_xll.qlQuoteValue(H68),"--")</f>
        <v>--</v>
      </c>
      <c r="O62" s="174">
        <f t="shared" si="26"/>
        <v>0</v>
      </c>
      <c r="P62" s="123" t="b">
        <v>0</v>
      </c>
      <c r="Q62" s="88">
        <v>50</v>
      </c>
      <c r="R62" s="88">
        <v>1</v>
      </c>
      <c r="S62" s="88" t="str">
        <f t="shared" si="24"/>
        <v>--</v>
      </c>
      <c r="T62" s="92" t="str">
        <f>IFERROR(_xll.qlRateHelperEarliestDate(S62,Trigger),"--")</f>
        <v>--</v>
      </c>
      <c r="U62" s="92" t="str">
        <f>IFERROR(_xll.qlRateHelperPillarDate(S62,Trigger),"--")</f>
        <v>--</v>
      </c>
      <c r="W62" s="3" t="str">
        <f t="shared" si="22"/>
        <v/>
      </c>
      <c r="X62" s="3" t="e">
        <v>#N/A</v>
      </c>
      <c r="Y62" s="3" t="str">
        <f>IFERROR(_xll.qlRateHelperQuoteName(X62,Trigger),"")</f>
        <v/>
      </c>
      <c r="Z62" s="65" t="str">
        <f>IFERROR(_xll.qlRateHelperRate(X62,Trigger),"")</f>
        <v/>
      </c>
      <c r="AA62" s="9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1" t="e">
        <v>#N/A</v>
      </c>
    </row>
    <row r="63" spans="1:30" ht="11.25" customHeight="1" x14ac:dyDescent="0.2">
      <c r="G63" s="48" t="s">
        <v>157</v>
      </c>
      <c r="H63" s="95" t="s">
        <v>158</v>
      </c>
      <c r="L63" s="173" t="str">
        <f t="shared" si="23"/>
        <v>BasSw</v>
      </c>
      <c r="M63" s="169" t="str">
        <f t="shared" si="25"/>
        <v>AUDQM3AB2Y_S3BR6BR_Quote</v>
      </c>
      <c r="N63" s="174">
        <f>IFERROR(_xll.qlQuoteValue(H69),"--")</f>
        <v>1.9573116966666793E-2</v>
      </c>
      <c r="O63" s="174">
        <f t="shared" si="26"/>
        <v>0</v>
      </c>
      <c r="P63" s="123" t="b">
        <v>1</v>
      </c>
      <c r="Q63" s="88">
        <v>50</v>
      </c>
      <c r="R63" s="88">
        <v>1</v>
      </c>
      <c r="S63" s="88" t="str">
        <f t="shared" si="24"/>
        <v>obj_0023b#0003</v>
      </c>
      <c r="T63" s="92">
        <f>IFERROR(_xll.qlRateHelperEarliestDate(S63,Trigger),"--")</f>
        <v>42682</v>
      </c>
      <c r="U63" s="92">
        <f>IFERROR(_xll.qlRateHelperPillarDate(S63,Trigger),"--")</f>
        <v>43412</v>
      </c>
      <c r="W63" s="3" t="str">
        <f t="shared" si="22"/>
        <v/>
      </c>
      <c r="X63" s="3" t="e">
        <v>#N/A</v>
      </c>
      <c r="Y63" s="3" t="str">
        <f>IFERROR(_xll.qlRateHelperQuoteName(X63,Trigger),"")</f>
        <v/>
      </c>
      <c r="Z63" s="65" t="str">
        <f>IFERROR(_xll.qlRateHelperRate(X63,Trigger),"")</f>
        <v/>
      </c>
      <c r="AA63" s="9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1" t="e">
        <v>#N/A</v>
      </c>
    </row>
    <row r="64" spans="1:30" ht="11.25" customHeight="1" x14ac:dyDescent="0.2">
      <c r="A64" s="61" t="s">
        <v>8</v>
      </c>
      <c r="B64" s="61" t="s">
        <v>28</v>
      </c>
      <c r="C64" s="61" t="s">
        <v>113</v>
      </c>
      <c r="D64" s="61" t="s">
        <v>5</v>
      </c>
      <c r="E64" s="61" t="s">
        <v>33</v>
      </c>
      <c r="F64" s="61" t="s">
        <v>114</v>
      </c>
      <c r="G64" s="61" t="s">
        <v>4</v>
      </c>
      <c r="H64" s="61" t="s">
        <v>1</v>
      </c>
      <c r="I64" s="61" t="s">
        <v>112</v>
      </c>
      <c r="J64" s="61" t="s">
        <v>24</v>
      </c>
      <c r="L64" s="173" t="str">
        <f t="shared" si="23"/>
        <v>BasSw</v>
      </c>
      <c r="M64" s="169" t="str">
        <f t="shared" si="25"/>
        <v>AUDQM3AB3Y_S3BR6BR_Quote</v>
      </c>
      <c r="N64" s="174">
        <f>IFERROR(_xll.qlQuoteValue(H70),"--")</f>
        <v>1.9517248683162867E-2</v>
      </c>
      <c r="O64" s="174">
        <f t="shared" si="26"/>
        <v>0</v>
      </c>
      <c r="P64" s="123" t="b">
        <v>1</v>
      </c>
      <c r="Q64" s="88">
        <v>50</v>
      </c>
      <c r="R64" s="88">
        <v>1</v>
      </c>
      <c r="S64" s="88" t="str">
        <f t="shared" si="24"/>
        <v>obj_0024d#0003</v>
      </c>
      <c r="T64" s="92">
        <f>IFERROR(_xll.qlRateHelperEarliestDate(S64,Trigger),"--")</f>
        <v>42682</v>
      </c>
      <c r="U64" s="92">
        <f>IFERROR(_xll.qlRateHelperPillarDate(S64,Trigger),"--")</f>
        <v>43777</v>
      </c>
      <c r="W64" s="3" t="str">
        <f t="shared" si="22"/>
        <v/>
      </c>
      <c r="X64" s="3" t="e">
        <v>#N/A</v>
      </c>
      <c r="Y64" s="3" t="str">
        <f>IFERROR(_xll.qlRateHelperQuoteName(X64,Trigger),"")</f>
        <v/>
      </c>
      <c r="Z64" s="65" t="str">
        <f>IFERROR(_xll.qlRateHelperRate(X64,Trigger),"")</f>
        <v/>
      </c>
      <c r="AA64" s="9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1" t="e">
        <v>#N/A</v>
      </c>
    </row>
    <row r="65" spans="1:30" ht="11.25" customHeight="1" x14ac:dyDescent="0.2">
      <c r="A65" s="51" t="s">
        <v>116</v>
      </c>
      <c r="B65" s="52" t="s">
        <v>27</v>
      </c>
      <c r="C65" s="53" t="s">
        <v>6</v>
      </c>
      <c r="D65" s="53" t="s">
        <v>156</v>
      </c>
      <c r="E65" s="53" t="s">
        <v>7</v>
      </c>
      <c r="F65" s="53" t="s">
        <v>154</v>
      </c>
      <c r="G65" s="53" t="str">
        <f t="shared" ref="G65:G101" si="27">PROPER(Currency)&amp;FamilyName&amp;Tenor</f>
        <v>AudBBSW6M</v>
      </c>
      <c r="H65" s="51" t="str">
        <f t="shared" ref="H65:H101" si="28">Currency&amp;$G$63&amp;$H$63&amp;B65&amp;"_S"&amp;"3BR"&amp;"6BR"&amp;QuoteSuffix</f>
        <v>AUDQM3AB1Y_S3BR6BR_Quote</v>
      </c>
      <c r="I65" s="113">
        <v>0</v>
      </c>
      <c r="J65" s="165" t="str">
        <f>IF(P59,_xll.qlSwapRateHelper2(,H65,1,B65,Calendar,D65,E65,F65,G65,I65,C65,Discounting,PillarDate,,Permanent,Trigger,ObjectOverwrite),"--")</f>
        <v>obj_00249#0003</v>
      </c>
      <c r="L65" s="173" t="str">
        <f t="shared" si="23"/>
        <v>BasSw</v>
      </c>
      <c r="M65" s="169" t="str">
        <f t="shared" si="25"/>
        <v>AUDQM3AB4Y_S3BR6BR_Quote</v>
      </c>
      <c r="N65" s="174" t="str">
        <f>IFERROR(_xll.qlQuoteValue(H71),"--")</f>
        <v>--</v>
      </c>
      <c r="O65" s="174">
        <f t="shared" si="26"/>
        <v>0</v>
      </c>
      <c r="P65" s="123" t="b">
        <v>0</v>
      </c>
      <c r="Q65" s="88">
        <v>50</v>
      </c>
      <c r="R65" s="88">
        <v>1</v>
      </c>
      <c r="S65" s="88" t="str">
        <f t="shared" si="24"/>
        <v>--</v>
      </c>
      <c r="T65" s="92" t="str">
        <f>IFERROR(_xll.qlRateHelperEarliestDate(S65,Trigger),"--")</f>
        <v>--</v>
      </c>
      <c r="U65" s="92" t="str">
        <f>IFERROR(_xll.qlRateHelperPillarDate(S65,Trigger),"--")</f>
        <v>--</v>
      </c>
      <c r="W65" s="3" t="str">
        <f t="shared" si="22"/>
        <v/>
      </c>
      <c r="X65" s="3" t="e">
        <v>#N/A</v>
      </c>
      <c r="Y65" s="3" t="str">
        <f>IFERROR(_xll.qlRateHelperQuoteName(X65,Trigger),"")</f>
        <v/>
      </c>
      <c r="Z65" s="65" t="str">
        <f>IFERROR(_xll.qlRateHelperRate(X65,Trigger),"")</f>
        <v/>
      </c>
      <c r="AA65" s="9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1" t="e">
        <v>#N/A</v>
      </c>
    </row>
    <row r="66" spans="1:30" ht="11.25" customHeight="1" x14ac:dyDescent="0.2">
      <c r="A66" s="56" t="s">
        <v>116</v>
      </c>
      <c r="B66" s="57" t="s">
        <v>49</v>
      </c>
      <c r="C66" s="58" t="s">
        <v>6</v>
      </c>
      <c r="D66" s="58" t="s">
        <v>156</v>
      </c>
      <c r="E66" s="58" t="s">
        <v>7</v>
      </c>
      <c r="F66" s="58" t="s">
        <v>154</v>
      </c>
      <c r="G66" s="58" t="str">
        <f t="shared" si="27"/>
        <v>AudBBSW6M</v>
      </c>
      <c r="H66" s="56" t="str">
        <f t="shared" si="28"/>
        <v>AUDQM3AB15M_S3BR6BR_Quote</v>
      </c>
      <c r="I66" s="114">
        <v>0</v>
      </c>
      <c r="J66" s="167" t="str">
        <f>IF(P60,_xll.qlSwapRateHelper2(,H66,1,B66,Calendar,D66,E66,F66,G66,I66,C66,Discounting,PillarDate,,Permanent,Trigger,ObjectOverwrite),"--")</f>
        <v>--</v>
      </c>
      <c r="L66" s="173" t="str">
        <f t="shared" si="23"/>
        <v>BasSw</v>
      </c>
      <c r="M66" s="169" t="str">
        <f t="shared" si="25"/>
        <v>AUDQM3AB5Y_S3BR6BR_Quote</v>
      </c>
      <c r="N66" s="174" t="str">
        <f>IFERROR(_xll.qlQuoteValue(H72),"--")</f>
        <v>--</v>
      </c>
      <c r="O66" s="174">
        <f t="shared" si="26"/>
        <v>0</v>
      </c>
      <c r="P66" s="123" t="b">
        <v>0</v>
      </c>
      <c r="Q66" s="88">
        <v>50</v>
      </c>
      <c r="R66" s="88">
        <v>1</v>
      </c>
      <c r="S66" s="88" t="str">
        <f t="shared" si="24"/>
        <v>--</v>
      </c>
      <c r="T66" s="92" t="str">
        <f>IFERROR(_xll.qlRateHelperEarliestDate(S66,Trigger),"--")</f>
        <v>--</v>
      </c>
      <c r="U66" s="92" t="str">
        <f>IFERROR(_xll.qlRateHelperPillarDate(S66,Trigger),"--")</f>
        <v>--</v>
      </c>
      <c r="W66" s="3" t="str">
        <f t="shared" si="22"/>
        <v/>
      </c>
      <c r="X66" s="3" t="e">
        <v>#N/A</v>
      </c>
      <c r="Y66" s="3" t="str">
        <f>IFERROR(_xll.qlRateHelperQuoteName(X66,Trigger),"")</f>
        <v/>
      </c>
      <c r="Z66" s="65" t="str">
        <f>IFERROR(_xll.qlRateHelperRate(X66,Trigger),"")</f>
        <v/>
      </c>
      <c r="AA66" s="9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1" t="e">
        <v>#N/A</v>
      </c>
    </row>
    <row r="67" spans="1:30" ht="11.25" customHeight="1" x14ac:dyDescent="0.2">
      <c r="A67" s="56" t="s">
        <v>116</v>
      </c>
      <c r="B67" s="57" t="s">
        <v>50</v>
      </c>
      <c r="C67" s="58" t="s">
        <v>6</v>
      </c>
      <c r="D67" s="58" t="s">
        <v>156</v>
      </c>
      <c r="E67" s="58" t="s">
        <v>7</v>
      </c>
      <c r="F67" s="58" t="s">
        <v>154</v>
      </c>
      <c r="G67" s="58" t="str">
        <f t="shared" si="27"/>
        <v>AudBBSW6M</v>
      </c>
      <c r="H67" s="56" t="str">
        <f t="shared" si="28"/>
        <v>AUDQM3AB18M_S3BR6BR_Quote</v>
      </c>
      <c r="I67" s="114">
        <v>0</v>
      </c>
      <c r="J67" s="167" t="str">
        <f>IF(P61,_xll.qlSwapRateHelper2(,H67,1,B67,Calendar,D67,E67,F67,G67,I67,C67,Discounting,PillarDate,,Permanent,Trigger,ObjectOverwrite),"--")</f>
        <v>--</v>
      </c>
      <c r="L67" s="173" t="str">
        <f t="shared" si="23"/>
        <v>BasSw</v>
      </c>
      <c r="M67" s="169" t="str">
        <f t="shared" si="25"/>
        <v>AUDQM3AB6Y_S3BR6BR_Quote</v>
      </c>
      <c r="N67" s="174" t="str">
        <f>IFERROR(_xll.qlQuoteValue(H73),"--")</f>
        <v>--</v>
      </c>
      <c r="O67" s="174">
        <f t="shared" si="26"/>
        <v>0</v>
      </c>
      <c r="P67" s="123" t="b">
        <v>0</v>
      </c>
      <c r="Q67" s="88">
        <v>50</v>
      </c>
      <c r="R67" s="88">
        <v>1</v>
      </c>
      <c r="S67" s="88" t="str">
        <f t="shared" si="24"/>
        <v>--</v>
      </c>
      <c r="T67" s="92" t="str">
        <f>IFERROR(_xll.qlRateHelperEarliestDate(S67,Trigger),"--")</f>
        <v>--</v>
      </c>
      <c r="U67" s="92" t="str">
        <f>IFERROR(_xll.qlRateHelperPillarDate(S67,Trigger),"--")</f>
        <v>--</v>
      </c>
      <c r="W67" s="3" t="str">
        <f t="shared" ref="W67:W95" si="29">IFERROR(INDEX($L$3:$L$95,MATCH(Y67,$M$3:$M$95,0),1),"")</f>
        <v/>
      </c>
      <c r="X67" s="3" t="e">
        <v>#N/A</v>
      </c>
      <c r="Y67" s="3" t="str">
        <f>IFERROR(_xll.qlRateHelperQuoteName(X67,Trigger),"")</f>
        <v/>
      </c>
      <c r="Z67" s="65" t="str">
        <f>IFERROR(_xll.qlRateHelperRate(X67,Trigger),"")</f>
        <v/>
      </c>
      <c r="AA67" s="9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1" t="e">
        <v>#N/A</v>
      </c>
    </row>
    <row r="68" spans="1:30" ht="11.25" customHeight="1" x14ac:dyDescent="0.2">
      <c r="A68" s="56" t="s">
        <v>116</v>
      </c>
      <c r="B68" s="57" t="s">
        <v>51</v>
      </c>
      <c r="C68" s="58" t="s">
        <v>6</v>
      </c>
      <c r="D68" s="58" t="s">
        <v>156</v>
      </c>
      <c r="E68" s="58" t="s">
        <v>7</v>
      </c>
      <c r="F68" s="58" t="s">
        <v>154</v>
      </c>
      <c r="G68" s="58" t="str">
        <f t="shared" si="27"/>
        <v>AudBBSW6M</v>
      </c>
      <c r="H68" s="56" t="str">
        <f t="shared" si="28"/>
        <v>AUDQM3AB21M_S3BR6BR_Quote</v>
      </c>
      <c r="I68" s="114">
        <v>0</v>
      </c>
      <c r="J68" s="167" t="str">
        <f>IF(P62,_xll.qlSwapRateHelper2(,H68,1,B68,Calendar,D68,E68,F68,G68,I68,C68,Discounting,PillarDate,,Permanent,Trigger,ObjectOverwrite),"--")</f>
        <v>--</v>
      </c>
      <c r="L68" s="173" t="str">
        <f t="shared" si="23"/>
        <v>BasSw</v>
      </c>
      <c r="M68" s="169" t="str">
        <f t="shared" si="25"/>
        <v>AUDQM3AB7Y_S3BR6BR_Quote</v>
      </c>
      <c r="N68" s="174" t="str">
        <f>IFERROR(_xll.qlQuoteValue(H74),"--")</f>
        <v>--</v>
      </c>
      <c r="O68" s="174">
        <f t="shared" si="26"/>
        <v>0</v>
      </c>
      <c r="P68" s="123" t="b">
        <v>0</v>
      </c>
      <c r="Q68" s="88">
        <v>50</v>
      </c>
      <c r="R68" s="88">
        <v>1</v>
      </c>
      <c r="S68" s="88" t="str">
        <f t="shared" si="24"/>
        <v>--</v>
      </c>
      <c r="T68" s="92" t="str">
        <f>IFERROR(_xll.qlRateHelperEarliestDate(S68,Trigger),"--")</f>
        <v>--</v>
      </c>
      <c r="U68" s="92" t="str">
        <f>IFERROR(_xll.qlRateHelperPillarDate(S68,Trigger),"--")</f>
        <v>--</v>
      </c>
      <c r="W68" s="3" t="str">
        <f t="shared" si="29"/>
        <v/>
      </c>
      <c r="X68" s="3" t="e">
        <v>#N/A</v>
      </c>
      <c r="Y68" s="3" t="str">
        <f>IFERROR(_xll.qlRateHelperQuoteName(X68,Trigger),"")</f>
        <v/>
      </c>
      <c r="Z68" s="65" t="str">
        <f>IFERROR(_xll.qlRateHelperRate(X68,Trigger),"")</f>
        <v/>
      </c>
      <c r="AA68" s="9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1" t="e">
        <v>#N/A</v>
      </c>
    </row>
    <row r="69" spans="1:30" ht="11.25" customHeight="1" x14ac:dyDescent="0.2">
      <c r="A69" s="56" t="s">
        <v>116</v>
      </c>
      <c r="B69" s="57" t="s">
        <v>52</v>
      </c>
      <c r="C69" s="58" t="s">
        <v>6</v>
      </c>
      <c r="D69" s="58" t="s">
        <v>156</v>
      </c>
      <c r="E69" s="58" t="s">
        <v>7</v>
      </c>
      <c r="F69" s="58" t="s">
        <v>154</v>
      </c>
      <c r="G69" s="58" t="str">
        <f t="shared" si="27"/>
        <v>AudBBSW6M</v>
      </c>
      <c r="H69" s="56" t="str">
        <f t="shared" si="28"/>
        <v>AUDQM3AB2Y_S3BR6BR_Quote</v>
      </c>
      <c r="I69" s="114">
        <v>0</v>
      </c>
      <c r="J69" s="167" t="str">
        <f>IF(P63,_xll.qlSwapRateHelper2(,H69,1,B69,Calendar,D69,E69,F69,G69,I69,C69,Discounting,PillarDate,,Permanent,Trigger,ObjectOverwrite),"--")</f>
        <v>obj_0023b#0003</v>
      </c>
      <c r="L69" s="173" t="str">
        <f t="shared" si="23"/>
        <v>BasSw</v>
      </c>
      <c r="M69" s="169" t="str">
        <f t="shared" si="25"/>
        <v>AUDQM3AB8Y_S3BR6BR_Quote</v>
      </c>
      <c r="N69" s="174" t="str">
        <f>IFERROR(_xll.qlQuoteValue(H75),"--")</f>
        <v>--</v>
      </c>
      <c r="O69" s="174">
        <f t="shared" si="26"/>
        <v>0</v>
      </c>
      <c r="P69" s="123" t="b">
        <v>0</v>
      </c>
      <c r="Q69" s="88">
        <v>50</v>
      </c>
      <c r="R69" s="88">
        <v>1</v>
      </c>
      <c r="S69" s="88" t="str">
        <f t="shared" si="24"/>
        <v>--</v>
      </c>
      <c r="T69" s="92" t="str">
        <f>IFERROR(_xll.qlRateHelperEarliestDate(S69,Trigger),"--")</f>
        <v>--</v>
      </c>
      <c r="U69" s="92" t="str">
        <f>IFERROR(_xll.qlRateHelperPillarDate(S69,Trigger),"--")</f>
        <v>--</v>
      </c>
      <c r="W69" s="3" t="str">
        <f t="shared" si="29"/>
        <v/>
      </c>
      <c r="X69" s="3" t="e">
        <v>#N/A</v>
      </c>
      <c r="Y69" s="3" t="str">
        <f>IFERROR(_xll.qlRateHelperQuoteName(X69,Trigger),"")</f>
        <v/>
      </c>
      <c r="Z69" s="65" t="str">
        <f>IFERROR(_xll.qlRateHelperRate(X69,Trigger),"")</f>
        <v/>
      </c>
      <c r="AA69" s="9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1" t="e">
        <v>#N/A</v>
      </c>
    </row>
    <row r="70" spans="1:30" ht="11.25" customHeight="1" x14ac:dyDescent="0.2">
      <c r="A70" s="56" t="s">
        <v>116</v>
      </c>
      <c r="B70" s="57" t="s">
        <v>53</v>
      </c>
      <c r="C70" s="58" t="s">
        <v>6</v>
      </c>
      <c r="D70" s="58" t="s">
        <v>156</v>
      </c>
      <c r="E70" s="58" t="s">
        <v>7</v>
      </c>
      <c r="F70" s="58" t="s">
        <v>154</v>
      </c>
      <c r="G70" s="58" t="str">
        <f t="shared" si="27"/>
        <v>AudBBSW6M</v>
      </c>
      <c r="H70" s="56" t="str">
        <f t="shared" si="28"/>
        <v>AUDQM3AB3Y_S3BR6BR_Quote</v>
      </c>
      <c r="I70" s="114">
        <v>0</v>
      </c>
      <c r="J70" s="167" t="str">
        <f>IF(P64,_xll.qlSwapRateHelper2(,H70,1,B70,Calendar,D70,E70,F70,G70,I70,C70,Discounting,PillarDate,,Permanent,Trigger,ObjectOverwrite),"--")</f>
        <v>obj_0024d#0003</v>
      </c>
      <c r="L70" s="173" t="str">
        <f t="shared" si="23"/>
        <v>BasSw</v>
      </c>
      <c r="M70" s="169" t="str">
        <f t="shared" si="25"/>
        <v>AUDQM3AB9Y_S3BR6BR_Quote</v>
      </c>
      <c r="N70" s="174" t="str">
        <f>IFERROR(_xll.qlQuoteValue(H76),"--")</f>
        <v>--</v>
      </c>
      <c r="O70" s="174">
        <f t="shared" si="26"/>
        <v>0</v>
      </c>
      <c r="P70" s="123" t="b">
        <v>0</v>
      </c>
      <c r="Q70" s="88">
        <v>50</v>
      </c>
      <c r="R70" s="88">
        <v>1</v>
      </c>
      <c r="S70" s="88" t="str">
        <f t="shared" si="24"/>
        <v>--</v>
      </c>
      <c r="T70" s="92" t="str">
        <f>IFERROR(_xll.qlRateHelperEarliestDate(S70,Trigger),"--")</f>
        <v>--</v>
      </c>
      <c r="U70" s="92" t="str">
        <f>IFERROR(_xll.qlRateHelperPillarDate(S70,Trigger),"--")</f>
        <v>--</v>
      </c>
      <c r="W70" s="3" t="str">
        <f t="shared" si="29"/>
        <v/>
      </c>
      <c r="X70" s="3" t="e">
        <v>#N/A</v>
      </c>
      <c r="Y70" s="3" t="str">
        <f>IFERROR(_xll.qlRateHelperQuoteName(X70,Trigger),"")</f>
        <v/>
      </c>
      <c r="Z70" s="65" t="str">
        <f>IFERROR(_xll.qlRateHelperRate(X70,Trigger),"")</f>
        <v/>
      </c>
      <c r="AA70" s="9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1" t="e">
        <v>#N/A</v>
      </c>
    </row>
    <row r="71" spans="1:30" ht="11.25" customHeight="1" x14ac:dyDescent="0.2">
      <c r="A71" s="56" t="s">
        <v>116</v>
      </c>
      <c r="B71" s="57" t="s">
        <v>54</v>
      </c>
      <c r="C71" s="58" t="s">
        <v>6</v>
      </c>
      <c r="D71" s="58" t="s">
        <v>156</v>
      </c>
      <c r="E71" s="58" t="s">
        <v>7</v>
      </c>
      <c r="F71" s="58" t="s">
        <v>154</v>
      </c>
      <c r="G71" s="58" t="str">
        <f t="shared" si="27"/>
        <v>AudBBSW6M</v>
      </c>
      <c r="H71" s="56" t="str">
        <f t="shared" si="28"/>
        <v>AUDQM3AB4Y_S3BR6BR_Quote</v>
      </c>
      <c r="I71" s="114">
        <v>0</v>
      </c>
      <c r="J71" s="167" t="str">
        <f>IF(P65,_xll.qlSwapRateHelper2(,H71,1,B71,Calendar,D71,E71,F71,G71,I71,C71,Discounting,PillarDate,,Permanent,Trigger,ObjectOverwrite),"--")</f>
        <v>--</v>
      </c>
      <c r="L71" s="173" t="str">
        <f t="shared" si="23"/>
        <v>BasSw</v>
      </c>
      <c r="M71" s="169" t="str">
        <f t="shared" si="25"/>
        <v>AUDQM3AB10Y_S3BR6BR_Quote</v>
      </c>
      <c r="N71" s="174" t="str">
        <f>IFERROR(_xll.qlQuoteValue(H77),"--")</f>
        <v>--</v>
      </c>
      <c r="O71" s="174">
        <f t="shared" si="26"/>
        <v>0</v>
      </c>
      <c r="P71" s="123" t="b">
        <v>0</v>
      </c>
      <c r="Q71" s="88">
        <v>50</v>
      </c>
      <c r="R71" s="88">
        <v>1</v>
      </c>
      <c r="S71" s="88" t="str">
        <f t="shared" si="24"/>
        <v>--</v>
      </c>
      <c r="T71" s="92" t="str">
        <f>IFERROR(_xll.qlRateHelperEarliestDate(S71,Trigger),"--")</f>
        <v>--</v>
      </c>
      <c r="U71" s="92" t="str">
        <f>IFERROR(_xll.qlRateHelperPillarDate(S71,Trigger),"--")</f>
        <v>--</v>
      </c>
      <c r="W71" s="3" t="str">
        <f t="shared" si="29"/>
        <v/>
      </c>
      <c r="X71" s="3" t="e">
        <v>#N/A</v>
      </c>
      <c r="Y71" s="3" t="str">
        <f>IFERROR(_xll.qlRateHelperQuoteName(X71,Trigger),"")</f>
        <v/>
      </c>
      <c r="Z71" s="65" t="str">
        <f>IFERROR(_xll.qlRateHelperRate(X71,Trigger),"")</f>
        <v/>
      </c>
      <c r="AA71" s="9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1" t="e">
        <v>#N/A</v>
      </c>
    </row>
    <row r="72" spans="1:30" ht="11.25" customHeight="1" x14ac:dyDescent="0.2">
      <c r="A72" s="56" t="s">
        <v>116</v>
      </c>
      <c r="B72" s="57" t="s">
        <v>55</v>
      </c>
      <c r="C72" s="58" t="s">
        <v>6</v>
      </c>
      <c r="D72" s="58" t="s">
        <v>156</v>
      </c>
      <c r="E72" s="58" t="s">
        <v>7</v>
      </c>
      <c r="F72" s="58" t="s">
        <v>154</v>
      </c>
      <c r="G72" s="58" t="str">
        <f t="shared" si="27"/>
        <v>AudBBSW6M</v>
      </c>
      <c r="H72" s="56" t="str">
        <f t="shared" si="28"/>
        <v>AUDQM3AB5Y_S3BR6BR_Quote</v>
      </c>
      <c r="I72" s="114">
        <v>0</v>
      </c>
      <c r="J72" s="167" t="str">
        <f>IF(P66,_xll.qlSwapRateHelper2(,H72,1,B72,Calendar,D72,E72,F72,G72,I72,C72,Discounting,PillarDate,,Permanent,Trigger,ObjectOverwrite),"--")</f>
        <v>--</v>
      </c>
      <c r="L72" s="173" t="str">
        <f t="shared" si="23"/>
        <v>BasSw</v>
      </c>
      <c r="M72" s="169" t="str">
        <f t="shared" si="25"/>
        <v>AUDQM3AB11Y_S3BR6BR_Quote</v>
      </c>
      <c r="N72" s="174" t="str">
        <f>IFERROR(_xll.qlQuoteValue(H78),"--")</f>
        <v>--</v>
      </c>
      <c r="O72" s="174">
        <f t="shared" si="26"/>
        <v>0</v>
      </c>
      <c r="P72" s="123" t="b">
        <v>0</v>
      </c>
      <c r="Q72" s="88">
        <v>50</v>
      </c>
      <c r="R72" s="88">
        <v>1</v>
      </c>
      <c r="S72" s="88" t="str">
        <f t="shared" si="24"/>
        <v>--</v>
      </c>
      <c r="T72" s="92" t="str">
        <f>IFERROR(_xll.qlRateHelperEarliestDate(S72,Trigger),"--")</f>
        <v>--</v>
      </c>
      <c r="U72" s="92" t="str">
        <f>IFERROR(_xll.qlRateHelperPillarDate(S72,Trigger),"--")</f>
        <v>--</v>
      </c>
      <c r="W72" s="3" t="str">
        <f t="shared" si="29"/>
        <v/>
      </c>
      <c r="X72" s="3" t="e">
        <v>#N/A</v>
      </c>
      <c r="Y72" s="3" t="str">
        <f>IFERROR(_xll.qlRateHelperQuoteName(X72,Trigger),"")</f>
        <v/>
      </c>
      <c r="Z72" s="65" t="str">
        <f>IFERROR(_xll.qlRateHelperRate(X72,Trigger),"")</f>
        <v/>
      </c>
      <c r="AA72" s="9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1" t="e">
        <v>#N/A</v>
      </c>
    </row>
    <row r="73" spans="1:30" ht="11.25" customHeight="1" x14ac:dyDescent="0.2">
      <c r="A73" s="56" t="s">
        <v>116</v>
      </c>
      <c r="B73" s="57" t="s">
        <v>56</v>
      </c>
      <c r="C73" s="58" t="s">
        <v>6</v>
      </c>
      <c r="D73" s="58" t="s">
        <v>156</v>
      </c>
      <c r="E73" s="58" t="s">
        <v>7</v>
      </c>
      <c r="F73" s="58" t="s">
        <v>154</v>
      </c>
      <c r="G73" s="58" t="str">
        <f t="shared" si="27"/>
        <v>AudBBSW6M</v>
      </c>
      <c r="H73" s="56" t="str">
        <f t="shared" si="28"/>
        <v>AUDQM3AB6Y_S3BR6BR_Quote</v>
      </c>
      <c r="I73" s="114">
        <v>0</v>
      </c>
      <c r="J73" s="167" t="str">
        <f>IF(P67,_xll.qlSwapRateHelper2(,H73,1,B73,Calendar,D73,E73,F73,G73,I73,C73,Discounting,PillarDate,,Permanent,Trigger,ObjectOverwrite),"--")</f>
        <v>--</v>
      </c>
      <c r="L73" s="173" t="str">
        <f t="shared" si="23"/>
        <v>BasSw</v>
      </c>
      <c r="M73" s="169" t="str">
        <f t="shared" si="25"/>
        <v>AUDQM3AB12Y_S3BR6BR_Quote</v>
      </c>
      <c r="N73" s="174" t="str">
        <f>IFERROR(_xll.qlQuoteValue(H79),"--")</f>
        <v>--</v>
      </c>
      <c r="O73" s="174">
        <f t="shared" si="26"/>
        <v>0</v>
      </c>
      <c r="P73" s="123" t="b">
        <v>0</v>
      </c>
      <c r="Q73" s="88">
        <v>50</v>
      </c>
      <c r="R73" s="88">
        <v>1</v>
      </c>
      <c r="S73" s="88" t="str">
        <f t="shared" si="24"/>
        <v>--</v>
      </c>
      <c r="T73" s="92" t="str">
        <f>IFERROR(_xll.qlRateHelperEarliestDate(S73,Trigger),"--")</f>
        <v>--</v>
      </c>
      <c r="U73" s="92" t="str">
        <f>IFERROR(_xll.qlRateHelperPillarDate(S73,Trigger),"--")</f>
        <v>--</v>
      </c>
      <c r="W73" s="3" t="str">
        <f t="shared" si="29"/>
        <v/>
      </c>
      <c r="X73" s="3" t="e">
        <v>#N/A</v>
      </c>
      <c r="Y73" s="3" t="str">
        <f>IFERROR(_xll.qlRateHelperQuoteName(X73,Trigger),"")</f>
        <v/>
      </c>
      <c r="Z73" s="65" t="str">
        <f>IFERROR(_xll.qlRateHelperRate(X73,Trigger),"")</f>
        <v/>
      </c>
      <c r="AA73" s="9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1" t="e">
        <v>#N/A</v>
      </c>
    </row>
    <row r="74" spans="1:30" ht="11.25" customHeight="1" x14ac:dyDescent="0.2">
      <c r="A74" s="56" t="s">
        <v>116</v>
      </c>
      <c r="B74" s="57" t="s">
        <v>57</v>
      </c>
      <c r="C74" s="58" t="s">
        <v>6</v>
      </c>
      <c r="D74" s="58" t="s">
        <v>156</v>
      </c>
      <c r="E74" s="58" t="s">
        <v>7</v>
      </c>
      <c r="F74" s="58" t="s">
        <v>154</v>
      </c>
      <c r="G74" s="58" t="str">
        <f t="shared" si="27"/>
        <v>AudBBSW6M</v>
      </c>
      <c r="H74" s="56" t="str">
        <f t="shared" si="28"/>
        <v>AUDQM3AB7Y_S3BR6BR_Quote</v>
      </c>
      <c r="I74" s="114">
        <v>0</v>
      </c>
      <c r="J74" s="167" t="str">
        <f>IF(P68,_xll.qlSwapRateHelper2(,H74,1,B74,Calendar,D74,E74,F74,G74,I74,C74,Discounting,PillarDate,,Permanent,Trigger,ObjectOverwrite),"--")</f>
        <v>--</v>
      </c>
      <c r="L74" s="173" t="str">
        <f t="shared" si="23"/>
        <v>BasSw</v>
      </c>
      <c r="M74" s="169" t="str">
        <f t="shared" si="25"/>
        <v>AUDQM3AB13Y_S3BR6BR_Quote</v>
      </c>
      <c r="N74" s="174" t="str">
        <f>IFERROR(_xll.qlQuoteValue(H80),"--")</f>
        <v>--</v>
      </c>
      <c r="O74" s="174">
        <f t="shared" si="26"/>
        <v>0</v>
      </c>
      <c r="P74" s="123" t="b">
        <v>0</v>
      </c>
      <c r="Q74" s="88">
        <v>50</v>
      </c>
      <c r="R74" s="88">
        <v>1</v>
      </c>
      <c r="S74" s="88" t="str">
        <f t="shared" si="24"/>
        <v>--</v>
      </c>
      <c r="T74" s="92" t="str">
        <f>IFERROR(_xll.qlRateHelperEarliestDate(S74,Trigger),"--")</f>
        <v>--</v>
      </c>
      <c r="U74" s="92" t="str">
        <f>IFERROR(_xll.qlRateHelperPillarDate(S74,Trigger),"--")</f>
        <v>--</v>
      </c>
      <c r="W74" s="3" t="str">
        <f t="shared" si="29"/>
        <v/>
      </c>
      <c r="X74" s="3" t="e">
        <v>#N/A</v>
      </c>
      <c r="Y74" s="3" t="str">
        <f>IFERROR(_xll.qlRateHelperQuoteName(X74,Trigger),"")</f>
        <v/>
      </c>
      <c r="Z74" s="65" t="str">
        <f>IFERROR(_xll.qlRateHelperRate(X74,Trigger),"")</f>
        <v/>
      </c>
      <c r="AA74" s="9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1" t="e">
        <v>#N/A</v>
      </c>
    </row>
    <row r="75" spans="1:30" ht="11.25" customHeight="1" x14ac:dyDescent="0.2">
      <c r="A75" s="56" t="s">
        <v>116</v>
      </c>
      <c r="B75" s="57" t="s">
        <v>58</v>
      </c>
      <c r="C75" s="58" t="s">
        <v>6</v>
      </c>
      <c r="D75" s="58" t="s">
        <v>156</v>
      </c>
      <c r="E75" s="58" t="s">
        <v>7</v>
      </c>
      <c r="F75" s="58" t="s">
        <v>154</v>
      </c>
      <c r="G75" s="58" t="str">
        <f t="shared" si="27"/>
        <v>AudBBSW6M</v>
      </c>
      <c r="H75" s="56" t="str">
        <f t="shared" si="28"/>
        <v>AUDQM3AB8Y_S3BR6BR_Quote</v>
      </c>
      <c r="I75" s="114">
        <v>0</v>
      </c>
      <c r="J75" s="167" t="str">
        <f>IF(P69,_xll.qlSwapRateHelper2(,H75,1,B75,Calendar,D75,E75,F75,G75,I75,C75,Discounting,PillarDate,,Permanent,Trigger,ObjectOverwrite),"--")</f>
        <v>--</v>
      </c>
      <c r="L75" s="173" t="str">
        <f t="shared" si="23"/>
        <v>BasSw</v>
      </c>
      <c r="M75" s="169" t="str">
        <f t="shared" si="25"/>
        <v>AUDQM3AB14Y_S3BR6BR_Quote</v>
      </c>
      <c r="N75" s="174" t="str">
        <f>IFERROR(_xll.qlQuoteValue(H81),"--")</f>
        <v>--</v>
      </c>
      <c r="O75" s="174">
        <f t="shared" si="26"/>
        <v>0</v>
      </c>
      <c r="P75" s="123" t="b">
        <v>0</v>
      </c>
      <c r="Q75" s="88">
        <v>50</v>
      </c>
      <c r="R75" s="88">
        <v>1</v>
      </c>
      <c r="S75" s="88" t="str">
        <f t="shared" si="24"/>
        <v>--</v>
      </c>
      <c r="T75" s="92" t="str">
        <f>IFERROR(_xll.qlRateHelperEarliestDate(S75,Trigger),"--")</f>
        <v>--</v>
      </c>
      <c r="U75" s="92" t="str">
        <f>IFERROR(_xll.qlRateHelperPillarDate(S75,Trigger),"--")</f>
        <v>--</v>
      </c>
      <c r="W75" s="3" t="str">
        <f t="shared" si="29"/>
        <v/>
      </c>
      <c r="X75" s="3" t="e">
        <v>#N/A</v>
      </c>
      <c r="Y75" s="3" t="str">
        <f>IFERROR(_xll.qlRateHelperQuoteName(X75,Trigger),"")</f>
        <v/>
      </c>
      <c r="Z75" s="65" t="str">
        <f>IFERROR(_xll.qlRateHelperRate(X75,Trigger),"")</f>
        <v/>
      </c>
      <c r="AA75" s="9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1" t="e">
        <v>#N/A</v>
      </c>
    </row>
    <row r="76" spans="1:30" ht="11.25" customHeight="1" x14ac:dyDescent="0.2">
      <c r="A76" s="56" t="s">
        <v>116</v>
      </c>
      <c r="B76" s="57" t="s">
        <v>59</v>
      </c>
      <c r="C76" s="58" t="s">
        <v>6</v>
      </c>
      <c r="D76" s="58" t="s">
        <v>156</v>
      </c>
      <c r="E76" s="58" t="s">
        <v>7</v>
      </c>
      <c r="F76" s="58" t="s">
        <v>154</v>
      </c>
      <c r="G76" s="58" t="str">
        <f t="shared" si="27"/>
        <v>AudBBSW6M</v>
      </c>
      <c r="H76" s="56" t="str">
        <f t="shared" si="28"/>
        <v>AUDQM3AB9Y_S3BR6BR_Quote</v>
      </c>
      <c r="I76" s="114">
        <v>0</v>
      </c>
      <c r="J76" s="167" t="str">
        <f>IF(P70,_xll.qlSwapRateHelper2(,H76,1,B76,Calendar,D76,E76,F76,G76,I76,C76,Discounting,PillarDate,,Permanent,Trigger,ObjectOverwrite),"--")</f>
        <v>--</v>
      </c>
      <c r="L76" s="173" t="str">
        <f t="shared" si="23"/>
        <v>BasSw</v>
      </c>
      <c r="M76" s="169" t="str">
        <f t="shared" si="25"/>
        <v>AUDQM3AB15Y_S3BR6BR_Quote</v>
      </c>
      <c r="N76" s="174" t="str">
        <f>IFERROR(_xll.qlQuoteValue(H82),"--")</f>
        <v>--</v>
      </c>
      <c r="O76" s="174">
        <f t="shared" si="26"/>
        <v>0</v>
      </c>
      <c r="P76" s="123" t="b">
        <v>0</v>
      </c>
      <c r="Q76" s="88">
        <v>50</v>
      </c>
      <c r="R76" s="88">
        <v>1</v>
      </c>
      <c r="S76" s="88" t="str">
        <f t="shared" si="24"/>
        <v>--</v>
      </c>
      <c r="T76" s="92" t="str">
        <f>IFERROR(_xll.qlRateHelperEarliestDate(S76,Trigger),"--")</f>
        <v>--</v>
      </c>
      <c r="U76" s="92" t="str">
        <f>IFERROR(_xll.qlRateHelperPillarDate(S76,Trigger),"--")</f>
        <v>--</v>
      </c>
      <c r="W76" s="3" t="str">
        <f t="shared" si="29"/>
        <v/>
      </c>
      <c r="X76" s="3" t="e">
        <v>#N/A</v>
      </c>
      <c r="Y76" s="3" t="str">
        <f>IFERROR(_xll.qlRateHelperQuoteName(X76,Trigger),"")</f>
        <v/>
      </c>
      <c r="Z76" s="65" t="str">
        <f>IFERROR(_xll.qlRateHelperRate(X76,Trigger),"")</f>
        <v/>
      </c>
      <c r="AA76" s="9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1" t="e">
        <v>#N/A</v>
      </c>
    </row>
    <row r="77" spans="1:30" ht="11.25" customHeight="1" x14ac:dyDescent="0.2">
      <c r="A77" s="56" t="s">
        <v>116</v>
      </c>
      <c r="B77" s="57" t="s">
        <v>60</v>
      </c>
      <c r="C77" s="58" t="s">
        <v>6</v>
      </c>
      <c r="D77" s="58" t="s">
        <v>156</v>
      </c>
      <c r="E77" s="58" t="s">
        <v>7</v>
      </c>
      <c r="F77" s="58" t="s">
        <v>154</v>
      </c>
      <c r="G77" s="58" t="str">
        <f t="shared" si="27"/>
        <v>AudBBSW6M</v>
      </c>
      <c r="H77" s="56" t="str">
        <f t="shared" si="28"/>
        <v>AUDQM3AB10Y_S3BR6BR_Quote</v>
      </c>
      <c r="I77" s="114">
        <v>0</v>
      </c>
      <c r="J77" s="167" t="str">
        <f>IF(P71,_xll.qlSwapRateHelper2(,H77,1,B77,Calendar,D77,E77,F77,G77,I77,C77,Discounting,PillarDate,,Permanent,Trigger,ObjectOverwrite),"--")</f>
        <v>--</v>
      </c>
      <c r="L77" s="173" t="str">
        <f t="shared" si="23"/>
        <v>BasSw</v>
      </c>
      <c r="M77" s="169" t="str">
        <f t="shared" si="25"/>
        <v>AUDQM3AB16Y_S3BR6BR_Quote</v>
      </c>
      <c r="N77" s="174" t="str">
        <f>IFERROR(_xll.qlQuoteValue(H83),"--")</f>
        <v>--</v>
      </c>
      <c r="O77" s="174">
        <f t="shared" si="26"/>
        <v>0</v>
      </c>
      <c r="P77" s="123" t="b">
        <v>0</v>
      </c>
      <c r="Q77" s="88">
        <v>50</v>
      </c>
      <c r="R77" s="88">
        <v>1</v>
      </c>
      <c r="S77" s="88" t="str">
        <f t="shared" si="24"/>
        <v>--</v>
      </c>
      <c r="T77" s="92" t="str">
        <f>IFERROR(_xll.qlRateHelperEarliestDate(S77,Trigger),"--")</f>
        <v>--</v>
      </c>
      <c r="U77" s="92" t="str">
        <f>IFERROR(_xll.qlRateHelperPillarDate(S77,Trigger),"--")</f>
        <v>--</v>
      </c>
      <c r="W77" s="3" t="str">
        <f t="shared" si="29"/>
        <v/>
      </c>
      <c r="X77" s="3" t="e">
        <v>#N/A</v>
      </c>
      <c r="Y77" s="3" t="str">
        <f>IFERROR(_xll.qlRateHelperQuoteName(X77,Trigger),"")</f>
        <v/>
      </c>
      <c r="Z77" s="65" t="str">
        <f>IFERROR(_xll.qlRateHelperRate(X77,Trigger),"")</f>
        <v/>
      </c>
      <c r="AA77" s="9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1" t="e">
        <v>#N/A</v>
      </c>
    </row>
    <row r="78" spans="1:30" ht="11.25" customHeight="1" x14ac:dyDescent="0.2">
      <c r="A78" s="56" t="s">
        <v>116</v>
      </c>
      <c r="B78" s="57" t="s">
        <v>97</v>
      </c>
      <c r="C78" s="58" t="s">
        <v>6</v>
      </c>
      <c r="D78" s="58" t="s">
        <v>156</v>
      </c>
      <c r="E78" s="58" t="s">
        <v>7</v>
      </c>
      <c r="F78" s="58" t="s">
        <v>154</v>
      </c>
      <c r="G78" s="58" t="str">
        <f t="shared" si="27"/>
        <v>AudBBSW6M</v>
      </c>
      <c r="H78" s="56" t="str">
        <f t="shared" si="28"/>
        <v>AUDQM3AB11Y_S3BR6BR_Quote</v>
      </c>
      <c r="I78" s="114">
        <v>0</v>
      </c>
      <c r="J78" s="167" t="str">
        <f>IF(P72,_xll.qlSwapRateHelper2(,H78,1,B78,Calendar,D78,E78,F78,G78,I78,C78,Discounting,PillarDate,,Permanent,Trigger,ObjectOverwrite),"--")</f>
        <v>--</v>
      </c>
      <c r="L78" s="173" t="str">
        <f t="shared" si="23"/>
        <v>BasSw</v>
      </c>
      <c r="M78" s="169" t="str">
        <f t="shared" si="25"/>
        <v>AUDQM3AB17Y_S3BR6BR_Quote</v>
      </c>
      <c r="N78" s="174" t="str">
        <f>IFERROR(_xll.qlQuoteValue(H84),"--")</f>
        <v>--</v>
      </c>
      <c r="O78" s="174">
        <f t="shared" si="26"/>
        <v>0</v>
      </c>
      <c r="P78" s="123" t="b">
        <v>0</v>
      </c>
      <c r="Q78" s="88">
        <v>50</v>
      </c>
      <c r="R78" s="88">
        <v>1</v>
      </c>
      <c r="S78" s="88" t="str">
        <f t="shared" si="24"/>
        <v>--</v>
      </c>
      <c r="T78" s="92" t="str">
        <f>IFERROR(_xll.qlRateHelperEarliestDate(S78,Trigger),"--")</f>
        <v>--</v>
      </c>
      <c r="U78" s="92" t="str">
        <f>IFERROR(_xll.qlRateHelperPillarDate(S78,Trigger),"--")</f>
        <v>--</v>
      </c>
      <c r="W78" s="3" t="str">
        <f t="shared" si="29"/>
        <v/>
      </c>
      <c r="X78" s="3" t="e">
        <v>#N/A</v>
      </c>
      <c r="Y78" s="3" t="str">
        <f>IFERROR(_xll.qlRateHelperQuoteName(X78,Trigger),"")</f>
        <v/>
      </c>
      <c r="Z78" s="65" t="str">
        <f>IFERROR(_xll.qlRateHelperRate(X78,Trigger),"")</f>
        <v/>
      </c>
      <c r="AA78" s="9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1" t="e">
        <v>#N/A</v>
      </c>
    </row>
    <row r="79" spans="1:30" ht="11.25" customHeight="1" x14ac:dyDescent="0.2">
      <c r="A79" s="56" t="s">
        <v>116</v>
      </c>
      <c r="B79" s="57" t="s">
        <v>61</v>
      </c>
      <c r="C79" s="58" t="s">
        <v>6</v>
      </c>
      <c r="D79" s="58" t="s">
        <v>156</v>
      </c>
      <c r="E79" s="58" t="s">
        <v>7</v>
      </c>
      <c r="F79" s="58" t="s">
        <v>154</v>
      </c>
      <c r="G79" s="58" t="str">
        <f t="shared" si="27"/>
        <v>AudBBSW6M</v>
      </c>
      <c r="H79" s="56" t="str">
        <f t="shared" si="28"/>
        <v>AUDQM3AB12Y_S3BR6BR_Quote</v>
      </c>
      <c r="I79" s="114">
        <v>0</v>
      </c>
      <c r="J79" s="167" t="str">
        <f>IF(P73,_xll.qlSwapRateHelper2(,H79,1,B79,Calendar,D79,E79,F79,G79,I79,C79,Discounting,PillarDate,,Permanent,Trigger,ObjectOverwrite),"--")</f>
        <v>--</v>
      </c>
      <c r="L79" s="173" t="str">
        <f t="shared" si="23"/>
        <v>BasSw</v>
      </c>
      <c r="M79" s="169" t="str">
        <f t="shared" si="25"/>
        <v>AUDQM3AB18Y_S3BR6BR_Quote</v>
      </c>
      <c r="N79" s="174" t="str">
        <f>IFERROR(_xll.qlQuoteValue(H85),"--")</f>
        <v>--</v>
      </c>
      <c r="O79" s="174">
        <f t="shared" si="26"/>
        <v>0</v>
      </c>
      <c r="P79" s="123" t="b">
        <v>0</v>
      </c>
      <c r="Q79" s="88">
        <v>50</v>
      </c>
      <c r="R79" s="88">
        <v>1</v>
      </c>
      <c r="S79" s="88" t="str">
        <f t="shared" si="24"/>
        <v>--</v>
      </c>
      <c r="T79" s="92" t="str">
        <f>IFERROR(_xll.qlRateHelperEarliestDate(S79,Trigger),"--")</f>
        <v>--</v>
      </c>
      <c r="U79" s="92" t="str">
        <f>IFERROR(_xll.qlRateHelperPillarDate(S79,Trigger),"--")</f>
        <v>--</v>
      </c>
      <c r="W79" s="3" t="str">
        <f t="shared" si="29"/>
        <v/>
      </c>
      <c r="X79" s="3" t="e">
        <v>#N/A</v>
      </c>
      <c r="Y79" s="3" t="str">
        <f>IFERROR(_xll.qlRateHelperQuoteName(X79,Trigger),"")</f>
        <v/>
      </c>
      <c r="Z79" s="65" t="str">
        <f>IFERROR(_xll.qlRateHelperRate(X79,Trigger),"")</f>
        <v/>
      </c>
      <c r="AA79" s="9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1" t="e">
        <v>#N/A</v>
      </c>
    </row>
    <row r="80" spans="1:30" ht="11.25" customHeight="1" x14ac:dyDescent="0.2">
      <c r="A80" s="56" t="s">
        <v>116</v>
      </c>
      <c r="B80" s="57" t="s">
        <v>98</v>
      </c>
      <c r="C80" s="58" t="s">
        <v>6</v>
      </c>
      <c r="D80" s="58" t="s">
        <v>156</v>
      </c>
      <c r="E80" s="58" t="s">
        <v>7</v>
      </c>
      <c r="F80" s="58" t="s">
        <v>154</v>
      </c>
      <c r="G80" s="58" t="str">
        <f t="shared" si="27"/>
        <v>AudBBSW6M</v>
      </c>
      <c r="H80" s="56" t="str">
        <f t="shared" si="28"/>
        <v>AUDQM3AB13Y_S3BR6BR_Quote</v>
      </c>
      <c r="I80" s="114">
        <v>0</v>
      </c>
      <c r="J80" s="167" t="str">
        <f>IF(P74,_xll.qlSwapRateHelper2(,H80,1,B80,Calendar,D80,E80,F80,G80,I80,C80,Discounting,PillarDate,,Permanent,Trigger,ObjectOverwrite),"--")</f>
        <v>--</v>
      </c>
      <c r="L80" s="173" t="str">
        <f t="shared" si="23"/>
        <v>BasSw</v>
      </c>
      <c r="M80" s="169" t="str">
        <f t="shared" si="25"/>
        <v>AUDQM3AB19Y_S3BR6BR_Quote</v>
      </c>
      <c r="N80" s="174" t="str">
        <f>IFERROR(_xll.qlQuoteValue(H86),"--")</f>
        <v>--</v>
      </c>
      <c r="O80" s="174">
        <f t="shared" si="26"/>
        <v>0</v>
      </c>
      <c r="P80" s="123" t="b">
        <v>0</v>
      </c>
      <c r="Q80" s="88">
        <v>50</v>
      </c>
      <c r="R80" s="88">
        <v>1</v>
      </c>
      <c r="S80" s="88" t="str">
        <f t="shared" si="24"/>
        <v>--</v>
      </c>
      <c r="T80" s="92" t="str">
        <f>IFERROR(_xll.qlRateHelperEarliestDate(S80,Trigger),"--")</f>
        <v>--</v>
      </c>
      <c r="U80" s="92" t="str">
        <f>IFERROR(_xll.qlRateHelperPillarDate(S80,Trigger),"--")</f>
        <v>--</v>
      </c>
      <c r="W80" s="3" t="str">
        <f t="shared" si="29"/>
        <v/>
      </c>
      <c r="X80" s="3" t="e">
        <v>#N/A</v>
      </c>
      <c r="Y80" s="3" t="str">
        <f>IFERROR(_xll.qlRateHelperQuoteName(X80,Trigger),"")</f>
        <v/>
      </c>
      <c r="Z80" s="65" t="str">
        <f>IFERROR(_xll.qlRateHelperRate(X80,Trigger),"")</f>
        <v/>
      </c>
      <c r="AA80" s="9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1" t="e">
        <v>#N/A</v>
      </c>
    </row>
    <row r="81" spans="1:30" x14ac:dyDescent="0.2">
      <c r="A81" s="56" t="s">
        <v>116</v>
      </c>
      <c r="B81" s="57" t="s">
        <v>99</v>
      </c>
      <c r="C81" s="58" t="s">
        <v>6</v>
      </c>
      <c r="D81" s="58" t="s">
        <v>156</v>
      </c>
      <c r="E81" s="58" t="s">
        <v>7</v>
      </c>
      <c r="F81" s="58" t="s">
        <v>154</v>
      </c>
      <c r="G81" s="58" t="str">
        <f t="shared" si="27"/>
        <v>AudBBSW6M</v>
      </c>
      <c r="H81" s="56" t="str">
        <f t="shared" si="28"/>
        <v>AUDQM3AB14Y_S3BR6BR_Quote</v>
      </c>
      <c r="I81" s="114">
        <v>0</v>
      </c>
      <c r="J81" s="167" t="str">
        <f>IF(P75,_xll.qlSwapRateHelper2(,H81,1,B81,Calendar,D81,E81,F81,G81,I81,C81,Discounting,PillarDate,,Permanent,Trigger,ObjectOverwrite),"--")</f>
        <v>--</v>
      </c>
      <c r="L81" s="173" t="str">
        <f t="shared" si="23"/>
        <v>BasSw</v>
      </c>
      <c r="M81" s="169" t="str">
        <f t="shared" si="25"/>
        <v>AUDQM3AB20Y_S3BR6BR_Quote</v>
      </c>
      <c r="N81" s="174" t="str">
        <f>IFERROR(_xll.qlQuoteValue(H87),"--")</f>
        <v>--</v>
      </c>
      <c r="O81" s="174">
        <f t="shared" si="26"/>
        <v>0</v>
      </c>
      <c r="P81" s="123" t="b">
        <v>0</v>
      </c>
      <c r="Q81" s="88">
        <v>50</v>
      </c>
      <c r="R81" s="88">
        <v>1</v>
      </c>
      <c r="S81" s="88" t="str">
        <f t="shared" si="24"/>
        <v>--</v>
      </c>
      <c r="T81" s="92" t="str">
        <f>IFERROR(_xll.qlRateHelperEarliestDate(S81,Trigger),"--")</f>
        <v>--</v>
      </c>
      <c r="U81" s="92" t="str">
        <f>IFERROR(_xll.qlRateHelperPillarDate(S81,Trigger),"--")</f>
        <v>--</v>
      </c>
      <c r="W81" s="3" t="str">
        <f t="shared" si="29"/>
        <v/>
      </c>
      <c r="X81" s="3" t="e">
        <v>#N/A</v>
      </c>
      <c r="Y81" s="3" t="str">
        <f>IFERROR(_xll.qlRateHelperQuoteName(X81,Trigger),"")</f>
        <v/>
      </c>
      <c r="Z81" s="65" t="str">
        <f>IFERROR(_xll.qlRateHelperRate(X81,Trigger),"")</f>
        <v/>
      </c>
      <c r="AA81" s="9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1" t="e">
        <v>#N/A</v>
      </c>
    </row>
    <row r="82" spans="1:30" x14ac:dyDescent="0.2">
      <c r="A82" s="56" t="s">
        <v>116</v>
      </c>
      <c r="B82" s="57" t="s">
        <v>62</v>
      </c>
      <c r="C82" s="58" t="s">
        <v>6</v>
      </c>
      <c r="D82" s="58" t="s">
        <v>156</v>
      </c>
      <c r="E82" s="58" t="s">
        <v>7</v>
      </c>
      <c r="F82" s="58" t="s">
        <v>154</v>
      </c>
      <c r="G82" s="58" t="str">
        <f t="shared" si="27"/>
        <v>AudBBSW6M</v>
      </c>
      <c r="H82" s="56" t="str">
        <f t="shared" si="28"/>
        <v>AUDQM3AB15Y_S3BR6BR_Quote</v>
      </c>
      <c r="I82" s="114">
        <v>0</v>
      </c>
      <c r="J82" s="167" t="str">
        <f>IF(P76,_xll.qlSwapRateHelper2(,H82,1,B82,Calendar,D82,E82,F82,G82,I82,C82,Discounting,PillarDate,,Permanent,Trigger,ObjectOverwrite),"--")</f>
        <v>--</v>
      </c>
      <c r="L82" s="173" t="str">
        <f t="shared" si="23"/>
        <v>BasSw</v>
      </c>
      <c r="M82" s="169" t="str">
        <f t="shared" si="25"/>
        <v>AUDQM3AB21Y_S3BR6BR_Quote</v>
      </c>
      <c r="N82" s="174" t="str">
        <f>IFERROR(_xll.qlQuoteValue(H88),"--")</f>
        <v>--</v>
      </c>
      <c r="O82" s="174">
        <f t="shared" si="26"/>
        <v>0</v>
      </c>
      <c r="P82" s="123" t="b">
        <v>0</v>
      </c>
      <c r="Q82" s="88">
        <v>50</v>
      </c>
      <c r="R82" s="88">
        <v>1</v>
      </c>
      <c r="S82" s="88" t="str">
        <f t="shared" si="24"/>
        <v>--</v>
      </c>
      <c r="T82" s="92" t="str">
        <f>IFERROR(_xll.qlRateHelperEarliestDate(S82,Trigger),"--")</f>
        <v>--</v>
      </c>
      <c r="U82" s="92" t="str">
        <f>IFERROR(_xll.qlRateHelperPillarDate(S82,Trigger),"--")</f>
        <v>--</v>
      </c>
      <c r="W82" s="3" t="str">
        <f t="shared" si="29"/>
        <v/>
      </c>
      <c r="X82" s="3" t="e">
        <v>#N/A</v>
      </c>
      <c r="Y82" s="3" t="str">
        <f>IFERROR(_xll.qlRateHelperQuoteName(X82,Trigger),"")</f>
        <v/>
      </c>
      <c r="Z82" s="65" t="str">
        <f>IFERROR(_xll.qlRateHelperRate(X82,Trigger),"")</f>
        <v/>
      </c>
      <c r="AA82" s="9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1" t="e">
        <v>#N/A</v>
      </c>
    </row>
    <row r="83" spans="1:30" x14ac:dyDescent="0.2">
      <c r="A83" s="56" t="s">
        <v>116</v>
      </c>
      <c r="B83" s="57" t="s">
        <v>100</v>
      </c>
      <c r="C83" s="58" t="s">
        <v>6</v>
      </c>
      <c r="D83" s="58" t="s">
        <v>156</v>
      </c>
      <c r="E83" s="58" t="s">
        <v>7</v>
      </c>
      <c r="F83" s="58" t="s">
        <v>154</v>
      </c>
      <c r="G83" s="58" t="str">
        <f t="shared" si="27"/>
        <v>AudBBSW6M</v>
      </c>
      <c r="H83" s="56" t="str">
        <f t="shared" si="28"/>
        <v>AUDQM3AB16Y_S3BR6BR_Quote</v>
      </c>
      <c r="I83" s="114">
        <v>0</v>
      </c>
      <c r="J83" s="167" t="str">
        <f>IF(P77,_xll.qlSwapRateHelper2(,H83,1,B83,Calendar,D83,E83,F83,G83,I83,C83,Discounting,PillarDate,,Permanent,Trigger,ObjectOverwrite),"--")</f>
        <v>--</v>
      </c>
      <c r="L83" s="173" t="str">
        <f t="shared" si="23"/>
        <v>BasSw</v>
      </c>
      <c r="M83" s="169" t="str">
        <f t="shared" si="25"/>
        <v>AUDQM3AB22Y_S3BR6BR_Quote</v>
      </c>
      <c r="N83" s="174" t="str">
        <f>IFERROR(_xll.qlQuoteValue(H89),"--")</f>
        <v>--</v>
      </c>
      <c r="O83" s="174">
        <f t="shared" si="26"/>
        <v>0</v>
      </c>
      <c r="P83" s="123" t="b">
        <v>0</v>
      </c>
      <c r="Q83" s="88">
        <v>50</v>
      </c>
      <c r="R83" s="88">
        <v>1</v>
      </c>
      <c r="S83" s="88" t="str">
        <f t="shared" si="24"/>
        <v>--</v>
      </c>
      <c r="T83" s="92" t="str">
        <f>IFERROR(_xll.qlRateHelperEarliestDate(S83,Trigger),"--")</f>
        <v>--</v>
      </c>
      <c r="U83" s="92" t="str">
        <f>IFERROR(_xll.qlRateHelperPillarDate(S83,Trigger),"--")</f>
        <v>--</v>
      </c>
      <c r="W83" s="3" t="str">
        <f t="shared" si="29"/>
        <v/>
      </c>
      <c r="X83" s="3" t="e">
        <v>#N/A</v>
      </c>
      <c r="Y83" s="3" t="str">
        <f>IFERROR(_xll.qlRateHelperQuoteName(X83,Trigger),"")</f>
        <v/>
      </c>
      <c r="Z83" s="65" t="str">
        <f>IFERROR(_xll.qlRateHelperRate(X83,Trigger),"")</f>
        <v/>
      </c>
      <c r="AA83" s="9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1" t="e">
        <v>#N/A</v>
      </c>
    </row>
    <row r="84" spans="1:30" x14ac:dyDescent="0.2">
      <c r="A84" s="56" t="s">
        <v>116</v>
      </c>
      <c r="B84" s="57" t="s">
        <v>101</v>
      </c>
      <c r="C84" s="58" t="s">
        <v>6</v>
      </c>
      <c r="D84" s="58" t="s">
        <v>156</v>
      </c>
      <c r="E84" s="58" t="s">
        <v>7</v>
      </c>
      <c r="F84" s="58" t="s">
        <v>154</v>
      </c>
      <c r="G84" s="58" t="str">
        <f t="shared" si="27"/>
        <v>AudBBSW6M</v>
      </c>
      <c r="H84" s="56" t="str">
        <f t="shared" si="28"/>
        <v>AUDQM3AB17Y_S3BR6BR_Quote</v>
      </c>
      <c r="I84" s="114">
        <v>0</v>
      </c>
      <c r="J84" s="167" t="str">
        <f>IF(P78,_xll.qlSwapRateHelper2(,H84,1,B84,Calendar,D84,E84,F84,G84,I84,C84,Discounting,PillarDate,,Permanent,Trigger,ObjectOverwrite),"--")</f>
        <v>--</v>
      </c>
      <c r="L84" s="173" t="str">
        <f t="shared" si="23"/>
        <v>BasSw</v>
      </c>
      <c r="M84" s="169" t="str">
        <f t="shared" si="25"/>
        <v>AUDQM3AB23Y_S3BR6BR_Quote</v>
      </c>
      <c r="N84" s="174" t="str">
        <f>IFERROR(_xll.qlQuoteValue(H90),"--")</f>
        <v>--</v>
      </c>
      <c r="O84" s="174">
        <f t="shared" si="26"/>
        <v>0</v>
      </c>
      <c r="P84" s="123" t="b">
        <v>0</v>
      </c>
      <c r="Q84" s="88">
        <v>50</v>
      </c>
      <c r="R84" s="88">
        <v>1</v>
      </c>
      <c r="S84" s="88" t="str">
        <f t="shared" si="24"/>
        <v>--</v>
      </c>
      <c r="T84" s="92" t="str">
        <f>IFERROR(_xll.qlRateHelperEarliestDate(S84,Trigger),"--")</f>
        <v>--</v>
      </c>
      <c r="U84" s="92" t="str">
        <f>IFERROR(_xll.qlRateHelperPillarDate(S84,Trigger),"--")</f>
        <v>--</v>
      </c>
      <c r="W84" s="3" t="str">
        <f t="shared" si="29"/>
        <v/>
      </c>
      <c r="X84" s="3" t="e">
        <v>#N/A</v>
      </c>
      <c r="Y84" s="3" t="str">
        <f>IFERROR(_xll.qlRateHelperQuoteName(X84,Trigger),"")</f>
        <v/>
      </c>
      <c r="Z84" s="65" t="str">
        <f>IFERROR(_xll.qlRateHelperRate(X84,Trigger),"")</f>
        <v/>
      </c>
      <c r="AA84" s="9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71" t="e">
        <v>#N/A</v>
      </c>
    </row>
    <row r="85" spans="1:30" x14ac:dyDescent="0.2">
      <c r="A85" s="56" t="s">
        <v>116</v>
      </c>
      <c r="B85" s="57" t="s">
        <v>102</v>
      </c>
      <c r="C85" s="58" t="s">
        <v>6</v>
      </c>
      <c r="D85" s="58" t="s">
        <v>156</v>
      </c>
      <c r="E85" s="58" t="s">
        <v>7</v>
      </c>
      <c r="F85" s="58" t="s">
        <v>154</v>
      </c>
      <c r="G85" s="58" t="str">
        <f t="shared" si="27"/>
        <v>AudBBSW6M</v>
      </c>
      <c r="H85" s="56" t="str">
        <f t="shared" si="28"/>
        <v>AUDQM3AB18Y_S3BR6BR_Quote</v>
      </c>
      <c r="I85" s="114">
        <v>0</v>
      </c>
      <c r="J85" s="167" t="str">
        <f>IF(P79,_xll.qlSwapRateHelper2(,H85,1,B85,Calendar,D85,E85,F85,G85,I85,C85,Discounting,PillarDate,,Permanent,Trigger,ObjectOverwrite),"--")</f>
        <v>--</v>
      </c>
      <c r="L85" s="173" t="str">
        <f t="shared" si="23"/>
        <v>BasSw</v>
      </c>
      <c r="M85" s="169" t="str">
        <f t="shared" si="25"/>
        <v>AUDQM3AB24Y_S3BR6BR_Quote</v>
      </c>
      <c r="N85" s="174" t="str">
        <f>IFERROR(_xll.qlQuoteValue(H91),"--")</f>
        <v>--</v>
      </c>
      <c r="O85" s="174">
        <f t="shared" si="26"/>
        <v>0</v>
      </c>
      <c r="P85" s="123" t="b">
        <v>0</v>
      </c>
      <c r="Q85" s="88">
        <v>50</v>
      </c>
      <c r="R85" s="88">
        <v>1</v>
      </c>
      <c r="S85" s="88" t="str">
        <f t="shared" si="24"/>
        <v>--</v>
      </c>
      <c r="T85" s="92" t="str">
        <f>IFERROR(_xll.qlRateHelperEarliestDate(S85,Trigger),"--")</f>
        <v>--</v>
      </c>
      <c r="U85" s="92" t="str">
        <f>IFERROR(_xll.qlRateHelperPillarDate(S85,Trigger),"--")</f>
        <v>--</v>
      </c>
      <c r="W85" s="3" t="str">
        <f t="shared" si="29"/>
        <v/>
      </c>
      <c r="X85" s="3" t="e">
        <v>#N/A</v>
      </c>
      <c r="Y85" s="3" t="str">
        <f>IFERROR(_xll.qlRateHelperQuoteName(X85,Trigger),"")</f>
        <v/>
      </c>
      <c r="Z85" s="65" t="str">
        <f>IFERROR(_xll.qlRateHelperRate(X85,Trigger),"")</f>
        <v/>
      </c>
      <c r="AA85" s="9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71" t="e">
        <v>#N/A</v>
      </c>
    </row>
    <row r="86" spans="1:30" x14ac:dyDescent="0.2">
      <c r="A86" s="56" t="s">
        <v>116</v>
      </c>
      <c r="B86" s="57" t="s">
        <v>103</v>
      </c>
      <c r="C86" s="58" t="s">
        <v>6</v>
      </c>
      <c r="D86" s="58" t="s">
        <v>156</v>
      </c>
      <c r="E86" s="58" t="s">
        <v>7</v>
      </c>
      <c r="F86" s="58" t="s">
        <v>154</v>
      </c>
      <c r="G86" s="58" t="str">
        <f t="shared" si="27"/>
        <v>AudBBSW6M</v>
      </c>
      <c r="H86" s="56" t="str">
        <f t="shared" si="28"/>
        <v>AUDQM3AB19Y_S3BR6BR_Quote</v>
      </c>
      <c r="I86" s="114">
        <v>0</v>
      </c>
      <c r="J86" s="167" t="str">
        <f>IF(P80,_xll.qlSwapRateHelper2(,H86,1,B86,Calendar,D86,E86,F86,G86,I86,C86,Discounting,PillarDate,,Permanent,Trigger,ObjectOverwrite),"--")</f>
        <v>--</v>
      </c>
      <c r="L86" s="173" t="str">
        <f t="shared" si="23"/>
        <v>BasSw</v>
      </c>
      <c r="M86" s="169" t="str">
        <f t="shared" si="25"/>
        <v>AUDQM3AB25Y_S3BR6BR_Quote</v>
      </c>
      <c r="N86" s="174" t="str">
        <f>IFERROR(_xll.qlQuoteValue(H92),"--")</f>
        <v>--</v>
      </c>
      <c r="O86" s="174">
        <f t="shared" si="26"/>
        <v>0</v>
      </c>
      <c r="P86" s="123" t="b">
        <v>0</v>
      </c>
      <c r="Q86" s="88">
        <v>50</v>
      </c>
      <c r="R86" s="88">
        <v>1</v>
      </c>
      <c r="S86" s="88" t="str">
        <f t="shared" si="24"/>
        <v>--</v>
      </c>
      <c r="T86" s="92" t="str">
        <f>IFERROR(_xll.qlRateHelperEarliestDate(S86,Trigger),"--")</f>
        <v>--</v>
      </c>
      <c r="U86" s="92" t="str">
        <f>IFERROR(_xll.qlRateHelperPillarDate(S86,Trigger),"--")</f>
        <v>--</v>
      </c>
      <c r="W86" s="3" t="str">
        <f t="shared" si="29"/>
        <v/>
      </c>
      <c r="X86" s="3" t="e">
        <v>#N/A</v>
      </c>
      <c r="Y86" s="3" t="str">
        <f>IFERROR(_xll.qlRateHelperQuoteName(X86,Trigger),"")</f>
        <v/>
      </c>
      <c r="Z86" s="65" t="str">
        <f>IFERROR(_xll.qlRateHelperRate(X86,Trigger),"")</f>
        <v/>
      </c>
      <c r="AA86" s="9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71" t="e">
        <v>#N/A</v>
      </c>
    </row>
    <row r="87" spans="1:30" x14ac:dyDescent="0.2">
      <c r="A87" s="56" t="s">
        <v>116</v>
      </c>
      <c r="B87" s="57" t="s">
        <v>63</v>
      </c>
      <c r="C87" s="58" t="s">
        <v>6</v>
      </c>
      <c r="D87" s="58" t="s">
        <v>156</v>
      </c>
      <c r="E87" s="58" t="s">
        <v>7</v>
      </c>
      <c r="F87" s="58" t="s">
        <v>154</v>
      </c>
      <c r="G87" s="58" t="str">
        <f t="shared" si="27"/>
        <v>AudBBSW6M</v>
      </c>
      <c r="H87" s="56" t="str">
        <f t="shared" si="28"/>
        <v>AUDQM3AB20Y_S3BR6BR_Quote</v>
      </c>
      <c r="I87" s="114">
        <v>0</v>
      </c>
      <c r="J87" s="167" t="str">
        <f>IF(P81,_xll.qlSwapRateHelper2(,H87,1,B87,Calendar,D87,E87,F87,G87,I87,C87,Discounting,PillarDate,,Permanent,Trigger,ObjectOverwrite),"--")</f>
        <v>--</v>
      </c>
      <c r="L87" s="173" t="str">
        <f t="shared" si="23"/>
        <v>BasSw</v>
      </c>
      <c r="M87" s="169" t="str">
        <f t="shared" si="25"/>
        <v>AUDQM3AB26Y_S3BR6BR_Quote</v>
      </c>
      <c r="N87" s="174" t="str">
        <f>IFERROR(_xll.qlQuoteValue(H93),"--")</f>
        <v>--</v>
      </c>
      <c r="O87" s="174">
        <f t="shared" si="26"/>
        <v>0</v>
      </c>
      <c r="P87" s="123" t="b">
        <v>0</v>
      </c>
      <c r="Q87" s="88">
        <v>50</v>
      </c>
      <c r="R87" s="88">
        <v>1</v>
      </c>
      <c r="S87" s="88" t="str">
        <f t="shared" si="24"/>
        <v>--</v>
      </c>
      <c r="T87" s="92" t="str">
        <f>IFERROR(_xll.qlRateHelperEarliestDate(S87,Trigger),"--")</f>
        <v>--</v>
      </c>
      <c r="U87" s="92" t="str">
        <f>IFERROR(_xll.qlRateHelperPillarDate(S87,Trigger),"--")</f>
        <v>--</v>
      </c>
      <c r="W87" s="3" t="str">
        <f t="shared" si="29"/>
        <v/>
      </c>
      <c r="X87" s="3" t="e">
        <v>#N/A</v>
      </c>
      <c r="Y87" s="3" t="str">
        <f>IFERROR(_xll.qlRateHelperQuoteName(X87,Trigger),"")</f>
        <v/>
      </c>
      <c r="Z87" s="65" t="str">
        <f>IFERROR(_xll.qlRateHelperRate(X87,Trigger),"")</f>
        <v/>
      </c>
      <c r="AA87" s="9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71" t="e">
        <v>#N/A</v>
      </c>
    </row>
    <row r="88" spans="1:30" x14ac:dyDescent="0.2">
      <c r="A88" s="56" t="s">
        <v>116</v>
      </c>
      <c r="B88" s="57" t="s">
        <v>104</v>
      </c>
      <c r="C88" s="58" t="s">
        <v>6</v>
      </c>
      <c r="D88" s="58" t="s">
        <v>156</v>
      </c>
      <c r="E88" s="58" t="s">
        <v>7</v>
      </c>
      <c r="F88" s="58" t="s">
        <v>154</v>
      </c>
      <c r="G88" s="58" t="str">
        <f t="shared" si="27"/>
        <v>AudBBSW6M</v>
      </c>
      <c r="H88" s="56" t="str">
        <f t="shared" si="28"/>
        <v>AUDQM3AB21Y_S3BR6BR_Quote</v>
      </c>
      <c r="I88" s="114">
        <v>0</v>
      </c>
      <c r="J88" s="167" t="str">
        <f>IF(P82,_xll.qlSwapRateHelper2(,H88,1,B88,Calendar,D88,E88,F88,G88,I88,C88,Discounting,PillarDate,,Permanent,Trigger,ObjectOverwrite),"--")</f>
        <v>--</v>
      </c>
      <c r="L88" s="173" t="str">
        <f t="shared" si="23"/>
        <v>BasSw</v>
      </c>
      <c r="M88" s="169" t="str">
        <f t="shared" si="25"/>
        <v>AUDQM3AB27Y_S3BR6BR_Quote</v>
      </c>
      <c r="N88" s="174" t="str">
        <f>IFERROR(_xll.qlQuoteValue(H94),"--")</f>
        <v>--</v>
      </c>
      <c r="O88" s="174">
        <f t="shared" si="26"/>
        <v>0</v>
      </c>
      <c r="P88" s="123" t="b">
        <v>0</v>
      </c>
      <c r="Q88" s="88">
        <v>50</v>
      </c>
      <c r="R88" s="88">
        <v>1</v>
      </c>
      <c r="S88" s="88" t="str">
        <f t="shared" si="24"/>
        <v>--</v>
      </c>
      <c r="T88" s="92" t="str">
        <f>IFERROR(_xll.qlRateHelperEarliestDate(S88,Trigger),"--")</f>
        <v>--</v>
      </c>
      <c r="U88" s="92" t="str">
        <f>IFERROR(_xll.qlRateHelperPillarDate(S88,Trigger),"--")</f>
        <v>--</v>
      </c>
      <c r="W88" s="3" t="str">
        <f t="shared" si="29"/>
        <v/>
      </c>
      <c r="X88" s="3" t="e">
        <v>#N/A</v>
      </c>
      <c r="Y88" s="3" t="str">
        <f>IFERROR(_xll.qlRateHelperQuoteName(X88,Trigger),"")</f>
        <v/>
      </c>
      <c r="Z88" s="65" t="str">
        <f>IFERROR(_xll.qlRateHelperRate(X88,Trigger),"")</f>
        <v/>
      </c>
      <c r="AA88" s="96" t="str">
        <f>IF(ISERROR(_xll.qlSwapRateHelperSpread($X88)),IF(ISERROR(_xll.qlFuturesRateHelperConvexityAdjustment($X88)),"",_xll.qlFuturesRateHelperConvexityAdjustment($X88)),_xll.qlSwapRateHelperSpread($X88))</f>
        <v/>
      </c>
      <c r="AB88" s="4" t="str">
        <f>IFERROR(_xll.qlRateHelperEarliestDate(X88,Trigger),"")</f>
        <v/>
      </c>
      <c r="AC88" s="4" t="str">
        <f>IFERROR(_xll.qlRateHelperPillarDate(X88,Trigger),"")</f>
        <v/>
      </c>
      <c r="AD88" s="71" t="e">
        <v>#N/A</v>
      </c>
    </row>
    <row r="89" spans="1:30" x14ac:dyDescent="0.2">
      <c r="A89" s="56" t="s">
        <v>116</v>
      </c>
      <c r="B89" s="57" t="s">
        <v>105</v>
      </c>
      <c r="C89" s="58" t="s">
        <v>6</v>
      </c>
      <c r="D89" s="58" t="s">
        <v>156</v>
      </c>
      <c r="E89" s="58" t="s">
        <v>7</v>
      </c>
      <c r="F89" s="58" t="s">
        <v>154</v>
      </c>
      <c r="G89" s="58" t="str">
        <f t="shared" si="27"/>
        <v>AudBBSW6M</v>
      </c>
      <c r="H89" s="56" t="str">
        <f t="shared" si="28"/>
        <v>AUDQM3AB22Y_S3BR6BR_Quote</v>
      </c>
      <c r="I89" s="114">
        <v>0</v>
      </c>
      <c r="J89" s="167" t="str">
        <f>IF(P83,_xll.qlSwapRateHelper2(,H89,1,B89,Calendar,D89,E89,F89,G89,I89,C89,Discounting,PillarDate,,Permanent,Trigger,ObjectOverwrite),"--")</f>
        <v>--</v>
      </c>
      <c r="L89" s="173" t="str">
        <f t="shared" si="23"/>
        <v>BasSw</v>
      </c>
      <c r="M89" s="169" t="str">
        <f t="shared" si="25"/>
        <v>AUDQM3AB28Y_S3BR6BR_Quote</v>
      </c>
      <c r="N89" s="174" t="str">
        <f>IFERROR(_xll.qlQuoteValue(H95),"--")</f>
        <v>--</v>
      </c>
      <c r="O89" s="174">
        <f t="shared" si="26"/>
        <v>0</v>
      </c>
      <c r="P89" s="123" t="b">
        <v>0</v>
      </c>
      <c r="Q89" s="88">
        <v>50</v>
      </c>
      <c r="R89" s="88">
        <v>1</v>
      </c>
      <c r="S89" s="88" t="str">
        <f t="shared" si="24"/>
        <v>--</v>
      </c>
      <c r="T89" s="92" t="str">
        <f>IFERROR(_xll.qlRateHelperEarliestDate(S89,Trigger),"--")</f>
        <v>--</v>
      </c>
      <c r="U89" s="92" t="str">
        <f>IFERROR(_xll.qlRateHelperPillarDate(S89,Trigger),"--")</f>
        <v>--</v>
      </c>
      <c r="W89" s="3" t="str">
        <f t="shared" si="29"/>
        <v/>
      </c>
      <c r="X89" s="3" t="e">
        <v>#N/A</v>
      </c>
      <c r="Y89" s="3" t="str">
        <f>IFERROR(_xll.qlRateHelperQuoteName(X89,Trigger),"")</f>
        <v/>
      </c>
      <c r="Z89" s="65" t="str">
        <f>IFERROR(_xll.qlRateHelperRate(X89,Trigger),"")</f>
        <v/>
      </c>
      <c r="AA89" s="96" t="str">
        <f>IF(ISERROR(_xll.qlSwapRateHelperSpread($X89)),IF(ISERROR(_xll.qlFuturesRateHelperConvexityAdjustment($X89)),"",_xll.qlFuturesRateHelperConvexityAdjustment($X89)),_xll.qlSwapRateHelperSpread($X89))</f>
        <v/>
      </c>
      <c r="AB89" s="4" t="str">
        <f>IFERROR(_xll.qlRateHelperEarliestDate(X89,Trigger),"")</f>
        <v/>
      </c>
      <c r="AC89" s="4" t="str">
        <f>IFERROR(_xll.qlRateHelperPillarDate(X89,Trigger),"")</f>
        <v/>
      </c>
      <c r="AD89" s="71" t="e">
        <v>#N/A</v>
      </c>
    </row>
    <row r="90" spans="1:30" x14ac:dyDescent="0.2">
      <c r="A90" s="56" t="s">
        <v>116</v>
      </c>
      <c r="B90" s="57" t="s">
        <v>106</v>
      </c>
      <c r="C90" s="58" t="s">
        <v>6</v>
      </c>
      <c r="D90" s="58" t="s">
        <v>156</v>
      </c>
      <c r="E90" s="58" t="s">
        <v>7</v>
      </c>
      <c r="F90" s="58" t="s">
        <v>154</v>
      </c>
      <c r="G90" s="58" t="str">
        <f t="shared" si="27"/>
        <v>AudBBSW6M</v>
      </c>
      <c r="H90" s="56" t="str">
        <f t="shared" si="28"/>
        <v>AUDQM3AB23Y_S3BR6BR_Quote</v>
      </c>
      <c r="I90" s="114">
        <v>0</v>
      </c>
      <c r="J90" s="167" t="str">
        <f>IF(P84,_xll.qlSwapRateHelper2(,H90,1,B90,Calendar,D90,E90,F90,G90,I90,C90,Discounting,PillarDate,,Permanent,Trigger,ObjectOverwrite),"--")</f>
        <v>--</v>
      </c>
      <c r="K90" s="44" t="s">
        <v>35</v>
      </c>
      <c r="L90" s="173" t="str">
        <f t="shared" si="23"/>
        <v>BasSw</v>
      </c>
      <c r="M90" s="169" t="str">
        <f t="shared" si="25"/>
        <v>AUDQM3AB29Y_S3BR6BR_Quote</v>
      </c>
      <c r="N90" s="174" t="str">
        <f>IFERROR(_xll.qlQuoteValue(H96),"--")</f>
        <v>--</v>
      </c>
      <c r="O90" s="174">
        <f t="shared" si="26"/>
        <v>0</v>
      </c>
      <c r="P90" s="123" t="b">
        <v>0</v>
      </c>
      <c r="Q90" s="88">
        <v>50</v>
      </c>
      <c r="R90" s="88">
        <v>1</v>
      </c>
      <c r="S90" s="88" t="str">
        <f t="shared" si="24"/>
        <v>--</v>
      </c>
      <c r="T90" s="92" t="str">
        <f>IFERROR(_xll.qlRateHelperEarliestDate(S90,Trigger),"--")</f>
        <v>--</v>
      </c>
      <c r="U90" s="92" t="str">
        <f>IFERROR(_xll.qlRateHelperPillarDate(S90,Trigger),"--")</f>
        <v>--</v>
      </c>
      <c r="W90" s="3" t="str">
        <f t="shared" si="29"/>
        <v/>
      </c>
      <c r="X90" s="3" t="e">
        <v>#N/A</v>
      </c>
      <c r="Y90" s="3" t="str">
        <f>IFERROR(_xll.qlRateHelperQuoteName(X90,Trigger),"")</f>
        <v/>
      </c>
      <c r="Z90" s="65" t="str">
        <f>IFERROR(_xll.qlRateHelperRate(X90,Trigger),"")</f>
        <v/>
      </c>
      <c r="AA90" s="96" t="str">
        <f>IF(ISERROR(_xll.qlSwapRateHelperSpread($X90)),IF(ISERROR(_xll.qlFuturesRateHelperConvexityAdjustment($X90)),"",_xll.qlFuturesRateHelperConvexityAdjustment($X90)),_xll.qlSwapRateHelperSpread($X90))</f>
        <v/>
      </c>
      <c r="AB90" s="4" t="str">
        <f>IFERROR(_xll.qlRateHelperEarliestDate(X90,Trigger),"")</f>
        <v/>
      </c>
      <c r="AC90" s="4" t="str">
        <f>IFERROR(_xll.qlRateHelperPillarDate(X90,Trigger),"")</f>
        <v/>
      </c>
      <c r="AD90" s="71" t="e">
        <v>#N/A</v>
      </c>
    </row>
    <row r="91" spans="1:30" x14ac:dyDescent="0.2">
      <c r="A91" s="56" t="s">
        <v>116</v>
      </c>
      <c r="B91" s="57" t="s">
        <v>107</v>
      </c>
      <c r="C91" s="58" t="s">
        <v>6</v>
      </c>
      <c r="D91" s="58" t="s">
        <v>156</v>
      </c>
      <c r="E91" s="58" t="s">
        <v>7</v>
      </c>
      <c r="F91" s="58" t="s">
        <v>154</v>
      </c>
      <c r="G91" s="58" t="str">
        <f t="shared" si="27"/>
        <v>AudBBSW6M</v>
      </c>
      <c r="H91" s="56" t="str">
        <f t="shared" si="28"/>
        <v>AUDQM3AB24Y_S3BR6BR_Quote</v>
      </c>
      <c r="I91" s="114">
        <v>0</v>
      </c>
      <c r="J91" s="167" t="str">
        <f>IF(P85,_xll.qlSwapRateHelper2(,H91,1,B91,Calendar,D91,E91,F91,G91,I91,C91,Discounting,PillarDate,,Permanent,Trigger,ObjectOverwrite),"--")</f>
        <v>--</v>
      </c>
      <c r="L91" s="173" t="str">
        <f t="shared" si="23"/>
        <v>BasSw</v>
      </c>
      <c r="M91" s="169" t="str">
        <f t="shared" si="25"/>
        <v>AUDQM3AB30Y_S3BR6BR_Quote</v>
      </c>
      <c r="N91" s="174" t="str">
        <f>IFERROR(_xll.qlQuoteValue(H97),"--")</f>
        <v>--</v>
      </c>
      <c r="O91" s="174">
        <f t="shared" si="26"/>
        <v>0</v>
      </c>
      <c r="P91" s="123" t="b">
        <v>0</v>
      </c>
      <c r="Q91" s="88">
        <v>50</v>
      </c>
      <c r="R91" s="88">
        <v>1</v>
      </c>
      <c r="S91" s="88" t="str">
        <f t="shared" si="24"/>
        <v>--</v>
      </c>
      <c r="T91" s="92" t="str">
        <f>IFERROR(_xll.qlRateHelperEarliestDate(S91,Trigger),"--")</f>
        <v>--</v>
      </c>
      <c r="U91" s="92" t="str">
        <f>IFERROR(_xll.qlRateHelperPillarDate(S91,Trigger),"--")</f>
        <v>--</v>
      </c>
      <c r="W91" s="3" t="str">
        <f t="shared" si="29"/>
        <v/>
      </c>
      <c r="X91" s="3" t="e">
        <v>#N/A</v>
      </c>
      <c r="Y91" s="3" t="str">
        <f>IFERROR(_xll.qlRateHelperQuoteName(X91,Trigger),"")</f>
        <v/>
      </c>
      <c r="Z91" s="65" t="str">
        <f>IFERROR(_xll.qlRateHelperRate(X91,Trigger),"")</f>
        <v/>
      </c>
      <c r="AA91" s="96" t="str">
        <f>IF(ISERROR(_xll.qlSwapRateHelperSpread($X91)),IF(ISERROR(_xll.qlFuturesRateHelperConvexityAdjustment($X91)),"",_xll.qlFuturesRateHelperConvexityAdjustment($X91)),_xll.qlSwapRateHelperSpread($X91))</f>
        <v/>
      </c>
      <c r="AB91" s="4" t="str">
        <f>IFERROR(_xll.qlRateHelperEarliestDate(X91,Trigger),"")</f>
        <v/>
      </c>
      <c r="AC91" s="4" t="str">
        <f>IFERROR(_xll.qlRateHelperPillarDate(X91,Trigger),"")</f>
        <v/>
      </c>
      <c r="AD91" s="71" t="e">
        <v>#N/A</v>
      </c>
    </row>
    <row r="92" spans="1:30" x14ac:dyDescent="0.2">
      <c r="A92" s="56" t="s">
        <v>116</v>
      </c>
      <c r="B92" s="57" t="s">
        <v>64</v>
      </c>
      <c r="C92" s="58" t="s">
        <v>6</v>
      </c>
      <c r="D92" s="58" t="s">
        <v>156</v>
      </c>
      <c r="E92" s="58" t="s">
        <v>7</v>
      </c>
      <c r="F92" s="58" t="s">
        <v>154</v>
      </c>
      <c r="G92" s="58" t="str">
        <f t="shared" si="27"/>
        <v>AudBBSW6M</v>
      </c>
      <c r="H92" s="56" t="str">
        <f t="shared" si="28"/>
        <v>AUDQM3AB25Y_S3BR6BR_Quote</v>
      </c>
      <c r="I92" s="114">
        <v>0</v>
      </c>
      <c r="J92" s="167" t="str">
        <f>IF(P86,_xll.qlSwapRateHelper2(,H92,1,B92,Calendar,D92,E92,F92,G92,I92,C92,Discounting,PillarDate,,Permanent,Trigger,ObjectOverwrite),"--")</f>
        <v>--</v>
      </c>
      <c r="L92" s="173" t="str">
        <f t="shared" si="23"/>
        <v>BasSw</v>
      </c>
      <c r="M92" s="169" t="str">
        <f t="shared" si="25"/>
        <v>AUDQM3AB35Y_S3BR6BR_Quote</v>
      </c>
      <c r="N92" s="174" t="str">
        <f>IFERROR(_xll.qlQuoteValue(H98),"--")</f>
        <v>--</v>
      </c>
      <c r="O92" s="174">
        <f t="shared" si="26"/>
        <v>0</v>
      </c>
      <c r="P92" s="123" t="b">
        <v>0</v>
      </c>
      <c r="Q92" s="88">
        <v>50</v>
      </c>
      <c r="R92" s="88">
        <v>1</v>
      </c>
      <c r="S92" s="88" t="str">
        <f t="shared" si="24"/>
        <v>--</v>
      </c>
      <c r="T92" s="92" t="str">
        <f>IFERROR(_xll.qlRateHelperEarliestDate(S92,Trigger),"--")</f>
        <v>--</v>
      </c>
      <c r="U92" s="92" t="str">
        <f>IFERROR(_xll.qlRateHelperPillarDate(S92,Trigger),"--")</f>
        <v>--</v>
      </c>
      <c r="W92" s="3" t="str">
        <f t="shared" si="29"/>
        <v/>
      </c>
      <c r="X92" s="3" t="e">
        <v>#N/A</v>
      </c>
      <c r="Y92" s="3" t="str">
        <f>IFERROR(_xll.qlRateHelperQuoteName(X92,Trigger),"")</f>
        <v/>
      </c>
      <c r="Z92" s="65" t="str">
        <f>IFERROR(_xll.qlRateHelperRate(X92,Trigger),"")</f>
        <v/>
      </c>
      <c r="AA92" s="96" t="str">
        <f>IF(ISERROR(_xll.qlSwapRateHelperSpread($X92)),IF(ISERROR(_xll.qlFuturesRateHelperConvexityAdjustment($X92)),"",_xll.qlFuturesRateHelperConvexityAdjustment($X92)),_xll.qlSwapRateHelperSpread($X92))</f>
        <v/>
      </c>
      <c r="AB92" s="4" t="str">
        <f>IFERROR(_xll.qlRateHelperEarliestDate(X92,Trigger),"")</f>
        <v/>
      </c>
      <c r="AC92" s="4" t="str">
        <f>IFERROR(_xll.qlRateHelperPillarDate(X92,Trigger),"")</f>
        <v/>
      </c>
      <c r="AD92" s="71" t="e">
        <v>#N/A</v>
      </c>
    </row>
    <row r="93" spans="1:30" x14ac:dyDescent="0.2">
      <c r="A93" s="56" t="s">
        <v>116</v>
      </c>
      <c r="B93" s="57" t="s">
        <v>108</v>
      </c>
      <c r="C93" s="58" t="s">
        <v>6</v>
      </c>
      <c r="D93" s="58" t="s">
        <v>156</v>
      </c>
      <c r="E93" s="58" t="s">
        <v>7</v>
      </c>
      <c r="F93" s="58" t="s">
        <v>154</v>
      </c>
      <c r="G93" s="58" t="str">
        <f t="shared" si="27"/>
        <v>AudBBSW6M</v>
      </c>
      <c r="H93" s="56" t="str">
        <f t="shared" si="28"/>
        <v>AUDQM3AB26Y_S3BR6BR_Quote</v>
      </c>
      <c r="I93" s="114">
        <v>0</v>
      </c>
      <c r="J93" s="167" t="str">
        <f>IF(P87,_xll.qlSwapRateHelper2(,H93,1,B93,Calendar,D93,E93,F93,G93,I93,C93,Discounting,PillarDate,,Permanent,Trigger,ObjectOverwrite),"--")</f>
        <v>--</v>
      </c>
      <c r="L93" s="173" t="str">
        <f t="shared" si="23"/>
        <v>BasSw</v>
      </c>
      <c r="M93" s="169" t="str">
        <f t="shared" si="25"/>
        <v>AUDQM3AB40Y_S3BR6BR_Quote</v>
      </c>
      <c r="N93" s="174" t="str">
        <f>IFERROR(_xll.qlQuoteValue(H99),"--")</f>
        <v>--</v>
      </c>
      <c r="O93" s="174">
        <f t="shared" si="26"/>
        <v>0</v>
      </c>
      <c r="P93" s="123" t="b">
        <v>0</v>
      </c>
      <c r="Q93" s="88">
        <v>50</v>
      </c>
      <c r="R93" s="88">
        <v>1</v>
      </c>
      <c r="S93" s="88" t="str">
        <f t="shared" si="24"/>
        <v>--</v>
      </c>
      <c r="T93" s="92" t="str">
        <f>IFERROR(_xll.qlRateHelperEarliestDate(S93,Trigger),"--")</f>
        <v>--</v>
      </c>
      <c r="U93" s="92" t="str">
        <f>IFERROR(_xll.qlRateHelperPillarDate(S93,Trigger),"--")</f>
        <v>--</v>
      </c>
      <c r="W93" s="3" t="str">
        <f t="shared" si="29"/>
        <v/>
      </c>
      <c r="X93" s="3" t="e">
        <v>#N/A</v>
      </c>
      <c r="Y93" s="3" t="str">
        <f>IFERROR(_xll.qlRateHelperQuoteName(X93,Trigger),"")</f>
        <v/>
      </c>
      <c r="Z93" s="65" t="str">
        <f>IFERROR(_xll.qlRateHelperRate(X93,Trigger),"")</f>
        <v/>
      </c>
      <c r="AA93" s="96" t="str">
        <f>IF(ISERROR(_xll.qlSwapRateHelperSpread($X93)),IF(ISERROR(_xll.qlFuturesRateHelperConvexityAdjustment($X93)),"",_xll.qlFuturesRateHelperConvexityAdjustment($X93)),_xll.qlSwapRateHelperSpread($X93))</f>
        <v/>
      </c>
      <c r="AB93" s="4" t="str">
        <f>IFERROR(_xll.qlRateHelperEarliestDate(X93,Trigger),"")</f>
        <v/>
      </c>
      <c r="AC93" s="4" t="str">
        <f>IFERROR(_xll.qlRateHelperPillarDate(X93,Trigger),"")</f>
        <v/>
      </c>
      <c r="AD93" s="71" t="e">
        <v>#N/A</v>
      </c>
    </row>
    <row r="94" spans="1:30" x14ac:dyDescent="0.2">
      <c r="A94" s="56" t="s">
        <v>116</v>
      </c>
      <c r="B94" s="57" t="s">
        <v>65</v>
      </c>
      <c r="C94" s="58" t="s">
        <v>6</v>
      </c>
      <c r="D94" s="58" t="s">
        <v>156</v>
      </c>
      <c r="E94" s="58" t="s">
        <v>7</v>
      </c>
      <c r="F94" s="58" t="s">
        <v>154</v>
      </c>
      <c r="G94" s="58" t="str">
        <f t="shared" si="27"/>
        <v>AudBBSW6M</v>
      </c>
      <c r="H94" s="56" t="str">
        <f t="shared" si="28"/>
        <v>AUDQM3AB27Y_S3BR6BR_Quote</v>
      </c>
      <c r="I94" s="114">
        <v>0</v>
      </c>
      <c r="J94" s="167" t="str">
        <f>IF(P88,_xll.qlSwapRateHelper2(,H94,1,B94,Calendar,D94,E94,F94,G94,I94,C94,Discounting,PillarDate,,Permanent,Trigger,ObjectOverwrite),"--")</f>
        <v>--</v>
      </c>
      <c r="L94" s="173" t="str">
        <f t="shared" si="23"/>
        <v>BasSw</v>
      </c>
      <c r="M94" s="169" t="str">
        <f t="shared" si="25"/>
        <v>AUDQM3AB50Y_S3BR6BR_Quote</v>
      </c>
      <c r="N94" s="174" t="str">
        <f>IFERROR(_xll.qlQuoteValue(H100),"--")</f>
        <v>--</v>
      </c>
      <c r="O94" s="174">
        <f t="shared" si="26"/>
        <v>0</v>
      </c>
      <c r="P94" s="123" t="b">
        <v>0</v>
      </c>
      <c r="Q94" s="88">
        <v>50</v>
      </c>
      <c r="R94" s="88">
        <v>1</v>
      </c>
      <c r="S94" s="88" t="str">
        <f t="shared" si="24"/>
        <v>--</v>
      </c>
      <c r="T94" s="92" t="str">
        <f>IFERROR(_xll.qlRateHelperEarliestDate(S94,Trigger),"--")</f>
        <v>--</v>
      </c>
      <c r="U94" s="92" t="str">
        <f>IFERROR(_xll.qlRateHelperPillarDate(S94,Trigger),"--")</f>
        <v>--</v>
      </c>
      <c r="W94" s="3" t="str">
        <f t="shared" si="29"/>
        <v/>
      </c>
      <c r="X94" s="3" t="e">
        <v>#N/A</v>
      </c>
      <c r="Y94" s="3" t="str">
        <f>IFERROR(_xll.qlRateHelperQuoteName(X94,Trigger),"")</f>
        <v/>
      </c>
      <c r="Z94" s="65" t="str">
        <f>IFERROR(_xll.qlRateHelperRate(X94,Trigger),"")</f>
        <v/>
      </c>
      <c r="AA94" s="96" t="str">
        <f>IF(ISERROR(_xll.qlSwapRateHelperSpread($X94)),IF(ISERROR(_xll.qlFuturesRateHelperConvexityAdjustment($X94)),"",_xll.qlFuturesRateHelperConvexityAdjustment($X94)),_xll.qlSwapRateHelperSpread($X94))</f>
        <v/>
      </c>
      <c r="AB94" s="4" t="str">
        <f>IFERROR(_xll.qlRateHelperEarliestDate(X94,Trigger),"")</f>
        <v/>
      </c>
      <c r="AC94" s="4" t="str">
        <f>IFERROR(_xll.qlRateHelperPillarDate(X94,Trigger),"")</f>
        <v/>
      </c>
      <c r="AD94" s="71" t="e">
        <v>#N/A</v>
      </c>
    </row>
    <row r="95" spans="1:30" x14ac:dyDescent="0.2">
      <c r="A95" s="56" t="s">
        <v>116</v>
      </c>
      <c r="B95" s="57" t="s">
        <v>109</v>
      </c>
      <c r="C95" s="58" t="s">
        <v>6</v>
      </c>
      <c r="D95" s="58" t="s">
        <v>156</v>
      </c>
      <c r="E95" s="58" t="s">
        <v>7</v>
      </c>
      <c r="F95" s="58" t="s">
        <v>154</v>
      </c>
      <c r="G95" s="58" t="str">
        <f t="shared" si="27"/>
        <v>AudBBSW6M</v>
      </c>
      <c r="H95" s="56" t="str">
        <f t="shared" si="28"/>
        <v>AUDQM3AB28Y_S3BR6BR_Quote</v>
      </c>
      <c r="I95" s="114">
        <v>0</v>
      </c>
      <c r="J95" s="167" t="str">
        <f>IF(P89,_xll.qlSwapRateHelper2(,H95,1,B95,Calendar,D95,E95,F95,G95,I95,C95,Discounting,PillarDate,,Permanent,Trigger,ObjectOverwrite),"--")</f>
        <v>--</v>
      </c>
      <c r="L95" s="175" t="str">
        <f t="shared" si="23"/>
        <v>BasSw</v>
      </c>
      <c r="M95" s="176" t="str">
        <f t="shared" si="25"/>
        <v>AUDQM3AB60Y_S3BR6BR_Quote</v>
      </c>
      <c r="N95" s="177" t="str">
        <f>IFERROR(_xll.qlQuoteValue(H101),"--")</f>
        <v>--</v>
      </c>
      <c r="O95" s="177">
        <f t="shared" si="26"/>
        <v>0</v>
      </c>
      <c r="P95" s="124" t="b">
        <v>0</v>
      </c>
      <c r="Q95" s="89">
        <v>50</v>
      </c>
      <c r="R95" s="89">
        <v>1</v>
      </c>
      <c r="S95" s="89" t="str">
        <f t="shared" si="24"/>
        <v>--</v>
      </c>
      <c r="T95" s="94" t="str">
        <f>IFERROR(_xll.qlRateHelperEarliestDate(S95,Trigger),"--")</f>
        <v>--</v>
      </c>
      <c r="U95" s="94" t="str">
        <f>IFERROR(_xll.qlRateHelperPillarDate(S95,Trigger),"--")</f>
        <v>--</v>
      </c>
      <c r="W95" s="5" t="str">
        <f t="shared" si="29"/>
        <v/>
      </c>
      <c r="X95" s="5" t="e">
        <v>#N/A</v>
      </c>
      <c r="Y95" s="5" t="str">
        <f>IFERROR(_xll.qlRateHelperQuoteName(X95,Trigger),"")</f>
        <v/>
      </c>
      <c r="Z95" s="73" t="str">
        <f>IFERROR(_xll.qlRateHelperRate(X95,Trigger),"")</f>
        <v/>
      </c>
      <c r="AA95" s="97" t="str">
        <f>IF(ISERROR(_xll.qlSwapRateHelperSpread($X95)),IF(ISERROR(_xll.qlFuturesRateHelperConvexityAdjustment($X95)),"",_xll.qlFuturesRateHelperConvexityAdjustment($X95)),_xll.qlSwapRateHelperSpread($X95))</f>
        <v/>
      </c>
      <c r="AB95" s="9" t="str">
        <f>IFERROR(_xll.qlRateHelperEarliestDate(X95,Trigger),"")</f>
        <v/>
      </c>
      <c r="AC95" s="9" t="str">
        <f>IFERROR(_xll.qlRateHelperPillarDate(X95,Trigger),"")</f>
        <v/>
      </c>
      <c r="AD95" s="72" t="e">
        <v>#N/A</v>
      </c>
    </row>
    <row r="96" spans="1:30" x14ac:dyDescent="0.2">
      <c r="A96" s="56" t="s">
        <v>116</v>
      </c>
      <c r="B96" s="57" t="s">
        <v>110</v>
      </c>
      <c r="C96" s="58" t="s">
        <v>6</v>
      </c>
      <c r="D96" s="58" t="s">
        <v>156</v>
      </c>
      <c r="E96" s="58" t="s">
        <v>7</v>
      </c>
      <c r="F96" s="58" t="s">
        <v>154</v>
      </c>
      <c r="G96" s="58" t="str">
        <f t="shared" si="27"/>
        <v>AudBBSW6M</v>
      </c>
      <c r="H96" s="56" t="str">
        <f t="shared" si="28"/>
        <v>AUDQM3AB29Y_S3BR6BR_Quote</v>
      </c>
      <c r="I96" s="114">
        <v>0</v>
      </c>
      <c r="J96" s="167" t="str">
        <f>IF(P90,_xll.qlSwapRateHelper2(,H96,1,B96,Calendar,D96,E96,F96,G96,I96,C96,Discounting,PillarDate,,Permanent,Trigger,ObjectOverwrite),"--")</f>
        <v>--</v>
      </c>
      <c r="Y96" s="187" t="str">
        <f>_xll.ohGroup("AUD6M_instruments",_xll.ohPack(Y3:Y95),Permanent,Trigger,ObjectOverwrite)</f>
        <v>AUD6M_instruments#0003</v>
      </c>
    </row>
    <row r="97" spans="1:10" x14ac:dyDescent="0.2">
      <c r="A97" s="56" t="s">
        <v>116</v>
      </c>
      <c r="B97" s="57" t="s">
        <v>66</v>
      </c>
      <c r="C97" s="58" t="s">
        <v>6</v>
      </c>
      <c r="D97" s="58" t="s">
        <v>156</v>
      </c>
      <c r="E97" s="58" t="s">
        <v>7</v>
      </c>
      <c r="F97" s="58" t="s">
        <v>154</v>
      </c>
      <c r="G97" s="58" t="str">
        <f t="shared" si="27"/>
        <v>AudBBSW6M</v>
      </c>
      <c r="H97" s="56" t="str">
        <f t="shared" si="28"/>
        <v>AUDQM3AB30Y_S3BR6BR_Quote</v>
      </c>
      <c r="I97" s="114">
        <v>0</v>
      </c>
      <c r="J97" s="167" t="str">
        <f>IF(P91,_xll.qlSwapRateHelper2(,H97,1,B97,Calendar,D97,E97,F97,G97,I97,C97,Discounting,PillarDate,,Permanent,Trigger,ObjectOverwrite),"--")</f>
        <v>--</v>
      </c>
    </row>
    <row r="98" spans="1:10" x14ac:dyDescent="0.2">
      <c r="A98" s="56" t="s">
        <v>116</v>
      </c>
      <c r="B98" s="57" t="s">
        <v>67</v>
      </c>
      <c r="C98" s="58" t="s">
        <v>6</v>
      </c>
      <c r="D98" s="58" t="s">
        <v>156</v>
      </c>
      <c r="E98" s="58" t="s">
        <v>7</v>
      </c>
      <c r="F98" s="58" t="s">
        <v>154</v>
      </c>
      <c r="G98" s="58" t="str">
        <f t="shared" si="27"/>
        <v>AudBBSW6M</v>
      </c>
      <c r="H98" s="56" t="str">
        <f t="shared" si="28"/>
        <v>AUDQM3AB35Y_S3BR6BR_Quote</v>
      </c>
      <c r="I98" s="114">
        <v>0</v>
      </c>
      <c r="J98" s="167" t="str">
        <f>IF(P92,_xll.qlSwapRateHelper2(,H98,1,B98,Calendar,D98,E98,F98,G98,I98,C98,Discounting,PillarDate,,Permanent,Trigger,ObjectOverwrite),"--")</f>
        <v>--</v>
      </c>
    </row>
    <row r="99" spans="1:10" x14ac:dyDescent="0.2">
      <c r="A99" s="56" t="s">
        <v>116</v>
      </c>
      <c r="B99" s="57" t="s">
        <v>68</v>
      </c>
      <c r="C99" s="58" t="s">
        <v>6</v>
      </c>
      <c r="D99" s="58" t="s">
        <v>156</v>
      </c>
      <c r="E99" s="58" t="s">
        <v>7</v>
      </c>
      <c r="F99" s="58" t="s">
        <v>154</v>
      </c>
      <c r="G99" s="58" t="str">
        <f t="shared" si="27"/>
        <v>AudBBSW6M</v>
      </c>
      <c r="H99" s="56" t="str">
        <f t="shared" si="28"/>
        <v>AUDQM3AB40Y_S3BR6BR_Quote</v>
      </c>
      <c r="I99" s="114">
        <v>0</v>
      </c>
      <c r="J99" s="167" t="str">
        <f>IF(P93,_xll.qlSwapRateHelper2(,H99,1,B99,Calendar,D99,E99,F99,G99,I99,C99,Discounting,PillarDate,,Permanent,Trigger,ObjectOverwrite),"--")</f>
        <v>--</v>
      </c>
    </row>
    <row r="100" spans="1:10" x14ac:dyDescent="0.2">
      <c r="A100" s="56" t="s">
        <v>116</v>
      </c>
      <c r="B100" s="57" t="s">
        <v>69</v>
      </c>
      <c r="C100" s="58" t="s">
        <v>6</v>
      </c>
      <c r="D100" s="58" t="s">
        <v>156</v>
      </c>
      <c r="E100" s="58" t="s">
        <v>7</v>
      </c>
      <c r="F100" s="58" t="s">
        <v>154</v>
      </c>
      <c r="G100" s="58" t="str">
        <f t="shared" si="27"/>
        <v>AudBBSW6M</v>
      </c>
      <c r="H100" s="56" t="str">
        <f t="shared" si="28"/>
        <v>AUDQM3AB50Y_S3BR6BR_Quote</v>
      </c>
      <c r="I100" s="112">
        <v>0</v>
      </c>
      <c r="J100" s="167" t="str">
        <f>IF(P94,_xll.qlSwapRateHelper2(,H100,1,B100,Calendar,D100,E100,F100,G100,I100,C100,Discounting,PillarDate,,Permanent,Trigger,ObjectOverwrite),"--")</f>
        <v>--</v>
      </c>
    </row>
    <row r="101" spans="1:10" x14ac:dyDescent="0.2">
      <c r="A101" s="1" t="s">
        <v>116</v>
      </c>
      <c r="B101" s="7" t="s">
        <v>111</v>
      </c>
      <c r="C101" s="6" t="s">
        <v>6</v>
      </c>
      <c r="D101" s="6" t="s">
        <v>156</v>
      </c>
      <c r="E101" s="6" t="s">
        <v>7</v>
      </c>
      <c r="F101" s="6" t="s">
        <v>154</v>
      </c>
      <c r="G101" s="6" t="str">
        <f t="shared" si="27"/>
        <v>AudBBSW6M</v>
      </c>
      <c r="H101" s="1" t="str">
        <f t="shared" si="28"/>
        <v>AUDQM3AB60Y_S3BR6BR_Quote</v>
      </c>
      <c r="I101" s="117">
        <v>0</v>
      </c>
      <c r="J101" s="166" t="str">
        <f>IF(P95,_xll.qlSwapRateHelper2(,H101,1,B101,Calendar,D101,E101,F101,G101,I101,C101,Discounting,PillarDate,,Permanent,Trigger,ObjectOverwrite),"--")</f>
        <v>--</v>
      </c>
    </row>
  </sheetData>
  <dataValidations disablePrompts="1" count="5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F3:F6 F26:F62 F65:F10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:E6 E26:E62 E65:E101">
      <formula1>"Following,Modified Following,Preceding,Modified Preceding,Unadjusted,Half-Month Modified Following"</formula1>
    </dataValidation>
    <dataValidation type="list" allowBlank="1" showInputMessage="1" showErrorMessage="1" sqref="D26:D62 D65:D101">
      <formula1>"Annual,Semiannual,EveryFourthMonth,Quarterly,Bimonthly,Monthly,Biweekly,Weekly,Daily,Once,NoFrequency"</formula1>
    </dataValidation>
    <dataValidation type="list" allowBlank="1" showInputMessage="1" showErrorMessage="1" sqref="P3:P95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4" hidden="1" customWidth="1" outlineLevel="1"/>
    <col min="2" max="2" width="5.7109375" style="49" hidden="1" customWidth="1" outlineLevel="1"/>
    <col min="3" max="3" width="5.7109375" style="48" hidden="1" customWidth="1" outlineLevel="1"/>
    <col min="4" max="4" width="10.7109375" style="48" hidden="1" customWidth="1" outlineLevel="1"/>
    <col min="5" max="5" width="30.7109375" style="48" hidden="1" customWidth="1" outlineLevel="1"/>
    <col min="6" max="6" width="20.7109375" style="48" hidden="1" customWidth="1" outlineLevel="1"/>
    <col min="7" max="7" width="15.7109375" style="48" hidden="1" customWidth="1" outlineLevel="1"/>
    <col min="8" max="8" width="20.7109375" style="50" hidden="1" customWidth="1" outlineLevel="1"/>
    <col min="9" max="9" width="25.7109375" style="44" hidden="1" customWidth="1" outlineLevel="1"/>
    <col min="10" max="10" width="15.7109375" style="95" hidden="1" customWidth="1" outlineLevel="1"/>
    <col min="11" max="11" width="2.7109375" style="44" customWidth="1" collapsed="1"/>
    <col min="12" max="12" width="5.7109375" style="44" hidden="1" customWidth="1" outlineLevel="1"/>
    <col min="13" max="13" width="20.7109375" style="95" hidden="1" customWidth="1" outlineLevel="1"/>
    <col min="14" max="18" width="8.7109375" style="95" hidden="1" customWidth="1" outlineLevel="1"/>
    <col min="19" max="19" width="15.7109375" style="95" hidden="1" customWidth="1" outlineLevel="1"/>
    <col min="20" max="21" width="10.7109375" style="95" hidden="1" customWidth="1" outlineLevel="1"/>
    <col min="22" max="22" width="2.7109375" style="46" hidden="1" customWidth="1" outlineLevel="1"/>
    <col min="23" max="23" width="6" style="44" bestFit="1" customWidth="1" collapsed="1"/>
    <col min="24" max="24" width="10.140625" style="44" hidden="1" customWidth="1" outlineLevel="1"/>
    <col min="25" max="25" width="24.7109375" style="44" customWidth="1" collapsed="1"/>
    <col min="26" max="27" width="9.7109375" style="44" customWidth="1"/>
    <col min="28" max="29" width="17.28515625" style="44" bestFit="1" customWidth="1"/>
    <col min="30" max="30" width="12" style="44" bestFit="1" customWidth="1"/>
    <col min="31" max="32" width="2.7109375" style="44" customWidth="1"/>
    <col min="33" max="33" width="24.42578125" style="44" bestFit="1" customWidth="1"/>
    <col min="34" max="34" width="21.42578125" style="44" hidden="1" customWidth="1" outlineLevel="1"/>
    <col min="35" max="35" width="7" style="44" hidden="1" customWidth="1" outlineLevel="1"/>
    <col min="36" max="36" width="11" style="44" hidden="1" customWidth="1" outlineLevel="1"/>
    <col min="37" max="37" width="9" style="44" bestFit="1" customWidth="1" collapsed="1"/>
    <col min="38" max="38" width="10" style="44" customWidth="1"/>
    <col min="39" max="39" width="24.42578125" style="44" bestFit="1" customWidth="1"/>
    <col min="40" max="16384" width="9.140625" style="44"/>
  </cols>
  <sheetData>
    <row r="1" spans="1:39" ht="18" customHeight="1" x14ac:dyDescent="0.2">
      <c r="G1" s="48" t="s">
        <v>2</v>
      </c>
      <c r="H1" s="48" t="str">
        <f>"_SYNTH"&amp;$G$1</f>
        <v>_SYNTH1M</v>
      </c>
      <c r="L1" s="63" t="s">
        <v>163</v>
      </c>
      <c r="M1" s="98"/>
      <c r="N1" s="90"/>
      <c r="O1" s="98"/>
      <c r="P1" s="63" t="s">
        <v>24</v>
      </c>
      <c r="Q1" s="98"/>
      <c r="R1" s="98"/>
      <c r="S1" s="98"/>
      <c r="T1" s="98"/>
      <c r="U1" s="90"/>
      <c r="V1" s="87"/>
      <c r="W1" s="68" t="str">
        <f>Currency&amp;$G$1</f>
        <v>AUD1M</v>
      </c>
      <c r="X1" s="62"/>
      <c r="Y1" s="62"/>
      <c r="Z1" s="64"/>
      <c r="AA1" s="64"/>
      <c r="AB1" s="62"/>
      <c r="AC1" s="62"/>
      <c r="AD1" s="66" t="s">
        <v>31</v>
      </c>
    </row>
    <row r="2" spans="1:39" ht="21.75" customHeight="1" x14ac:dyDescent="0.2">
      <c r="A2" s="61" t="s">
        <v>8</v>
      </c>
      <c r="B2" s="61" t="s">
        <v>28</v>
      </c>
      <c r="C2" s="61" t="s">
        <v>77</v>
      </c>
      <c r="D2" s="61" t="s">
        <v>127</v>
      </c>
      <c r="E2" s="61" t="s">
        <v>33</v>
      </c>
      <c r="F2" s="61" t="s">
        <v>114</v>
      </c>
      <c r="G2" s="61" t="s">
        <v>4</v>
      </c>
      <c r="H2" s="61" t="s">
        <v>1</v>
      </c>
      <c r="I2" s="61"/>
      <c r="J2" s="61" t="s">
        <v>24</v>
      </c>
      <c r="L2" s="67" t="s">
        <v>8</v>
      </c>
      <c r="M2" s="67" t="s">
        <v>78</v>
      </c>
      <c r="N2" s="67" t="s">
        <v>81</v>
      </c>
      <c r="O2" s="67" t="s">
        <v>83</v>
      </c>
      <c r="P2" s="67" t="s">
        <v>79</v>
      </c>
      <c r="Q2" s="67" t="s">
        <v>80</v>
      </c>
      <c r="R2" s="67" t="s">
        <v>82</v>
      </c>
      <c r="S2" s="67" t="s">
        <v>24</v>
      </c>
      <c r="T2" s="67" t="s">
        <v>22</v>
      </c>
      <c r="U2" s="67" t="s">
        <v>75</v>
      </c>
      <c r="V2" s="87"/>
      <c r="W2" s="67" t="s">
        <v>8</v>
      </c>
      <c r="X2" s="67" t="s">
        <v>24</v>
      </c>
      <c r="Y2" s="67" t="s">
        <v>78</v>
      </c>
      <c r="Z2" s="69" t="s">
        <v>23</v>
      </c>
      <c r="AA2" s="69" t="s">
        <v>83</v>
      </c>
      <c r="AB2" s="67" t="s">
        <v>22</v>
      </c>
      <c r="AC2" s="67" t="s">
        <v>75</v>
      </c>
      <c r="AD2" s="70">
        <f t="array" ref="AD2:AD84">_xll.qlPiecewiseYieldCurveData(YieldCurve_1M,Trigger)</f>
        <v>1</v>
      </c>
      <c r="AE2" s="146"/>
      <c r="AG2" s="147" t="s">
        <v>84</v>
      </c>
      <c r="AH2" s="148"/>
      <c r="AI2" s="148"/>
      <c r="AJ2" s="148"/>
      <c r="AK2" s="149"/>
    </row>
    <row r="3" spans="1:39" ht="11.25" customHeight="1" x14ac:dyDescent="0.2">
      <c r="A3" s="51" t="s">
        <v>26</v>
      </c>
      <c r="B3" s="52" t="s">
        <v>74</v>
      </c>
      <c r="C3" s="53">
        <v>0</v>
      </c>
      <c r="D3" s="54" t="b">
        <v>1</v>
      </c>
      <c r="E3" s="54" t="s">
        <v>153</v>
      </c>
      <c r="F3" s="54" t="s">
        <v>154</v>
      </c>
      <c r="G3" s="53" t="str">
        <f>_xll.qlIborIndex(,FamilyName,SUBSTITUTE(SUBSTITUTE(B3,"S","1"),"N","D"),C3,Currency,Calendar,E3,D3,F3,,Permanent,Trigger,ObjectOverwrite)</f>
        <v>obj_00211#0004</v>
      </c>
      <c r="H3" s="125" t="str">
        <f t="shared" ref="H3:H7" si="0">Currency&amp;$B3&amp;"D"&amp;$H$1&amp;QuoteSuffix</f>
        <v>AUDSND_SYNTH1M_Quote</v>
      </c>
      <c r="I3" s="116"/>
      <c r="J3" s="165" t="str">
        <f>IF(P3,_xll.qlDepositRateHelper(,H3,G3,Permanent,Trigger,ObjectOverwrite),"--")</f>
        <v>obj_00261#0003</v>
      </c>
      <c r="K3" s="47"/>
      <c r="L3" s="171" t="str">
        <f>A3</f>
        <v>Dp</v>
      </c>
      <c r="M3" s="168" t="str">
        <f>H3</f>
        <v>AUDSND_SYNTH1M_Quote</v>
      </c>
      <c r="N3" s="172">
        <f>IFERROR(_xll.qlQuoteValue(H3),"--")</f>
        <v>1.8794000000000002E-2</v>
      </c>
      <c r="O3" s="178"/>
      <c r="P3" s="121" t="b">
        <v>1</v>
      </c>
      <c r="Q3" s="118">
        <v>10</v>
      </c>
      <c r="R3" s="118">
        <v>1</v>
      </c>
      <c r="S3" s="118" t="str">
        <f>J3</f>
        <v>obj_00261#0003</v>
      </c>
      <c r="T3" s="120">
        <f>IFERROR(_xll.qlRateHelperEarliestDate(S3,Trigger),"--")</f>
        <v>42681</v>
      </c>
      <c r="U3" s="120">
        <f>IFERROR(_xll.qlRateHelperPillarDate(S3,Trigger),"--")</f>
        <v>42682</v>
      </c>
      <c r="W3" s="3" t="str">
        <f t="shared" ref="W3:W34" si="1">IFERROR(INDEX($L$3:$L$84,MATCH(Y3,$M$3:$M$84,0),1),"")</f>
        <v>Dp</v>
      </c>
      <c r="X3" s="3" t="str">
        <f t="array" ref="X3:X84">_xll.qlRateHelperSelection(_xll.ohFilter(RateHelpers,IncludeFlag),_xll.ohFilter(Priority,IncludeFlag),$AK$3,$AK$4,$AK$5,$AK$6,_xll.ohFilter(MinDistance,IncludeFlag),Trigger)</f>
        <v>obj_00261</v>
      </c>
      <c r="Y3" s="3" t="str">
        <f>IFERROR(_xll.qlRateHelperQuoteName(X3,Trigger),"")</f>
        <v>AUDSND_SYNTH1M_Quote</v>
      </c>
      <c r="Z3" s="65">
        <f>IFERROR(_xll.qlRateHelperRate(X3,Trigger),"")</f>
        <v>1.6511999999999999E-2</v>
      </c>
      <c r="AA3" s="9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42681</v>
      </c>
      <c r="AC3" s="4">
        <f>IFERROR(_xll.qlRateHelperPillarDate(X3,Trigger),"")</f>
        <v>42682</v>
      </c>
      <c r="AD3" s="71">
        <v>0.99995476369025194</v>
      </c>
      <c r="AE3" s="146"/>
      <c r="AG3" s="156" t="s">
        <v>85</v>
      </c>
      <c r="AK3" s="157">
        <v>0</v>
      </c>
    </row>
    <row r="4" spans="1:39" ht="11.25" customHeight="1" x14ac:dyDescent="0.2">
      <c r="A4" s="56" t="s">
        <v>26</v>
      </c>
      <c r="B4" s="57" t="s">
        <v>90</v>
      </c>
      <c r="C4" s="58">
        <v>0</v>
      </c>
      <c r="D4" s="59" t="b">
        <v>1</v>
      </c>
      <c r="E4" s="59" t="s">
        <v>153</v>
      </c>
      <c r="F4" s="59" t="s">
        <v>154</v>
      </c>
      <c r="G4" s="58" t="str">
        <f>_xll.qlIborIndex(,FamilyName,SUBSTITUTE(SUBSTITUTE(B4,"S","1"),"N","D"),C4,Currency,Calendar,E4,D4,F4,,Permanent,Trigger,ObjectOverwrite)</f>
        <v>obj_0021b#0004</v>
      </c>
      <c r="H4" s="108" t="str">
        <f t="shared" si="0"/>
        <v>AUDSWD_SYNTH1M_Quote</v>
      </c>
      <c r="I4" s="110"/>
      <c r="J4" s="167" t="str">
        <f>IF(P4,_xll.qlDepositRateHelper(,H4,G4,Permanent,Trigger,ObjectOverwrite),"--")</f>
        <v>obj_00264#0003</v>
      </c>
      <c r="K4" s="46"/>
      <c r="L4" s="173" t="str">
        <f t="shared" ref="L4:L7" si="2">A4</f>
        <v>Dp</v>
      </c>
      <c r="M4" s="169" t="str">
        <f t="shared" ref="M4:M7" si="3">H4</f>
        <v>AUDSWD_SYNTH1M_Quote</v>
      </c>
      <c r="N4" s="174">
        <f>IFERROR(_xll.qlQuoteValue(H4),"--")</f>
        <v>1.8827E-2</v>
      </c>
      <c r="O4" s="179"/>
      <c r="P4" s="123" t="b">
        <v>1</v>
      </c>
      <c r="Q4" s="88">
        <v>10</v>
      </c>
      <c r="R4" s="88">
        <v>1</v>
      </c>
      <c r="S4" s="88" t="str">
        <f>J4</f>
        <v>obj_00264#0003</v>
      </c>
      <c r="T4" s="92">
        <f>IFERROR(_xll.qlRateHelperEarliestDate(S4,Trigger),"--")</f>
        <v>42681</v>
      </c>
      <c r="U4" s="92">
        <f>IFERROR(_xll.qlRateHelperPillarDate(S4,Trigger),"--")</f>
        <v>42688</v>
      </c>
      <c r="W4" s="3" t="str">
        <f t="shared" si="1"/>
        <v>Dp</v>
      </c>
      <c r="X4" s="3" t="str">
        <v>obj_00264</v>
      </c>
      <c r="Y4" s="3" t="str">
        <f>IFERROR(_xll.qlRateHelperQuoteName(X4,Trigger),"")</f>
        <v>AUDSWD_SYNTH1M_Quote</v>
      </c>
      <c r="Z4" s="65">
        <f>IFERROR(_xll.qlRateHelperRate(X4,Trigger),"")</f>
        <v>1.6513E-2</v>
      </c>
      <c r="AA4" s="9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42681</v>
      </c>
      <c r="AC4" s="4">
        <f>IFERROR(_xll.qlRateHelperPillarDate(X4,Trigger),"")</f>
        <v>42688</v>
      </c>
      <c r="AD4" s="71">
        <v>0.99968341258809745</v>
      </c>
      <c r="AE4" s="146"/>
      <c r="AG4" s="99" t="s">
        <v>86</v>
      </c>
      <c r="AK4" s="100">
        <v>0</v>
      </c>
    </row>
    <row r="5" spans="1:39" ht="11.25" customHeight="1" x14ac:dyDescent="0.2">
      <c r="A5" s="56" t="s">
        <v>26</v>
      </c>
      <c r="B5" s="57" t="s">
        <v>39</v>
      </c>
      <c r="C5" s="58">
        <v>0</v>
      </c>
      <c r="D5" s="59" t="b">
        <v>1</v>
      </c>
      <c r="E5" s="59" t="s">
        <v>153</v>
      </c>
      <c r="F5" s="59" t="s">
        <v>154</v>
      </c>
      <c r="G5" s="58" t="str">
        <f>_xll.qlIborIndex(,FamilyName,SUBSTITUTE(SUBSTITUTE(B5,"S","1"),"N","D"),C5,Currency,Calendar,E5,D5,F5,,Permanent,Trigger,ObjectOverwrite)</f>
        <v>obj_00217#0004</v>
      </c>
      <c r="H5" s="108" t="str">
        <f t="shared" si="0"/>
        <v>AUD2WD_SYNTH1M_Quote</v>
      </c>
      <c r="I5" s="110"/>
      <c r="J5" s="167" t="str">
        <f>IF(P5,_xll.qlDepositRateHelper(,H5,G5,Permanent,Trigger,ObjectOverwrite),"--")</f>
        <v>obj_0026f#0003</v>
      </c>
      <c r="K5" s="46"/>
      <c r="L5" s="173" t="str">
        <f t="shared" si="2"/>
        <v>Dp</v>
      </c>
      <c r="M5" s="169" t="str">
        <f t="shared" si="3"/>
        <v>AUD2WD_SYNTH1M_Quote</v>
      </c>
      <c r="N5" s="174">
        <f>IFERROR(_xll.qlQuoteValue(H5),"--")</f>
        <v>1.8876E-2</v>
      </c>
      <c r="O5" s="179"/>
      <c r="P5" s="123" t="b">
        <v>1</v>
      </c>
      <c r="Q5" s="88">
        <v>10</v>
      </c>
      <c r="R5" s="88">
        <v>1</v>
      </c>
      <c r="S5" s="88" t="str">
        <f>J5</f>
        <v>obj_0026f#0003</v>
      </c>
      <c r="T5" s="92">
        <f>IFERROR(_xll.qlRateHelperEarliestDate(S5,Trigger),"--")</f>
        <v>42681</v>
      </c>
      <c r="U5" s="92">
        <f>IFERROR(_xll.qlRateHelperPillarDate(S5,Trigger),"--")</f>
        <v>42695</v>
      </c>
      <c r="W5" s="3" t="str">
        <f t="shared" si="1"/>
        <v>Dp</v>
      </c>
      <c r="X5" s="3" t="str">
        <v>obj_0026f</v>
      </c>
      <c r="Y5" s="3" t="str">
        <f>IFERROR(_xll.qlRateHelperQuoteName(X5,Trigger),"")</f>
        <v>AUD2WD_SYNTH1M_Quote</v>
      </c>
      <c r="Z5" s="65">
        <f>IFERROR(_xll.qlRateHelperRate(X5,Trigger),"")</f>
        <v>1.6518999999999999E-2</v>
      </c>
      <c r="AA5" s="9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42681</v>
      </c>
      <c r="AC5" s="4">
        <f>IFERROR(_xll.qlRateHelperPillarDate(X5,Trigger),"")</f>
        <v>42695</v>
      </c>
      <c r="AD5" s="71">
        <v>0.99936679572224785</v>
      </c>
      <c r="AE5" s="146"/>
      <c r="AF5" s="74"/>
      <c r="AG5" s="99" t="s">
        <v>87</v>
      </c>
      <c r="AK5" s="100">
        <v>0</v>
      </c>
    </row>
    <row r="6" spans="1:39" ht="11.25" customHeight="1" x14ac:dyDescent="0.2">
      <c r="A6" s="1" t="s">
        <v>26</v>
      </c>
      <c r="B6" s="7" t="s">
        <v>40</v>
      </c>
      <c r="C6" s="6">
        <v>0</v>
      </c>
      <c r="D6" s="8" t="b">
        <v>1</v>
      </c>
      <c r="E6" s="8" t="s">
        <v>153</v>
      </c>
      <c r="F6" s="8" t="s">
        <v>154</v>
      </c>
      <c r="G6" s="6" t="str">
        <f>_xll.qlIborIndex(,FamilyName,SUBSTITUTE(SUBSTITUTE(B6,"S","1"),"N","D"),C6,Currency,Calendar,E6,D6,F6,,Permanent,Trigger,ObjectOverwrite)</f>
        <v>obj_00213#0004</v>
      </c>
      <c r="H6" s="109" t="str">
        <f t="shared" si="0"/>
        <v>AUD3WD_SYNTH1M_Quote</v>
      </c>
      <c r="I6" s="111"/>
      <c r="J6" s="166" t="str">
        <f>IF(P6,_xll.qlDepositRateHelper(,H6,G6,Permanent,Trigger,ObjectOverwrite),"--")</f>
        <v>obj_00265#0003</v>
      </c>
      <c r="K6" s="46"/>
      <c r="L6" s="173" t="str">
        <f t="shared" si="2"/>
        <v>Dp</v>
      </c>
      <c r="M6" s="169" t="str">
        <f t="shared" si="3"/>
        <v>AUD3WD_SYNTH1M_Quote</v>
      </c>
      <c r="N6" s="174">
        <f>IFERROR(_xll.qlQuoteValue(H6),"--")</f>
        <v>1.8887000000000001E-2</v>
      </c>
      <c r="O6" s="179"/>
      <c r="P6" s="123" t="b">
        <v>1</v>
      </c>
      <c r="Q6" s="88">
        <v>10</v>
      </c>
      <c r="R6" s="88">
        <v>1</v>
      </c>
      <c r="S6" s="88" t="str">
        <f>J6</f>
        <v>obj_00265#0003</v>
      </c>
      <c r="T6" s="92">
        <f>IFERROR(_xll.qlRateHelperEarliestDate(S6,Trigger),"--")</f>
        <v>42681</v>
      </c>
      <c r="U6" s="92">
        <f>IFERROR(_xll.qlRateHelperPillarDate(S6,Trigger),"--")</f>
        <v>42702</v>
      </c>
      <c r="W6" s="3" t="str">
        <f t="shared" si="1"/>
        <v>Dp</v>
      </c>
      <c r="X6" s="3" t="str">
        <v>obj_00265</v>
      </c>
      <c r="Y6" s="3" t="str">
        <f>IFERROR(_xll.qlRateHelperQuoteName(X6,Trigger),"")</f>
        <v>AUD3WD_SYNTH1M_Quote</v>
      </c>
      <c r="Z6" s="65">
        <f>IFERROR(_xll.qlRateHelperRate(X6,Trigger),"")</f>
        <v>1.6518000000000001E-2</v>
      </c>
      <c r="AA6" s="9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42681</v>
      </c>
      <c r="AC6" s="4">
        <f>IFERROR(_xll.qlRateHelperPillarDate(X6,Trigger),"")</f>
        <v>42702</v>
      </c>
      <c r="AD6" s="71">
        <v>0.99905055162398371</v>
      </c>
      <c r="AE6" s="146"/>
      <c r="AG6" s="99" t="s">
        <v>88</v>
      </c>
      <c r="AK6" s="101" t="s">
        <v>89</v>
      </c>
    </row>
    <row r="7" spans="1:39" ht="11.25" customHeight="1" x14ac:dyDescent="0.2">
      <c r="A7" s="1" t="s">
        <v>26</v>
      </c>
      <c r="B7" s="7" t="s">
        <v>2</v>
      </c>
      <c r="C7" s="111"/>
      <c r="D7" s="111"/>
      <c r="E7" s="111"/>
      <c r="F7" s="111"/>
      <c r="G7" s="6" t="str">
        <f>PROPER(Currency)&amp;FamilyName&amp;B7</f>
        <v>AudBBSW1M</v>
      </c>
      <c r="H7" s="109" t="str">
        <f t="shared" si="0"/>
        <v>AUD1MD_SYNTH1M_Quote</v>
      </c>
      <c r="I7" s="111"/>
      <c r="J7" s="166" t="str">
        <f>IF(P7,_xll.qlDepositRateHelper(,H7,G7,Permanent,Trigger,ObjectOverwrite),"--")</f>
        <v>obj_0025b#0003</v>
      </c>
      <c r="K7" s="46"/>
      <c r="L7" s="173" t="str">
        <f t="shared" si="2"/>
        <v>Dp</v>
      </c>
      <c r="M7" s="169" t="str">
        <f t="shared" si="3"/>
        <v>AUD1MD_SYNTH1M_Quote</v>
      </c>
      <c r="N7" s="174">
        <f>IFERROR(_xll.qlQuoteValue(H7),"--")</f>
        <v>1.8782E-2</v>
      </c>
      <c r="O7" s="179"/>
      <c r="P7" s="123" t="b">
        <v>1</v>
      </c>
      <c r="Q7" s="88">
        <v>10</v>
      </c>
      <c r="R7" s="88">
        <v>1</v>
      </c>
      <c r="S7" s="88" t="str">
        <f>J7</f>
        <v>obj_0025b#0003</v>
      </c>
      <c r="T7" s="92">
        <f>IFERROR(_xll.qlRateHelperEarliestDate(S7,Trigger),"--")</f>
        <v>42681</v>
      </c>
      <c r="U7" s="92">
        <f>IFERROR(_xll.qlRateHelperPillarDate(S7,Trigger),"--")</f>
        <v>42711</v>
      </c>
      <c r="W7" s="3" t="str">
        <f t="shared" si="1"/>
        <v>Dp</v>
      </c>
      <c r="X7" s="3" t="str">
        <v>obj_0025b</v>
      </c>
      <c r="Y7" s="3" t="str">
        <f>IFERROR(_xll.qlRateHelperQuoteName(X7,Trigger),"")</f>
        <v>AUD1MD_SYNTH1M_Quote</v>
      </c>
      <c r="Z7" s="65">
        <f>IFERROR(_xll.qlRateHelperRate(X7,Trigger),"")</f>
        <v>1.6497000000000001E-2</v>
      </c>
      <c r="AA7" s="9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42681</v>
      </c>
      <c r="AC7" s="4">
        <f>IFERROR(_xll.qlRateHelperPillarDate(X7,Trigger),"")</f>
        <v>42711</v>
      </c>
      <c r="AD7" s="71">
        <v>0.99864591821548765</v>
      </c>
      <c r="AE7" s="146"/>
    </row>
    <row r="8" spans="1:39" ht="11.25" customHeight="1" x14ac:dyDescent="0.2">
      <c r="G8" s="48" t="s">
        <v>157</v>
      </c>
      <c r="H8" s="48" t="s">
        <v>158</v>
      </c>
      <c r="K8" s="46"/>
      <c r="L8" s="171" t="str">
        <f t="shared" ref="L8:L44" si="4">A10</f>
        <v>BasSw</v>
      </c>
      <c r="M8" s="170" t="str">
        <f>H10</f>
        <v>AUDQM3AB1Y_Quote</v>
      </c>
      <c r="N8" s="172">
        <f>IFERROR(_xll.qlQuoteValue(H10),"--")</f>
        <v>1.8325000000000001E-2</v>
      </c>
      <c r="O8" s="172">
        <f>IFERROR(_xll.qlQuoteValue(I10),"--")</f>
        <v>2.0249999999999999E-3</v>
      </c>
      <c r="P8" s="121" t="b">
        <v>1</v>
      </c>
      <c r="Q8" s="118">
        <v>50</v>
      </c>
      <c r="R8" s="118">
        <v>1</v>
      </c>
      <c r="S8" s="118" t="str">
        <f t="shared" ref="S8:S44" si="5">J10</f>
        <v>obj_0023d#0003</v>
      </c>
      <c r="T8" s="120">
        <f>IFERROR(_xll.qlRateHelperEarliestDate(S8,Trigger),"--")</f>
        <v>42682</v>
      </c>
      <c r="U8" s="120">
        <f>IFERROR(_xll.qlRateHelperPillarDate(S8,Trigger),"--")</f>
        <v>43047</v>
      </c>
      <c r="W8" s="3" t="str">
        <f t="shared" si="1"/>
        <v>BasSw</v>
      </c>
      <c r="X8" s="3" t="str">
        <v>obj_00250</v>
      </c>
      <c r="Y8" s="3" t="str">
        <f>IFERROR(_xll.qlRateHelperQuoteName(X8,Trigger),"")</f>
        <v>AUDQM3AB3M_S1BR3BR_Quote</v>
      </c>
      <c r="Z8" s="65">
        <f>IFERROR(_xll.qlRateHelperRate(X8,Trigger),"")</f>
        <v>1.779523685132036E-2</v>
      </c>
      <c r="AA8" s="96">
        <f>IF(ISERROR(_xll.qlSwapRateHelperSpread($X8)),IF(ISERROR(_xll.qlFuturesRateHelperConvexityAdjustment($X8)),"",_xll.qlFuturesRateHelperConvexityAdjustment($X8)),_xll.qlSwapRateHelperSpread($X8))</f>
        <v>1.4499999999999999E-3</v>
      </c>
      <c r="AB8" s="4">
        <f>IFERROR(_xll.qlRateHelperEarliestDate(X8,Trigger),"")</f>
        <v>42682</v>
      </c>
      <c r="AC8" s="4">
        <f>IFERROR(_xll.qlRateHelperPillarDate(X8,Trigger),"")</f>
        <v>42774</v>
      </c>
      <c r="AD8" s="71">
        <v>0.99585193648986758</v>
      </c>
      <c r="AE8" s="146"/>
    </row>
    <row r="9" spans="1:39" ht="11.25" customHeight="1" x14ac:dyDescent="0.2">
      <c r="A9" s="61" t="s">
        <v>8</v>
      </c>
      <c r="B9" s="61" t="s">
        <v>28</v>
      </c>
      <c r="C9" s="61" t="s">
        <v>113</v>
      </c>
      <c r="D9" s="61" t="s">
        <v>5</v>
      </c>
      <c r="E9" s="61" t="s">
        <v>33</v>
      </c>
      <c r="F9" s="61" t="s">
        <v>114</v>
      </c>
      <c r="G9" s="61" t="s">
        <v>4</v>
      </c>
      <c r="H9" s="61" t="s">
        <v>1</v>
      </c>
      <c r="I9" s="61" t="s">
        <v>112</v>
      </c>
      <c r="J9" s="61" t="s">
        <v>24</v>
      </c>
      <c r="K9" s="46"/>
      <c r="L9" s="173" t="str">
        <f t="shared" si="4"/>
        <v>BasSw</v>
      </c>
      <c r="M9" s="169" t="str">
        <f t="shared" ref="M9:M44" si="6">H11</f>
        <v>AUDQM3AB15M_Quote</v>
      </c>
      <c r="N9" s="174" t="str">
        <f>IFERROR(_xll.qlQuoteValue(H11),"--")</f>
        <v>--</v>
      </c>
      <c r="O9" s="174" t="str">
        <f>IFERROR(_xll.qlQuoteValue(I11),"--")</f>
        <v>--</v>
      </c>
      <c r="P9" s="123" t="b">
        <v>0</v>
      </c>
      <c r="Q9" s="88">
        <v>50</v>
      </c>
      <c r="R9" s="88">
        <v>1</v>
      </c>
      <c r="S9" s="88" t="str">
        <f t="shared" si="5"/>
        <v>--</v>
      </c>
      <c r="T9" s="92" t="str">
        <f>IFERROR(_xll.qlRateHelperEarliestDate(S9,Trigger),"--")</f>
        <v>--</v>
      </c>
      <c r="U9" s="92" t="str">
        <f>IFERROR(_xll.qlRateHelperPillarDate(S9,Trigger),"--")</f>
        <v>--</v>
      </c>
      <c r="W9" s="3" t="str">
        <f t="shared" si="1"/>
        <v>BasSw</v>
      </c>
      <c r="X9" s="3" t="str">
        <v>obj_0021e</v>
      </c>
      <c r="Y9" s="3" t="str">
        <f>IFERROR(_xll.qlRateHelperQuoteName(X9,Trigger),"")</f>
        <v>AUDQM3AB6M_S1BR3BR_Quote</v>
      </c>
      <c r="Z9" s="65">
        <f>IFERROR(_xll.qlRateHelperRate(X9,Trigger),"")</f>
        <v>1.768258713849798E-2</v>
      </c>
      <c r="AA9" s="96">
        <f>IF(ISERROR(_xll.qlSwapRateHelperSpread($X9)),IF(ISERROR(_xll.qlFuturesRateHelperConvexityAdjustment($X9)),"",_xll.qlFuturesRateHelperConvexityAdjustment($X9)),_xll.qlSwapRateHelperSpread($X9))</f>
        <v>1.6125E-3</v>
      </c>
      <c r="AB9" s="4">
        <f>IFERROR(_xll.qlRateHelperEarliestDate(X9,Trigger),"")</f>
        <v>42682</v>
      </c>
      <c r="AC9" s="4">
        <f>IFERROR(_xll.qlRateHelperPillarDate(X9,Trigger),"")</f>
        <v>42863</v>
      </c>
      <c r="AD9" s="71">
        <v>0.99203380545707243</v>
      </c>
      <c r="AE9" s="146"/>
      <c r="AH9" s="44" t="s">
        <v>124</v>
      </c>
    </row>
    <row r="10" spans="1:39" ht="11.25" customHeight="1" x14ac:dyDescent="0.2">
      <c r="A10" s="56" t="s">
        <v>116</v>
      </c>
      <c r="B10" s="57" t="s">
        <v>27</v>
      </c>
      <c r="C10" s="58" t="s">
        <v>6</v>
      </c>
      <c r="D10" s="58" t="s">
        <v>156</v>
      </c>
      <c r="E10" s="58" t="s">
        <v>7</v>
      </c>
      <c r="F10" s="58" t="s">
        <v>154</v>
      </c>
      <c r="G10" s="58" t="str">
        <f t="shared" ref="G10:G46" si="7">PROPER(Currency)&amp;FamilyName&amp;Tenor</f>
        <v>AudBBSW1M</v>
      </c>
      <c r="H10" s="56" t="str">
        <f t="shared" ref="H10:H46" si="8">Currency&amp;$G$8&amp;$H$8&amp;$B10&amp;QuoteSuffix</f>
        <v>AUDQM3AB1Y_Quote</v>
      </c>
      <c r="I10" s="126" t="str">
        <f t="shared" ref="I10:I46" si="9">Currency&amp;"1BR"&amp;"3BR"&amp;B10&amp;QuoteSuffix</f>
        <v>AUD1BR3BR1Y_Quote</v>
      </c>
      <c r="J10" s="167" t="str">
        <f>IF(P8,_xll.qlSwapRateHelper2(,H10,1,B10,Calendar,D10,E10,F10,G10,I10,C10,Discounting,PillarDate,,Permanent,Trigger,ObjectOverwrite),"--")</f>
        <v>obj_0023d#0003</v>
      </c>
      <c r="K10" s="46"/>
      <c r="L10" s="173" t="str">
        <f t="shared" si="4"/>
        <v>BasSw</v>
      </c>
      <c r="M10" s="169" t="str">
        <f t="shared" si="6"/>
        <v>AUDQM3AB18M_Quote</v>
      </c>
      <c r="N10" s="174" t="str">
        <f>IFERROR(_xll.qlQuoteValue(H12),"--")</f>
        <v>--</v>
      </c>
      <c r="O10" s="174" t="str">
        <f>IFERROR(_xll.qlQuoteValue(I12),"--")</f>
        <v>--</v>
      </c>
      <c r="P10" s="123" t="b">
        <v>0</v>
      </c>
      <c r="Q10" s="88">
        <v>50</v>
      </c>
      <c r="R10" s="88">
        <v>1</v>
      </c>
      <c r="S10" s="88" t="str">
        <f t="shared" si="5"/>
        <v>--</v>
      </c>
      <c r="T10" s="92" t="str">
        <f>IFERROR(_xll.qlRateHelperEarliestDate(S10,Trigger),"--")</f>
        <v>--</v>
      </c>
      <c r="U10" s="92" t="str">
        <f>IFERROR(_xll.qlRateHelperPillarDate(S10,Trigger),"--")</f>
        <v>--</v>
      </c>
      <c r="W10" s="3" t="str">
        <f t="shared" si="1"/>
        <v>BasSw</v>
      </c>
      <c r="X10" s="3" t="str">
        <v>obj_0021d</v>
      </c>
      <c r="Y10" s="3" t="str">
        <f>IFERROR(_xll.qlRateHelperQuoteName(X10,Trigger),"")</f>
        <v>AUDQM3AB9M_S1BR3BR_Quote</v>
      </c>
      <c r="Z10" s="65">
        <f>IFERROR(_xll.qlRateHelperRate(X10,Trigger),"")</f>
        <v>1.7554902407352645E-2</v>
      </c>
      <c r="AA10" s="96">
        <f>IF(ISERROR(_xll.qlSwapRateHelperSpread($X10)),IF(ISERROR(_xll.qlFuturesRateHelperConvexityAdjustment($X10)),"",_xll.qlFuturesRateHelperConvexityAdjustment($X10)),_xll.qlSwapRateHelperSpread($X10))</f>
        <v>1.65E-3</v>
      </c>
      <c r="AB10" s="4">
        <f>IFERROR(_xll.qlRateHelperEarliestDate(X10,Trigger),"")</f>
        <v>42682</v>
      </c>
      <c r="AC10" s="4">
        <f>IFERROR(_xll.qlRateHelperPillarDate(X10,Trigger),"")</f>
        <v>42955</v>
      </c>
      <c r="AD10" s="71">
        <v>0.98815381064851382</v>
      </c>
      <c r="AE10" s="146"/>
      <c r="AF10" s="67" t="s">
        <v>118</v>
      </c>
      <c r="AG10" s="67" t="s">
        <v>119</v>
      </c>
      <c r="AH10" s="67" t="s">
        <v>120</v>
      </c>
      <c r="AI10" s="67" t="s">
        <v>128</v>
      </c>
      <c r="AJ10" s="67" t="s">
        <v>121</v>
      </c>
      <c r="AK10" s="67" t="s">
        <v>129</v>
      </c>
      <c r="AL10" s="67" t="s">
        <v>122</v>
      </c>
      <c r="AM10" s="67" t="s">
        <v>123</v>
      </c>
    </row>
    <row r="11" spans="1:39" ht="11.25" customHeight="1" x14ac:dyDescent="0.2">
      <c r="A11" s="56" t="s">
        <v>116</v>
      </c>
      <c r="B11" s="57" t="s">
        <v>49</v>
      </c>
      <c r="C11" s="58" t="s">
        <v>6</v>
      </c>
      <c r="D11" s="58" t="s">
        <v>156</v>
      </c>
      <c r="E11" s="58" t="s">
        <v>7</v>
      </c>
      <c r="F11" s="58" t="s">
        <v>154</v>
      </c>
      <c r="G11" s="58" t="str">
        <f t="shared" si="7"/>
        <v>AudBBSW1M</v>
      </c>
      <c r="H11" s="56" t="str">
        <f t="shared" si="8"/>
        <v>AUDQM3AB15M_Quote</v>
      </c>
      <c r="I11" s="126" t="str">
        <f t="shared" si="9"/>
        <v>AUD1BR3BR15M_Quote</v>
      </c>
      <c r="J11" s="167" t="str">
        <f>IF(P9,_xll.qlSwapRateHelper2(,H11,1,B11,Calendar,D11,E11,F11,G11,I11,C11,Discounting,PillarDate,,Permanent,Trigger,ObjectOverwrite),"--")</f>
        <v>--</v>
      </c>
      <c r="K11" s="46"/>
      <c r="L11" s="173" t="str">
        <f t="shared" si="4"/>
        <v>BasSw</v>
      </c>
      <c r="M11" s="169" t="str">
        <f t="shared" si="6"/>
        <v>AUDQM3AB21M_Quote</v>
      </c>
      <c r="N11" s="174" t="str">
        <f>IFERROR(_xll.qlQuoteValue(H13),"--")</f>
        <v>--</v>
      </c>
      <c r="O11" s="174" t="str">
        <f>IFERROR(_xll.qlQuoteValue(I13),"--")</f>
        <v>--</v>
      </c>
      <c r="P11" s="123" t="b">
        <v>0</v>
      </c>
      <c r="Q11" s="88">
        <v>50</v>
      </c>
      <c r="R11" s="88">
        <v>1</v>
      </c>
      <c r="S11" s="88" t="str">
        <f t="shared" si="5"/>
        <v>--</v>
      </c>
      <c r="T11" s="92" t="str">
        <f>IFERROR(_xll.qlRateHelperEarliestDate(S11,Trigger),"--")</f>
        <v>--</v>
      </c>
      <c r="U11" s="92" t="str">
        <f>IFERROR(_xll.qlRateHelperPillarDate(S11,Trigger),"--")</f>
        <v>--</v>
      </c>
      <c r="W11" s="3" t="str">
        <f t="shared" si="1"/>
        <v>BasSw</v>
      </c>
      <c r="X11" s="3" t="str">
        <v>obj_0023d</v>
      </c>
      <c r="Y11" s="3" t="str">
        <f>IFERROR(_xll.qlRateHelperQuoteName(X11,Trigger),"")</f>
        <v>AUDQM3AB1Y_Quote</v>
      </c>
      <c r="Z11" s="65">
        <f>IFERROR(_xll.qlRateHelperRate(X11,Trigger),"")</f>
        <v>1.7475000000000001E-2</v>
      </c>
      <c r="AA11" s="96">
        <f>IF(ISERROR(_xll.qlSwapRateHelperSpread($X11)),IF(ISERROR(_xll.qlFuturesRateHelperConvexityAdjustment($X11)),"",_xll.qlFuturesRateHelperConvexityAdjustment($X11)),_xll.qlSwapRateHelperSpread($X11))</f>
        <v>1.6875E-3</v>
      </c>
      <c r="AB11" s="4">
        <f>IFERROR(_xll.qlRateHelperEarliestDate(X11,Trigger),"")</f>
        <v>42682</v>
      </c>
      <c r="AC11" s="4">
        <f>IFERROR(_xll.qlRateHelperPillarDate(X11,Trigger),"")</f>
        <v>43047</v>
      </c>
      <c r="AD11" s="71">
        <v>0.98432399384417757</v>
      </c>
      <c r="AE11" s="146"/>
      <c r="AF11" s="128">
        <v>1</v>
      </c>
      <c r="AG11" s="129">
        <f>_xll.qlCalendarEndOfMonth(Calendar,Settlementdate,Trigger)</f>
        <v>42704</v>
      </c>
      <c r="AH11" s="128" t="str">
        <f t="shared" ref="AH11:AH23" si="10">Currency&amp;$AH$9&amp;AF11&amp;JumpSuffix&amp;QuoteSuffix</f>
        <v>AUDJump1_SYNTHON_Quote</v>
      </c>
      <c r="AI11" s="150">
        <f>_xll.qlDayCounterYearFraction("actual/360",AG11,_xll.qlCalendarAdvance(Calendar,AG11,"1D",,,Trigger))</f>
        <v>2.7777777777777779E-3</v>
      </c>
      <c r="AJ11" s="130" t="e">
        <f>IF(_xll.qlQuoteIsValid(AH11,Trigger),_xll.qlQuoteValue(AH11,Trigger),1)</f>
        <v>#NUM!</v>
      </c>
      <c r="AK11" s="153" t="e">
        <f>-LN(AJ11)/AI11</f>
        <v>#NUM!</v>
      </c>
      <c r="AL11" s="158"/>
      <c r="AM11" s="130" t="str">
        <f>IF(ISBLANK(AL11),AH11,EXP(-AL11*AI11))</f>
        <v>AUDJump1_SYNTHON_Quote</v>
      </c>
    </row>
    <row r="12" spans="1:39" ht="11.25" customHeight="1" x14ac:dyDescent="0.2">
      <c r="A12" s="56" t="s">
        <v>116</v>
      </c>
      <c r="B12" s="57" t="s">
        <v>50</v>
      </c>
      <c r="C12" s="58" t="s">
        <v>6</v>
      </c>
      <c r="D12" s="58" t="s">
        <v>156</v>
      </c>
      <c r="E12" s="58" t="s">
        <v>7</v>
      </c>
      <c r="F12" s="58" t="s">
        <v>154</v>
      </c>
      <c r="G12" s="58" t="str">
        <f t="shared" si="7"/>
        <v>AudBBSW1M</v>
      </c>
      <c r="H12" s="56" t="str">
        <f t="shared" si="8"/>
        <v>AUDQM3AB18M_Quote</v>
      </c>
      <c r="I12" s="126" t="str">
        <f t="shared" si="9"/>
        <v>AUD1BR3BR18M_Quote</v>
      </c>
      <c r="J12" s="167" t="str">
        <f>IF(P10,_xll.qlSwapRateHelper2(,H12,1,B12,Calendar,D12,E12,F12,G12,I12,C12,Discounting,PillarDate,,Permanent,Trigger,ObjectOverwrite),"--")</f>
        <v>--</v>
      </c>
      <c r="K12" s="46" t="s">
        <v>35</v>
      </c>
      <c r="L12" s="173" t="str">
        <f t="shared" si="4"/>
        <v>BasSw</v>
      </c>
      <c r="M12" s="169" t="str">
        <f t="shared" si="6"/>
        <v>AUDQM3AB2Y_Quote</v>
      </c>
      <c r="N12" s="174">
        <f>IFERROR(_xll.qlQuoteValue(H14),"--")</f>
        <v>1.7725000000000001E-2</v>
      </c>
      <c r="O12" s="174">
        <f>IFERROR(_xll.qlQuoteValue(I14),"--")</f>
        <v>1.8749999999999999E-3</v>
      </c>
      <c r="P12" s="123" t="b">
        <v>1</v>
      </c>
      <c r="Q12" s="88">
        <v>50</v>
      </c>
      <c r="R12" s="88">
        <v>1</v>
      </c>
      <c r="S12" s="88" t="str">
        <f t="shared" si="5"/>
        <v>obj_0024f#0003</v>
      </c>
      <c r="T12" s="92">
        <f>IFERROR(_xll.qlRateHelperEarliestDate(S12,Trigger),"--")</f>
        <v>42682</v>
      </c>
      <c r="U12" s="92">
        <f>IFERROR(_xll.qlRateHelperPillarDate(S12,Trigger),"--")</f>
        <v>43412</v>
      </c>
      <c r="W12" s="3" t="str">
        <f t="shared" si="1"/>
        <v>BasSw</v>
      </c>
      <c r="X12" s="3" t="str">
        <v>obj_0024f</v>
      </c>
      <c r="Y12" s="3" t="str">
        <f>IFERROR(_xll.qlRateHelperQuoteName(X12,Trigger),"")</f>
        <v>AUDQM3AB2Y_Quote</v>
      </c>
      <c r="Z12" s="65">
        <f>IFERROR(_xll.qlRateHelperRate(X12,Trigger),"")</f>
        <v>1.7800000000000003E-2</v>
      </c>
      <c r="AA12" s="96">
        <f>IF(ISERROR(_xll.qlSwapRateHelperSpread($X12)),IF(ISERROR(_xll.qlFuturesRateHelperConvexityAdjustment($X12)),"",_xll.qlFuturesRateHelperConvexityAdjustment($X12)),_xll.qlSwapRateHelperSpread($X12))</f>
        <v>1.6750000000000001E-3</v>
      </c>
      <c r="AB12" s="4">
        <f>IFERROR(_xll.qlRateHelperEarliestDate(X12,Trigger),"")</f>
        <v>42682</v>
      </c>
      <c r="AC12" s="4">
        <f>IFERROR(_xll.qlRateHelperPillarDate(X12,Trigger),"")</f>
        <v>43412</v>
      </c>
      <c r="AD12" s="71">
        <v>0.96827846438470722</v>
      </c>
      <c r="AE12" s="146"/>
      <c r="AF12" s="132">
        <v>2</v>
      </c>
      <c r="AG12" s="133">
        <f>_xll.qlCalendarEndOfMonth(Calendar,_xll.qlCalendarAdvance(Calendar,AG11,"1m","mf",TRUE),Trigger)</f>
        <v>42734</v>
      </c>
      <c r="AH12" s="132" t="str">
        <f t="shared" si="10"/>
        <v>AUDJump2_SYNTHON_Quote</v>
      </c>
      <c r="AI12" s="151">
        <f>_xll.qlDayCounterYearFraction("actual/360",AG12,_xll.qlCalendarAdvance(Calendar,AG12,"1D",,,Trigger))</f>
        <v>8.3333333333333332E-3</v>
      </c>
      <c r="AJ12" s="134" t="e">
        <f>IF(_xll.qlQuoteIsValid(AH12,Trigger),_xll.qlQuoteValue(AH12,Trigger),1)</f>
        <v>#NUM!</v>
      </c>
      <c r="AK12" s="154" t="e">
        <f t="shared" ref="AK12:AK23" si="11">-LN(AJ12)/AI12</f>
        <v>#NUM!</v>
      </c>
      <c r="AL12" s="159"/>
      <c r="AM12" s="134" t="str">
        <f t="shared" ref="AM12:AM23" si="12">IF(ISBLANK(AL12),AH12,EXP(-AL12*AI12))</f>
        <v>AUDJump2_SYNTHON_Quote</v>
      </c>
    </row>
    <row r="13" spans="1:39" ht="11.25" customHeight="1" x14ac:dyDescent="0.2">
      <c r="A13" s="56" t="s">
        <v>116</v>
      </c>
      <c r="B13" s="57" t="s">
        <v>51</v>
      </c>
      <c r="C13" s="58" t="s">
        <v>6</v>
      </c>
      <c r="D13" s="58" t="s">
        <v>156</v>
      </c>
      <c r="E13" s="58" t="s">
        <v>7</v>
      </c>
      <c r="F13" s="58" t="s">
        <v>154</v>
      </c>
      <c r="G13" s="58" t="str">
        <f t="shared" si="7"/>
        <v>AudBBSW1M</v>
      </c>
      <c r="H13" s="56" t="str">
        <f t="shared" si="8"/>
        <v>AUDQM3AB21M_Quote</v>
      </c>
      <c r="I13" s="126" t="str">
        <f t="shared" si="9"/>
        <v>AUD1BR3BR21M_Quote</v>
      </c>
      <c r="J13" s="167" t="str">
        <f>IF(P11,_xll.qlSwapRateHelper2(,H13,1,B13,Calendar,D13,E13,F13,G13,I13,C13,Discounting,PillarDate,,Permanent,Trigger,ObjectOverwrite),"--")</f>
        <v>--</v>
      </c>
      <c r="K13" s="46"/>
      <c r="L13" s="173" t="str">
        <f t="shared" si="4"/>
        <v>BasSw</v>
      </c>
      <c r="M13" s="169" t="str">
        <f t="shared" si="6"/>
        <v>AUDQM3AB3Y_Quote</v>
      </c>
      <c r="N13" s="174">
        <f>IFERROR(_xll.qlQuoteValue(H15),"--")</f>
        <v>1.7774999999999999E-2</v>
      </c>
      <c r="O13" s="174">
        <f>IFERROR(_xll.qlQuoteValue(I15),"--")</f>
        <v>1.7374999999999999E-3</v>
      </c>
      <c r="P13" s="123" t="b">
        <v>1</v>
      </c>
      <c r="Q13" s="88">
        <v>50</v>
      </c>
      <c r="R13" s="88">
        <v>1</v>
      </c>
      <c r="S13" s="88" t="str">
        <f t="shared" si="5"/>
        <v>obj_00243#0003</v>
      </c>
      <c r="T13" s="92">
        <f>IFERROR(_xll.qlRateHelperEarliestDate(S13,Trigger),"--")</f>
        <v>42682</v>
      </c>
      <c r="U13" s="92">
        <f>IFERROR(_xll.qlRateHelperPillarDate(S13,Trigger),"--")</f>
        <v>43777</v>
      </c>
      <c r="W13" s="3" t="str">
        <f t="shared" si="1"/>
        <v>BasSw</v>
      </c>
      <c r="X13" s="3" t="str">
        <v>obj_00243</v>
      </c>
      <c r="Y13" s="3" t="str">
        <f>IFERROR(_xll.qlRateHelperQuoteName(X13,Trigger),"")</f>
        <v>AUDQM3AB3Y_Quote</v>
      </c>
      <c r="Z13" s="65">
        <f>IFERROR(_xll.qlRateHelperRate(X13,Trigger),"")</f>
        <v>1.8425000000000004E-2</v>
      </c>
      <c r="AA13" s="96">
        <f>IF(ISERROR(_xll.qlSwapRateHelperSpread($X13)),IF(ISERROR(_xll.qlFuturesRateHelperConvexityAdjustment($X13)),"",_xll.qlFuturesRateHelperConvexityAdjustment($X13)),_xll.qlSwapRateHelperSpread($X13))</f>
        <v>1.6249999999999999E-3</v>
      </c>
      <c r="AB13" s="4">
        <f>IFERROR(_xll.qlRateHelperEarliestDate(X13,Trigger),"")</f>
        <v>42682</v>
      </c>
      <c r="AC13" s="4">
        <f>IFERROR(_xll.qlRateHelperPillarDate(X13,Trigger),"")</f>
        <v>43777</v>
      </c>
      <c r="AD13" s="71">
        <v>0.95086938320021264</v>
      </c>
      <c r="AE13" s="146"/>
      <c r="AF13" s="132">
        <v>3</v>
      </c>
      <c r="AG13" s="133">
        <f>_xll.qlCalendarEndOfMonth(Calendar,_xll.qlCalendarAdvance(Calendar,AG12,"1m","mf",TRUE),Trigger)</f>
        <v>42766</v>
      </c>
      <c r="AH13" s="132" t="str">
        <f t="shared" si="10"/>
        <v>AUDJump3_SYNTHON_Quote</v>
      </c>
      <c r="AI13" s="151">
        <f>_xll.qlDayCounterYearFraction("actual/360",AG13,_xll.qlCalendarAdvance(Calendar,AG13,"1D",,,Trigger))</f>
        <v>2.7777777777777779E-3</v>
      </c>
      <c r="AJ13" s="134" t="e">
        <f>IF(_xll.qlQuoteIsValid(AH13,Trigger),_xll.qlQuoteValue(AH13,Trigger),1)</f>
        <v>#NUM!</v>
      </c>
      <c r="AK13" s="154" t="e">
        <f t="shared" si="11"/>
        <v>#NUM!</v>
      </c>
      <c r="AL13" s="159"/>
      <c r="AM13" s="134" t="str">
        <f t="shared" si="12"/>
        <v>AUDJump3_SYNTHON_Quote</v>
      </c>
    </row>
    <row r="14" spans="1:39" ht="11.25" customHeight="1" x14ac:dyDescent="0.2">
      <c r="A14" s="56" t="s">
        <v>116</v>
      </c>
      <c r="B14" s="57" t="s">
        <v>52</v>
      </c>
      <c r="C14" s="58" t="s">
        <v>6</v>
      </c>
      <c r="D14" s="58" t="s">
        <v>156</v>
      </c>
      <c r="E14" s="58" t="s">
        <v>7</v>
      </c>
      <c r="F14" s="58" t="s">
        <v>154</v>
      </c>
      <c r="G14" s="58" t="str">
        <f t="shared" si="7"/>
        <v>AudBBSW1M</v>
      </c>
      <c r="H14" s="56" t="str">
        <f t="shared" si="8"/>
        <v>AUDQM3AB2Y_Quote</v>
      </c>
      <c r="I14" s="126" t="str">
        <f t="shared" si="9"/>
        <v>AUD1BR3BR2Y_Quote</v>
      </c>
      <c r="J14" s="167" t="str">
        <f>IF(P12,_xll.qlSwapRateHelper2(,H14,1,B14,Calendar,D14,E14,F14,G14,I14,C14,Discounting,PillarDate,,Permanent,Trigger,ObjectOverwrite),"--")</f>
        <v>obj_0024f#0003</v>
      </c>
      <c r="K14" s="46"/>
      <c r="L14" s="173" t="str">
        <f t="shared" si="4"/>
        <v>BasSw</v>
      </c>
      <c r="M14" s="169" t="str">
        <f t="shared" si="6"/>
        <v>AUDQM3AB4Y_Quote</v>
      </c>
      <c r="N14" s="174" t="str">
        <f>IFERROR(_xll.qlQuoteValue(H16),"--")</f>
        <v>--</v>
      </c>
      <c r="O14" s="174">
        <f>IFERROR(_xll.qlQuoteValue(I16),"--")</f>
        <v>1.6249999999999999E-3</v>
      </c>
      <c r="P14" s="123" t="b">
        <v>0</v>
      </c>
      <c r="Q14" s="88">
        <v>50</v>
      </c>
      <c r="R14" s="88">
        <v>1</v>
      </c>
      <c r="S14" s="88" t="str">
        <f t="shared" si="5"/>
        <v>--</v>
      </c>
      <c r="T14" s="92" t="str">
        <f>IFERROR(_xll.qlRateHelperEarliestDate(S14,Trigger),"--")</f>
        <v>--</v>
      </c>
      <c r="U14" s="92" t="str">
        <f>IFERROR(_xll.qlRateHelperPillarDate(S14,Trigger),"--")</f>
        <v>--</v>
      </c>
      <c r="W14" s="3" t="str">
        <f t="shared" si="1"/>
        <v>BasSw</v>
      </c>
      <c r="X14" s="3" t="str">
        <v>obj_00236</v>
      </c>
      <c r="Y14" s="3" t="str">
        <f>IFERROR(_xll.qlRateHelperQuoteName(X14,Trigger),"")</f>
        <v>AUDQM3AB4Y_S1BR3BR_Quote</v>
      </c>
      <c r="Z14" s="65">
        <f>IFERROR(_xll.qlRateHelperRate(X14,Trigger),"")</f>
        <v>1.9169467793595497E-2</v>
      </c>
      <c r="AA14" s="96">
        <f>IF(ISERROR(_xll.qlSwapRateHelperSpread($X14)),IF(ISERROR(_xll.qlFuturesRateHelperConvexityAdjustment($X14)),"",_xll.qlFuturesRateHelperConvexityAdjustment($X14)),_xll.qlSwapRateHelperSpread($X14))</f>
        <v>1.5874999999999999E-3</v>
      </c>
      <c r="AB14" s="4">
        <f>IFERROR(_xll.qlRateHelperEarliestDate(X14,Trigger),"")</f>
        <v>42682</v>
      </c>
      <c r="AC14" s="4">
        <f>IFERROR(_xll.qlRateHelperPillarDate(X14,Trigger),"")</f>
        <v>44144</v>
      </c>
      <c r="AD14" s="71">
        <v>0.93198767255597259</v>
      </c>
      <c r="AE14" s="146"/>
      <c r="AF14" s="132">
        <v>4</v>
      </c>
      <c r="AG14" s="133">
        <f>_xll.qlCalendarEndOfMonth(Calendar,_xll.qlCalendarAdvance(Calendar,AG13,"1m","mf",TRUE),Trigger)</f>
        <v>42794</v>
      </c>
      <c r="AH14" s="132" t="str">
        <f t="shared" si="10"/>
        <v>AUDJump4_SYNTHON_Quote</v>
      </c>
      <c r="AI14" s="151">
        <f>_xll.qlDayCounterYearFraction("actual/360",AG14,_xll.qlCalendarAdvance(Calendar,AG14,"1D",,,Trigger))</f>
        <v>2.7777777777777779E-3</v>
      </c>
      <c r="AJ14" s="134" t="e">
        <f>IF(_xll.qlQuoteIsValid(AH14,Trigger),_xll.qlQuoteValue(AH14,Trigger),1)</f>
        <v>#NUM!</v>
      </c>
      <c r="AK14" s="154" t="e">
        <f t="shared" si="11"/>
        <v>#NUM!</v>
      </c>
      <c r="AL14" s="159"/>
      <c r="AM14" s="134" t="str">
        <f t="shared" si="12"/>
        <v>AUDJump4_SYNTHON_Quote</v>
      </c>
    </row>
    <row r="15" spans="1:39" ht="11.25" customHeight="1" x14ac:dyDescent="0.2">
      <c r="A15" s="56" t="s">
        <v>116</v>
      </c>
      <c r="B15" s="57" t="s">
        <v>53</v>
      </c>
      <c r="C15" s="58" t="s">
        <v>6</v>
      </c>
      <c r="D15" s="58" t="s">
        <v>156</v>
      </c>
      <c r="E15" s="58" t="s">
        <v>7</v>
      </c>
      <c r="F15" s="58" t="s">
        <v>154</v>
      </c>
      <c r="G15" s="58" t="str">
        <f t="shared" si="7"/>
        <v>AudBBSW1M</v>
      </c>
      <c r="H15" s="56" t="str">
        <f t="shared" si="8"/>
        <v>AUDQM3AB3Y_Quote</v>
      </c>
      <c r="I15" s="126" t="str">
        <f t="shared" si="9"/>
        <v>AUD1BR3BR3Y_Quote</v>
      </c>
      <c r="J15" s="167" t="str">
        <f>IF(P13,_xll.qlSwapRateHelper2(,H15,1,B15,Calendar,D15,E15,F15,G15,I15,C15,Discounting,PillarDate,,Permanent,Trigger,ObjectOverwrite),"--")</f>
        <v>obj_00243#0003</v>
      </c>
      <c r="K15" s="46"/>
      <c r="L15" s="173" t="str">
        <f t="shared" si="4"/>
        <v>BasSw</v>
      </c>
      <c r="M15" s="169" t="str">
        <f t="shared" si="6"/>
        <v>AUDQM3AB5Y_Quote</v>
      </c>
      <c r="N15" s="174" t="str">
        <f>IFERROR(_xll.qlQuoteValue(H17),"--")</f>
        <v>--</v>
      </c>
      <c r="O15" s="174">
        <f>IFERROR(_xll.qlQuoteValue(I17),"--")</f>
        <v>1.5E-3</v>
      </c>
      <c r="P15" s="123" t="b">
        <v>0</v>
      </c>
      <c r="Q15" s="88">
        <v>50</v>
      </c>
      <c r="R15" s="88">
        <v>1</v>
      </c>
      <c r="S15" s="88" t="str">
        <f t="shared" si="5"/>
        <v>--</v>
      </c>
      <c r="T15" s="92" t="str">
        <f>IFERROR(_xll.qlRateHelperEarliestDate(S15,Trigger),"--")</f>
        <v>--</v>
      </c>
      <c r="U15" s="92" t="str">
        <f>IFERROR(_xll.qlRateHelperPillarDate(S15,Trigger),"--")</f>
        <v>--</v>
      </c>
      <c r="W15" s="3" t="str">
        <f t="shared" si="1"/>
        <v>BasSw</v>
      </c>
      <c r="X15" s="3" t="str">
        <v>obj_00240</v>
      </c>
      <c r="Y15" s="3" t="str">
        <f>IFERROR(_xll.qlRateHelperQuoteName(X15,Trigger),"")</f>
        <v>AUDQM3AB5Y_S1BR3BR_Quote</v>
      </c>
      <c r="Z15" s="65">
        <f>IFERROR(_xll.qlRateHelperRate(X15,Trigger),"")</f>
        <v>1.9878615797904661E-2</v>
      </c>
      <c r="AA15" s="96">
        <f>IF(ISERROR(_xll.qlSwapRateHelperSpread($X15)),IF(ISERROR(_xll.qlFuturesRateHelperConvexityAdjustment($X15)),"",_xll.qlFuturesRateHelperConvexityAdjustment($X15)),_xll.qlSwapRateHelperSpread($X15))</f>
        <v>1.5250000000000001E-3</v>
      </c>
      <c r="AB15" s="4">
        <f>IFERROR(_xll.qlRateHelperEarliestDate(X15,Trigger),"")</f>
        <v>42682</v>
      </c>
      <c r="AC15" s="4">
        <f>IFERROR(_xll.qlRateHelperPillarDate(X15,Trigger),"")</f>
        <v>44508</v>
      </c>
      <c r="AD15" s="71">
        <v>0.91218128953604072</v>
      </c>
      <c r="AE15" s="146"/>
      <c r="AF15" s="132">
        <v>5</v>
      </c>
      <c r="AG15" s="133">
        <f>_xll.qlCalendarEndOfMonth(Calendar,_xll.qlCalendarAdvance(Calendar,AG14,"1m","mf",TRUE),Trigger)</f>
        <v>42825</v>
      </c>
      <c r="AH15" s="132" t="str">
        <f t="shared" si="10"/>
        <v>AUDJump5_SYNTHON_Quote</v>
      </c>
      <c r="AI15" s="151">
        <f>_xll.qlDayCounterYearFraction("actual/360",AG15,_xll.qlCalendarAdvance(Calendar,AG15,"1D",,,Trigger))</f>
        <v>8.3333333333333332E-3</v>
      </c>
      <c r="AJ15" s="134" t="e">
        <f>IF(_xll.qlQuoteIsValid(AH15,Trigger),_xll.qlQuoteValue(AH15,Trigger),1)</f>
        <v>#NUM!</v>
      </c>
      <c r="AK15" s="154" t="e">
        <f t="shared" si="11"/>
        <v>#NUM!</v>
      </c>
      <c r="AL15" s="159"/>
      <c r="AM15" s="134" t="str">
        <f t="shared" si="12"/>
        <v>AUDJump5_SYNTHON_Quote</v>
      </c>
    </row>
    <row r="16" spans="1:39" ht="11.25" customHeight="1" x14ac:dyDescent="0.2">
      <c r="A16" s="56" t="s">
        <v>116</v>
      </c>
      <c r="B16" s="57" t="s">
        <v>54</v>
      </c>
      <c r="C16" s="58" t="s">
        <v>6</v>
      </c>
      <c r="D16" s="58" t="s">
        <v>156</v>
      </c>
      <c r="E16" s="58" t="s">
        <v>7</v>
      </c>
      <c r="F16" s="58" t="s">
        <v>154</v>
      </c>
      <c r="G16" s="58" t="str">
        <f t="shared" si="7"/>
        <v>AudBBSW1M</v>
      </c>
      <c r="H16" s="56" t="str">
        <f t="shared" si="8"/>
        <v>AUDQM3AB4Y_Quote</v>
      </c>
      <c r="I16" s="126" t="str">
        <f t="shared" si="9"/>
        <v>AUD1BR3BR4Y_Quote</v>
      </c>
      <c r="J16" s="167" t="str">
        <f>IF(P14,_xll.qlSwapRateHelper2(,H16,1,B16,Calendar,D16,E16,F16,G16,I16,C16,Discounting,PillarDate,,Permanent,Trigger,ObjectOverwrite),"--")</f>
        <v>--</v>
      </c>
      <c r="K16" s="46"/>
      <c r="L16" s="173" t="str">
        <f t="shared" si="4"/>
        <v>BasSw</v>
      </c>
      <c r="M16" s="169" t="str">
        <f t="shared" si="6"/>
        <v>AUDQM3AB6Y_Quote</v>
      </c>
      <c r="N16" s="174" t="str">
        <f>IFERROR(_xll.qlQuoteValue(H18),"--")</f>
        <v>--</v>
      </c>
      <c r="O16" s="174">
        <f>IFERROR(_xll.qlQuoteValue(I18),"--")</f>
        <v>1.3749999999999999E-3</v>
      </c>
      <c r="P16" s="123" t="b">
        <v>0</v>
      </c>
      <c r="Q16" s="88">
        <v>50</v>
      </c>
      <c r="R16" s="88">
        <v>1</v>
      </c>
      <c r="S16" s="88" t="str">
        <f t="shared" si="5"/>
        <v>--</v>
      </c>
      <c r="T16" s="92" t="str">
        <f>IFERROR(_xll.qlRateHelperEarliestDate(S16,Trigger),"--")</f>
        <v>--</v>
      </c>
      <c r="U16" s="92" t="str">
        <f>IFERROR(_xll.qlRateHelperPillarDate(S16,Trigger),"--")</f>
        <v>--</v>
      </c>
      <c r="W16" s="3" t="str">
        <f t="shared" si="1"/>
        <v>BasSw</v>
      </c>
      <c r="X16" s="3" t="str">
        <v>obj_0024a</v>
      </c>
      <c r="Y16" s="3" t="str">
        <f>IFERROR(_xll.qlRateHelperQuoteName(X16,Trigger),"")</f>
        <v>AUDQM3AB7Y_S1BR3BR_Quote</v>
      </c>
      <c r="Z16" s="65">
        <f>IFERROR(_xll.qlRateHelperRate(X16,Trigger),"")</f>
        <v>2.1296540844458343E-2</v>
      </c>
      <c r="AA16" s="96">
        <f>IF(ISERROR(_xll.qlSwapRateHelperSpread($X16)),IF(ISERROR(_xll.qlFuturesRateHelperConvexityAdjustment($X16)),"",_xll.qlFuturesRateHelperConvexityAdjustment($X16)),_xll.qlSwapRateHelperSpread($X16))</f>
        <v>1.3625E-3</v>
      </c>
      <c r="AB16" s="4">
        <f>IFERROR(_xll.qlRateHelperEarliestDate(X16,Trigger),"")</f>
        <v>42682</v>
      </c>
      <c r="AC16" s="4">
        <f>IFERROR(_xll.qlRateHelperPillarDate(X16,Trigger),"")</f>
        <v>45238</v>
      </c>
      <c r="AD16" s="71">
        <v>0.86924439196734693</v>
      </c>
      <c r="AE16" s="146"/>
      <c r="AF16" s="132">
        <v>6</v>
      </c>
      <c r="AG16" s="133">
        <f>_xll.qlCalendarEndOfMonth(Calendar,_xll.qlCalendarAdvance(Calendar,AG15,"1m","mf",TRUE),Trigger)</f>
        <v>42853</v>
      </c>
      <c r="AH16" s="132" t="str">
        <f t="shared" si="10"/>
        <v>AUDJump6_SYNTHON_Quote</v>
      </c>
      <c r="AI16" s="151">
        <f>_xll.qlDayCounterYearFraction("actual/360",AG16,_xll.qlCalendarAdvance(Calendar,AG16,"1D",,,Trigger))</f>
        <v>8.3333333333333332E-3</v>
      </c>
      <c r="AJ16" s="134" t="e">
        <f>IF(_xll.qlQuoteIsValid(AH16,Trigger),_xll.qlQuoteValue(AH16,Trigger),1)</f>
        <v>#NUM!</v>
      </c>
      <c r="AK16" s="154" t="e">
        <f t="shared" si="11"/>
        <v>#NUM!</v>
      </c>
      <c r="AL16" s="159"/>
      <c r="AM16" s="134" t="str">
        <f t="shared" si="12"/>
        <v>AUDJump6_SYNTHON_Quote</v>
      </c>
    </row>
    <row r="17" spans="1:39" ht="11.25" customHeight="1" x14ac:dyDescent="0.2">
      <c r="A17" s="56" t="s">
        <v>116</v>
      </c>
      <c r="B17" s="57" t="s">
        <v>55</v>
      </c>
      <c r="C17" s="58" t="s">
        <v>6</v>
      </c>
      <c r="D17" s="58" t="s">
        <v>156</v>
      </c>
      <c r="E17" s="58" t="s">
        <v>7</v>
      </c>
      <c r="F17" s="58" t="s">
        <v>154</v>
      </c>
      <c r="G17" s="58" t="str">
        <f t="shared" si="7"/>
        <v>AudBBSW1M</v>
      </c>
      <c r="H17" s="56" t="str">
        <f t="shared" si="8"/>
        <v>AUDQM3AB5Y_Quote</v>
      </c>
      <c r="I17" s="126" t="str">
        <f t="shared" si="9"/>
        <v>AUD1BR3BR5Y_Quote</v>
      </c>
      <c r="J17" s="167" t="str">
        <f>IF(P15,_xll.qlSwapRateHelper2(,H17,1,B17,Calendar,D17,E17,F17,G17,I17,C17,Discounting,PillarDate,,Permanent,Trigger,ObjectOverwrite),"--")</f>
        <v>--</v>
      </c>
      <c r="K17" s="46"/>
      <c r="L17" s="173" t="str">
        <f t="shared" si="4"/>
        <v>BasSw</v>
      </c>
      <c r="M17" s="169" t="str">
        <f t="shared" si="6"/>
        <v>AUDQM3AB7Y_Quote</v>
      </c>
      <c r="N17" s="174" t="str">
        <f>IFERROR(_xll.qlQuoteValue(H19),"--")</f>
        <v>--</v>
      </c>
      <c r="O17" s="174">
        <f>IFERROR(_xll.qlQuoteValue(I19),"--")</f>
        <v>1.2875E-3</v>
      </c>
      <c r="P17" s="123" t="b">
        <v>0</v>
      </c>
      <c r="Q17" s="88">
        <v>50</v>
      </c>
      <c r="R17" s="88">
        <v>1</v>
      </c>
      <c r="S17" s="88" t="str">
        <f t="shared" si="5"/>
        <v>--</v>
      </c>
      <c r="T17" s="92" t="str">
        <f>IFERROR(_xll.qlRateHelperEarliestDate(S17,Trigger),"--")</f>
        <v>--</v>
      </c>
      <c r="U17" s="92" t="str">
        <f>IFERROR(_xll.qlRateHelperPillarDate(S17,Trigger),"--")</f>
        <v>--</v>
      </c>
      <c r="W17" s="3" t="str">
        <f t="shared" si="1"/>
        <v>BasSw</v>
      </c>
      <c r="X17" s="3" t="str">
        <v>obj_00237</v>
      </c>
      <c r="Y17" s="3" t="str">
        <f>IFERROR(_xll.qlRateHelperQuoteName(X17,Trigger),"")</f>
        <v>AUDQM3AB10Y_S1BR3BR_Quote</v>
      </c>
      <c r="Z17" s="65">
        <f>IFERROR(_xll.qlRateHelperRate(X17,Trigger),"")</f>
        <v>2.3099672164626873E-2</v>
      </c>
      <c r="AA17" s="96">
        <f>IF(ISERROR(_xll.qlSwapRateHelperSpread($X17)),IF(ISERROR(_xll.qlFuturesRateHelperConvexityAdjustment($X17)),"",_xll.qlFuturesRateHelperConvexityAdjustment($X17)),_xll.qlSwapRateHelperSpread($X17))</f>
        <v>1.25E-3</v>
      </c>
      <c r="AB17" s="4">
        <f>IFERROR(_xll.qlRateHelperEarliestDate(X17,Trigger),"")</f>
        <v>42682</v>
      </c>
      <c r="AC17" s="4">
        <f>IFERROR(_xll.qlRateHelperPillarDate(X17,Trigger),"")</f>
        <v>46335</v>
      </c>
      <c r="AD17" s="71">
        <v>0.80207345946395869</v>
      </c>
      <c r="AE17" s="146"/>
      <c r="AF17" s="132">
        <v>7</v>
      </c>
      <c r="AG17" s="133">
        <f>_xll.qlCalendarEndOfMonth(Calendar,_xll.qlCalendarAdvance(Calendar,AG16,"1m","mf",TRUE),Trigger)</f>
        <v>42886</v>
      </c>
      <c r="AH17" s="132" t="str">
        <f t="shared" si="10"/>
        <v>AUDJump7_SYNTHON_Quote</v>
      </c>
      <c r="AI17" s="151">
        <f>_xll.qlDayCounterYearFraction("actual/360",AG17,_xll.qlCalendarAdvance(Calendar,AG17,"1D",,,Trigger))</f>
        <v>2.7777777777777779E-3</v>
      </c>
      <c r="AJ17" s="134" t="e">
        <f>IF(_xll.qlQuoteIsValid(AH17,Trigger),_xll.qlQuoteValue(AH17,Trigger),1)</f>
        <v>#NUM!</v>
      </c>
      <c r="AK17" s="154" t="e">
        <f t="shared" si="11"/>
        <v>#NUM!</v>
      </c>
      <c r="AL17" s="159"/>
      <c r="AM17" s="134" t="str">
        <f t="shared" si="12"/>
        <v>AUDJump7_SYNTHON_Quote</v>
      </c>
    </row>
    <row r="18" spans="1:39" ht="11.25" customHeight="1" x14ac:dyDescent="0.2">
      <c r="A18" s="56" t="s">
        <v>116</v>
      </c>
      <c r="B18" s="57" t="s">
        <v>56</v>
      </c>
      <c r="C18" s="58" t="s">
        <v>6</v>
      </c>
      <c r="D18" s="58" t="s">
        <v>156</v>
      </c>
      <c r="E18" s="58" t="s">
        <v>7</v>
      </c>
      <c r="F18" s="58" t="s">
        <v>154</v>
      </c>
      <c r="G18" s="58" t="str">
        <f t="shared" si="7"/>
        <v>AudBBSW1M</v>
      </c>
      <c r="H18" s="56" t="str">
        <f t="shared" si="8"/>
        <v>AUDQM3AB6Y_Quote</v>
      </c>
      <c r="I18" s="126" t="str">
        <f t="shared" si="9"/>
        <v>AUD1BR3BR6Y_Quote</v>
      </c>
      <c r="J18" s="167" t="str">
        <f>IF(P16,_xll.qlSwapRateHelper2(,H18,1,B18,Calendar,D18,E18,F18,G18,I18,C18,Discounting,PillarDate,,Permanent,Trigger,ObjectOverwrite),"--")</f>
        <v>--</v>
      </c>
      <c r="K18" s="46"/>
      <c r="L18" s="173" t="str">
        <f t="shared" si="4"/>
        <v>BasSw</v>
      </c>
      <c r="M18" s="169" t="str">
        <f t="shared" si="6"/>
        <v>AUDQM3AB8Y_Quote</v>
      </c>
      <c r="N18" s="174" t="str">
        <f>IFERROR(_xll.qlQuoteValue(H20),"--")</f>
        <v>--</v>
      </c>
      <c r="O18" s="174">
        <f>IFERROR(_xll.qlQuoteValue(I20),"--")</f>
        <v>1.2125E-3</v>
      </c>
      <c r="P18" s="123" t="b">
        <v>0</v>
      </c>
      <c r="Q18" s="88">
        <v>50</v>
      </c>
      <c r="R18" s="88">
        <v>1</v>
      </c>
      <c r="S18" s="88" t="str">
        <f t="shared" si="5"/>
        <v>--</v>
      </c>
      <c r="T18" s="92" t="str">
        <f>IFERROR(_xll.qlRateHelperEarliestDate(S18,Trigger),"--")</f>
        <v>--</v>
      </c>
      <c r="U18" s="92" t="str">
        <f>IFERROR(_xll.qlRateHelperPillarDate(S18,Trigger),"--")</f>
        <v>--</v>
      </c>
      <c r="W18" s="3" t="str">
        <f t="shared" si="1"/>
        <v>BasSw</v>
      </c>
      <c r="X18" s="3" t="str">
        <v>obj_00248</v>
      </c>
      <c r="Y18" s="3" t="str">
        <f>IFERROR(_xll.qlRateHelperQuoteName(X18,Trigger),"")</f>
        <v>AUDQM3AB12Y_S1BR3BR_Quote</v>
      </c>
      <c r="Z18" s="65">
        <f>IFERROR(_xll.qlRateHelperRate(X18,Trigger),"")</f>
        <v>2.4094376575049231E-2</v>
      </c>
      <c r="AA18" s="96">
        <f>IF(ISERROR(_xll.qlSwapRateHelperSpread($X18)),IF(ISERROR(_xll.qlFuturesRateHelperConvexityAdjustment($X18)),"",_xll.qlFuturesRateHelperConvexityAdjustment($X18)),_xll.qlSwapRateHelperSpread($X18))</f>
        <v>1.1875E-3</v>
      </c>
      <c r="AB18" s="4">
        <f>IFERROR(_xll.qlRateHelperEarliestDate(X18,Trigger),"")</f>
        <v>42682</v>
      </c>
      <c r="AC18" s="4">
        <f>IFERROR(_xll.qlRateHelperPillarDate(X18,Trigger),"")</f>
        <v>47065</v>
      </c>
      <c r="AD18" s="71">
        <v>0.75699692761135573</v>
      </c>
      <c r="AE18" s="146"/>
      <c r="AF18" s="132">
        <v>8</v>
      </c>
      <c r="AG18" s="133">
        <f>_xll.qlCalendarEndOfMonth(Calendar,_xll.qlCalendarAdvance(Calendar,AG17,"1m","mf",TRUE),Trigger)</f>
        <v>42916</v>
      </c>
      <c r="AH18" s="132" t="str">
        <f t="shared" si="10"/>
        <v>AUDJump8_SYNTHON_Quote</v>
      </c>
      <c r="AI18" s="151">
        <f>_xll.qlDayCounterYearFraction("actual/360",AG18,_xll.qlCalendarAdvance(Calendar,AG18,"1D",,,Trigger))</f>
        <v>8.3333333333333332E-3</v>
      </c>
      <c r="AJ18" s="134" t="e">
        <f>IF(_xll.qlQuoteIsValid(AH18,Trigger),_xll.qlQuoteValue(AH18,Trigger),1)</f>
        <v>#NUM!</v>
      </c>
      <c r="AK18" s="154" t="e">
        <f t="shared" si="11"/>
        <v>#NUM!</v>
      </c>
      <c r="AL18" s="159"/>
      <c r="AM18" s="134" t="str">
        <f t="shared" si="12"/>
        <v>AUDJump8_SYNTHON_Quote</v>
      </c>
    </row>
    <row r="19" spans="1:39" ht="11.25" customHeight="1" x14ac:dyDescent="0.2">
      <c r="A19" s="56" t="s">
        <v>116</v>
      </c>
      <c r="B19" s="57" t="s">
        <v>57</v>
      </c>
      <c r="C19" s="58" t="s">
        <v>6</v>
      </c>
      <c r="D19" s="58" t="s">
        <v>156</v>
      </c>
      <c r="E19" s="58" t="s">
        <v>7</v>
      </c>
      <c r="F19" s="58" t="s">
        <v>154</v>
      </c>
      <c r="G19" s="58" t="str">
        <f t="shared" si="7"/>
        <v>AudBBSW1M</v>
      </c>
      <c r="H19" s="56" t="str">
        <f t="shared" si="8"/>
        <v>AUDQM3AB7Y_Quote</v>
      </c>
      <c r="I19" s="126" t="str">
        <f t="shared" si="9"/>
        <v>AUD1BR3BR7Y_Quote</v>
      </c>
      <c r="J19" s="167" t="str">
        <f>IF(P17,_xll.qlSwapRateHelper2(,H19,1,B19,Calendar,D19,E19,F19,G19,I19,C19,Discounting,PillarDate,,Permanent,Trigger,ObjectOverwrite),"--")</f>
        <v>--</v>
      </c>
      <c r="K19" s="46"/>
      <c r="L19" s="173" t="str">
        <f t="shared" si="4"/>
        <v>BasSw</v>
      </c>
      <c r="M19" s="169" t="str">
        <f t="shared" si="6"/>
        <v>AUDQM3AB9Y_Quote</v>
      </c>
      <c r="N19" s="174" t="str">
        <f>IFERROR(_xll.qlQuoteValue(H21),"--")</f>
        <v>--</v>
      </c>
      <c r="O19" s="174">
        <f>IFERROR(_xll.qlQuoteValue(I21),"--")</f>
        <v>1.175E-3</v>
      </c>
      <c r="P19" s="123" t="b">
        <v>0</v>
      </c>
      <c r="Q19" s="88">
        <v>50</v>
      </c>
      <c r="R19" s="88">
        <v>1</v>
      </c>
      <c r="S19" s="88" t="str">
        <f t="shared" si="5"/>
        <v>--</v>
      </c>
      <c r="T19" s="92" t="str">
        <f>IFERROR(_xll.qlRateHelperEarliestDate(S19,Trigger),"--")</f>
        <v>--</v>
      </c>
      <c r="U19" s="92" t="str">
        <f>IFERROR(_xll.qlRateHelperPillarDate(S19,Trigger),"--")</f>
        <v>--</v>
      </c>
      <c r="W19" s="3" t="str">
        <f t="shared" si="1"/>
        <v>BasSw</v>
      </c>
      <c r="X19" s="3" t="str">
        <v>obj_0024e</v>
      </c>
      <c r="Y19" s="3" t="str">
        <f>IFERROR(_xll.qlRateHelperQuoteName(X19,Trigger),"")</f>
        <v>AUDQM3AB15Y_S1BR3BR_Quote</v>
      </c>
      <c r="Z19" s="65">
        <f>IFERROR(_xll.qlRateHelperRate(X19,Trigger),"")</f>
        <v>2.5238092828529519E-2</v>
      </c>
      <c r="AA19" s="96">
        <f>IF(ISERROR(_xll.qlSwapRateHelperSpread($X19)),IF(ISERROR(_xll.qlFuturesRateHelperConvexityAdjustment($X19)),"",_xll.qlFuturesRateHelperConvexityAdjustment($X19)),_xll.qlSwapRateHelperSpread($X19))</f>
        <v>1.1375000000000001E-3</v>
      </c>
      <c r="AB19" s="4">
        <f>IFERROR(_xll.qlRateHelperEarliestDate(X19,Trigger),"")</f>
        <v>42682</v>
      </c>
      <c r="AC19" s="4">
        <f>IFERROR(_xll.qlRateHelperPillarDate(X19,Trigger),"")</f>
        <v>48162</v>
      </c>
      <c r="AD19" s="71">
        <v>0.69222349160132368</v>
      </c>
      <c r="AE19" s="146"/>
      <c r="AF19" s="132">
        <v>9</v>
      </c>
      <c r="AG19" s="133">
        <f>_xll.qlCalendarEndOfMonth(Calendar,_xll.qlCalendarAdvance(Calendar,AG18,"1m","mf",TRUE),Trigger)</f>
        <v>42947</v>
      </c>
      <c r="AH19" s="132" t="str">
        <f t="shared" si="10"/>
        <v>AUDJump9_SYNTHON_Quote</v>
      </c>
      <c r="AI19" s="151">
        <f>_xll.qlDayCounterYearFraction("actual/360",AG19,_xll.qlCalendarAdvance(Calendar,AG19,"1D",,,Trigger))</f>
        <v>2.7777777777777779E-3</v>
      </c>
      <c r="AJ19" s="134" t="e">
        <f>IF(_xll.qlQuoteIsValid(AH19,Trigger),_xll.qlQuoteValue(AH19,Trigger),1)</f>
        <v>#NUM!</v>
      </c>
      <c r="AK19" s="154" t="e">
        <f t="shared" si="11"/>
        <v>#NUM!</v>
      </c>
      <c r="AL19" s="159"/>
      <c r="AM19" s="134" t="str">
        <f t="shared" si="12"/>
        <v>AUDJump9_SYNTHON_Quote</v>
      </c>
    </row>
    <row r="20" spans="1:39" ht="11.25" customHeight="1" x14ac:dyDescent="0.2">
      <c r="A20" s="56" t="s">
        <v>116</v>
      </c>
      <c r="B20" s="57" t="s">
        <v>58</v>
      </c>
      <c r="C20" s="58" t="s">
        <v>6</v>
      </c>
      <c r="D20" s="58" t="s">
        <v>156</v>
      </c>
      <c r="E20" s="58" t="s">
        <v>7</v>
      </c>
      <c r="F20" s="58" t="s">
        <v>154</v>
      </c>
      <c r="G20" s="58" t="str">
        <f t="shared" si="7"/>
        <v>AudBBSW1M</v>
      </c>
      <c r="H20" s="56" t="str">
        <f t="shared" si="8"/>
        <v>AUDQM3AB8Y_Quote</v>
      </c>
      <c r="I20" s="126" t="str">
        <f t="shared" si="9"/>
        <v>AUD1BR3BR8Y_Quote</v>
      </c>
      <c r="J20" s="167" t="str">
        <f>IF(P18,_xll.qlSwapRateHelper2(,H20,1,B20,Calendar,D20,E20,F20,G20,I20,C20,Discounting,PillarDate,,Permanent,Trigger,ObjectOverwrite),"--")</f>
        <v>--</v>
      </c>
      <c r="K20" s="46"/>
      <c r="L20" s="173" t="str">
        <f t="shared" si="4"/>
        <v>BasSw</v>
      </c>
      <c r="M20" s="169" t="str">
        <f t="shared" si="6"/>
        <v>AUDQM3AB10Y_Quote</v>
      </c>
      <c r="N20" s="174" t="str">
        <f>IFERROR(_xll.qlQuoteValue(H22),"--")</f>
        <v>--</v>
      </c>
      <c r="O20" s="174">
        <f>IFERROR(_xll.qlQuoteValue(I22),"--")</f>
        <v>1.1375000000000001E-3</v>
      </c>
      <c r="P20" s="123" t="b">
        <v>0</v>
      </c>
      <c r="Q20" s="88">
        <v>50</v>
      </c>
      <c r="R20" s="88">
        <v>1</v>
      </c>
      <c r="S20" s="88" t="str">
        <f t="shared" si="5"/>
        <v>--</v>
      </c>
      <c r="T20" s="92" t="str">
        <f>IFERROR(_xll.qlRateHelperEarliestDate(S20,Trigger),"--")</f>
        <v>--</v>
      </c>
      <c r="U20" s="92" t="str">
        <f>IFERROR(_xll.qlRateHelperPillarDate(S20,Trigger),"--")</f>
        <v>--</v>
      </c>
      <c r="W20" s="3" t="str">
        <f t="shared" si="1"/>
        <v>BasSw</v>
      </c>
      <c r="X20" s="3" t="str">
        <v>obj_0024b</v>
      </c>
      <c r="Y20" s="3" t="str">
        <f>IFERROR(_xll.qlRateHelperQuoteName(X20,Trigger),"")</f>
        <v>AUDQM3AB20Y_S1BR3BR_Quote</v>
      </c>
      <c r="Z20" s="65">
        <f>IFERROR(_xll.qlRateHelperRate(X20,Trigger),"")</f>
        <v>2.631907025230229E-2</v>
      </c>
      <c r="AA20" s="96">
        <f>IF(ISERROR(_xll.qlSwapRateHelperSpread($X20)),IF(ISERROR(_xll.qlFuturesRateHelperConvexityAdjustment($X20)),"",_xll.qlFuturesRateHelperConvexityAdjustment($X20)),_xll.qlSwapRateHelperSpread($X20))</f>
        <v>1.0874999999999999E-3</v>
      </c>
      <c r="AB20" s="4">
        <f>IFERROR(_xll.qlRateHelperEarliestDate(X20,Trigger),"")</f>
        <v>42682</v>
      </c>
      <c r="AC20" s="4">
        <f>IFERROR(_xll.qlRateHelperPillarDate(X20,Trigger),"")</f>
        <v>49989</v>
      </c>
      <c r="AD20" s="71">
        <v>0.59705118500590137</v>
      </c>
      <c r="AE20" s="146"/>
      <c r="AF20" s="132">
        <v>10</v>
      </c>
      <c r="AG20" s="133">
        <f>_xll.qlCalendarEndOfMonth(Calendar,_xll.qlCalendarAdvance(Calendar,AG19,"1m","mf",TRUE),Trigger)</f>
        <v>42978</v>
      </c>
      <c r="AH20" s="132" t="str">
        <f t="shared" si="10"/>
        <v>AUDJump10_SYNTHON_Quote</v>
      </c>
      <c r="AI20" s="151">
        <f>_xll.qlDayCounterYearFraction("actual/360",AG20,_xll.qlCalendarAdvance(Calendar,AG20,"1D",,,Trigger))</f>
        <v>2.7777777777777779E-3</v>
      </c>
      <c r="AJ20" s="134" t="e">
        <f>IF(_xll.qlQuoteIsValid(AH20,Trigger),_xll.qlQuoteValue(AH20,Trigger),1)</f>
        <v>#NUM!</v>
      </c>
      <c r="AK20" s="154" t="e">
        <f t="shared" si="11"/>
        <v>#NUM!</v>
      </c>
      <c r="AL20" s="159"/>
      <c r="AM20" s="134" t="str">
        <f t="shared" si="12"/>
        <v>AUDJump10_SYNTHON_Quote</v>
      </c>
    </row>
    <row r="21" spans="1:39" ht="11.25" customHeight="1" x14ac:dyDescent="0.2">
      <c r="A21" s="56" t="s">
        <v>116</v>
      </c>
      <c r="B21" s="57" t="s">
        <v>59</v>
      </c>
      <c r="C21" s="58" t="s">
        <v>6</v>
      </c>
      <c r="D21" s="58" t="s">
        <v>156</v>
      </c>
      <c r="E21" s="58" t="s">
        <v>7</v>
      </c>
      <c r="F21" s="58" t="s">
        <v>154</v>
      </c>
      <c r="G21" s="58" t="str">
        <f t="shared" si="7"/>
        <v>AudBBSW1M</v>
      </c>
      <c r="H21" s="56" t="str">
        <f t="shared" si="8"/>
        <v>AUDQM3AB9Y_Quote</v>
      </c>
      <c r="I21" s="126" t="str">
        <f t="shared" si="9"/>
        <v>AUD1BR3BR9Y_Quote</v>
      </c>
      <c r="J21" s="167" t="str">
        <f>IF(P19,_xll.qlSwapRateHelper2(,H21,1,B21,Calendar,D21,E21,F21,G21,I21,C21,Discounting,PillarDate,,Permanent,Trigger,ObjectOverwrite),"--")</f>
        <v>--</v>
      </c>
      <c r="K21" s="46"/>
      <c r="L21" s="173" t="str">
        <f t="shared" si="4"/>
        <v>BasSw</v>
      </c>
      <c r="M21" s="169" t="str">
        <f t="shared" si="6"/>
        <v>AUDQM3AB11Y_Quote</v>
      </c>
      <c r="N21" s="174" t="str">
        <f>IFERROR(_xll.qlQuoteValue(H23),"--")</f>
        <v>--</v>
      </c>
      <c r="O21" s="174" t="str">
        <f>IFERROR(_xll.qlQuoteValue(I23),"--")</f>
        <v>--</v>
      </c>
      <c r="P21" s="123" t="b">
        <v>0</v>
      </c>
      <c r="Q21" s="88">
        <v>50</v>
      </c>
      <c r="R21" s="88">
        <v>1</v>
      </c>
      <c r="S21" s="88" t="str">
        <f t="shared" si="5"/>
        <v>--</v>
      </c>
      <c r="T21" s="92" t="str">
        <f>IFERROR(_xll.qlRateHelperEarliestDate(S21,Trigger),"--")</f>
        <v>--</v>
      </c>
      <c r="U21" s="92" t="str">
        <f>IFERROR(_xll.qlRateHelperPillarDate(S21,Trigger),"--")</f>
        <v>--</v>
      </c>
      <c r="W21" s="3" t="str">
        <f t="shared" si="1"/>
        <v>BasSw</v>
      </c>
      <c r="X21" s="3" t="str">
        <v>obj_00242</v>
      </c>
      <c r="Y21" s="3" t="str">
        <f>IFERROR(_xll.qlRateHelperQuoteName(X21,Trigger),"")</f>
        <v>AUDQM3AB25Y_S1BR3BR_Quote</v>
      </c>
      <c r="Z21" s="65">
        <f>IFERROR(_xll.qlRateHelperRate(X21,Trigger),"")</f>
        <v>2.6915307453372124E-2</v>
      </c>
      <c r="AA21" s="96">
        <f>IF(ISERROR(_xll.qlSwapRateHelperSpread($X21)),IF(ISERROR(_xll.qlFuturesRateHelperConvexityAdjustment($X21)),"",_xll.qlFuturesRateHelperConvexityAdjustment($X21)),_xll.qlSwapRateHelperSpread($X21))</f>
        <v>1.0874999999999999E-3</v>
      </c>
      <c r="AB21" s="4">
        <f>IFERROR(_xll.qlRateHelperEarliestDate(X21,Trigger),"")</f>
        <v>42682</v>
      </c>
      <c r="AC21" s="4">
        <f>IFERROR(_xll.qlRateHelperPillarDate(X21,Trigger),"")</f>
        <v>51813</v>
      </c>
      <c r="AD21" s="71">
        <v>0.51629397371042662</v>
      </c>
      <c r="AE21" s="146"/>
      <c r="AF21" s="132">
        <v>11</v>
      </c>
      <c r="AG21" s="133">
        <f>_xll.qlCalendarEndOfMonth(Calendar,_xll.qlCalendarAdvance(Calendar,AG20,"1m","mf",TRUE),Trigger)</f>
        <v>43007</v>
      </c>
      <c r="AH21" s="132" t="str">
        <f t="shared" si="10"/>
        <v>AUDJump11_SYNTHON_Quote</v>
      </c>
      <c r="AI21" s="151">
        <f>_xll.qlDayCounterYearFraction("actual/360",AG21,_xll.qlCalendarAdvance(Calendar,AG21,"1D",,,Trigger))</f>
        <v>1.1111111111111112E-2</v>
      </c>
      <c r="AJ21" s="134" t="e">
        <f>IF(_xll.qlQuoteIsValid(AH21,Trigger),_xll.qlQuoteValue(AH21,Trigger),1)</f>
        <v>#NUM!</v>
      </c>
      <c r="AK21" s="154" t="e">
        <f t="shared" si="11"/>
        <v>#NUM!</v>
      </c>
      <c r="AL21" s="159"/>
      <c r="AM21" s="134" t="str">
        <f t="shared" si="12"/>
        <v>AUDJump11_SYNTHON_Quote</v>
      </c>
    </row>
    <row r="22" spans="1:39" ht="11.25" customHeight="1" x14ac:dyDescent="0.2">
      <c r="A22" s="56" t="s">
        <v>116</v>
      </c>
      <c r="B22" s="57" t="s">
        <v>60</v>
      </c>
      <c r="C22" s="58" t="s">
        <v>6</v>
      </c>
      <c r="D22" s="58" t="s">
        <v>156</v>
      </c>
      <c r="E22" s="58" t="s">
        <v>7</v>
      </c>
      <c r="F22" s="58" t="s">
        <v>154</v>
      </c>
      <c r="G22" s="58" t="str">
        <f t="shared" si="7"/>
        <v>AudBBSW1M</v>
      </c>
      <c r="H22" s="56" t="str">
        <f t="shared" si="8"/>
        <v>AUDQM3AB10Y_Quote</v>
      </c>
      <c r="I22" s="126" t="str">
        <f t="shared" si="9"/>
        <v>AUD1BR3BR10Y_Quote</v>
      </c>
      <c r="J22" s="167" t="str">
        <f>IF(P20,_xll.qlSwapRateHelper2(,H22,1,B22,Calendar,D22,E22,F22,G22,I22,C22,Discounting,PillarDate,,Permanent,Trigger,ObjectOverwrite),"--")</f>
        <v>--</v>
      </c>
      <c r="K22" s="46"/>
      <c r="L22" s="173" t="str">
        <f t="shared" si="4"/>
        <v>BasSw</v>
      </c>
      <c r="M22" s="169" t="str">
        <f t="shared" si="6"/>
        <v>AUDQM3AB12Y_Quote</v>
      </c>
      <c r="N22" s="174" t="str">
        <f>IFERROR(_xll.qlQuoteValue(H24),"--")</f>
        <v>--</v>
      </c>
      <c r="O22" s="174">
        <f>IFERROR(_xll.qlQuoteValue(I24),"--")</f>
        <v>1.1000000000000001E-3</v>
      </c>
      <c r="P22" s="123" t="b">
        <v>0</v>
      </c>
      <c r="Q22" s="88">
        <v>50</v>
      </c>
      <c r="R22" s="88">
        <v>1</v>
      </c>
      <c r="S22" s="88" t="str">
        <f t="shared" si="5"/>
        <v>--</v>
      </c>
      <c r="T22" s="92" t="str">
        <f>IFERROR(_xll.qlRateHelperEarliestDate(S22,Trigger),"--")</f>
        <v>--</v>
      </c>
      <c r="U22" s="92" t="str">
        <f>IFERROR(_xll.qlRateHelperPillarDate(S22,Trigger),"--")</f>
        <v>--</v>
      </c>
      <c r="W22" s="3" t="str">
        <f t="shared" si="1"/>
        <v>BasSw</v>
      </c>
      <c r="X22" s="3" t="str">
        <v>obj_00245</v>
      </c>
      <c r="Y22" s="3" t="str">
        <f>IFERROR(_xll.qlRateHelperQuoteName(X22,Trigger),"")</f>
        <v>AUDQM3AB30Y_S1BR3BR_Quote</v>
      </c>
      <c r="Z22" s="65">
        <f>IFERROR(_xll.qlRateHelperRate(X22,Trigger),"")</f>
        <v>2.7052370833893433E-2</v>
      </c>
      <c r="AA22" s="96">
        <f>IF(ISERROR(_xll.qlSwapRateHelperSpread($X22)),IF(ISERROR(_xll.qlFuturesRateHelperConvexityAdjustment($X22)),"",_xll.qlFuturesRateHelperConvexityAdjustment($X22)),_xll.qlSwapRateHelperSpread($X22))</f>
        <v>1.0874999999999999E-3</v>
      </c>
      <c r="AB22" s="4">
        <f>IFERROR(_xll.qlRateHelperEarliestDate(X22,Trigger),"")</f>
        <v>42682</v>
      </c>
      <c r="AC22" s="4">
        <f>IFERROR(_xll.qlRateHelperPillarDate(X22,Trigger),"")</f>
        <v>53639</v>
      </c>
      <c r="AD22" s="71">
        <v>0.45128946323615488</v>
      </c>
      <c r="AE22" s="146"/>
      <c r="AF22" s="132">
        <v>12</v>
      </c>
      <c r="AG22" s="133">
        <f>_xll.qlCalendarEndOfMonth(Calendar,_xll.qlCalendarAdvance(Calendar,AG21,"1m","mf",TRUE),Trigger)</f>
        <v>43039</v>
      </c>
      <c r="AH22" s="132" t="str">
        <f t="shared" si="10"/>
        <v>AUDJump12_SYNTHON_Quote</v>
      </c>
      <c r="AI22" s="151">
        <f>_xll.qlDayCounterYearFraction("actual/360",AG22,_xll.qlCalendarAdvance(Calendar,AG22,"1D",,,Trigger))</f>
        <v>2.7777777777777779E-3</v>
      </c>
      <c r="AJ22" s="134" t="e">
        <f>IF(_xll.qlQuoteIsValid(AH22,Trigger),_xll.qlQuoteValue(AH22,Trigger),1)</f>
        <v>#NUM!</v>
      </c>
      <c r="AK22" s="154" t="e">
        <f t="shared" si="11"/>
        <v>#NUM!</v>
      </c>
      <c r="AL22" s="159"/>
      <c r="AM22" s="134" t="str">
        <f t="shared" si="12"/>
        <v>AUDJump12_SYNTHON_Quote</v>
      </c>
    </row>
    <row r="23" spans="1:39" ht="11.25" customHeight="1" x14ac:dyDescent="0.2">
      <c r="A23" s="56" t="s">
        <v>116</v>
      </c>
      <c r="B23" s="57" t="s">
        <v>97</v>
      </c>
      <c r="C23" s="58" t="s">
        <v>6</v>
      </c>
      <c r="D23" s="58" t="s">
        <v>156</v>
      </c>
      <c r="E23" s="58" t="s">
        <v>7</v>
      </c>
      <c r="F23" s="58" t="s">
        <v>154</v>
      </c>
      <c r="G23" s="58" t="str">
        <f t="shared" si="7"/>
        <v>AudBBSW1M</v>
      </c>
      <c r="H23" s="56" t="str">
        <f t="shared" si="8"/>
        <v>AUDQM3AB11Y_Quote</v>
      </c>
      <c r="I23" s="126" t="str">
        <f t="shared" si="9"/>
        <v>AUD1BR3BR11Y_Quote</v>
      </c>
      <c r="J23" s="167" t="str">
        <f>IF(P21,_xll.qlSwapRateHelper2(,H23,1,B23,Calendar,D23,E23,F23,G23,I23,C23,Discounting,PillarDate,,Permanent,Trigger,ObjectOverwrite),"--")</f>
        <v>--</v>
      </c>
      <c r="K23" s="46"/>
      <c r="L23" s="173" t="str">
        <f t="shared" si="4"/>
        <v>BasSw</v>
      </c>
      <c r="M23" s="169" t="str">
        <f t="shared" si="6"/>
        <v>AUDQM3AB13Y_Quote</v>
      </c>
      <c r="N23" s="174" t="str">
        <f>IFERROR(_xll.qlQuoteValue(H25),"--")</f>
        <v>--</v>
      </c>
      <c r="O23" s="174" t="str">
        <f>IFERROR(_xll.qlQuoteValue(I25),"--")</f>
        <v>--</v>
      </c>
      <c r="P23" s="123" t="b">
        <v>0</v>
      </c>
      <c r="Q23" s="88">
        <v>50</v>
      </c>
      <c r="R23" s="88">
        <v>1</v>
      </c>
      <c r="S23" s="88" t="str">
        <f t="shared" si="5"/>
        <v>--</v>
      </c>
      <c r="T23" s="92" t="str">
        <f>IFERROR(_xll.qlRateHelperEarliestDate(S23,Trigger),"--")</f>
        <v>--</v>
      </c>
      <c r="U23" s="92" t="str">
        <f>IFERROR(_xll.qlRateHelperPillarDate(S23,Trigger),"--")</f>
        <v>--</v>
      </c>
      <c r="W23" s="3" t="str">
        <f t="shared" si="1"/>
        <v/>
      </c>
      <c r="X23" s="3" t="e">
        <v>#N/A</v>
      </c>
      <c r="Y23" s="3" t="str">
        <f>IFERROR(_xll.qlRateHelperQuoteName(X23,Trigger),"")</f>
        <v/>
      </c>
      <c r="Z23" s="65" t="str">
        <f>IFERROR(_xll.qlRateHelperRate(X23,Trigger),"")</f>
        <v/>
      </c>
      <c r="AA23" s="96" t="str">
        <f>IF(ISERROR(_xll.qlSwapRateHelperSpread($X23)),IF(ISERROR(_xll.qlFuturesRateHelperConvexityAdjustment($X23)),"",_xll.qlFuturesRateHelperConvexityAdjustment($X23)),_xll.qlSwapRateHelperSpread($X23))</f>
        <v/>
      </c>
      <c r="AB23" s="4" t="str">
        <f>IFERROR(_xll.qlRateHelperEarliestDate(X23,Trigger),"")</f>
        <v/>
      </c>
      <c r="AC23" s="4" t="str">
        <f>IFERROR(_xll.qlRateHelperPillarDate(X23,Trigger),"")</f>
        <v/>
      </c>
      <c r="AD23" s="71" t="e">
        <v>#N/A</v>
      </c>
      <c r="AE23" s="146"/>
      <c r="AF23" s="136">
        <v>13</v>
      </c>
      <c r="AG23" s="137">
        <f>_xll.qlCalendarAdjust(Calendar,DATE(YEAR(AG11)+1,12,31),"preceding",Trigger)</f>
        <v>43098</v>
      </c>
      <c r="AH23" s="136" t="str">
        <f t="shared" si="10"/>
        <v>AUDJump13_SYNTHON_Quote</v>
      </c>
      <c r="AI23" s="152">
        <f>_xll.qlDayCounterYearFraction("actual/360",AG23,_xll.qlCalendarAdvance(Calendar,AG23,"1D",,,Trigger))</f>
        <v>1.1111111111111112E-2</v>
      </c>
      <c r="AJ23" s="138" t="e">
        <f>IF(_xll.qlQuoteIsValid(AH23,Trigger),_xll.qlQuoteValue(AH23,Trigger),1)</f>
        <v>#NUM!</v>
      </c>
      <c r="AK23" s="155" t="e">
        <f t="shared" si="11"/>
        <v>#NUM!</v>
      </c>
      <c r="AL23" s="160"/>
      <c r="AM23" s="138" t="str">
        <f t="shared" si="12"/>
        <v>AUDJump13_SYNTHON_Quote</v>
      </c>
    </row>
    <row r="24" spans="1:39" ht="11.25" customHeight="1" x14ac:dyDescent="0.2">
      <c r="A24" s="56" t="s">
        <v>116</v>
      </c>
      <c r="B24" s="57" t="s">
        <v>61</v>
      </c>
      <c r="C24" s="58" t="s">
        <v>6</v>
      </c>
      <c r="D24" s="58" t="s">
        <v>156</v>
      </c>
      <c r="E24" s="58" t="s">
        <v>7</v>
      </c>
      <c r="F24" s="58" t="s">
        <v>154</v>
      </c>
      <c r="G24" s="58" t="str">
        <f t="shared" si="7"/>
        <v>AudBBSW1M</v>
      </c>
      <c r="H24" s="56" t="str">
        <f t="shared" si="8"/>
        <v>AUDQM3AB12Y_Quote</v>
      </c>
      <c r="I24" s="126" t="str">
        <f t="shared" si="9"/>
        <v>AUD1BR3BR12Y_Quote</v>
      </c>
      <c r="J24" s="167" t="str">
        <f>IF(P22,_xll.qlSwapRateHelper2(,H24,1,B24,Calendar,D24,E24,F24,G24,I24,C24,Discounting,PillarDate,,Permanent,Trigger,ObjectOverwrite),"--")</f>
        <v>--</v>
      </c>
      <c r="K24" s="46"/>
      <c r="L24" s="173" t="str">
        <f t="shared" si="4"/>
        <v>BasSw</v>
      </c>
      <c r="M24" s="169" t="str">
        <f t="shared" si="6"/>
        <v>AUDQM3AB14Y_Quote</v>
      </c>
      <c r="N24" s="174" t="str">
        <f>IFERROR(_xll.qlQuoteValue(H26),"--")</f>
        <v>--</v>
      </c>
      <c r="O24" s="174" t="str">
        <f>IFERROR(_xll.qlQuoteValue(I26),"--")</f>
        <v>--</v>
      </c>
      <c r="P24" s="123" t="b">
        <v>0</v>
      </c>
      <c r="Q24" s="88">
        <v>50</v>
      </c>
      <c r="R24" s="88">
        <v>1</v>
      </c>
      <c r="S24" s="88" t="str">
        <f t="shared" si="5"/>
        <v>--</v>
      </c>
      <c r="T24" s="92" t="str">
        <f>IFERROR(_xll.qlRateHelperEarliestDate(S24,Trigger),"--")</f>
        <v>--</v>
      </c>
      <c r="U24" s="92" t="str">
        <f>IFERROR(_xll.qlRateHelperPillarDate(S24,Trigger),"--")</f>
        <v>--</v>
      </c>
      <c r="W24" s="3" t="str">
        <f t="shared" si="1"/>
        <v/>
      </c>
      <c r="X24" s="3" t="e">
        <v>#N/A</v>
      </c>
      <c r="Y24" s="3" t="str">
        <f>IFERROR(_xll.qlRateHelperQuoteName(X24,Trigger),"")</f>
        <v/>
      </c>
      <c r="Z24" s="65" t="str">
        <f>IFERROR(_xll.qlRateHelperRate(X24,Trigger),"")</f>
        <v/>
      </c>
      <c r="AA24" s="96" t="str">
        <f>IF(ISERROR(_xll.qlSwapRateHelperSpread($X24)),IF(ISERROR(_xll.qlFuturesRateHelperConvexityAdjustment($X24)),"",_xll.qlFuturesRateHelperConvexityAdjustment($X24)),_xll.qlSwapRateHelperSpread($X24))</f>
        <v/>
      </c>
      <c r="AB24" s="4" t="str">
        <f>IFERROR(_xll.qlRateHelperEarliestDate(X24,Trigger),"")</f>
        <v/>
      </c>
      <c r="AC24" s="4" t="str">
        <f>IFERROR(_xll.qlRateHelperPillarDate(X24,Trigger),"")</f>
        <v/>
      </c>
      <c r="AD24" s="71" t="e">
        <v>#N/A</v>
      </c>
      <c r="AE24" s="146"/>
    </row>
    <row r="25" spans="1:39" ht="11.25" customHeight="1" x14ac:dyDescent="0.2">
      <c r="A25" s="56" t="s">
        <v>116</v>
      </c>
      <c r="B25" s="57" t="s">
        <v>98</v>
      </c>
      <c r="C25" s="58" t="s">
        <v>6</v>
      </c>
      <c r="D25" s="58" t="s">
        <v>156</v>
      </c>
      <c r="E25" s="58" t="s">
        <v>7</v>
      </c>
      <c r="F25" s="58" t="s">
        <v>154</v>
      </c>
      <c r="G25" s="58" t="str">
        <f t="shared" si="7"/>
        <v>AudBBSW1M</v>
      </c>
      <c r="H25" s="56" t="str">
        <f t="shared" si="8"/>
        <v>AUDQM3AB13Y_Quote</v>
      </c>
      <c r="I25" s="126" t="str">
        <f t="shared" si="9"/>
        <v>AUD1BR3BR13Y_Quote</v>
      </c>
      <c r="J25" s="167" t="str">
        <f>IF(P23,_xll.qlSwapRateHelper2(,H25,1,B25,Calendar,D25,E25,F25,G25,I25,C25,Discounting,PillarDate,,Permanent,Trigger,ObjectOverwrite),"--")</f>
        <v>--</v>
      </c>
      <c r="K25" s="46"/>
      <c r="L25" s="173" t="str">
        <f t="shared" si="4"/>
        <v>BasSw</v>
      </c>
      <c r="M25" s="169" t="str">
        <f t="shared" si="6"/>
        <v>AUDQM3AB15Y_Quote</v>
      </c>
      <c r="N25" s="174" t="str">
        <f>IFERROR(_xll.qlQuoteValue(H27),"--")</f>
        <v>--</v>
      </c>
      <c r="O25" s="174">
        <f>IFERROR(_xll.qlQuoteValue(I27),"--")</f>
        <v>1.0874999999999999E-3</v>
      </c>
      <c r="P25" s="123" t="b">
        <v>0</v>
      </c>
      <c r="Q25" s="88">
        <v>50</v>
      </c>
      <c r="R25" s="88">
        <v>1</v>
      </c>
      <c r="S25" s="88" t="str">
        <f t="shared" si="5"/>
        <v>--</v>
      </c>
      <c r="T25" s="92" t="str">
        <f>IFERROR(_xll.qlRateHelperEarliestDate(S25,Trigger),"--")</f>
        <v>--</v>
      </c>
      <c r="U25" s="92" t="str">
        <f>IFERROR(_xll.qlRateHelperPillarDate(S25,Trigger),"--")</f>
        <v>--</v>
      </c>
      <c r="W25" s="3" t="str">
        <f t="shared" si="1"/>
        <v/>
      </c>
      <c r="X25" s="3" t="e">
        <v>#N/A</v>
      </c>
      <c r="Y25" s="3" t="str">
        <f>IFERROR(_xll.qlRateHelperQuoteName(X25,Trigger),"")</f>
        <v/>
      </c>
      <c r="Z25" s="65" t="str">
        <f>IFERROR(_xll.qlRateHelperRate(X25,Trigger),"")</f>
        <v/>
      </c>
      <c r="AA25" s="96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1" t="e">
        <v>#N/A</v>
      </c>
      <c r="AE25" s="146"/>
    </row>
    <row r="26" spans="1:39" ht="11.25" customHeight="1" x14ac:dyDescent="0.2">
      <c r="A26" s="56" t="s">
        <v>116</v>
      </c>
      <c r="B26" s="57" t="s">
        <v>99</v>
      </c>
      <c r="C26" s="58" t="s">
        <v>6</v>
      </c>
      <c r="D26" s="58" t="s">
        <v>156</v>
      </c>
      <c r="E26" s="58" t="s">
        <v>7</v>
      </c>
      <c r="F26" s="58" t="s">
        <v>154</v>
      </c>
      <c r="G26" s="58" t="str">
        <f t="shared" si="7"/>
        <v>AudBBSW1M</v>
      </c>
      <c r="H26" s="56" t="str">
        <f t="shared" si="8"/>
        <v>AUDQM3AB14Y_Quote</v>
      </c>
      <c r="I26" s="126" t="str">
        <f t="shared" si="9"/>
        <v>AUD1BR3BR14Y_Quote</v>
      </c>
      <c r="J26" s="167" t="str">
        <f>IF(P24,_xll.qlSwapRateHelper2(,H26,1,B26,Calendar,D26,E26,F26,G26,I26,C26,Discounting,PillarDate,,Permanent,Trigger,ObjectOverwrite),"--")</f>
        <v>--</v>
      </c>
      <c r="K26" s="46"/>
      <c r="L26" s="173" t="str">
        <f t="shared" si="4"/>
        <v>BasSw</v>
      </c>
      <c r="M26" s="169" t="str">
        <f t="shared" si="6"/>
        <v>AUDQM3AB16Y_Quote</v>
      </c>
      <c r="N26" s="174" t="str">
        <f>IFERROR(_xll.qlQuoteValue(H28),"--")</f>
        <v>--</v>
      </c>
      <c r="O26" s="174" t="str">
        <f>IFERROR(_xll.qlQuoteValue(I28),"--")</f>
        <v>--</v>
      </c>
      <c r="P26" s="123" t="b">
        <v>0</v>
      </c>
      <c r="Q26" s="88">
        <v>50</v>
      </c>
      <c r="R26" s="88">
        <v>1</v>
      </c>
      <c r="S26" s="88" t="str">
        <f t="shared" si="5"/>
        <v>--</v>
      </c>
      <c r="T26" s="92" t="str">
        <f>IFERROR(_xll.qlRateHelperEarliestDate(S26,Trigger),"--")</f>
        <v>--</v>
      </c>
      <c r="U26" s="92" t="str">
        <f>IFERROR(_xll.qlRateHelperPillarDate(S26,Trigger),"--")</f>
        <v>--</v>
      </c>
      <c r="W26" s="3" t="str">
        <f t="shared" si="1"/>
        <v/>
      </c>
      <c r="X26" s="3" t="e">
        <v>#N/A</v>
      </c>
      <c r="Y26" s="3" t="str">
        <f>IFERROR(_xll.qlRateHelperQuoteName(X26,Trigger),"")</f>
        <v/>
      </c>
      <c r="Z26" s="65" t="str">
        <f>IFERROR(_xll.qlRateHelperRate(X26,Trigger),"")</f>
        <v/>
      </c>
      <c r="AA26" s="96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1" t="e">
        <v>#N/A</v>
      </c>
      <c r="AE26" s="146"/>
    </row>
    <row r="27" spans="1:39" ht="11.25" customHeight="1" x14ac:dyDescent="0.2">
      <c r="A27" s="56" t="s">
        <v>116</v>
      </c>
      <c r="B27" s="57" t="s">
        <v>62</v>
      </c>
      <c r="C27" s="58" t="s">
        <v>6</v>
      </c>
      <c r="D27" s="58" t="s">
        <v>156</v>
      </c>
      <c r="E27" s="58" t="s">
        <v>7</v>
      </c>
      <c r="F27" s="58" t="s">
        <v>154</v>
      </c>
      <c r="G27" s="58" t="str">
        <f t="shared" si="7"/>
        <v>AudBBSW1M</v>
      </c>
      <c r="H27" s="56" t="str">
        <f t="shared" si="8"/>
        <v>AUDQM3AB15Y_Quote</v>
      </c>
      <c r="I27" s="126" t="str">
        <f t="shared" si="9"/>
        <v>AUD1BR3BR15Y_Quote</v>
      </c>
      <c r="J27" s="167" t="str">
        <f>IF(P25,_xll.qlSwapRateHelper2(,H27,1,B27,Calendar,D27,E27,F27,G27,I27,C27,Discounting,PillarDate,,Permanent,Trigger,ObjectOverwrite),"--")</f>
        <v>--</v>
      </c>
      <c r="K27" s="46"/>
      <c r="L27" s="173" t="str">
        <f t="shared" si="4"/>
        <v>BasSw</v>
      </c>
      <c r="M27" s="169" t="str">
        <f t="shared" si="6"/>
        <v>AUDQM3AB17Y_Quote</v>
      </c>
      <c r="N27" s="174" t="str">
        <f>IFERROR(_xll.qlQuoteValue(H29),"--")</f>
        <v>--</v>
      </c>
      <c r="O27" s="174" t="str">
        <f>IFERROR(_xll.qlQuoteValue(I29),"--")</f>
        <v>--</v>
      </c>
      <c r="P27" s="123" t="b">
        <v>0</v>
      </c>
      <c r="Q27" s="88">
        <v>50</v>
      </c>
      <c r="R27" s="88">
        <v>1</v>
      </c>
      <c r="S27" s="88" t="str">
        <f t="shared" si="5"/>
        <v>--</v>
      </c>
      <c r="T27" s="92" t="str">
        <f>IFERROR(_xll.qlRateHelperEarliestDate(S27,Trigger),"--")</f>
        <v>--</v>
      </c>
      <c r="U27" s="92" t="str">
        <f>IFERROR(_xll.qlRateHelperPillarDate(S27,Trigger),"--")</f>
        <v>--</v>
      </c>
      <c r="W27" s="3" t="str">
        <f t="shared" si="1"/>
        <v/>
      </c>
      <c r="X27" s="3" t="e">
        <v>#N/A</v>
      </c>
      <c r="Y27" s="3" t="str">
        <f>IFERROR(_xll.qlRateHelperQuoteName(X27,Trigger),"")</f>
        <v/>
      </c>
      <c r="Z27" s="65" t="str">
        <f>IFERROR(_xll.qlRateHelperRate(X27,Trigger),"")</f>
        <v/>
      </c>
      <c r="AA27" s="96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1" t="e">
        <v>#N/A</v>
      </c>
      <c r="AE27" s="146"/>
    </row>
    <row r="28" spans="1:39" ht="11.25" customHeight="1" x14ac:dyDescent="0.2">
      <c r="A28" s="56" t="s">
        <v>116</v>
      </c>
      <c r="B28" s="57" t="s">
        <v>100</v>
      </c>
      <c r="C28" s="58" t="s">
        <v>6</v>
      </c>
      <c r="D28" s="58" t="s">
        <v>156</v>
      </c>
      <c r="E28" s="58" t="s">
        <v>7</v>
      </c>
      <c r="F28" s="58" t="s">
        <v>154</v>
      </c>
      <c r="G28" s="58" t="str">
        <f t="shared" si="7"/>
        <v>AudBBSW1M</v>
      </c>
      <c r="H28" s="56" t="str">
        <f t="shared" si="8"/>
        <v>AUDQM3AB16Y_Quote</v>
      </c>
      <c r="I28" s="126" t="str">
        <f t="shared" si="9"/>
        <v>AUD1BR3BR16Y_Quote</v>
      </c>
      <c r="J28" s="167" t="str">
        <f>IF(P26,_xll.qlSwapRateHelper2(,H28,1,B28,Calendar,D28,E28,F28,G28,I28,C28,Discounting,PillarDate,,Permanent,Trigger,ObjectOverwrite),"--")</f>
        <v>--</v>
      </c>
      <c r="K28" s="46"/>
      <c r="L28" s="173" t="str">
        <f t="shared" si="4"/>
        <v>BasSw</v>
      </c>
      <c r="M28" s="169" t="str">
        <f t="shared" si="6"/>
        <v>AUDQM3AB18Y_Quote</v>
      </c>
      <c r="N28" s="174" t="str">
        <f>IFERROR(_xll.qlQuoteValue(H30),"--")</f>
        <v>--</v>
      </c>
      <c r="O28" s="174" t="str">
        <f>IFERROR(_xll.qlQuoteValue(I30),"--")</f>
        <v>--</v>
      </c>
      <c r="P28" s="123" t="b">
        <v>0</v>
      </c>
      <c r="Q28" s="88">
        <v>50</v>
      </c>
      <c r="R28" s="88">
        <v>1</v>
      </c>
      <c r="S28" s="88" t="str">
        <f t="shared" si="5"/>
        <v>--</v>
      </c>
      <c r="T28" s="92" t="str">
        <f>IFERROR(_xll.qlRateHelperEarliestDate(S28,Trigger),"--")</f>
        <v>--</v>
      </c>
      <c r="U28" s="92" t="str">
        <f>IFERROR(_xll.qlRateHelperPillarDate(S28,Trigger),"--")</f>
        <v>--</v>
      </c>
      <c r="W28" s="3" t="str">
        <f t="shared" si="1"/>
        <v/>
      </c>
      <c r="X28" s="3" t="e">
        <v>#N/A</v>
      </c>
      <c r="Y28" s="3" t="str">
        <f>IFERROR(_xll.qlRateHelperQuoteName(X28,Trigger),"")</f>
        <v/>
      </c>
      <c r="Z28" s="65" t="str">
        <f>IFERROR(_xll.qlRateHelperRate(X28,Trigger),"")</f>
        <v/>
      </c>
      <c r="AA28" s="9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1" t="e">
        <v>#N/A</v>
      </c>
      <c r="AE28" s="146"/>
    </row>
    <row r="29" spans="1:39" ht="11.25" customHeight="1" x14ac:dyDescent="0.2">
      <c r="A29" s="56" t="s">
        <v>116</v>
      </c>
      <c r="B29" s="57" t="s">
        <v>101</v>
      </c>
      <c r="C29" s="58" t="s">
        <v>6</v>
      </c>
      <c r="D29" s="58" t="s">
        <v>156</v>
      </c>
      <c r="E29" s="58" t="s">
        <v>7</v>
      </c>
      <c r="F29" s="58" t="s">
        <v>154</v>
      </c>
      <c r="G29" s="58" t="str">
        <f t="shared" si="7"/>
        <v>AudBBSW1M</v>
      </c>
      <c r="H29" s="56" t="str">
        <f t="shared" si="8"/>
        <v>AUDQM3AB17Y_Quote</v>
      </c>
      <c r="I29" s="126" t="str">
        <f t="shared" si="9"/>
        <v>AUD1BR3BR17Y_Quote</v>
      </c>
      <c r="J29" s="167" t="str">
        <f>IF(P27,_xll.qlSwapRateHelper2(,H29,1,B29,Calendar,D29,E29,F29,G29,I29,C29,Discounting,PillarDate,,Permanent,Trigger,ObjectOverwrite),"--")</f>
        <v>--</v>
      </c>
      <c r="K29" s="46"/>
      <c r="L29" s="173" t="str">
        <f t="shared" si="4"/>
        <v>BasSw</v>
      </c>
      <c r="M29" s="169" t="str">
        <f t="shared" si="6"/>
        <v>AUDQM3AB19Y_Quote</v>
      </c>
      <c r="N29" s="174" t="str">
        <f>IFERROR(_xll.qlQuoteValue(H31),"--")</f>
        <v>--</v>
      </c>
      <c r="O29" s="174" t="str">
        <f>IFERROR(_xll.qlQuoteValue(I31),"--")</f>
        <v>--</v>
      </c>
      <c r="P29" s="123" t="b">
        <v>0</v>
      </c>
      <c r="Q29" s="88">
        <v>50</v>
      </c>
      <c r="R29" s="88">
        <v>1</v>
      </c>
      <c r="S29" s="88" t="str">
        <f t="shared" si="5"/>
        <v>--</v>
      </c>
      <c r="T29" s="92" t="str">
        <f>IFERROR(_xll.qlRateHelperEarliestDate(S29,Trigger),"--")</f>
        <v>--</v>
      </c>
      <c r="U29" s="92" t="str">
        <f>IFERROR(_xll.qlRateHelperPillarDate(S29,Trigger),"--")</f>
        <v>--</v>
      </c>
      <c r="W29" s="3" t="str">
        <f t="shared" si="1"/>
        <v/>
      </c>
      <c r="X29" s="3" t="e">
        <v>#N/A</v>
      </c>
      <c r="Y29" s="3" t="str">
        <f>IFERROR(_xll.qlRateHelperQuoteName(X29,Trigger),"")</f>
        <v/>
      </c>
      <c r="Z29" s="65" t="str">
        <f>IFERROR(_xll.qlRateHelperRate(X29,Trigger),"")</f>
        <v/>
      </c>
      <c r="AA29" s="9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1" t="e">
        <v>#N/A</v>
      </c>
      <c r="AE29" s="146"/>
    </row>
    <row r="30" spans="1:39" ht="11.25" customHeight="1" x14ac:dyDescent="0.2">
      <c r="A30" s="56" t="s">
        <v>116</v>
      </c>
      <c r="B30" s="57" t="s">
        <v>102</v>
      </c>
      <c r="C30" s="58" t="s">
        <v>6</v>
      </c>
      <c r="D30" s="58" t="s">
        <v>156</v>
      </c>
      <c r="E30" s="58" t="s">
        <v>7</v>
      </c>
      <c r="F30" s="58" t="s">
        <v>154</v>
      </c>
      <c r="G30" s="58" t="str">
        <f t="shared" si="7"/>
        <v>AudBBSW1M</v>
      </c>
      <c r="H30" s="56" t="str">
        <f t="shared" si="8"/>
        <v>AUDQM3AB18Y_Quote</v>
      </c>
      <c r="I30" s="126" t="str">
        <f t="shared" si="9"/>
        <v>AUD1BR3BR18Y_Quote</v>
      </c>
      <c r="J30" s="167" t="str">
        <f>IF(P28,_xll.qlSwapRateHelper2(,H30,1,B30,Calendar,D30,E30,F30,G30,I30,C30,Discounting,PillarDate,,Permanent,Trigger,ObjectOverwrite),"--")</f>
        <v>--</v>
      </c>
      <c r="K30" s="46"/>
      <c r="L30" s="173" t="str">
        <f t="shared" si="4"/>
        <v>BasSw</v>
      </c>
      <c r="M30" s="169" t="str">
        <f t="shared" si="6"/>
        <v>AUDQM3AB20Y_Quote</v>
      </c>
      <c r="N30" s="174" t="str">
        <f>IFERROR(_xll.qlQuoteValue(H32),"--")</f>
        <v>--</v>
      </c>
      <c r="O30" s="174">
        <f>IFERROR(_xll.qlQuoteValue(I32),"--")</f>
        <v>1.075E-3</v>
      </c>
      <c r="P30" s="123" t="b">
        <v>0</v>
      </c>
      <c r="Q30" s="88">
        <v>50</v>
      </c>
      <c r="R30" s="88">
        <v>1</v>
      </c>
      <c r="S30" s="88" t="str">
        <f t="shared" si="5"/>
        <v>--</v>
      </c>
      <c r="T30" s="92" t="str">
        <f>IFERROR(_xll.qlRateHelperEarliestDate(S30,Trigger),"--")</f>
        <v>--</v>
      </c>
      <c r="U30" s="92" t="str">
        <f>IFERROR(_xll.qlRateHelperPillarDate(S30,Trigger),"--")</f>
        <v>--</v>
      </c>
      <c r="W30" s="3" t="str">
        <f t="shared" si="1"/>
        <v/>
      </c>
      <c r="X30" s="3" t="e">
        <v>#N/A</v>
      </c>
      <c r="Y30" s="3" t="str">
        <f>IFERROR(_xll.qlRateHelperQuoteName(X30,Trigger),"")</f>
        <v/>
      </c>
      <c r="Z30" s="65" t="str">
        <f>IFERROR(_xll.qlRateHelperRate(X30,Trigger),"")</f>
        <v/>
      </c>
      <c r="AA30" s="9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1" t="e">
        <v>#N/A</v>
      </c>
      <c r="AE30" s="146"/>
    </row>
    <row r="31" spans="1:39" ht="11.25" customHeight="1" x14ac:dyDescent="0.2">
      <c r="A31" s="56" t="s">
        <v>116</v>
      </c>
      <c r="B31" s="57" t="s">
        <v>103</v>
      </c>
      <c r="C31" s="58" t="s">
        <v>6</v>
      </c>
      <c r="D31" s="58" t="s">
        <v>156</v>
      </c>
      <c r="E31" s="58" t="s">
        <v>7</v>
      </c>
      <c r="F31" s="58" t="s">
        <v>154</v>
      </c>
      <c r="G31" s="58" t="str">
        <f t="shared" si="7"/>
        <v>AudBBSW1M</v>
      </c>
      <c r="H31" s="56" t="str">
        <f t="shared" si="8"/>
        <v>AUDQM3AB19Y_Quote</v>
      </c>
      <c r="I31" s="126" t="str">
        <f t="shared" si="9"/>
        <v>AUD1BR3BR19Y_Quote</v>
      </c>
      <c r="J31" s="167" t="str">
        <f>IF(P29,_xll.qlSwapRateHelper2(,H31,1,B31,Calendar,D31,E31,F31,G31,I31,C31,Discounting,PillarDate,,Permanent,Trigger,ObjectOverwrite),"--")</f>
        <v>--</v>
      </c>
      <c r="K31" s="46"/>
      <c r="L31" s="173" t="str">
        <f t="shared" si="4"/>
        <v>BasSw</v>
      </c>
      <c r="M31" s="169" t="str">
        <f t="shared" si="6"/>
        <v>AUDQM3AB21Y_Quote</v>
      </c>
      <c r="N31" s="174" t="str">
        <f>IFERROR(_xll.qlQuoteValue(H33),"--")</f>
        <v>--</v>
      </c>
      <c r="O31" s="174" t="str">
        <f>IFERROR(_xll.qlQuoteValue(I33),"--")</f>
        <v>--</v>
      </c>
      <c r="P31" s="123" t="b">
        <v>0</v>
      </c>
      <c r="Q31" s="88">
        <v>50</v>
      </c>
      <c r="R31" s="88">
        <v>1</v>
      </c>
      <c r="S31" s="88" t="str">
        <f t="shared" si="5"/>
        <v>--</v>
      </c>
      <c r="T31" s="92" t="str">
        <f>IFERROR(_xll.qlRateHelperEarliestDate(S31,Trigger),"--")</f>
        <v>--</v>
      </c>
      <c r="U31" s="92" t="str">
        <f>IFERROR(_xll.qlRateHelperPillarDate(S31,Trigger),"--")</f>
        <v>--</v>
      </c>
      <c r="W31" s="3" t="str">
        <f t="shared" si="1"/>
        <v/>
      </c>
      <c r="X31" s="3" t="e">
        <v>#N/A</v>
      </c>
      <c r="Y31" s="3" t="str">
        <f>IFERROR(_xll.qlRateHelperQuoteName(X31,Trigger),"")</f>
        <v/>
      </c>
      <c r="Z31" s="65" t="str">
        <f>IFERROR(_xll.qlRateHelperRate(X31,Trigger),"")</f>
        <v/>
      </c>
      <c r="AA31" s="9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1" t="e">
        <v>#N/A</v>
      </c>
      <c r="AE31" s="146"/>
    </row>
    <row r="32" spans="1:39" ht="11.25" customHeight="1" x14ac:dyDescent="0.2">
      <c r="A32" s="56" t="s">
        <v>116</v>
      </c>
      <c r="B32" s="57" t="s">
        <v>63</v>
      </c>
      <c r="C32" s="58" t="s">
        <v>6</v>
      </c>
      <c r="D32" s="58" t="s">
        <v>156</v>
      </c>
      <c r="E32" s="58" t="s">
        <v>7</v>
      </c>
      <c r="F32" s="58" t="s">
        <v>154</v>
      </c>
      <c r="G32" s="58" t="str">
        <f t="shared" si="7"/>
        <v>AudBBSW1M</v>
      </c>
      <c r="H32" s="56" t="str">
        <f t="shared" si="8"/>
        <v>AUDQM3AB20Y_Quote</v>
      </c>
      <c r="I32" s="126" t="str">
        <f t="shared" si="9"/>
        <v>AUD1BR3BR20Y_Quote</v>
      </c>
      <c r="J32" s="167" t="str">
        <f>IF(P30,_xll.qlSwapRateHelper2(,H32,1,B32,Calendar,D32,E32,F32,G32,I32,C32,Discounting,PillarDate,,Permanent,Trigger,ObjectOverwrite),"--")</f>
        <v>--</v>
      </c>
      <c r="K32" s="46"/>
      <c r="L32" s="173" t="str">
        <f t="shared" si="4"/>
        <v>BasSw</v>
      </c>
      <c r="M32" s="169" t="str">
        <f t="shared" si="6"/>
        <v>AUDQM3AB22Y_Quote</v>
      </c>
      <c r="N32" s="174" t="str">
        <f>IFERROR(_xll.qlQuoteValue(H34),"--")</f>
        <v>--</v>
      </c>
      <c r="O32" s="174" t="str">
        <f>IFERROR(_xll.qlQuoteValue(I34),"--")</f>
        <v>--</v>
      </c>
      <c r="P32" s="123" t="b">
        <v>0</v>
      </c>
      <c r="Q32" s="88">
        <v>50</v>
      </c>
      <c r="R32" s="88">
        <v>1</v>
      </c>
      <c r="S32" s="88" t="str">
        <f t="shared" si="5"/>
        <v>--</v>
      </c>
      <c r="T32" s="92" t="str">
        <f>IFERROR(_xll.qlRateHelperEarliestDate(S32,Trigger),"--")</f>
        <v>--</v>
      </c>
      <c r="U32" s="92" t="str">
        <f>IFERROR(_xll.qlRateHelperPillarDate(S32,Trigger),"--")</f>
        <v>--</v>
      </c>
      <c r="W32" s="3" t="str">
        <f t="shared" si="1"/>
        <v/>
      </c>
      <c r="X32" s="3" t="e">
        <v>#N/A</v>
      </c>
      <c r="Y32" s="3" t="str">
        <f>IFERROR(_xll.qlRateHelperQuoteName(X32,Trigger),"")</f>
        <v/>
      </c>
      <c r="Z32" s="65" t="str">
        <f>IFERROR(_xll.qlRateHelperRate(X32,Trigger),"")</f>
        <v/>
      </c>
      <c r="AA32" s="9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1" t="e">
        <v>#N/A</v>
      </c>
      <c r="AE32" s="146"/>
    </row>
    <row r="33" spans="1:31" ht="11.25" customHeight="1" x14ac:dyDescent="0.2">
      <c r="A33" s="56" t="s">
        <v>116</v>
      </c>
      <c r="B33" s="57" t="s">
        <v>104</v>
      </c>
      <c r="C33" s="58" t="s">
        <v>6</v>
      </c>
      <c r="D33" s="58" t="s">
        <v>156</v>
      </c>
      <c r="E33" s="58" t="s">
        <v>7</v>
      </c>
      <c r="F33" s="58" t="s">
        <v>154</v>
      </c>
      <c r="G33" s="58" t="str">
        <f t="shared" si="7"/>
        <v>AudBBSW1M</v>
      </c>
      <c r="H33" s="56" t="str">
        <f t="shared" si="8"/>
        <v>AUDQM3AB21Y_Quote</v>
      </c>
      <c r="I33" s="126" t="str">
        <f t="shared" si="9"/>
        <v>AUD1BR3BR21Y_Quote</v>
      </c>
      <c r="J33" s="167" t="str">
        <f>IF(P31,_xll.qlSwapRateHelper2(,H33,1,B33,Calendar,D33,E33,F33,G33,I33,C33,Discounting,PillarDate,,Permanent,Trigger,ObjectOverwrite),"--")</f>
        <v>--</v>
      </c>
      <c r="K33" s="46"/>
      <c r="L33" s="173" t="str">
        <f t="shared" si="4"/>
        <v>BasSw</v>
      </c>
      <c r="M33" s="169" t="str">
        <f t="shared" si="6"/>
        <v>AUDQM3AB23Y_Quote</v>
      </c>
      <c r="N33" s="174" t="str">
        <f>IFERROR(_xll.qlQuoteValue(H35),"--")</f>
        <v>--</v>
      </c>
      <c r="O33" s="174" t="str">
        <f>IFERROR(_xll.qlQuoteValue(I35),"--")</f>
        <v>--</v>
      </c>
      <c r="P33" s="123" t="b">
        <v>0</v>
      </c>
      <c r="Q33" s="88">
        <v>50</v>
      </c>
      <c r="R33" s="88">
        <v>1</v>
      </c>
      <c r="S33" s="88" t="str">
        <f t="shared" si="5"/>
        <v>--</v>
      </c>
      <c r="T33" s="92" t="str">
        <f>IFERROR(_xll.qlRateHelperEarliestDate(S33,Trigger),"--")</f>
        <v>--</v>
      </c>
      <c r="U33" s="92" t="str">
        <f>IFERROR(_xll.qlRateHelperPillarDate(S33,Trigger),"--")</f>
        <v>--</v>
      </c>
      <c r="W33" s="3" t="str">
        <f t="shared" si="1"/>
        <v/>
      </c>
      <c r="X33" s="3" t="e">
        <v>#N/A</v>
      </c>
      <c r="Y33" s="3" t="str">
        <f>IFERROR(_xll.qlRateHelperQuoteName(X33,Trigger),"")</f>
        <v/>
      </c>
      <c r="Z33" s="65" t="str">
        <f>IFERROR(_xll.qlRateHelperRate(X33,Trigger),"")</f>
        <v/>
      </c>
      <c r="AA33" s="9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1" t="e">
        <v>#N/A</v>
      </c>
      <c r="AE33" s="146"/>
    </row>
    <row r="34" spans="1:31" ht="11.25" customHeight="1" x14ac:dyDescent="0.2">
      <c r="A34" s="56" t="s">
        <v>116</v>
      </c>
      <c r="B34" s="57" t="s">
        <v>105</v>
      </c>
      <c r="C34" s="58" t="s">
        <v>6</v>
      </c>
      <c r="D34" s="58" t="s">
        <v>156</v>
      </c>
      <c r="E34" s="58" t="s">
        <v>7</v>
      </c>
      <c r="F34" s="58" t="s">
        <v>154</v>
      </c>
      <c r="G34" s="58" t="str">
        <f t="shared" si="7"/>
        <v>AudBBSW1M</v>
      </c>
      <c r="H34" s="56" t="str">
        <f t="shared" si="8"/>
        <v>AUDQM3AB22Y_Quote</v>
      </c>
      <c r="I34" s="126" t="str">
        <f t="shared" si="9"/>
        <v>AUD1BR3BR22Y_Quote</v>
      </c>
      <c r="J34" s="167" t="str">
        <f>IF(P32,_xll.qlSwapRateHelper2(,H34,1,B34,Calendar,D34,E34,F34,G34,I34,C34,Discounting,PillarDate,,Permanent,Trigger,ObjectOverwrite),"--")</f>
        <v>--</v>
      </c>
      <c r="K34" s="46"/>
      <c r="L34" s="173" t="str">
        <f t="shared" si="4"/>
        <v>BasSw</v>
      </c>
      <c r="M34" s="169" t="str">
        <f t="shared" si="6"/>
        <v>AUDQM3AB24Y_Quote</v>
      </c>
      <c r="N34" s="174" t="str">
        <f>IFERROR(_xll.qlQuoteValue(H36),"--")</f>
        <v>--</v>
      </c>
      <c r="O34" s="174" t="str">
        <f>IFERROR(_xll.qlQuoteValue(I36),"--")</f>
        <v>--</v>
      </c>
      <c r="P34" s="123" t="b">
        <v>0</v>
      </c>
      <c r="Q34" s="88">
        <v>50</v>
      </c>
      <c r="R34" s="88">
        <v>1</v>
      </c>
      <c r="S34" s="88" t="str">
        <f t="shared" si="5"/>
        <v>--</v>
      </c>
      <c r="T34" s="92" t="str">
        <f>IFERROR(_xll.qlRateHelperEarliestDate(S34,Trigger),"--")</f>
        <v>--</v>
      </c>
      <c r="U34" s="92" t="str">
        <f>IFERROR(_xll.qlRateHelperPillarDate(S34,Trigger),"--")</f>
        <v>--</v>
      </c>
      <c r="W34" s="3" t="str">
        <f t="shared" si="1"/>
        <v/>
      </c>
      <c r="X34" s="3" t="e">
        <v>#N/A</v>
      </c>
      <c r="Y34" s="3" t="str">
        <f>IFERROR(_xll.qlRateHelperQuoteName(X34,Trigger),"")</f>
        <v/>
      </c>
      <c r="Z34" s="65" t="str">
        <f>IFERROR(_xll.qlRateHelperRate(X34,Trigger),"")</f>
        <v/>
      </c>
      <c r="AA34" s="9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1" t="e">
        <v>#N/A</v>
      </c>
      <c r="AE34" s="146"/>
    </row>
    <row r="35" spans="1:31" ht="11.25" customHeight="1" x14ac:dyDescent="0.2">
      <c r="A35" s="56" t="s">
        <v>116</v>
      </c>
      <c r="B35" s="57" t="s">
        <v>106</v>
      </c>
      <c r="C35" s="58" t="s">
        <v>6</v>
      </c>
      <c r="D35" s="58" t="s">
        <v>156</v>
      </c>
      <c r="E35" s="58" t="s">
        <v>7</v>
      </c>
      <c r="F35" s="58" t="s">
        <v>154</v>
      </c>
      <c r="G35" s="58" t="str">
        <f t="shared" si="7"/>
        <v>AudBBSW1M</v>
      </c>
      <c r="H35" s="56" t="str">
        <f t="shared" si="8"/>
        <v>AUDQM3AB23Y_Quote</v>
      </c>
      <c r="I35" s="126" t="str">
        <f t="shared" si="9"/>
        <v>AUD1BR3BR23Y_Quote</v>
      </c>
      <c r="J35" s="167" t="str">
        <f>IF(P33,_xll.qlSwapRateHelper2(,H35,1,B35,Calendar,D35,E35,F35,G35,I35,C35,Discounting,PillarDate,,Permanent,Trigger,ObjectOverwrite),"--")</f>
        <v>--</v>
      </c>
      <c r="K35" s="46"/>
      <c r="L35" s="173" t="str">
        <f t="shared" si="4"/>
        <v>BasSw</v>
      </c>
      <c r="M35" s="169" t="str">
        <f t="shared" si="6"/>
        <v>AUDQM3AB25Y_Quote</v>
      </c>
      <c r="N35" s="174" t="str">
        <f>IFERROR(_xll.qlQuoteValue(H37),"--")</f>
        <v>--</v>
      </c>
      <c r="O35" s="174">
        <f>IFERROR(_xll.qlQuoteValue(I37),"--")</f>
        <v>1.075E-3</v>
      </c>
      <c r="P35" s="123" t="b">
        <v>0</v>
      </c>
      <c r="Q35" s="88">
        <v>50</v>
      </c>
      <c r="R35" s="88">
        <v>1</v>
      </c>
      <c r="S35" s="88" t="str">
        <f t="shared" si="5"/>
        <v>--</v>
      </c>
      <c r="T35" s="92" t="str">
        <f>IFERROR(_xll.qlRateHelperEarliestDate(S35,Trigger),"--")</f>
        <v>--</v>
      </c>
      <c r="U35" s="92" t="str">
        <f>IFERROR(_xll.qlRateHelperPillarDate(S35,Trigger),"--")</f>
        <v>--</v>
      </c>
      <c r="W35" s="3" t="str">
        <f t="shared" ref="W35:W66" si="13">IFERROR(INDEX($L$3:$L$84,MATCH(Y35,$M$3:$M$84,0),1),"")</f>
        <v/>
      </c>
      <c r="X35" s="3" t="e">
        <v>#N/A</v>
      </c>
      <c r="Y35" s="3" t="str">
        <f>IFERROR(_xll.qlRateHelperQuoteName(X35,Trigger),"")</f>
        <v/>
      </c>
      <c r="Z35" s="65" t="str">
        <f>IFERROR(_xll.qlRateHelperRate(X35,Trigger),"")</f>
        <v/>
      </c>
      <c r="AA35" s="9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1" t="e">
        <v>#N/A</v>
      </c>
      <c r="AE35" s="146"/>
    </row>
    <row r="36" spans="1:31" ht="11.25" customHeight="1" x14ac:dyDescent="0.2">
      <c r="A36" s="56" t="s">
        <v>116</v>
      </c>
      <c r="B36" s="57" t="s">
        <v>107</v>
      </c>
      <c r="C36" s="58" t="s">
        <v>6</v>
      </c>
      <c r="D36" s="58" t="s">
        <v>156</v>
      </c>
      <c r="E36" s="58" t="s">
        <v>7</v>
      </c>
      <c r="F36" s="58" t="s">
        <v>154</v>
      </c>
      <c r="G36" s="58" t="str">
        <f t="shared" si="7"/>
        <v>AudBBSW1M</v>
      </c>
      <c r="H36" s="56" t="str">
        <f t="shared" si="8"/>
        <v>AUDQM3AB24Y_Quote</v>
      </c>
      <c r="I36" s="126" t="str">
        <f t="shared" si="9"/>
        <v>AUD1BR3BR24Y_Quote</v>
      </c>
      <c r="J36" s="167" t="str">
        <f>IF(P34,_xll.qlSwapRateHelper2(,H36,1,B36,Calendar,D36,E36,F36,G36,I36,C36,Discounting,PillarDate,,Permanent,Trigger,ObjectOverwrite),"--")</f>
        <v>--</v>
      </c>
      <c r="K36" s="46"/>
      <c r="L36" s="173" t="str">
        <f t="shared" si="4"/>
        <v>BasSw</v>
      </c>
      <c r="M36" s="169" t="str">
        <f t="shared" si="6"/>
        <v>AUDQM3AB26Y_Quote</v>
      </c>
      <c r="N36" s="174" t="str">
        <f>IFERROR(_xll.qlQuoteValue(H38),"--")</f>
        <v>--</v>
      </c>
      <c r="O36" s="174" t="str">
        <f>IFERROR(_xll.qlQuoteValue(I38),"--")</f>
        <v>--</v>
      </c>
      <c r="P36" s="123" t="b">
        <v>0</v>
      </c>
      <c r="Q36" s="88">
        <v>50</v>
      </c>
      <c r="R36" s="88">
        <v>1</v>
      </c>
      <c r="S36" s="88" t="str">
        <f t="shared" si="5"/>
        <v>--</v>
      </c>
      <c r="T36" s="92" t="str">
        <f>IFERROR(_xll.qlRateHelperEarliestDate(S36,Trigger),"--")</f>
        <v>--</v>
      </c>
      <c r="U36" s="92" t="str">
        <f>IFERROR(_xll.qlRateHelperPillarDate(S36,Trigger),"--")</f>
        <v>--</v>
      </c>
      <c r="W36" s="3" t="str">
        <f t="shared" si="13"/>
        <v/>
      </c>
      <c r="X36" s="3" t="e">
        <v>#N/A</v>
      </c>
      <c r="Y36" s="3" t="str">
        <f>IFERROR(_xll.qlRateHelperQuoteName(X36,Trigger),"")</f>
        <v/>
      </c>
      <c r="Z36" s="65" t="str">
        <f>IFERROR(_xll.qlRateHelperRate(X36,Trigger),"")</f>
        <v/>
      </c>
      <c r="AA36" s="9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1" t="e">
        <v>#N/A</v>
      </c>
      <c r="AE36" s="146"/>
    </row>
    <row r="37" spans="1:31" ht="11.25" customHeight="1" x14ac:dyDescent="0.2">
      <c r="A37" s="56" t="s">
        <v>116</v>
      </c>
      <c r="B37" s="57" t="s">
        <v>64</v>
      </c>
      <c r="C37" s="58" t="s">
        <v>6</v>
      </c>
      <c r="D37" s="58" t="s">
        <v>156</v>
      </c>
      <c r="E37" s="58" t="s">
        <v>7</v>
      </c>
      <c r="F37" s="58" t="s">
        <v>154</v>
      </c>
      <c r="G37" s="58" t="str">
        <f t="shared" si="7"/>
        <v>AudBBSW1M</v>
      </c>
      <c r="H37" s="56" t="str">
        <f t="shared" si="8"/>
        <v>AUDQM3AB25Y_Quote</v>
      </c>
      <c r="I37" s="126" t="str">
        <f t="shared" si="9"/>
        <v>AUD1BR3BR25Y_Quote</v>
      </c>
      <c r="J37" s="167" t="str">
        <f>IF(P35,_xll.qlSwapRateHelper2(,H37,1,B37,Calendar,D37,E37,F37,G37,I37,C37,Discounting,PillarDate,,Permanent,Trigger,ObjectOverwrite),"--")</f>
        <v>--</v>
      </c>
      <c r="K37" s="46"/>
      <c r="L37" s="173" t="str">
        <f t="shared" si="4"/>
        <v>BasSw</v>
      </c>
      <c r="M37" s="169" t="str">
        <f t="shared" si="6"/>
        <v>AUDQM3AB27Y_Quote</v>
      </c>
      <c r="N37" s="174" t="str">
        <f>IFERROR(_xll.qlQuoteValue(H39),"--")</f>
        <v>--</v>
      </c>
      <c r="O37" s="174" t="str">
        <f>IFERROR(_xll.qlQuoteValue(I39),"--")</f>
        <v>--</v>
      </c>
      <c r="P37" s="123" t="b">
        <v>0</v>
      </c>
      <c r="Q37" s="88">
        <v>50</v>
      </c>
      <c r="R37" s="88">
        <v>1</v>
      </c>
      <c r="S37" s="88" t="str">
        <f t="shared" si="5"/>
        <v>--</v>
      </c>
      <c r="T37" s="92" t="str">
        <f>IFERROR(_xll.qlRateHelperEarliestDate(S37,Trigger),"--")</f>
        <v>--</v>
      </c>
      <c r="U37" s="92" t="str">
        <f>IFERROR(_xll.qlRateHelperPillarDate(S37,Trigger),"--")</f>
        <v>--</v>
      </c>
      <c r="W37" s="3" t="str">
        <f t="shared" si="13"/>
        <v/>
      </c>
      <c r="X37" s="3" t="e">
        <v>#N/A</v>
      </c>
      <c r="Y37" s="3" t="str">
        <f>IFERROR(_xll.qlRateHelperQuoteName(X37,Trigger),"")</f>
        <v/>
      </c>
      <c r="Z37" s="65" t="str">
        <f>IFERROR(_xll.qlRateHelperRate(X37,Trigger),"")</f>
        <v/>
      </c>
      <c r="AA37" s="9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1" t="e">
        <v>#N/A</v>
      </c>
      <c r="AE37" s="146"/>
    </row>
    <row r="38" spans="1:31" ht="11.25" customHeight="1" x14ac:dyDescent="0.2">
      <c r="A38" s="56" t="s">
        <v>116</v>
      </c>
      <c r="B38" s="57" t="s">
        <v>108</v>
      </c>
      <c r="C38" s="58" t="s">
        <v>6</v>
      </c>
      <c r="D38" s="58" t="s">
        <v>156</v>
      </c>
      <c r="E38" s="58" t="s">
        <v>7</v>
      </c>
      <c r="F38" s="58" t="s">
        <v>154</v>
      </c>
      <c r="G38" s="58" t="str">
        <f t="shared" si="7"/>
        <v>AudBBSW1M</v>
      </c>
      <c r="H38" s="56" t="str">
        <f t="shared" si="8"/>
        <v>AUDQM3AB26Y_Quote</v>
      </c>
      <c r="I38" s="126" t="str">
        <f t="shared" si="9"/>
        <v>AUD1BR3BR26Y_Quote</v>
      </c>
      <c r="J38" s="167" t="str">
        <f>IF(P36,_xll.qlSwapRateHelper2(,H38,1,B38,Calendar,D38,E38,F38,G38,I38,C38,Discounting,PillarDate,,Permanent,Trigger,ObjectOverwrite),"--")</f>
        <v>--</v>
      </c>
      <c r="K38" s="46"/>
      <c r="L38" s="173" t="str">
        <f t="shared" si="4"/>
        <v>BasSw</v>
      </c>
      <c r="M38" s="169" t="str">
        <f t="shared" si="6"/>
        <v>AUDQM3AB28Y_Quote</v>
      </c>
      <c r="N38" s="174" t="str">
        <f>IFERROR(_xll.qlQuoteValue(H40),"--")</f>
        <v>--</v>
      </c>
      <c r="O38" s="174" t="str">
        <f>IFERROR(_xll.qlQuoteValue(I40),"--")</f>
        <v>--</v>
      </c>
      <c r="P38" s="123" t="b">
        <v>0</v>
      </c>
      <c r="Q38" s="88">
        <v>50</v>
      </c>
      <c r="R38" s="88">
        <v>1</v>
      </c>
      <c r="S38" s="88" t="str">
        <f t="shared" si="5"/>
        <v>--</v>
      </c>
      <c r="T38" s="92" t="str">
        <f>IFERROR(_xll.qlRateHelperEarliestDate(S38,Trigger),"--")</f>
        <v>--</v>
      </c>
      <c r="U38" s="92" t="str">
        <f>IFERROR(_xll.qlRateHelperPillarDate(S38,Trigger),"--")</f>
        <v>--</v>
      </c>
      <c r="W38" s="3" t="str">
        <f t="shared" si="13"/>
        <v/>
      </c>
      <c r="X38" s="3" t="e">
        <v>#N/A</v>
      </c>
      <c r="Y38" s="3" t="str">
        <f>IFERROR(_xll.qlRateHelperQuoteName(X38,Trigger),"")</f>
        <v/>
      </c>
      <c r="Z38" s="65" t="str">
        <f>IFERROR(_xll.qlRateHelperRate(X38,Trigger),"")</f>
        <v/>
      </c>
      <c r="AA38" s="9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1" t="e">
        <v>#N/A</v>
      </c>
      <c r="AE38" s="146"/>
    </row>
    <row r="39" spans="1:31" ht="11.25" customHeight="1" x14ac:dyDescent="0.2">
      <c r="A39" s="56" t="s">
        <v>116</v>
      </c>
      <c r="B39" s="57" t="s">
        <v>65</v>
      </c>
      <c r="C39" s="58" t="s">
        <v>6</v>
      </c>
      <c r="D39" s="58" t="s">
        <v>156</v>
      </c>
      <c r="E39" s="58" t="s">
        <v>7</v>
      </c>
      <c r="F39" s="58" t="s">
        <v>154</v>
      </c>
      <c r="G39" s="58" t="str">
        <f t="shared" si="7"/>
        <v>AudBBSW1M</v>
      </c>
      <c r="H39" s="56" t="str">
        <f t="shared" si="8"/>
        <v>AUDQM3AB27Y_Quote</v>
      </c>
      <c r="I39" s="126" t="str">
        <f t="shared" si="9"/>
        <v>AUD1BR3BR27Y_Quote</v>
      </c>
      <c r="J39" s="167" t="str">
        <f>IF(P37,_xll.qlSwapRateHelper2(,H39,1,B39,Calendar,D39,E39,F39,G39,I39,C39,Discounting,PillarDate,,Permanent,Trigger,ObjectOverwrite),"--")</f>
        <v>--</v>
      </c>
      <c r="K39" s="46"/>
      <c r="L39" s="173" t="str">
        <f t="shared" si="4"/>
        <v>BasSw</v>
      </c>
      <c r="M39" s="169" t="str">
        <f t="shared" si="6"/>
        <v>AUDQM3AB29Y_Quote</v>
      </c>
      <c r="N39" s="174" t="str">
        <f>IFERROR(_xll.qlQuoteValue(H41),"--")</f>
        <v>--</v>
      </c>
      <c r="O39" s="174" t="str">
        <f>IFERROR(_xll.qlQuoteValue(I41),"--")</f>
        <v>--</v>
      </c>
      <c r="P39" s="123" t="b">
        <v>0</v>
      </c>
      <c r="Q39" s="88">
        <v>50</v>
      </c>
      <c r="R39" s="88">
        <v>1</v>
      </c>
      <c r="S39" s="88" t="str">
        <f t="shared" si="5"/>
        <v>--</v>
      </c>
      <c r="T39" s="92" t="str">
        <f>IFERROR(_xll.qlRateHelperEarliestDate(S39,Trigger),"--")</f>
        <v>--</v>
      </c>
      <c r="U39" s="92" t="str">
        <f>IFERROR(_xll.qlRateHelperPillarDate(S39,Trigger),"--")</f>
        <v>--</v>
      </c>
      <c r="W39" s="3" t="str">
        <f t="shared" si="13"/>
        <v/>
      </c>
      <c r="X39" s="3" t="e">
        <v>#N/A</v>
      </c>
      <c r="Y39" s="3" t="str">
        <f>IFERROR(_xll.qlRateHelperQuoteName(X39,Trigger),"")</f>
        <v/>
      </c>
      <c r="Z39" s="65" t="str">
        <f>IFERROR(_xll.qlRateHelperRate(X39,Trigger),"")</f>
        <v/>
      </c>
      <c r="AA39" s="9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1" t="e">
        <v>#N/A</v>
      </c>
      <c r="AE39" s="146"/>
    </row>
    <row r="40" spans="1:31" ht="11.25" customHeight="1" x14ac:dyDescent="0.2">
      <c r="A40" s="56" t="s">
        <v>116</v>
      </c>
      <c r="B40" s="57" t="s">
        <v>109</v>
      </c>
      <c r="C40" s="58" t="s">
        <v>6</v>
      </c>
      <c r="D40" s="58" t="s">
        <v>156</v>
      </c>
      <c r="E40" s="58" t="s">
        <v>7</v>
      </c>
      <c r="F40" s="58" t="s">
        <v>154</v>
      </c>
      <c r="G40" s="58" t="str">
        <f t="shared" si="7"/>
        <v>AudBBSW1M</v>
      </c>
      <c r="H40" s="56" t="str">
        <f t="shared" si="8"/>
        <v>AUDQM3AB28Y_Quote</v>
      </c>
      <c r="I40" s="126" t="str">
        <f t="shared" si="9"/>
        <v>AUD1BR3BR28Y_Quote</v>
      </c>
      <c r="J40" s="167" t="str">
        <f>IF(P38,_xll.qlSwapRateHelper2(,H40,1,B40,Calendar,D40,E40,F40,G40,I40,C40,Discounting,PillarDate,,Permanent,Trigger,ObjectOverwrite),"--")</f>
        <v>--</v>
      </c>
      <c r="K40" s="46"/>
      <c r="L40" s="173" t="str">
        <f t="shared" si="4"/>
        <v>BasSw</v>
      </c>
      <c r="M40" s="169" t="str">
        <f t="shared" si="6"/>
        <v>AUDQM3AB30Y_Quote</v>
      </c>
      <c r="N40" s="174" t="str">
        <f>IFERROR(_xll.qlQuoteValue(H42),"--")</f>
        <v>--</v>
      </c>
      <c r="O40" s="174">
        <f>IFERROR(_xll.qlQuoteValue(I42),"--")</f>
        <v>1.075E-3</v>
      </c>
      <c r="P40" s="123" t="b">
        <v>0</v>
      </c>
      <c r="Q40" s="88">
        <v>50</v>
      </c>
      <c r="R40" s="88">
        <v>1</v>
      </c>
      <c r="S40" s="88" t="str">
        <f t="shared" si="5"/>
        <v>--</v>
      </c>
      <c r="T40" s="92" t="str">
        <f>IFERROR(_xll.qlRateHelperEarliestDate(S40,Trigger),"--")</f>
        <v>--</v>
      </c>
      <c r="U40" s="92" t="str">
        <f>IFERROR(_xll.qlRateHelperPillarDate(S40,Trigger),"--")</f>
        <v>--</v>
      </c>
      <c r="W40" s="3" t="str">
        <f t="shared" si="13"/>
        <v/>
      </c>
      <c r="X40" s="3" t="e">
        <v>#N/A</v>
      </c>
      <c r="Y40" s="3" t="str">
        <f>IFERROR(_xll.qlRateHelperQuoteName(X40,Trigger),"")</f>
        <v/>
      </c>
      <c r="Z40" s="65" t="str">
        <f>IFERROR(_xll.qlRateHelperRate(X40,Trigger),"")</f>
        <v/>
      </c>
      <c r="AA40" s="9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1" t="e">
        <v>#N/A</v>
      </c>
      <c r="AE40" s="146"/>
    </row>
    <row r="41" spans="1:31" ht="11.25" customHeight="1" x14ac:dyDescent="0.2">
      <c r="A41" s="56" t="s">
        <v>116</v>
      </c>
      <c r="B41" s="57" t="s">
        <v>110</v>
      </c>
      <c r="C41" s="58" t="s">
        <v>6</v>
      </c>
      <c r="D41" s="58" t="s">
        <v>156</v>
      </c>
      <c r="E41" s="58" t="s">
        <v>7</v>
      </c>
      <c r="F41" s="58" t="s">
        <v>154</v>
      </c>
      <c r="G41" s="58" t="str">
        <f t="shared" si="7"/>
        <v>AudBBSW1M</v>
      </c>
      <c r="H41" s="56" t="str">
        <f t="shared" si="8"/>
        <v>AUDQM3AB29Y_Quote</v>
      </c>
      <c r="I41" s="126" t="str">
        <f t="shared" si="9"/>
        <v>AUD1BR3BR29Y_Quote</v>
      </c>
      <c r="J41" s="167" t="str">
        <f>IF(P39,_xll.qlSwapRateHelper2(,H41,1,B41,Calendar,D41,E41,F41,G41,I41,C41,Discounting,PillarDate,,Permanent,Trigger,ObjectOverwrite),"--")</f>
        <v>--</v>
      </c>
      <c r="L41" s="173" t="str">
        <f t="shared" si="4"/>
        <v>BasSw</v>
      </c>
      <c r="M41" s="169" t="str">
        <f t="shared" si="6"/>
        <v>AUDQM3AB35Y_Quote</v>
      </c>
      <c r="N41" s="174" t="str">
        <f>IFERROR(_xll.qlQuoteValue(H43),"--")</f>
        <v>--</v>
      </c>
      <c r="O41" s="174" t="str">
        <f>IFERROR(_xll.qlQuoteValue(I43),"--")</f>
        <v>--</v>
      </c>
      <c r="P41" s="123" t="b">
        <v>0</v>
      </c>
      <c r="Q41" s="88">
        <v>50</v>
      </c>
      <c r="R41" s="88">
        <v>1</v>
      </c>
      <c r="S41" s="88" t="str">
        <f t="shared" si="5"/>
        <v>--</v>
      </c>
      <c r="T41" s="92" t="str">
        <f>IFERROR(_xll.qlRateHelperEarliestDate(S41,Trigger),"--")</f>
        <v>--</v>
      </c>
      <c r="U41" s="92" t="str">
        <f>IFERROR(_xll.qlRateHelperPillarDate(S41,Trigger),"--")</f>
        <v>--</v>
      </c>
      <c r="W41" s="3" t="str">
        <f t="shared" si="13"/>
        <v/>
      </c>
      <c r="X41" s="3" t="e">
        <v>#N/A</v>
      </c>
      <c r="Y41" s="3" t="str">
        <f>IFERROR(_xll.qlRateHelperQuoteName(X41,Trigger),"")</f>
        <v/>
      </c>
      <c r="Z41" s="65" t="str">
        <f>IFERROR(_xll.qlRateHelperRate(X41,Trigger),"")</f>
        <v/>
      </c>
      <c r="AA41" s="9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1" t="e">
        <v>#N/A</v>
      </c>
      <c r="AE41" s="146"/>
    </row>
    <row r="42" spans="1:31" ht="11.25" customHeight="1" x14ac:dyDescent="0.2">
      <c r="A42" s="56" t="s">
        <v>116</v>
      </c>
      <c r="B42" s="57" t="s">
        <v>66</v>
      </c>
      <c r="C42" s="58" t="s">
        <v>6</v>
      </c>
      <c r="D42" s="58" t="s">
        <v>156</v>
      </c>
      <c r="E42" s="58" t="s">
        <v>7</v>
      </c>
      <c r="F42" s="58" t="s">
        <v>154</v>
      </c>
      <c r="G42" s="58" t="str">
        <f t="shared" si="7"/>
        <v>AudBBSW1M</v>
      </c>
      <c r="H42" s="56" t="str">
        <f t="shared" si="8"/>
        <v>AUDQM3AB30Y_Quote</v>
      </c>
      <c r="I42" s="126" t="str">
        <f t="shared" si="9"/>
        <v>AUD1BR3BR30Y_Quote</v>
      </c>
      <c r="J42" s="167" t="str">
        <f>IF(P40,_xll.qlSwapRateHelper2(,H42,1,B42,Calendar,D42,E42,F42,G42,I42,C42,Discounting,PillarDate,,Permanent,Trigger,ObjectOverwrite),"--")</f>
        <v>--</v>
      </c>
      <c r="L42" s="173" t="str">
        <f t="shared" si="4"/>
        <v>BasSw</v>
      </c>
      <c r="M42" s="169" t="str">
        <f t="shared" si="6"/>
        <v>AUDQM3AB40Y_Quote</v>
      </c>
      <c r="N42" s="174" t="str">
        <f>IFERROR(_xll.qlQuoteValue(H44),"--")</f>
        <v>--</v>
      </c>
      <c r="O42" s="174" t="str">
        <f>IFERROR(_xll.qlQuoteValue(I44),"--")</f>
        <v>--</v>
      </c>
      <c r="P42" s="123" t="b">
        <v>0</v>
      </c>
      <c r="Q42" s="88">
        <v>50</v>
      </c>
      <c r="R42" s="88">
        <v>1</v>
      </c>
      <c r="S42" s="88" t="str">
        <f t="shared" si="5"/>
        <v>--</v>
      </c>
      <c r="T42" s="92" t="str">
        <f>IFERROR(_xll.qlRateHelperEarliestDate(S42,Trigger),"--")</f>
        <v>--</v>
      </c>
      <c r="U42" s="92" t="str">
        <f>IFERROR(_xll.qlRateHelperPillarDate(S42,Trigger),"--")</f>
        <v>--</v>
      </c>
      <c r="W42" s="3" t="str">
        <f t="shared" si="13"/>
        <v/>
      </c>
      <c r="X42" s="3" t="e">
        <v>#N/A</v>
      </c>
      <c r="Y42" s="3" t="str">
        <f>IFERROR(_xll.qlRateHelperQuoteName(X42,Trigger),"")</f>
        <v/>
      </c>
      <c r="Z42" s="65" t="str">
        <f>IFERROR(_xll.qlRateHelperRate(X42,Trigger),"")</f>
        <v/>
      </c>
      <c r="AA42" s="9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1" t="e">
        <v>#N/A</v>
      </c>
      <c r="AE42" s="146"/>
    </row>
    <row r="43" spans="1:31" ht="11.25" customHeight="1" x14ac:dyDescent="0.2">
      <c r="A43" s="56" t="s">
        <v>116</v>
      </c>
      <c r="B43" s="57" t="s">
        <v>67</v>
      </c>
      <c r="C43" s="58" t="s">
        <v>6</v>
      </c>
      <c r="D43" s="58" t="s">
        <v>156</v>
      </c>
      <c r="E43" s="58" t="s">
        <v>7</v>
      </c>
      <c r="F43" s="58" t="s">
        <v>154</v>
      </c>
      <c r="G43" s="58" t="str">
        <f t="shared" si="7"/>
        <v>AudBBSW1M</v>
      </c>
      <c r="H43" s="56" t="str">
        <f t="shared" si="8"/>
        <v>AUDQM3AB35Y_Quote</v>
      </c>
      <c r="I43" s="126" t="str">
        <f t="shared" si="9"/>
        <v>AUD1BR3BR35Y_Quote</v>
      </c>
      <c r="J43" s="167" t="str">
        <f>IF(P41,_xll.qlSwapRateHelper2(,H43,1,B43,Calendar,D43,E43,F43,G43,I43,C43,Discounting,PillarDate,,Permanent,Trigger,ObjectOverwrite),"--")</f>
        <v>--</v>
      </c>
      <c r="L43" s="173" t="str">
        <f t="shared" si="4"/>
        <v>BasSw</v>
      </c>
      <c r="M43" s="169" t="str">
        <f t="shared" si="6"/>
        <v>AUDQM3AB50Y_Quote</v>
      </c>
      <c r="N43" s="174" t="str">
        <f>IFERROR(_xll.qlQuoteValue(H45),"--")</f>
        <v>--</v>
      </c>
      <c r="O43" s="174" t="str">
        <f>IFERROR(_xll.qlQuoteValue(I45),"--")</f>
        <v>--</v>
      </c>
      <c r="P43" s="123" t="b">
        <v>0</v>
      </c>
      <c r="Q43" s="88">
        <v>50</v>
      </c>
      <c r="R43" s="88">
        <v>1</v>
      </c>
      <c r="S43" s="88" t="str">
        <f t="shared" si="5"/>
        <v>--</v>
      </c>
      <c r="T43" s="92" t="str">
        <f>IFERROR(_xll.qlRateHelperEarliestDate(S43,Trigger),"--")</f>
        <v>--</v>
      </c>
      <c r="U43" s="92" t="str">
        <f>IFERROR(_xll.qlRateHelperPillarDate(S43,Trigger),"--")</f>
        <v>--</v>
      </c>
      <c r="W43" s="3" t="str">
        <f t="shared" si="13"/>
        <v/>
      </c>
      <c r="X43" s="3" t="e">
        <v>#N/A</v>
      </c>
      <c r="Y43" s="3" t="str">
        <f>IFERROR(_xll.qlRateHelperQuoteName(X43,Trigger),"")</f>
        <v/>
      </c>
      <c r="Z43" s="65" t="str">
        <f>IFERROR(_xll.qlRateHelperRate(X43,Trigger),"")</f>
        <v/>
      </c>
      <c r="AA43" s="9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1" t="e">
        <v>#N/A</v>
      </c>
      <c r="AE43" s="146"/>
    </row>
    <row r="44" spans="1:31" ht="11.25" customHeight="1" x14ac:dyDescent="0.2">
      <c r="A44" s="56" t="s">
        <v>116</v>
      </c>
      <c r="B44" s="57" t="s">
        <v>68</v>
      </c>
      <c r="C44" s="58" t="s">
        <v>6</v>
      </c>
      <c r="D44" s="58" t="s">
        <v>156</v>
      </c>
      <c r="E44" s="58" t="s">
        <v>7</v>
      </c>
      <c r="F44" s="58" t="s">
        <v>154</v>
      </c>
      <c r="G44" s="58" t="str">
        <f t="shared" si="7"/>
        <v>AudBBSW1M</v>
      </c>
      <c r="H44" s="56" t="str">
        <f t="shared" si="8"/>
        <v>AUDQM3AB40Y_Quote</v>
      </c>
      <c r="I44" s="126" t="str">
        <f t="shared" si="9"/>
        <v>AUD1BR3BR40Y_Quote</v>
      </c>
      <c r="J44" s="167" t="str">
        <f>IF(P42,_xll.qlSwapRateHelper2(,H44,1,B44,Calendar,D44,E44,F44,G44,I44,C44,Discounting,PillarDate,,Permanent,Trigger,ObjectOverwrite),"--")</f>
        <v>--</v>
      </c>
      <c r="L44" s="173" t="str">
        <f t="shared" si="4"/>
        <v>BasSw</v>
      </c>
      <c r="M44" s="169" t="str">
        <f t="shared" si="6"/>
        <v>AUDQM3AB60Y_Quote</v>
      </c>
      <c r="N44" s="174" t="str">
        <f>IFERROR(_xll.qlQuoteValue(H46),"--")</f>
        <v>--</v>
      </c>
      <c r="O44" s="174" t="str">
        <f>IFERROR(_xll.qlQuoteValue(I46),"--")</f>
        <v>--</v>
      </c>
      <c r="P44" s="123" t="b">
        <v>0</v>
      </c>
      <c r="Q44" s="88">
        <v>50</v>
      </c>
      <c r="R44" s="88">
        <v>1</v>
      </c>
      <c r="S44" s="88" t="str">
        <f t="shared" si="5"/>
        <v>--</v>
      </c>
      <c r="T44" s="92" t="str">
        <f>IFERROR(_xll.qlRateHelperEarliestDate(S44,Trigger),"--")</f>
        <v>--</v>
      </c>
      <c r="U44" s="92" t="str">
        <f>IFERROR(_xll.qlRateHelperPillarDate(S44,Trigger),"--")</f>
        <v>--</v>
      </c>
      <c r="W44" s="3" t="str">
        <f t="shared" si="13"/>
        <v/>
      </c>
      <c r="X44" s="3" t="e">
        <v>#N/A</v>
      </c>
      <c r="Y44" s="3" t="str">
        <f>IFERROR(_xll.qlRateHelperQuoteName(X44,Trigger),"")</f>
        <v/>
      </c>
      <c r="Z44" s="65" t="str">
        <f>IFERROR(_xll.qlRateHelperRate(X44,Trigger),"")</f>
        <v/>
      </c>
      <c r="AA44" s="9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1" t="e">
        <v>#N/A</v>
      </c>
    </row>
    <row r="45" spans="1:31" ht="11.25" customHeight="1" x14ac:dyDescent="0.2">
      <c r="A45" s="56" t="s">
        <v>116</v>
      </c>
      <c r="B45" s="57" t="s">
        <v>69</v>
      </c>
      <c r="C45" s="58" t="s">
        <v>6</v>
      </c>
      <c r="D45" s="58" t="s">
        <v>156</v>
      </c>
      <c r="E45" s="58" t="s">
        <v>7</v>
      </c>
      <c r="F45" s="58" t="s">
        <v>154</v>
      </c>
      <c r="G45" s="58" t="str">
        <f t="shared" si="7"/>
        <v>AudBBSW1M</v>
      </c>
      <c r="H45" s="56" t="str">
        <f t="shared" si="8"/>
        <v>AUDQM3AB50Y_Quote</v>
      </c>
      <c r="I45" s="126" t="str">
        <f t="shared" si="9"/>
        <v>AUD1BR3BR50Y_Quote</v>
      </c>
      <c r="J45" s="167" t="str">
        <f>IF(P43,_xll.qlSwapRateHelper2(,H45,1,B45,Calendar,D45,E45,F45,G45,I45,C45,Discounting,PillarDate,,Permanent,Trigger,ObjectOverwrite),"--")</f>
        <v>--</v>
      </c>
      <c r="L45" s="171" t="str">
        <f>A49</f>
        <v>BasSw</v>
      </c>
      <c r="M45" s="170" t="str">
        <f>H49</f>
        <v>AUDQM3AB3M_S1BR3BR_Quote</v>
      </c>
      <c r="N45" s="172">
        <f>IFERROR(_xll.qlQuoteValue(H49),"--")</f>
        <v>2.0003376715159331E-2</v>
      </c>
      <c r="O45" s="172">
        <f>IFERROR(_xll.qlQuoteValue(I49),"--")</f>
        <v>2.0500000000000002E-3</v>
      </c>
      <c r="P45" s="121" t="b">
        <v>1</v>
      </c>
      <c r="Q45" s="118">
        <v>50</v>
      </c>
      <c r="R45" s="118">
        <v>1</v>
      </c>
      <c r="S45" s="118" t="str">
        <f t="shared" ref="S45:S84" si="14">J49</f>
        <v>obj_00250#0003</v>
      </c>
      <c r="T45" s="120">
        <f>IFERROR(_xll.qlRateHelperEarliestDate(S45,Trigger),"--")</f>
        <v>42682</v>
      </c>
      <c r="U45" s="120">
        <f>IFERROR(_xll.qlRateHelperPillarDate(S45,Trigger),"--")</f>
        <v>42774</v>
      </c>
      <c r="W45" s="3" t="str">
        <f t="shared" si="13"/>
        <v/>
      </c>
      <c r="X45" s="3" t="e">
        <v>#N/A</v>
      </c>
      <c r="Y45" s="3" t="str">
        <f>IFERROR(_xll.qlRateHelperQuoteName(X45,Trigger),"")</f>
        <v/>
      </c>
      <c r="Z45" s="65" t="str">
        <f>IFERROR(_xll.qlRateHelperRate(X45,Trigger),"")</f>
        <v/>
      </c>
      <c r="AA45" s="9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1" t="e">
        <v>#N/A</v>
      </c>
    </row>
    <row r="46" spans="1:31" ht="11.25" customHeight="1" x14ac:dyDescent="0.2">
      <c r="A46" s="1" t="s">
        <v>116</v>
      </c>
      <c r="B46" s="7" t="s">
        <v>111</v>
      </c>
      <c r="C46" s="6" t="s">
        <v>6</v>
      </c>
      <c r="D46" s="6" t="s">
        <v>156</v>
      </c>
      <c r="E46" s="6" t="s">
        <v>7</v>
      </c>
      <c r="F46" s="6" t="s">
        <v>154</v>
      </c>
      <c r="G46" s="6" t="str">
        <f t="shared" si="7"/>
        <v>AudBBSW1M</v>
      </c>
      <c r="H46" s="1" t="str">
        <f t="shared" si="8"/>
        <v>AUDQM3AB60Y_Quote</v>
      </c>
      <c r="I46" s="127" t="str">
        <f t="shared" si="9"/>
        <v>AUD1BR3BR60Y_Quote</v>
      </c>
      <c r="J46" s="166" t="str">
        <f>IF(P44,_xll.qlSwapRateHelper2(,H46,1,B46,Calendar,D46,E46,F46,G46,I46,C46,Discounting,PillarDate,,Permanent,Trigger,ObjectOverwrite),"--")</f>
        <v>--</v>
      </c>
      <c r="L46" s="173" t="str">
        <f t="shared" ref="L46:L84" si="15">A50</f>
        <v>BasSw</v>
      </c>
      <c r="M46" s="169" t="str">
        <f t="shared" ref="M46:M84" si="16">H50</f>
        <v>AUDQM3AB6M_S1BR3BR_Quote</v>
      </c>
      <c r="N46" s="174">
        <f>IFERROR(_xll.qlQuoteValue(H50),"--")</f>
        <v>1.9373522545242317E-2</v>
      </c>
      <c r="O46" s="174">
        <f>IFERROR(_xll.qlQuoteValue(I50),"--")</f>
        <v>2.0625000000000001E-3</v>
      </c>
      <c r="P46" s="123" t="b">
        <v>1</v>
      </c>
      <c r="Q46" s="88">
        <v>50</v>
      </c>
      <c r="R46" s="88">
        <v>1</v>
      </c>
      <c r="S46" s="88" t="str">
        <f t="shared" si="14"/>
        <v>obj_0021e#0004</v>
      </c>
      <c r="T46" s="92">
        <f>IFERROR(_xll.qlRateHelperEarliestDate(S46,Trigger),"--")</f>
        <v>42682</v>
      </c>
      <c r="U46" s="92">
        <f>IFERROR(_xll.qlRateHelperPillarDate(S46,Trigger),"--")</f>
        <v>42863</v>
      </c>
      <c r="W46" s="3" t="str">
        <f t="shared" si="13"/>
        <v/>
      </c>
      <c r="X46" s="3" t="e">
        <v>#N/A</v>
      </c>
      <c r="Y46" s="3" t="str">
        <f>IFERROR(_xll.qlRateHelperQuoteName(X46,Trigger),"")</f>
        <v/>
      </c>
      <c r="Z46" s="65" t="str">
        <f>IFERROR(_xll.qlRateHelperRate(X46,Trigger),"")</f>
        <v/>
      </c>
      <c r="AA46" s="9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1" t="e">
        <v>#N/A</v>
      </c>
    </row>
    <row r="47" spans="1:31" ht="11.25" customHeight="1" x14ac:dyDescent="0.2">
      <c r="G47" s="48" t="s">
        <v>157</v>
      </c>
      <c r="H47" s="95" t="s">
        <v>158</v>
      </c>
      <c r="L47" s="173" t="str">
        <f t="shared" si="15"/>
        <v>BasSw</v>
      </c>
      <c r="M47" s="169" t="str">
        <f t="shared" si="16"/>
        <v>AUDQM3AB9M_S1BR3BR_Quote</v>
      </c>
      <c r="N47" s="174">
        <f>IFERROR(_xll.qlQuoteValue(H51),"--")</f>
        <v>1.886438866027244E-2</v>
      </c>
      <c r="O47" s="174">
        <f>IFERROR(_xll.qlQuoteValue(I51),"--")</f>
        <v>2.0500000000000002E-3</v>
      </c>
      <c r="P47" s="123" t="b">
        <v>1</v>
      </c>
      <c r="Q47" s="88">
        <v>50</v>
      </c>
      <c r="R47" s="88">
        <v>1</v>
      </c>
      <c r="S47" s="88" t="str">
        <f t="shared" si="14"/>
        <v>obj_0021d#0004</v>
      </c>
      <c r="T47" s="92">
        <f>IFERROR(_xll.qlRateHelperEarliestDate(S47,Trigger),"--")</f>
        <v>42682</v>
      </c>
      <c r="U47" s="92">
        <f>IFERROR(_xll.qlRateHelperPillarDate(S47,Trigger),"--")</f>
        <v>42955</v>
      </c>
      <c r="W47" s="3" t="str">
        <f t="shared" si="13"/>
        <v/>
      </c>
      <c r="X47" s="3" t="e">
        <v>#N/A</v>
      </c>
      <c r="Y47" s="3" t="str">
        <f>IFERROR(_xll.qlRateHelperQuoteName(X47,Trigger),"")</f>
        <v/>
      </c>
      <c r="Z47" s="65" t="str">
        <f>IFERROR(_xll.qlRateHelperRate(X47,Trigger),"")</f>
        <v/>
      </c>
      <c r="AA47" s="9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1" t="e">
        <v>#N/A</v>
      </c>
    </row>
    <row r="48" spans="1:31" ht="11.25" customHeight="1" x14ac:dyDescent="0.2">
      <c r="A48" s="61" t="s">
        <v>8</v>
      </c>
      <c r="B48" s="61" t="s">
        <v>28</v>
      </c>
      <c r="C48" s="61" t="s">
        <v>113</v>
      </c>
      <c r="D48" s="61" t="s">
        <v>5</v>
      </c>
      <c r="E48" s="61" t="s">
        <v>33</v>
      </c>
      <c r="F48" s="61" t="s">
        <v>114</v>
      </c>
      <c r="G48" s="61" t="s">
        <v>4</v>
      </c>
      <c r="H48" s="61" t="s">
        <v>1</v>
      </c>
      <c r="I48" s="61" t="s">
        <v>112</v>
      </c>
      <c r="J48" s="61" t="s">
        <v>24</v>
      </c>
      <c r="L48" s="173" t="str">
        <f t="shared" si="15"/>
        <v>BasSw</v>
      </c>
      <c r="M48" s="169" t="str">
        <f t="shared" si="16"/>
        <v>AUDQM3AB1Y_S1BR3BR_Quote</v>
      </c>
      <c r="N48" s="174">
        <f>IFERROR(_xll.qlQuoteValue(H52),"--")</f>
        <v>1.832499999999268E-2</v>
      </c>
      <c r="O48" s="174">
        <f>IFERROR(_xll.qlQuoteValue(I52),"--")</f>
        <v>2.0249999999999999E-3</v>
      </c>
      <c r="P48" s="123" t="b">
        <v>0</v>
      </c>
      <c r="Q48" s="88">
        <v>50</v>
      </c>
      <c r="R48" s="88">
        <v>1</v>
      </c>
      <c r="S48" s="88" t="str">
        <f t="shared" si="14"/>
        <v>--</v>
      </c>
      <c r="T48" s="92" t="str">
        <f>IFERROR(_xll.qlRateHelperEarliestDate(S48,Trigger),"--")</f>
        <v>--</v>
      </c>
      <c r="U48" s="92" t="str">
        <f>IFERROR(_xll.qlRateHelperPillarDate(S48,Trigger),"--")</f>
        <v>--</v>
      </c>
      <c r="W48" s="3" t="str">
        <f t="shared" si="13"/>
        <v/>
      </c>
      <c r="X48" s="3" t="e">
        <v>#N/A</v>
      </c>
      <c r="Y48" s="3" t="str">
        <f>IFERROR(_xll.qlRateHelperQuoteName(X48,Trigger),"")</f>
        <v/>
      </c>
      <c r="Z48" s="65" t="str">
        <f>IFERROR(_xll.qlRateHelperRate(X48,Trigger),"")</f>
        <v/>
      </c>
      <c r="AA48" s="9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1" t="e">
        <v>#N/A</v>
      </c>
    </row>
    <row r="49" spans="1:30" ht="11.25" customHeight="1" x14ac:dyDescent="0.2">
      <c r="A49" s="56" t="s">
        <v>116</v>
      </c>
      <c r="B49" s="57" t="s">
        <v>0</v>
      </c>
      <c r="C49" s="58" t="s">
        <v>6</v>
      </c>
      <c r="D49" s="58" t="s">
        <v>156</v>
      </c>
      <c r="E49" s="58" t="s">
        <v>7</v>
      </c>
      <c r="F49" s="58" t="s">
        <v>154</v>
      </c>
      <c r="G49" s="58" t="str">
        <f t="shared" ref="G49:G88" si="17">PROPER(Currency)&amp;FamilyName&amp;Tenor</f>
        <v>AudBBSW1M</v>
      </c>
      <c r="H49" s="56" t="str">
        <f t="shared" ref="H49:H88" si="18">Currency&amp;$G$47&amp;$H$47&amp;B49&amp;"_S"&amp;"1BR"&amp;"3BR"&amp;QuoteSuffix</f>
        <v>AUDQM3AB3M_S1BR3BR_Quote</v>
      </c>
      <c r="I49" s="126" t="str">
        <f t="shared" ref="I49:I88" si="19">Currency&amp;"1BR"&amp;"3BR"&amp;B49&amp;QuoteSuffix</f>
        <v>AUD1BR3BR3M_Quote</v>
      </c>
      <c r="J49" s="167" t="str">
        <f>IF(P45,_xll.qlSwapRateHelper2(,H49,1,B49,Calendar,D49,E49,F49,G49,I49,C49,Discounting,PillarDate,,Permanent,Trigger,ObjectOverwrite),"--")</f>
        <v>obj_00250#0003</v>
      </c>
      <c r="L49" s="173" t="str">
        <f t="shared" si="15"/>
        <v>BasSw</v>
      </c>
      <c r="M49" s="169" t="str">
        <f t="shared" si="16"/>
        <v>AUDQM3AB15M_S1BR3BR_Quote</v>
      </c>
      <c r="N49" s="174" t="str">
        <f>IFERROR(_xll.qlQuoteValue(H53),"--")</f>
        <v>--</v>
      </c>
      <c r="O49" s="174" t="str">
        <f>IFERROR(_xll.qlQuoteValue(I53),"--")</f>
        <v>--</v>
      </c>
      <c r="P49" s="123" t="b">
        <v>0</v>
      </c>
      <c r="Q49" s="88">
        <v>50</v>
      </c>
      <c r="R49" s="88">
        <v>1</v>
      </c>
      <c r="S49" s="88" t="str">
        <f t="shared" si="14"/>
        <v>--</v>
      </c>
      <c r="T49" s="92" t="str">
        <f>IFERROR(_xll.qlRateHelperEarliestDate(S49,Trigger),"--")</f>
        <v>--</v>
      </c>
      <c r="U49" s="92" t="str">
        <f>IFERROR(_xll.qlRateHelperPillarDate(S49,Trigger),"--")</f>
        <v>--</v>
      </c>
      <c r="W49" s="3" t="str">
        <f t="shared" si="13"/>
        <v/>
      </c>
      <c r="X49" s="3" t="e">
        <v>#N/A</v>
      </c>
      <c r="Y49" s="3" t="str">
        <f>IFERROR(_xll.qlRateHelperQuoteName(X49,Trigger),"")</f>
        <v/>
      </c>
      <c r="Z49" s="65" t="str">
        <f>IFERROR(_xll.qlRateHelperRate(X49,Trigger),"")</f>
        <v/>
      </c>
      <c r="AA49" s="9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1" t="e">
        <v>#N/A</v>
      </c>
    </row>
    <row r="50" spans="1:30" ht="11.25" customHeight="1" x14ac:dyDescent="0.2">
      <c r="A50" s="56" t="s">
        <v>116</v>
      </c>
      <c r="B50" s="57" t="s">
        <v>3</v>
      </c>
      <c r="C50" s="58" t="s">
        <v>6</v>
      </c>
      <c r="D50" s="58" t="s">
        <v>156</v>
      </c>
      <c r="E50" s="58" t="s">
        <v>7</v>
      </c>
      <c r="F50" s="58" t="s">
        <v>154</v>
      </c>
      <c r="G50" s="58" t="str">
        <f t="shared" si="17"/>
        <v>AudBBSW1M</v>
      </c>
      <c r="H50" s="56" t="str">
        <f t="shared" si="18"/>
        <v>AUDQM3AB6M_S1BR3BR_Quote</v>
      </c>
      <c r="I50" s="126" t="str">
        <f t="shared" si="19"/>
        <v>AUD1BR3BR6M_Quote</v>
      </c>
      <c r="J50" s="167" t="str">
        <f>IF(P46,_xll.qlSwapRateHelper2(,H50,1,B50,Calendar,D50,E50,F50,G50,I50,C50,Discounting,PillarDate,,Permanent,Trigger,ObjectOverwrite),"--")</f>
        <v>obj_0021e#0004</v>
      </c>
      <c r="L50" s="173" t="str">
        <f t="shared" si="15"/>
        <v>BasSw</v>
      </c>
      <c r="M50" s="169" t="str">
        <f t="shared" si="16"/>
        <v>AUDQM3AB18M_S1BR3BR_Quote</v>
      </c>
      <c r="N50" s="174" t="str">
        <f>IFERROR(_xll.qlQuoteValue(H54),"--")</f>
        <v>--</v>
      </c>
      <c r="O50" s="174" t="str">
        <f>IFERROR(_xll.qlQuoteValue(I54),"--")</f>
        <v>--</v>
      </c>
      <c r="P50" s="123" t="b">
        <v>0</v>
      </c>
      <c r="Q50" s="88">
        <v>50</v>
      </c>
      <c r="R50" s="88">
        <v>1</v>
      </c>
      <c r="S50" s="88" t="str">
        <f t="shared" si="14"/>
        <v>--</v>
      </c>
      <c r="T50" s="92" t="str">
        <f>IFERROR(_xll.qlRateHelperEarliestDate(S50,Trigger),"--")</f>
        <v>--</v>
      </c>
      <c r="U50" s="92" t="str">
        <f>IFERROR(_xll.qlRateHelperPillarDate(S50,Trigger),"--")</f>
        <v>--</v>
      </c>
      <c r="W50" s="3" t="str">
        <f t="shared" si="13"/>
        <v/>
      </c>
      <c r="X50" s="3" t="e">
        <v>#N/A</v>
      </c>
      <c r="Y50" s="3" t="str">
        <f>IFERROR(_xll.qlRateHelperQuoteName(X50,Trigger),"")</f>
        <v/>
      </c>
      <c r="Z50" s="65" t="str">
        <f>IFERROR(_xll.qlRateHelperRate(X50,Trigger),"")</f>
        <v/>
      </c>
      <c r="AA50" s="9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1" t="e">
        <v>#N/A</v>
      </c>
    </row>
    <row r="51" spans="1:30" ht="11.25" customHeight="1" x14ac:dyDescent="0.2">
      <c r="A51" s="56" t="s">
        <v>116</v>
      </c>
      <c r="B51" s="57" t="s">
        <v>46</v>
      </c>
      <c r="C51" s="58" t="s">
        <v>6</v>
      </c>
      <c r="D51" s="58" t="s">
        <v>156</v>
      </c>
      <c r="E51" s="58" t="s">
        <v>7</v>
      </c>
      <c r="F51" s="58" t="s">
        <v>154</v>
      </c>
      <c r="G51" s="58" t="str">
        <f t="shared" si="17"/>
        <v>AudBBSW1M</v>
      </c>
      <c r="H51" s="56" t="str">
        <f t="shared" si="18"/>
        <v>AUDQM3AB9M_S1BR3BR_Quote</v>
      </c>
      <c r="I51" s="126" t="str">
        <f t="shared" si="19"/>
        <v>AUD1BR3BR9M_Quote</v>
      </c>
      <c r="J51" s="167" t="str">
        <f>IF(P47,_xll.qlSwapRateHelper2(,H51,1,B51,Calendar,D51,E51,F51,G51,I51,C51,Discounting,PillarDate,,Permanent,Trigger,ObjectOverwrite),"--")</f>
        <v>obj_0021d#0004</v>
      </c>
      <c r="L51" s="173" t="str">
        <f t="shared" si="15"/>
        <v>BasSw</v>
      </c>
      <c r="M51" s="169" t="str">
        <f t="shared" si="16"/>
        <v>AUDQM3AB21M_S1BR3BR_Quote</v>
      </c>
      <c r="N51" s="174" t="str">
        <f>IFERROR(_xll.qlQuoteValue(H55),"--")</f>
        <v>--</v>
      </c>
      <c r="O51" s="174" t="str">
        <f>IFERROR(_xll.qlQuoteValue(I55),"--")</f>
        <v>--</v>
      </c>
      <c r="P51" s="123" t="b">
        <v>0</v>
      </c>
      <c r="Q51" s="88">
        <v>50</v>
      </c>
      <c r="R51" s="88">
        <v>1</v>
      </c>
      <c r="S51" s="88" t="str">
        <f t="shared" si="14"/>
        <v>--</v>
      </c>
      <c r="T51" s="92" t="str">
        <f>IFERROR(_xll.qlRateHelperEarliestDate(S51,Trigger),"--")</f>
        <v>--</v>
      </c>
      <c r="U51" s="92" t="str">
        <f>IFERROR(_xll.qlRateHelperPillarDate(S51,Trigger),"--")</f>
        <v>--</v>
      </c>
      <c r="W51" s="3" t="str">
        <f t="shared" si="13"/>
        <v/>
      </c>
      <c r="X51" s="3" t="e">
        <v>#N/A</v>
      </c>
      <c r="Y51" s="3" t="str">
        <f>IFERROR(_xll.qlRateHelperQuoteName(X51,Trigger),"")</f>
        <v/>
      </c>
      <c r="Z51" s="65" t="str">
        <f>IFERROR(_xll.qlRateHelperRate(X51,Trigger),"")</f>
        <v/>
      </c>
      <c r="AA51" s="9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1" t="e">
        <v>#N/A</v>
      </c>
    </row>
    <row r="52" spans="1:30" ht="11.25" customHeight="1" x14ac:dyDescent="0.2">
      <c r="A52" s="56" t="s">
        <v>116</v>
      </c>
      <c r="B52" s="57" t="s">
        <v>27</v>
      </c>
      <c r="C52" s="58" t="s">
        <v>6</v>
      </c>
      <c r="D52" s="58" t="s">
        <v>156</v>
      </c>
      <c r="E52" s="58" t="s">
        <v>7</v>
      </c>
      <c r="F52" s="58" t="s">
        <v>154</v>
      </c>
      <c r="G52" s="58" t="str">
        <f t="shared" si="17"/>
        <v>AudBBSW1M</v>
      </c>
      <c r="H52" s="56" t="str">
        <f t="shared" si="18"/>
        <v>AUDQM3AB1Y_S1BR3BR_Quote</v>
      </c>
      <c r="I52" s="126" t="str">
        <f t="shared" si="19"/>
        <v>AUD1BR3BR1Y_Quote</v>
      </c>
      <c r="J52" s="167" t="str">
        <f>IF(P48,_xll.qlSwapRateHelper2(,H52,1,B52,Calendar,D52,E52,F52,G52,I52,C52,Discounting,PillarDate,,Permanent,Trigger,ObjectOverwrite),"--")</f>
        <v>--</v>
      </c>
      <c r="L52" s="173" t="str">
        <f t="shared" si="15"/>
        <v>BasSw</v>
      </c>
      <c r="M52" s="169" t="str">
        <f t="shared" si="16"/>
        <v>AUDQM3AB2Y_S1BR3BR_Quote</v>
      </c>
      <c r="N52" s="174">
        <f>IFERROR(_xll.qlQuoteValue(H56),"--")</f>
        <v>1.7725000000081703E-2</v>
      </c>
      <c r="O52" s="174">
        <f>IFERROR(_xll.qlQuoteValue(I56),"--")</f>
        <v>1.8749999999999999E-3</v>
      </c>
      <c r="P52" s="123" t="b">
        <v>0</v>
      </c>
      <c r="Q52" s="88">
        <v>50</v>
      </c>
      <c r="R52" s="88">
        <v>1</v>
      </c>
      <c r="S52" s="88" t="str">
        <f t="shared" si="14"/>
        <v>--</v>
      </c>
      <c r="T52" s="92" t="str">
        <f>IFERROR(_xll.qlRateHelperEarliestDate(S52,Trigger),"--")</f>
        <v>--</v>
      </c>
      <c r="U52" s="92" t="str">
        <f>IFERROR(_xll.qlRateHelperPillarDate(S52,Trigger),"--")</f>
        <v>--</v>
      </c>
      <c r="W52" s="3" t="str">
        <f t="shared" si="13"/>
        <v/>
      </c>
      <c r="X52" s="3" t="e">
        <v>#N/A</v>
      </c>
      <c r="Y52" s="3" t="str">
        <f>IFERROR(_xll.qlRateHelperQuoteName(X52,Trigger),"")</f>
        <v/>
      </c>
      <c r="Z52" s="65" t="str">
        <f>IFERROR(_xll.qlRateHelperRate(X52,Trigger),"")</f>
        <v/>
      </c>
      <c r="AA52" s="9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1" t="e">
        <v>#N/A</v>
      </c>
    </row>
    <row r="53" spans="1:30" ht="11.25" customHeight="1" x14ac:dyDescent="0.2">
      <c r="A53" s="56" t="s">
        <v>116</v>
      </c>
      <c r="B53" s="57" t="s">
        <v>49</v>
      </c>
      <c r="C53" s="58" t="s">
        <v>6</v>
      </c>
      <c r="D53" s="58" t="s">
        <v>156</v>
      </c>
      <c r="E53" s="58" t="s">
        <v>7</v>
      </c>
      <c r="F53" s="58" t="s">
        <v>154</v>
      </c>
      <c r="G53" s="58" t="str">
        <f t="shared" si="17"/>
        <v>AudBBSW1M</v>
      </c>
      <c r="H53" s="56" t="str">
        <f t="shared" si="18"/>
        <v>AUDQM3AB15M_S1BR3BR_Quote</v>
      </c>
      <c r="I53" s="126" t="str">
        <f t="shared" si="19"/>
        <v>AUD1BR3BR15M_Quote</v>
      </c>
      <c r="J53" s="167" t="str">
        <f>IF(P49,_xll.qlSwapRateHelper2(,H53,1,B53,Calendar,D53,E53,F53,G53,I53,C53,Discounting,PillarDate,,Permanent,Trigger,ObjectOverwrite),"--")</f>
        <v>--</v>
      </c>
      <c r="L53" s="173" t="str">
        <f t="shared" si="15"/>
        <v>BasSw</v>
      </c>
      <c r="M53" s="169" t="str">
        <f t="shared" si="16"/>
        <v>AUDQM3AB3Y_S1BR3BR_Quote</v>
      </c>
      <c r="N53" s="174">
        <f>IFERROR(_xll.qlQuoteValue(H57),"--")</f>
        <v>1.7774999999734416E-2</v>
      </c>
      <c r="O53" s="174">
        <f>IFERROR(_xll.qlQuoteValue(I57),"--")</f>
        <v>1.7374999999999999E-3</v>
      </c>
      <c r="P53" s="123" t="b">
        <v>0</v>
      </c>
      <c r="Q53" s="88">
        <v>50</v>
      </c>
      <c r="R53" s="88">
        <v>1</v>
      </c>
      <c r="S53" s="88" t="str">
        <f t="shared" si="14"/>
        <v>--</v>
      </c>
      <c r="T53" s="92" t="str">
        <f>IFERROR(_xll.qlRateHelperEarliestDate(S53,Trigger),"--")</f>
        <v>--</v>
      </c>
      <c r="U53" s="92" t="str">
        <f>IFERROR(_xll.qlRateHelperPillarDate(S53,Trigger),"--")</f>
        <v>--</v>
      </c>
      <c r="W53" s="3" t="str">
        <f t="shared" si="13"/>
        <v/>
      </c>
      <c r="X53" s="3" t="e">
        <v>#N/A</v>
      </c>
      <c r="Y53" s="3" t="str">
        <f>IFERROR(_xll.qlRateHelperQuoteName(X53,Trigger),"")</f>
        <v/>
      </c>
      <c r="Z53" s="65" t="str">
        <f>IFERROR(_xll.qlRateHelperRate(X53,Trigger),"")</f>
        <v/>
      </c>
      <c r="AA53" s="9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1" t="e">
        <v>#N/A</v>
      </c>
    </row>
    <row r="54" spans="1:30" ht="11.25" customHeight="1" x14ac:dyDescent="0.2">
      <c r="A54" s="56" t="s">
        <v>116</v>
      </c>
      <c r="B54" s="57" t="s">
        <v>50</v>
      </c>
      <c r="C54" s="58" t="s">
        <v>6</v>
      </c>
      <c r="D54" s="58" t="s">
        <v>156</v>
      </c>
      <c r="E54" s="58" t="s">
        <v>7</v>
      </c>
      <c r="F54" s="58" t="s">
        <v>154</v>
      </c>
      <c r="G54" s="58" t="str">
        <f t="shared" si="17"/>
        <v>AudBBSW1M</v>
      </c>
      <c r="H54" s="56" t="str">
        <f t="shared" si="18"/>
        <v>AUDQM3AB18M_S1BR3BR_Quote</v>
      </c>
      <c r="I54" s="126" t="str">
        <f t="shared" si="19"/>
        <v>AUD1BR3BR18M_Quote</v>
      </c>
      <c r="J54" s="167" t="str">
        <f>IF(P50,_xll.qlSwapRateHelper2(,H54,1,B54,Calendar,D54,E54,F54,G54,I54,C54,Discounting,PillarDate,,Permanent,Trigger,ObjectOverwrite),"--")</f>
        <v>--</v>
      </c>
      <c r="L54" s="173" t="str">
        <f t="shared" si="15"/>
        <v>BasSw</v>
      </c>
      <c r="M54" s="169" t="str">
        <f t="shared" si="16"/>
        <v>AUDQM3AB4Y_S1BR3BR_Quote</v>
      </c>
      <c r="N54" s="174">
        <f>IFERROR(_xll.qlQuoteValue(H58),"--")</f>
        <v>1.8000711609241094E-2</v>
      </c>
      <c r="O54" s="174">
        <f>IFERROR(_xll.qlQuoteValue(I58),"--")</f>
        <v>1.6249999999999999E-3</v>
      </c>
      <c r="P54" s="123" t="b">
        <v>1</v>
      </c>
      <c r="Q54" s="88">
        <v>50</v>
      </c>
      <c r="R54" s="88">
        <v>1</v>
      </c>
      <c r="S54" s="88" t="str">
        <f t="shared" si="14"/>
        <v>obj_00236#0003</v>
      </c>
      <c r="T54" s="92">
        <f>IFERROR(_xll.qlRateHelperEarliestDate(S54,Trigger),"--")</f>
        <v>42682</v>
      </c>
      <c r="U54" s="92">
        <f>IFERROR(_xll.qlRateHelperPillarDate(S54,Trigger),"--")</f>
        <v>44144</v>
      </c>
      <c r="W54" s="3" t="str">
        <f t="shared" si="13"/>
        <v/>
      </c>
      <c r="X54" s="3" t="e">
        <v>#N/A</v>
      </c>
      <c r="Y54" s="3" t="str">
        <f>IFERROR(_xll.qlRateHelperQuoteName(X54,Trigger),"")</f>
        <v/>
      </c>
      <c r="Z54" s="65" t="str">
        <f>IFERROR(_xll.qlRateHelperRate(X54,Trigger),"")</f>
        <v/>
      </c>
      <c r="AA54" s="9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1" t="e">
        <v>#N/A</v>
      </c>
    </row>
    <row r="55" spans="1:30" ht="11.25" customHeight="1" x14ac:dyDescent="0.2">
      <c r="A55" s="56" t="s">
        <v>116</v>
      </c>
      <c r="B55" s="57" t="s">
        <v>51</v>
      </c>
      <c r="C55" s="58" t="s">
        <v>6</v>
      </c>
      <c r="D55" s="58" t="s">
        <v>156</v>
      </c>
      <c r="E55" s="58" t="s">
        <v>7</v>
      </c>
      <c r="F55" s="58" t="s">
        <v>154</v>
      </c>
      <c r="G55" s="58" t="str">
        <f t="shared" si="17"/>
        <v>AudBBSW1M</v>
      </c>
      <c r="H55" s="56" t="str">
        <f t="shared" si="18"/>
        <v>AUDQM3AB21M_S1BR3BR_Quote</v>
      </c>
      <c r="I55" s="126" t="str">
        <f t="shared" si="19"/>
        <v>AUD1BR3BR21M_Quote</v>
      </c>
      <c r="J55" s="167" t="str">
        <f>IF(P51,_xll.qlSwapRateHelper2(,H55,1,B55,Calendar,D55,E55,F55,G55,I55,C55,Discounting,PillarDate,,Permanent,Trigger,ObjectOverwrite),"--")</f>
        <v>--</v>
      </c>
      <c r="L55" s="173" t="str">
        <f t="shared" si="15"/>
        <v>BasSw</v>
      </c>
      <c r="M55" s="169" t="str">
        <f t="shared" si="16"/>
        <v>AUDQM3AB5Y_S1BR3BR_Quote</v>
      </c>
      <c r="N55" s="174">
        <f>IFERROR(_xll.qlQuoteValue(H59),"--")</f>
        <v>1.8299136072567949E-2</v>
      </c>
      <c r="O55" s="174">
        <f>IFERROR(_xll.qlQuoteValue(I59),"--")</f>
        <v>1.5E-3</v>
      </c>
      <c r="P55" s="123" t="b">
        <v>1</v>
      </c>
      <c r="Q55" s="88">
        <v>50</v>
      </c>
      <c r="R55" s="88">
        <v>1</v>
      </c>
      <c r="S55" s="88" t="str">
        <f t="shared" si="14"/>
        <v>obj_00240#0003</v>
      </c>
      <c r="T55" s="92">
        <f>IFERROR(_xll.qlRateHelperEarliestDate(S55,Trigger),"--")</f>
        <v>42682</v>
      </c>
      <c r="U55" s="92">
        <f>IFERROR(_xll.qlRateHelperPillarDate(S55,Trigger),"--")</f>
        <v>44508</v>
      </c>
      <c r="W55" s="3" t="str">
        <f t="shared" si="13"/>
        <v/>
      </c>
      <c r="X55" s="3" t="e">
        <v>#N/A</v>
      </c>
      <c r="Y55" s="3" t="str">
        <f>IFERROR(_xll.qlRateHelperQuoteName(X55,Trigger),"")</f>
        <v/>
      </c>
      <c r="Z55" s="65" t="str">
        <f>IFERROR(_xll.qlRateHelperRate(X55,Trigger),"")</f>
        <v/>
      </c>
      <c r="AA55" s="9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1" t="e">
        <v>#N/A</v>
      </c>
    </row>
    <row r="56" spans="1:30" ht="11.25" customHeight="1" x14ac:dyDescent="0.2">
      <c r="A56" s="56" t="s">
        <v>116</v>
      </c>
      <c r="B56" s="57" t="s">
        <v>52</v>
      </c>
      <c r="C56" s="58" t="s">
        <v>6</v>
      </c>
      <c r="D56" s="58" t="s">
        <v>156</v>
      </c>
      <c r="E56" s="58" t="s">
        <v>7</v>
      </c>
      <c r="F56" s="58" t="s">
        <v>154</v>
      </c>
      <c r="G56" s="58" t="str">
        <f t="shared" si="17"/>
        <v>AudBBSW1M</v>
      </c>
      <c r="H56" s="56" t="str">
        <f t="shared" si="18"/>
        <v>AUDQM3AB2Y_S1BR3BR_Quote</v>
      </c>
      <c r="I56" s="126" t="str">
        <f t="shared" si="19"/>
        <v>AUD1BR3BR2Y_Quote</v>
      </c>
      <c r="J56" s="167" t="str">
        <f>IF(P52,_xll.qlSwapRateHelper2(,H56,1,B56,Calendar,D56,E56,F56,G56,I56,C56,Discounting,PillarDate,,Permanent,Trigger,ObjectOverwrite),"--")</f>
        <v>--</v>
      </c>
      <c r="L56" s="173" t="str">
        <f t="shared" si="15"/>
        <v>BasSw</v>
      </c>
      <c r="M56" s="169" t="str">
        <f t="shared" si="16"/>
        <v>AUDQM3AB6Y_S1BR3BR_Quote</v>
      </c>
      <c r="N56" s="174">
        <f>IFERROR(_xll.qlQuoteValue(H60),"--")</f>
        <v>1.8740333734598942E-2</v>
      </c>
      <c r="O56" s="174">
        <f>IFERROR(_xll.qlQuoteValue(I60),"--")</f>
        <v>1.3749999999999999E-3</v>
      </c>
      <c r="P56" s="123" t="b">
        <v>0</v>
      </c>
      <c r="Q56" s="88">
        <v>50</v>
      </c>
      <c r="R56" s="88">
        <v>1</v>
      </c>
      <c r="S56" s="88" t="str">
        <f t="shared" si="14"/>
        <v>--</v>
      </c>
      <c r="T56" s="92" t="str">
        <f>IFERROR(_xll.qlRateHelperEarliestDate(S56,Trigger),"--")</f>
        <v>--</v>
      </c>
      <c r="U56" s="92" t="str">
        <f>IFERROR(_xll.qlRateHelperPillarDate(S56,Trigger),"--")</f>
        <v>--</v>
      </c>
      <c r="W56" s="3" t="str">
        <f t="shared" si="13"/>
        <v/>
      </c>
      <c r="X56" s="3" t="e">
        <v>#N/A</v>
      </c>
      <c r="Y56" s="3" t="str">
        <f>IFERROR(_xll.qlRateHelperQuoteName(X56,Trigger),"")</f>
        <v/>
      </c>
      <c r="Z56" s="65" t="str">
        <f>IFERROR(_xll.qlRateHelperRate(X56,Trigger),"")</f>
        <v/>
      </c>
      <c r="AA56" s="9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1" t="e">
        <v>#N/A</v>
      </c>
    </row>
    <row r="57" spans="1:30" ht="11.25" customHeight="1" x14ac:dyDescent="0.2">
      <c r="A57" s="56" t="s">
        <v>116</v>
      </c>
      <c r="B57" s="57" t="s">
        <v>53</v>
      </c>
      <c r="C57" s="58" t="s">
        <v>6</v>
      </c>
      <c r="D57" s="58" t="s">
        <v>156</v>
      </c>
      <c r="E57" s="58" t="s">
        <v>7</v>
      </c>
      <c r="F57" s="58" t="s">
        <v>154</v>
      </c>
      <c r="G57" s="58" t="str">
        <f t="shared" si="17"/>
        <v>AudBBSW1M</v>
      </c>
      <c r="H57" s="56" t="str">
        <f t="shared" si="18"/>
        <v>AUDQM3AB3Y_S1BR3BR_Quote</v>
      </c>
      <c r="I57" s="126" t="str">
        <f t="shared" si="19"/>
        <v>AUD1BR3BR3Y_Quote</v>
      </c>
      <c r="J57" s="167" t="str">
        <f>IF(P53,_xll.qlSwapRateHelper2(,H57,1,B57,Calendar,D57,E57,F57,G57,I57,C57,Discounting,PillarDate,,Permanent,Trigger,ObjectOverwrite),"--")</f>
        <v>--</v>
      </c>
      <c r="L57" s="173" t="str">
        <f t="shared" si="15"/>
        <v>BasSw</v>
      </c>
      <c r="M57" s="169" t="str">
        <f t="shared" si="16"/>
        <v>AUDQM3AB7Y_S1BR3BR_Quote</v>
      </c>
      <c r="N57" s="174">
        <f>IFERROR(_xll.qlQuoteValue(H61),"--")</f>
        <v>1.923211132713416E-2</v>
      </c>
      <c r="O57" s="174">
        <f>IFERROR(_xll.qlQuoteValue(I61),"--")</f>
        <v>1.2875E-3</v>
      </c>
      <c r="P57" s="123" t="b">
        <v>1</v>
      </c>
      <c r="Q57" s="88">
        <v>50</v>
      </c>
      <c r="R57" s="88">
        <v>1</v>
      </c>
      <c r="S57" s="88" t="str">
        <f t="shared" si="14"/>
        <v>obj_0024a#0003</v>
      </c>
      <c r="T57" s="92">
        <f>IFERROR(_xll.qlRateHelperEarliestDate(S57,Trigger),"--")</f>
        <v>42682</v>
      </c>
      <c r="U57" s="92">
        <f>IFERROR(_xll.qlRateHelperPillarDate(S57,Trigger),"--")</f>
        <v>45238</v>
      </c>
      <c r="W57" s="3" t="str">
        <f t="shared" si="13"/>
        <v/>
      </c>
      <c r="X57" s="3" t="e">
        <v>#N/A</v>
      </c>
      <c r="Y57" s="3" t="str">
        <f>IFERROR(_xll.qlRateHelperQuoteName(X57,Trigger),"")</f>
        <v/>
      </c>
      <c r="Z57" s="65" t="str">
        <f>IFERROR(_xll.qlRateHelperRate(X57,Trigger),"")</f>
        <v/>
      </c>
      <c r="AA57" s="9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1" t="e">
        <v>#N/A</v>
      </c>
    </row>
    <row r="58" spans="1:30" ht="11.25" customHeight="1" x14ac:dyDescent="0.2">
      <c r="A58" s="56" t="s">
        <v>116</v>
      </c>
      <c r="B58" s="57" t="s">
        <v>54</v>
      </c>
      <c r="C58" s="58" t="s">
        <v>6</v>
      </c>
      <c r="D58" s="58" t="s">
        <v>156</v>
      </c>
      <c r="E58" s="58" t="s">
        <v>7</v>
      </c>
      <c r="F58" s="58" t="s">
        <v>154</v>
      </c>
      <c r="G58" s="58" t="str">
        <f t="shared" si="17"/>
        <v>AudBBSW1M</v>
      </c>
      <c r="H58" s="56" t="str">
        <f t="shared" si="18"/>
        <v>AUDQM3AB4Y_S1BR3BR_Quote</v>
      </c>
      <c r="I58" s="126" t="str">
        <f t="shared" si="19"/>
        <v>AUD1BR3BR4Y_Quote</v>
      </c>
      <c r="J58" s="167" t="str">
        <f>IF(P54,_xll.qlSwapRateHelper2(,H58,1,B58,Calendar,D58,E58,F58,G58,I58,C58,Discounting,PillarDate,,Permanent,Trigger,ObjectOverwrite),"--")</f>
        <v>obj_00236#0003</v>
      </c>
      <c r="L58" s="173" t="str">
        <f t="shared" si="15"/>
        <v>BasSw</v>
      </c>
      <c r="M58" s="169" t="str">
        <f t="shared" si="16"/>
        <v>AUDQM3AB8Y_S1BR3BR_Quote</v>
      </c>
      <c r="N58" s="174">
        <f>IFERROR(_xll.qlQuoteValue(H62),"--")</f>
        <v>1.9697428191333473E-2</v>
      </c>
      <c r="O58" s="174">
        <f>IFERROR(_xll.qlQuoteValue(I62),"--")</f>
        <v>1.2125E-3</v>
      </c>
      <c r="P58" s="123" t="b">
        <v>0</v>
      </c>
      <c r="Q58" s="88">
        <v>50</v>
      </c>
      <c r="R58" s="88">
        <v>1</v>
      </c>
      <c r="S58" s="88" t="str">
        <f t="shared" si="14"/>
        <v>--</v>
      </c>
      <c r="T58" s="92" t="str">
        <f>IFERROR(_xll.qlRateHelperEarliestDate(S58,Trigger),"--")</f>
        <v>--</v>
      </c>
      <c r="U58" s="92" t="str">
        <f>IFERROR(_xll.qlRateHelperPillarDate(S58,Trigger),"--")</f>
        <v>--</v>
      </c>
      <c r="W58" s="3" t="str">
        <f t="shared" si="13"/>
        <v/>
      </c>
      <c r="X58" s="3" t="e">
        <v>#N/A</v>
      </c>
      <c r="Y58" s="3" t="str">
        <f>IFERROR(_xll.qlRateHelperQuoteName(X58,Trigger),"")</f>
        <v/>
      </c>
      <c r="Z58" s="65" t="str">
        <f>IFERROR(_xll.qlRateHelperRate(X58,Trigger),"")</f>
        <v/>
      </c>
      <c r="AA58" s="9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1" t="e">
        <v>#N/A</v>
      </c>
    </row>
    <row r="59" spans="1:30" ht="11.25" customHeight="1" x14ac:dyDescent="0.2">
      <c r="A59" s="56" t="s">
        <v>116</v>
      </c>
      <c r="B59" s="57" t="s">
        <v>55</v>
      </c>
      <c r="C59" s="58" t="s">
        <v>6</v>
      </c>
      <c r="D59" s="58" t="s">
        <v>156</v>
      </c>
      <c r="E59" s="58" t="s">
        <v>7</v>
      </c>
      <c r="F59" s="58" t="s">
        <v>154</v>
      </c>
      <c r="G59" s="58" t="str">
        <f t="shared" si="17"/>
        <v>AudBBSW1M</v>
      </c>
      <c r="H59" s="56" t="str">
        <f t="shared" si="18"/>
        <v>AUDQM3AB5Y_S1BR3BR_Quote</v>
      </c>
      <c r="I59" s="126" t="str">
        <f t="shared" si="19"/>
        <v>AUD1BR3BR5Y_Quote</v>
      </c>
      <c r="J59" s="167" t="str">
        <f>IF(P55,_xll.qlSwapRateHelper2(,H59,1,B59,Calendar,D59,E59,F59,G59,I59,C59,Discounting,PillarDate,,Permanent,Trigger,ObjectOverwrite),"--")</f>
        <v>obj_00240#0003</v>
      </c>
      <c r="L59" s="173" t="str">
        <f t="shared" si="15"/>
        <v>BasSw</v>
      </c>
      <c r="M59" s="169" t="str">
        <f t="shared" si="16"/>
        <v>AUDQM3AB9Y_S1BR3BR_Quote</v>
      </c>
      <c r="N59" s="174">
        <f>IFERROR(_xll.qlQuoteValue(H63),"--")</f>
        <v>2.0142684978819894E-2</v>
      </c>
      <c r="O59" s="174">
        <f>IFERROR(_xll.qlQuoteValue(I63),"--")</f>
        <v>1.175E-3</v>
      </c>
      <c r="P59" s="123" t="b">
        <v>0</v>
      </c>
      <c r="Q59" s="88">
        <v>50</v>
      </c>
      <c r="R59" s="88">
        <v>1</v>
      </c>
      <c r="S59" s="88" t="str">
        <f t="shared" si="14"/>
        <v>--</v>
      </c>
      <c r="T59" s="92" t="str">
        <f>IFERROR(_xll.qlRateHelperEarliestDate(S59,Trigger),"--")</f>
        <v>--</v>
      </c>
      <c r="U59" s="92" t="str">
        <f>IFERROR(_xll.qlRateHelperPillarDate(S59,Trigger),"--")</f>
        <v>--</v>
      </c>
      <c r="W59" s="3" t="str">
        <f t="shared" si="13"/>
        <v/>
      </c>
      <c r="X59" s="3" t="e">
        <v>#N/A</v>
      </c>
      <c r="Y59" s="3" t="str">
        <f>IFERROR(_xll.qlRateHelperQuoteName(X59,Trigger),"")</f>
        <v/>
      </c>
      <c r="Z59" s="65" t="str">
        <f>IFERROR(_xll.qlRateHelperRate(X59,Trigger),"")</f>
        <v/>
      </c>
      <c r="AA59" s="9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1" t="e">
        <v>#N/A</v>
      </c>
    </row>
    <row r="60" spans="1:30" ht="11.25" customHeight="1" x14ac:dyDescent="0.2">
      <c r="A60" s="56" t="s">
        <v>116</v>
      </c>
      <c r="B60" s="57" t="s">
        <v>56</v>
      </c>
      <c r="C60" s="58" t="s">
        <v>6</v>
      </c>
      <c r="D60" s="58" t="s">
        <v>156</v>
      </c>
      <c r="E60" s="58" t="s">
        <v>7</v>
      </c>
      <c r="F60" s="58" t="s">
        <v>154</v>
      </c>
      <c r="G60" s="58" t="str">
        <f t="shared" si="17"/>
        <v>AudBBSW1M</v>
      </c>
      <c r="H60" s="56" t="str">
        <f t="shared" si="18"/>
        <v>AUDQM3AB6Y_S1BR3BR_Quote</v>
      </c>
      <c r="I60" s="126" t="str">
        <f t="shared" si="19"/>
        <v>AUD1BR3BR6Y_Quote</v>
      </c>
      <c r="J60" s="167" t="str">
        <f>IF(P56,_xll.qlSwapRateHelper2(,H60,1,B60,Calendar,D60,E60,F60,G60,I60,C60,Discounting,PillarDate,,Permanent,Trigger,ObjectOverwrite),"--")</f>
        <v>--</v>
      </c>
      <c r="L60" s="173" t="str">
        <f t="shared" si="15"/>
        <v>BasSw</v>
      </c>
      <c r="M60" s="169" t="str">
        <f t="shared" si="16"/>
        <v>AUDQM3AB10Y_S1BR3BR_Quote</v>
      </c>
      <c r="N60" s="174">
        <f>IFERROR(_xll.qlQuoteValue(H64),"--")</f>
        <v>2.0575813618387968E-2</v>
      </c>
      <c r="O60" s="174">
        <f>IFERROR(_xll.qlQuoteValue(I64),"--")</f>
        <v>1.1375000000000001E-3</v>
      </c>
      <c r="P60" s="123" t="b">
        <v>1</v>
      </c>
      <c r="Q60" s="88">
        <v>50</v>
      </c>
      <c r="R60" s="88">
        <v>1</v>
      </c>
      <c r="S60" s="88" t="str">
        <f t="shared" si="14"/>
        <v>obj_00237#0003</v>
      </c>
      <c r="T60" s="92">
        <f>IFERROR(_xll.qlRateHelperEarliestDate(S60,Trigger),"--")</f>
        <v>42682</v>
      </c>
      <c r="U60" s="92">
        <f>IFERROR(_xll.qlRateHelperPillarDate(S60,Trigger),"--")</f>
        <v>46335</v>
      </c>
      <c r="W60" s="3" t="str">
        <f t="shared" si="13"/>
        <v/>
      </c>
      <c r="X60" s="3" t="e">
        <v>#N/A</v>
      </c>
      <c r="Y60" s="3" t="str">
        <f>IFERROR(_xll.qlRateHelperQuoteName(X60,Trigger),"")</f>
        <v/>
      </c>
      <c r="Z60" s="65" t="str">
        <f>IFERROR(_xll.qlRateHelperRate(X60,Trigger),"")</f>
        <v/>
      </c>
      <c r="AA60" s="9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1" t="e">
        <v>#N/A</v>
      </c>
    </row>
    <row r="61" spans="1:30" ht="11.25" customHeight="1" x14ac:dyDescent="0.2">
      <c r="A61" s="56" t="s">
        <v>116</v>
      </c>
      <c r="B61" s="57" t="s">
        <v>57</v>
      </c>
      <c r="C61" s="58" t="s">
        <v>6</v>
      </c>
      <c r="D61" s="58" t="s">
        <v>156</v>
      </c>
      <c r="E61" s="58" t="s">
        <v>7</v>
      </c>
      <c r="F61" s="58" t="s">
        <v>154</v>
      </c>
      <c r="G61" s="58" t="str">
        <f t="shared" si="17"/>
        <v>AudBBSW1M</v>
      </c>
      <c r="H61" s="56" t="str">
        <f t="shared" si="18"/>
        <v>AUDQM3AB7Y_S1BR3BR_Quote</v>
      </c>
      <c r="I61" s="126" t="str">
        <f t="shared" si="19"/>
        <v>AUD1BR3BR7Y_Quote</v>
      </c>
      <c r="J61" s="167" t="str">
        <f>IF(P57,_xll.qlSwapRateHelper2(,H61,1,B61,Calendar,D61,E61,F61,G61,I61,C61,Discounting,PillarDate,,Permanent,Trigger,ObjectOverwrite),"--")</f>
        <v>obj_0024a#0003</v>
      </c>
      <c r="L61" s="173" t="str">
        <f t="shared" si="15"/>
        <v>BasSw</v>
      </c>
      <c r="M61" s="169" t="str">
        <f t="shared" si="16"/>
        <v>AUDQM3AB11Y_S1BR3BR_Quote</v>
      </c>
      <c r="N61" s="174">
        <f>IFERROR(_xll.qlQuoteValue(H65),"--")</f>
        <v>2.0999821071573502E-2</v>
      </c>
      <c r="O61" s="174" t="str">
        <f>IFERROR(_xll.qlQuoteValue(I65),"--")</f>
        <v>--</v>
      </c>
      <c r="P61" s="123" t="b">
        <v>0</v>
      </c>
      <c r="Q61" s="88">
        <v>50</v>
      </c>
      <c r="R61" s="88">
        <v>1</v>
      </c>
      <c r="S61" s="88" t="str">
        <f t="shared" si="14"/>
        <v>--</v>
      </c>
      <c r="T61" s="92" t="str">
        <f>IFERROR(_xll.qlRateHelperEarliestDate(S61,Trigger),"--")</f>
        <v>--</v>
      </c>
      <c r="U61" s="92" t="str">
        <f>IFERROR(_xll.qlRateHelperPillarDate(S61,Trigger),"--")</f>
        <v>--</v>
      </c>
      <c r="W61" s="3" t="str">
        <f t="shared" si="13"/>
        <v/>
      </c>
      <c r="X61" s="3" t="e">
        <v>#N/A</v>
      </c>
      <c r="Y61" s="3" t="str">
        <f>IFERROR(_xll.qlRateHelperQuoteName(X61,Trigger),"")</f>
        <v/>
      </c>
      <c r="Z61" s="65" t="str">
        <f>IFERROR(_xll.qlRateHelperRate(X61,Trigger),"")</f>
        <v/>
      </c>
      <c r="AA61" s="9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1" t="e">
        <v>#N/A</v>
      </c>
    </row>
    <row r="62" spans="1:30" ht="11.25" customHeight="1" x14ac:dyDescent="0.2">
      <c r="A62" s="56" t="s">
        <v>116</v>
      </c>
      <c r="B62" s="57" t="s">
        <v>58</v>
      </c>
      <c r="C62" s="58" t="s">
        <v>6</v>
      </c>
      <c r="D62" s="58" t="s">
        <v>156</v>
      </c>
      <c r="E62" s="58" t="s">
        <v>7</v>
      </c>
      <c r="F62" s="58" t="s">
        <v>154</v>
      </c>
      <c r="G62" s="58" t="str">
        <f t="shared" si="17"/>
        <v>AudBBSW1M</v>
      </c>
      <c r="H62" s="56" t="str">
        <f t="shared" si="18"/>
        <v>AUDQM3AB8Y_S1BR3BR_Quote</v>
      </c>
      <c r="I62" s="126" t="str">
        <f t="shared" si="19"/>
        <v>AUD1BR3BR8Y_Quote</v>
      </c>
      <c r="J62" s="167" t="str">
        <f>IF(P58,_xll.qlSwapRateHelper2(,H62,1,B62,Calendar,D62,E62,F62,G62,I62,C62,Discounting,PillarDate,,Permanent,Trigger,ObjectOverwrite),"--")</f>
        <v>--</v>
      </c>
      <c r="L62" s="173" t="str">
        <f t="shared" si="15"/>
        <v>BasSw</v>
      </c>
      <c r="M62" s="169" t="str">
        <f t="shared" si="16"/>
        <v>AUDQM3AB12Y_S1BR3BR_Quote</v>
      </c>
      <c r="N62" s="174">
        <f>IFERROR(_xll.qlQuoteValue(H66),"--")</f>
        <v>2.1409430121392709E-2</v>
      </c>
      <c r="O62" s="174">
        <f>IFERROR(_xll.qlQuoteValue(I66),"--")</f>
        <v>1.1000000000000001E-3</v>
      </c>
      <c r="P62" s="123" t="b">
        <v>1</v>
      </c>
      <c r="Q62" s="88">
        <v>50</v>
      </c>
      <c r="R62" s="88">
        <v>1</v>
      </c>
      <c r="S62" s="88" t="str">
        <f t="shared" si="14"/>
        <v>obj_00248#0003</v>
      </c>
      <c r="T62" s="92">
        <f>IFERROR(_xll.qlRateHelperEarliestDate(S62,Trigger),"--")</f>
        <v>42682</v>
      </c>
      <c r="U62" s="92">
        <f>IFERROR(_xll.qlRateHelperPillarDate(S62,Trigger),"--")</f>
        <v>47065</v>
      </c>
      <c r="W62" s="3" t="str">
        <f t="shared" si="13"/>
        <v/>
      </c>
      <c r="X62" s="3" t="e">
        <v>#N/A</v>
      </c>
      <c r="Y62" s="3" t="str">
        <f>IFERROR(_xll.qlRateHelperQuoteName(X62,Trigger),"")</f>
        <v/>
      </c>
      <c r="Z62" s="65" t="str">
        <f>IFERROR(_xll.qlRateHelperRate(X62,Trigger),"")</f>
        <v/>
      </c>
      <c r="AA62" s="9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1" t="e">
        <v>#N/A</v>
      </c>
    </row>
    <row r="63" spans="1:30" ht="11.25" customHeight="1" x14ac:dyDescent="0.2">
      <c r="A63" s="56" t="s">
        <v>116</v>
      </c>
      <c r="B63" s="57" t="s">
        <v>59</v>
      </c>
      <c r="C63" s="58" t="s">
        <v>6</v>
      </c>
      <c r="D63" s="58" t="s">
        <v>156</v>
      </c>
      <c r="E63" s="58" t="s">
        <v>7</v>
      </c>
      <c r="F63" s="58" t="s">
        <v>154</v>
      </c>
      <c r="G63" s="58" t="str">
        <f t="shared" si="17"/>
        <v>AudBBSW1M</v>
      </c>
      <c r="H63" s="56" t="str">
        <f t="shared" si="18"/>
        <v>AUDQM3AB9Y_S1BR3BR_Quote</v>
      </c>
      <c r="I63" s="126" t="str">
        <f t="shared" si="19"/>
        <v>AUD1BR3BR9Y_Quote</v>
      </c>
      <c r="J63" s="167" t="str">
        <f>IF(P59,_xll.qlSwapRateHelper2(,H63,1,B63,Calendar,D63,E63,F63,G63,I63,C63,Discounting,PillarDate,,Permanent,Trigger,ObjectOverwrite),"--")</f>
        <v>--</v>
      </c>
      <c r="L63" s="173" t="str">
        <f t="shared" si="15"/>
        <v>BasSw</v>
      </c>
      <c r="M63" s="169" t="str">
        <f t="shared" si="16"/>
        <v>AUDQM3AB13Y_S1BR3BR_Quote</v>
      </c>
      <c r="N63" s="174">
        <f>IFERROR(_xll.qlQuoteValue(H67),"--")</f>
        <v>2.1787705853235705E-2</v>
      </c>
      <c r="O63" s="174" t="str">
        <f>IFERROR(_xll.qlQuoteValue(I67),"--")</f>
        <v>--</v>
      </c>
      <c r="P63" s="123" t="b">
        <v>0</v>
      </c>
      <c r="Q63" s="88">
        <v>50</v>
      </c>
      <c r="R63" s="88">
        <v>1</v>
      </c>
      <c r="S63" s="88" t="str">
        <f t="shared" si="14"/>
        <v>--</v>
      </c>
      <c r="T63" s="92" t="str">
        <f>IFERROR(_xll.qlRateHelperEarliestDate(S63,Trigger),"--")</f>
        <v>--</v>
      </c>
      <c r="U63" s="92" t="str">
        <f>IFERROR(_xll.qlRateHelperPillarDate(S63,Trigger),"--")</f>
        <v>--</v>
      </c>
      <c r="W63" s="3" t="str">
        <f t="shared" si="13"/>
        <v/>
      </c>
      <c r="X63" s="3" t="e">
        <v>#N/A</v>
      </c>
      <c r="Y63" s="3" t="str">
        <f>IFERROR(_xll.qlRateHelperQuoteName(X63,Trigger),"")</f>
        <v/>
      </c>
      <c r="Z63" s="65" t="str">
        <f>IFERROR(_xll.qlRateHelperRate(X63,Trigger),"")</f>
        <v/>
      </c>
      <c r="AA63" s="9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1" t="e">
        <v>#N/A</v>
      </c>
    </row>
    <row r="64" spans="1:30" ht="11.25" customHeight="1" x14ac:dyDescent="0.2">
      <c r="A64" s="56" t="s">
        <v>116</v>
      </c>
      <c r="B64" s="57" t="s">
        <v>60</v>
      </c>
      <c r="C64" s="58" t="s">
        <v>6</v>
      </c>
      <c r="D64" s="58" t="s">
        <v>156</v>
      </c>
      <c r="E64" s="58" t="s">
        <v>7</v>
      </c>
      <c r="F64" s="58" t="s">
        <v>154</v>
      </c>
      <c r="G64" s="58" t="str">
        <f t="shared" si="17"/>
        <v>AudBBSW1M</v>
      </c>
      <c r="H64" s="56" t="str">
        <f t="shared" si="18"/>
        <v>AUDQM3AB10Y_S1BR3BR_Quote</v>
      </c>
      <c r="I64" s="126" t="str">
        <f t="shared" si="19"/>
        <v>AUD1BR3BR10Y_Quote</v>
      </c>
      <c r="J64" s="167" t="str">
        <f>IF(P60,_xll.qlSwapRateHelper2(,H64,1,B64,Calendar,D64,E64,F64,G64,I64,C64,Discounting,PillarDate,,Permanent,Trigger,ObjectOverwrite),"--")</f>
        <v>obj_00237#0003</v>
      </c>
      <c r="L64" s="173" t="str">
        <f t="shared" si="15"/>
        <v>BasSw</v>
      </c>
      <c r="M64" s="169" t="str">
        <f t="shared" si="16"/>
        <v>AUDQM3AB14Y_S1BR3BR_Quote</v>
      </c>
      <c r="N64" s="174">
        <f>IFERROR(_xll.qlQuoteValue(H68),"--")</f>
        <v>2.2129842482552557E-2</v>
      </c>
      <c r="O64" s="174" t="str">
        <f>IFERROR(_xll.qlQuoteValue(I68),"--")</f>
        <v>--</v>
      </c>
      <c r="P64" s="123" t="b">
        <v>0</v>
      </c>
      <c r="Q64" s="88">
        <v>50</v>
      </c>
      <c r="R64" s="88">
        <v>1</v>
      </c>
      <c r="S64" s="88" t="str">
        <f t="shared" si="14"/>
        <v>--</v>
      </c>
      <c r="T64" s="92" t="str">
        <f>IFERROR(_xll.qlRateHelperEarliestDate(S64,Trigger),"--")</f>
        <v>--</v>
      </c>
      <c r="U64" s="92" t="str">
        <f>IFERROR(_xll.qlRateHelperPillarDate(S64,Trigger),"--")</f>
        <v>--</v>
      </c>
      <c r="W64" s="3" t="str">
        <f t="shared" si="13"/>
        <v/>
      </c>
      <c r="X64" s="3" t="e">
        <v>#N/A</v>
      </c>
      <c r="Y64" s="3" t="str">
        <f>IFERROR(_xll.qlRateHelperQuoteName(X64,Trigger),"")</f>
        <v/>
      </c>
      <c r="Z64" s="65" t="str">
        <f>IFERROR(_xll.qlRateHelperRate(X64,Trigger),"")</f>
        <v/>
      </c>
      <c r="AA64" s="9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1" t="e">
        <v>#N/A</v>
      </c>
    </row>
    <row r="65" spans="1:30" ht="11.25" customHeight="1" x14ac:dyDescent="0.2">
      <c r="A65" s="56" t="s">
        <v>116</v>
      </c>
      <c r="B65" s="57" t="s">
        <v>97</v>
      </c>
      <c r="C65" s="58" t="s">
        <v>6</v>
      </c>
      <c r="D65" s="58" t="s">
        <v>156</v>
      </c>
      <c r="E65" s="58" t="s">
        <v>7</v>
      </c>
      <c r="F65" s="58" t="s">
        <v>154</v>
      </c>
      <c r="G65" s="58" t="str">
        <f t="shared" si="17"/>
        <v>AudBBSW1M</v>
      </c>
      <c r="H65" s="56" t="str">
        <f t="shared" si="18"/>
        <v>AUDQM3AB11Y_S1BR3BR_Quote</v>
      </c>
      <c r="I65" s="126" t="str">
        <f t="shared" si="19"/>
        <v>AUD1BR3BR11Y_Quote</v>
      </c>
      <c r="J65" s="167" t="str">
        <f>IF(P61,_xll.qlSwapRateHelper2(,H65,1,B65,Calendar,D65,E65,F65,G65,I65,C65,Discounting,PillarDate,,Permanent,Trigger,ObjectOverwrite),"--")</f>
        <v>--</v>
      </c>
      <c r="L65" s="173" t="str">
        <f t="shared" si="15"/>
        <v>BasSw</v>
      </c>
      <c r="M65" s="169" t="str">
        <f t="shared" si="16"/>
        <v>AUDQM3AB15Y_S1BR3BR_Quote</v>
      </c>
      <c r="N65" s="174">
        <f>IFERROR(_xll.qlQuoteValue(H69),"--")</f>
        <v>2.2429418189560565E-2</v>
      </c>
      <c r="O65" s="174">
        <f>IFERROR(_xll.qlQuoteValue(I69),"--")</f>
        <v>1.0874999999999999E-3</v>
      </c>
      <c r="P65" s="123" t="b">
        <v>1</v>
      </c>
      <c r="Q65" s="88">
        <v>50</v>
      </c>
      <c r="R65" s="88">
        <v>1</v>
      </c>
      <c r="S65" s="88" t="str">
        <f t="shared" si="14"/>
        <v>obj_0024e#0003</v>
      </c>
      <c r="T65" s="92">
        <f>IFERROR(_xll.qlRateHelperEarliestDate(S65,Trigger),"--")</f>
        <v>42682</v>
      </c>
      <c r="U65" s="92">
        <f>IFERROR(_xll.qlRateHelperPillarDate(S65,Trigger),"--")</f>
        <v>48162</v>
      </c>
      <c r="W65" s="3" t="str">
        <f t="shared" si="13"/>
        <v/>
      </c>
      <c r="X65" s="3" t="e">
        <v>#N/A</v>
      </c>
      <c r="Y65" s="3" t="str">
        <f>IFERROR(_xll.qlRateHelperQuoteName(X65,Trigger),"")</f>
        <v/>
      </c>
      <c r="Z65" s="65" t="str">
        <f>IFERROR(_xll.qlRateHelperRate(X65,Trigger),"")</f>
        <v/>
      </c>
      <c r="AA65" s="9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1" t="e">
        <v>#N/A</v>
      </c>
    </row>
    <row r="66" spans="1:30" ht="11.25" customHeight="1" x14ac:dyDescent="0.2">
      <c r="A66" s="56" t="s">
        <v>116</v>
      </c>
      <c r="B66" s="57" t="s">
        <v>61</v>
      </c>
      <c r="C66" s="58" t="s">
        <v>6</v>
      </c>
      <c r="D66" s="58" t="s">
        <v>156</v>
      </c>
      <c r="E66" s="58" t="s">
        <v>7</v>
      </c>
      <c r="F66" s="58" t="s">
        <v>154</v>
      </c>
      <c r="G66" s="58" t="str">
        <f t="shared" si="17"/>
        <v>AudBBSW1M</v>
      </c>
      <c r="H66" s="56" t="str">
        <f t="shared" si="18"/>
        <v>AUDQM3AB12Y_S1BR3BR_Quote</v>
      </c>
      <c r="I66" s="126" t="str">
        <f t="shared" si="19"/>
        <v>AUD1BR3BR12Y_Quote</v>
      </c>
      <c r="J66" s="167" t="str">
        <f>IF(P62,_xll.qlSwapRateHelper2(,H66,1,B66,Calendar,D66,E66,F66,G66,I66,C66,Discounting,PillarDate,,Permanent,Trigger,ObjectOverwrite),"--")</f>
        <v>obj_00248#0003</v>
      </c>
      <c r="L66" s="173" t="str">
        <f t="shared" si="15"/>
        <v>BasSw</v>
      </c>
      <c r="M66" s="169" t="str">
        <f t="shared" si="16"/>
        <v>AUDQM3AB16Y_S1BR3BR_Quote</v>
      </c>
      <c r="N66" s="174">
        <f>IFERROR(_xll.qlQuoteValue(H70),"--")</f>
        <v>2.2684114929559629E-2</v>
      </c>
      <c r="O66" s="174" t="str">
        <f>IFERROR(_xll.qlQuoteValue(I70),"--")</f>
        <v>--</v>
      </c>
      <c r="P66" s="123" t="b">
        <v>0</v>
      </c>
      <c r="Q66" s="88">
        <v>50</v>
      </c>
      <c r="R66" s="88">
        <v>1</v>
      </c>
      <c r="S66" s="88" t="str">
        <f t="shared" si="14"/>
        <v>--</v>
      </c>
      <c r="T66" s="92" t="str">
        <f>IFERROR(_xll.qlRateHelperEarliestDate(S66,Trigger),"--")</f>
        <v>--</v>
      </c>
      <c r="U66" s="92" t="str">
        <f>IFERROR(_xll.qlRateHelperPillarDate(S66,Trigger),"--")</f>
        <v>--</v>
      </c>
      <c r="W66" s="3" t="str">
        <f t="shared" si="13"/>
        <v/>
      </c>
      <c r="X66" s="3" t="e">
        <v>#N/A</v>
      </c>
      <c r="Y66" s="3" t="str">
        <f>IFERROR(_xll.qlRateHelperQuoteName(X66,Trigger),"")</f>
        <v/>
      </c>
      <c r="Z66" s="65" t="str">
        <f>IFERROR(_xll.qlRateHelperRate(X66,Trigger),"")</f>
        <v/>
      </c>
      <c r="AA66" s="9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1" t="e">
        <v>#N/A</v>
      </c>
    </row>
    <row r="67" spans="1:30" ht="11.25" customHeight="1" x14ac:dyDescent="0.2">
      <c r="A67" s="56" t="s">
        <v>116</v>
      </c>
      <c r="B67" s="57" t="s">
        <v>98</v>
      </c>
      <c r="C67" s="58" t="s">
        <v>6</v>
      </c>
      <c r="D67" s="58" t="s">
        <v>156</v>
      </c>
      <c r="E67" s="58" t="s">
        <v>7</v>
      </c>
      <c r="F67" s="58" t="s">
        <v>154</v>
      </c>
      <c r="G67" s="58" t="str">
        <f t="shared" si="17"/>
        <v>AudBBSW1M</v>
      </c>
      <c r="H67" s="56" t="str">
        <f t="shared" si="18"/>
        <v>AUDQM3AB13Y_S1BR3BR_Quote</v>
      </c>
      <c r="I67" s="126" t="str">
        <f t="shared" si="19"/>
        <v>AUD1BR3BR13Y_Quote</v>
      </c>
      <c r="J67" s="167" t="str">
        <f>IF(P63,_xll.qlSwapRateHelper2(,H67,1,B67,Calendar,D67,E67,F67,G67,I67,C67,Discounting,PillarDate,,Permanent,Trigger,ObjectOverwrite),"--")</f>
        <v>--</v>
      </c>
      <c r="L67" s="173" t="str">
        <f t="shared" si="15"/>
        <v>BasSw</v>
      </c>
      <c r="M67" s="169" t="str">
        <f t="shared" si="16"/>
        <v>AUDQM3AB17Y_S1BR3BR_Quote</v>
      </c>
      <c r="N67" s="174">
        <f>IFERROR(_xll.qlQuoteValue(H71),"--")</f>
        <v>2.2902515952596018E-2</v>
      </c>
      <c r="O67" s="174" t="str">
        <f>IFERROR(_xll.qlQuoteValue(I71),"--")</f>
        <v>--</v>
      </c>
      <c r="P67" s="123" t="b">
        <v>0</v>
      </c>
      <c r="Q67" s="88">
        <v>50</v>
      </c>
      <c r="R67" s="88">
        <v>1</v>
      </c>
      <c r="S67" s="88" t="str">
        <f t="shared" si="14"/>
        <v>--</v>
      </c>
      <c r="T67" s="92" t="str">
        <f>IFERROR(_xll.qlRateHelperEarliestDate(S67,Trigger),"--")</f>
        <v>--</v>
      </c>
      <c r="U67" s="92" t="str">
        <f>IFERROR(_xll.qlRateHelperPillarDate(S67,Trigger),"--")</f>
        <v>--</v>
      </c>
      <c r="W67" s="3" t="str">
        <f t="shared" ref="W67:W84" si="20">IFERROR(INDEX($L$3:$L$84,MATCH(Y67,$M$3:$M$84,0),1),"")</f>
        <v/>
      </c>
      <c r="X67" s="3" t="e">
        <v>#N/A</v>
      </c>
      <c r="Y67" s="3" t="str">
        <f>IFERROR(_xll.qlRateHelperQuoteName(X67,Trigger),"")</f>
        <v/>
      </c>
      <c r="Z67" s="65" t="str">
        <f>IFERROR(_xll.qlRateHelperRate(X67,Trigger),"")</f>
        <v/>
      </c>
      <c r="AA67" s="9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1" t="e">
        <v>#N/A</v>
      </c>
    </row>
    <row r="68" spans="1:30" ht="11.25" customHeight="1" x14ac:dyDescent="0.2">
      <c r="A68" s="56" t="s">
        <v>116</v>
      </c>
      <c r="B68" s="57" t="s">
        <v>99</v>
      </c>
      <c r="C68" s="58" t="s">
        <v>6</v>
      </c>
      <c r="D68" s="58" t="s">
        <v>156</v>
      </c>
      <c r="E68" s="58" t="s">
        <v>7</v>
      </c>
      <c r="F68" s="58" t="s">
        <v>154</v>
      </c>
      <c r="G68" s="58" t="str">
        <f t="shared" si="17"/>
        <v>AudBBSW1M</v>
      </c>
      <c r="H68" s="56" t="str">
        <f t="shared" si="18"/>
        <v>AUDQM3AB14Y_S1BR3BR_Quote</v>
      </c>
      <c r="I68" s="126" t="str">
        <f t="shared" si="19"/>
        <v>AUD1BR3BR14Y_Quote</v>
      </c>
      <c r="J68" s="167" t="str">
        <f>IF(P64,_xll.qlSwapRateHelper2(,H68,1,B68,Calendar,D68,E68,F68,G68,I68,C68,Discounting,PillarDate,,Permanent,Trigger,ObjectOverwrite),"--")</f>
        <v>--</v>
      </c>
      <c r="L68" s="173" t="str">
        <f t="shared" si="15"/>
        <v>BasSw</v>
      </c>
      <c r="M68" s="169" t="str">
        <f t="shared" si="16"/>
        <v>AUDQM3AB18Y_S1BR3BR_Quote</v>
      </c>
      <c r="N68" s="174">
        <f>IFERROR(_xll.qlQuoteValue(H72),"--")</f>
        <v>2.3096680632378859E-2</v>
      </c>
      <c r="O68" s="174" t="str">
        <f>IFERROR(_xll.qlQuoteValue(I72),"--")</f>
        <v>--</v>
      </c>
      <c r="P68" s="123" t="b">
        <v>0</v>
      </c>
      <c r="Q68" s="88">
        <v>50</v>
      </c>
      <c r="R68" s="88">
        <v>1</v>
      </c>
      <c r="S68" s="88" t="str">
        <f t="shared" si="14"/>
        <v>--</v>
      </c>
      <c r="T68" s="92" t="str">
        <f>IFERROR(_xll.qlRateHelperEarliestDate(S68,Trigger),"--")</f>
        <v>--</v>
      </c>
      <c r="U68" s="92" t="str">
        <f>IFERROR(_xll.qlRateHelperPillarDate(S68,Trigger),"--")</f>
        <v>--</v>
      </c>
      <c r="W68" s="3" t="str">
        <f t="shared" si="20"/>
        <v/>
      </c>
      <c r="X68" s="3" t="e">
        <v>#N/A</v>
      </c>
      <c r="Y68" s="3" t="str">
        <f>IFERROR(_xll.qlRateHelperQuoteName(X68,Trigger),"")</f>
        <v/>
      </c>
      <c r="Z68" s="65" t="str">
        <f>IFERROR(_xll.qlRateHelperRate(X68,Trigger),"")</f>
        <v/>
      </c>
      <c r="AA68" s="9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1" t="e">
        <v>#N/A</v>
      </c>
    </row>
    <row r="69" spans="1:30" ht="11.25" customHeight="1" x14ac:dyDescent="0.2">
      <c r="A69" s="56" t="s">
        <v>116</v>
      </c>
      <c r="B69" s="57" t="s">
        <v>62</v>
      </c>
      <c r="C69" s="58" t="s">
        <v>6</v>
      </c>
      <c r="D69" s="58" t="s">
        <v>156</v>
      </c>
      <c r="E69" s="58" t="s">
        <v>7</v>
      </c>
      <c r="F69" s="58" t="s">
        <v>154</v>
      </c>
      <c r="G69" s="58" t="str">
        <f t="shared" si="17"/>
        <v>AudBBSW1M</v>
      </c>
      <c r="H69" s="56" t="str">
        <f t="shared" si="18"/>
        <v>AUDQM3AB15Y_S1BR3BR_Quote</v>
      </c>
      <c r="I69" s="126" t="str">
        <f t="shared" si="19"/>
        <v>AUD1BR3BR15Y_Quote</v>
      </c>
      <c r="J69" s="167" t="str">
        <f>IF(P65,_xll.qlSwapRateHelper2(,H69,1,B69,Calendar,D69,E69,F69,G69,I69,C69,Discounting,PillarDate,,Permanent,Trigger,ObjectOverwrite),"--")</f>
        <v>obj_0024e#0003</v>
      </c>
      <c r="L69" s="173" t="str">
        <f t="shared" si="15"/>
        <v>BasSw</v>
      </c>
      <c r="M69" s="169" t="str">
        <f t="shared" si="16"/>
        <v>AUDQM3AB19Y_S1BR3BR_Quote</v>
      </c>
      <c r="N69" s="174">
        <f>IFERROR(_xll.qlQuoteValue(H73),"--")</f>
        <v>2.3271962594243183E-2</v>
      </c>
      <c r="O69" s="174" t="str">
        <f>IFERROR(_xll.qlQuoteValue(I73),"--")</f>
        <v>--</v>
      </c>
      <c r="P69" s="123" t="b">
        <v>0</v>
      </c>
      <c r="Q69" s="88">
        <v>50</v>
      </c>
      <c r="R69" s="88">
        <v>1</v>
      </c>
      <c r="S69" s="88" t="str">
        <f t="shared" si="14"/>
        <v>--</v>
      </c>
      <c r="T69" s="92" t="str">
        <f>IFERROR(_xll.qlRateHelperEarliestDate(S69,Trigger),"--")</f>
        <v>--</v>
      </c>
      <c r="U69" s="92" t="str">
        <f>IFERROR(_xll.qlRateHelperPillarDate(S69,Trigger),"--")</f>
        <v>--</v>
      </c>
      <c r="W69" s="3" t="str">
        <f t="shared" si="20"/>
        <v/>
      </c>
      <c r="X69" s="3" t="e">
        <v>#N/A</v>
      </c>
      <c r="Y69" s="3" t="str">
        <f>IFERROR(_xll.qlRateHelperQuoteName(X69,Trigger),"")</f>
        <v/>
      </c>
      <c r="Z69" s="65" t="str">
        <f>IFERROR(_xll.qlRateHelperRate(X69,Trigger),"")</f>
        <v/>
      </c>
      <c r="AA69" s="9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1" t="e">
        <v>#N/A</v>
      </c>
    </row>
    <row r="70" spans="1:30" ht="11.25" customHeight="1" x14ac:dyDescent="0.2">
      <c r="A70" s="56" t="s">
        <v>116</v>
      </c>
      <c r="B70" s="57" t="s">
        <v>100</v>
      </c>
      <c r="C70" s="58" t="s">
        <v>6</v>
      </c>
      <c r="D70" s="58" t="s">
        <v>156</v>
      </c>
      <c r="E70" s="58" t="s">
        <v>7</v>
      </c>
      <c r="F70" s="58" t="s">
        <v>154</v>
      </c>
      <c r="G70" s="58" t="str">
        <f t="shared" si="17"/>
        <v>AudBBSW1M</v>
      </c>
      <c r="H70" s="56" t="str">
        <f t="shared" si="18"/>
        <v>AUDQM3AB16Y_S1BR3BR_Quote</v>
      </c>
      <c r="I70" s="126" t="str">
        <f t="shared" si="19"/>
        <v>AUD1BR3BR16Y_Quote</v>
      </c>
      <c r="J70" s="167" t="str">
        <f>IF(P66,_xll.qlSwapRateHelper2(,H70,1,B70,Calendar,D70,E70,F70,G70,I70,C70,Discounting,PillarDate,,Permanent,Trigger,ObjectOverwrite),"--")</f>
        <v>--</v>
      </c>
      <c r="L70" s="173" t="str">
        <f t="shared" si="15"/>
        <v>BasSw</v>
      </c>
      <c r="M70" s="169" t="str">
        <f t="shared" si="16"/>
        <v>AUDQM3AB20Y_S1BR3BR_Quote</v>
      </c>
      <c r="N70" s="174">
        <f>IFERROR(_xll.qlQuoteValue(H74),"--")</f>
        <v>2.343669098886432E-2</v>
      </c>
      <c r="O70" s="174">
        <f>IFERROR(_xll.qlQuoteValue(I74),"--")</f>
        <v>1.075E-3</v>
      </c>
      <c r="P70" s="123" t="b">
        <v>1</v>
      </c>
      <c r="Q70" s="88">
        <v>50</v>
      </c>
      <c r="R70" s="88">
        <v>1</v>
      </c>
      <c r="S70" s="88" t="str">
        <f t="shared" si="14"/>
        <v>obj_0024b#0003</v>
      </c>
      <c r="T70" s="92">
        <f>IFERROR(_xll.qlRateHelperEarliestDate(S70,Trigger),"--")</f>
        <v>42682</v>
      </c>
      <c r="U70" s="92">
        <f>IFERROR(_xll.qlRateHelperPillarDate(S70,Trigger),"--")</f>
        <v>49989</v>
      </c>
      <c r="W70" s="3" t="str">
        <f t="shared" si="20"/>
        <v/>
      </c>
      <c r="X70" s="3" t="e">
        <v>#N/A</v>
      </c>
      <c r="Y70" s="3" t="str">
        <f>IFERROR(_xll.qlRateHelperQuoteName(X70,Trigger),"")</f>
        <v/>
      </c>
      <c r="Z70" s="65" t="str">
        <f>IFERROR(_xll.qlRateHelperRate(X70,Trigger),"")</f>
        <v/>
      </c>
      <c r="AA70" s="9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1" t="e">
        <v>#N/A</v>
      </c>
    </row>
    <row r="71" spans="1:30" ht="11.25" customHeight="1" x14ac:dyDescent="0.2">
      <c r="A71" s="56" t="s">
        <v>116</v>
      </c>
      <c r="B71" s="57" t="s">
        <v>101</v>
      </c>
      <c r="C71" s="58" t="s">
        <v>6</v>
      </c>
      <c r="D71" s="58" t="s">
        <v>156</v>
      </c>
      <c r="E71" s="58" t="s">
        <v>7</v>
      </c>
      <c r="F71" s="58" t="s">
        <v>154</v>
      </c>
      <c r="G71" s="58" t="str">
        <f t="shared" si="17"/>
        <v>AudBBSW1M</v>
      </c>
      <c r="H71" s="56" t="str">
        <f t="shared" si="18"/>
        <v>AUDQM3AB17Y_S1BR3BR_Quote</v>
      </c>
      <c r="I71" s="126" t="str">
        <f t="shared" si="19"/>
        <v>AUD1BR3BR17Y_Quote</v>
      </c>
      <c r="J71" s="167" t="str">
        <f>IF(P67,_xll.qlSwapRateHelper2(,H71,1,B71,Calendar,D71,E71,F71,G71,I71,C71,Discounting,PillarDate,,Permanent,Trigger,ObjectOverwrite),"--")</f>
        <v>--</v>
      </c>
      <c r="L71" s="173" t="str">
        <f t="shared" si="15"/>
        <v>BasSw</v>
      </c>
      <c r="M71" s="169" t="str">
        <f t="shared" si="16"/>
        <v>AUDQM3AB21Y_S1BR3BR_Quote</v>
      </c>
      <c r="N71" s="174">
        <f>IFERROR(_xll.qlQuoteValue(H75),"--")</f>
        <v>2.359339622154526E-2</v>
      </c>
      <c r="O71" s="174" t="str">
        <f>IFERROR(_xll.qlQuoteValue(I75),"--")</f>
        <v>--</v>
      </c>
      <c r="P71" s="123" t="b">
        <v>0</v>
      </c>
      <c r="Q71" s="88">
        <v>50</v>
      </c>
      <c r="R71" s="88">
        <v>1</v>
      </c>
      <c r="S71" s="88" t="str">
        <f t="shared" si="14"/>
        <v>--</v>
      </c>
      <c r="T71" s="92" t="str">
        <f>IFERROR(_xll.qlRateHelperEarliestDate(S71,Trigger),"--")</f>
        <v>--</v>
      </c>
      <c r="U71" s="92" t="str">
        <f>IFERROR(_xll.qlRateHelperPillarDate(S71,Trigger),"--")</f>
        <v>--</v>
      </c>
      <c r="W71" s="3" t="str">
        <f t="shared" si="20"/>
        <v/>
      </c>
      <c r="X71" s="3" t="e">
        <v>#N/A</v>
      </c>
      <c r="Y71" s="3" t="str">
        <f>IFERROR(_xll.qlRateHelperQuoteName(X71,Trigger),"")</f>
        <v/>
      </c>
      <c r="Z71" s="65" t="str">
        <f>IFERROR(_xll.qlRateHelperRate(X71,Trigger),"")</f>
        <v/>
      </c>
      <c r="AA71" s="9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1" t="e">
        <v>#N/A</v>
      </c>
    </row>
    <row r="72" spans="1:30" ht="11.25" customHeight="1" x14ac:dyDescent="0.2">
      <c r="A72" s="56" t="s">
        <v>116</v>
      </c>
      <c r="B72" s="57" t="s">
        <v>102</v>
      </c>
      <c r="C72" s="58" t="s">
        <v>6</v>
      </c>
      <c r="D72" s="58" t="s">
        <v>156</v>
      </c>
      <c r="E72" s="58" t="s">
        <v>7</v>
      </c>
      <c r="F72" s="58" t="s">
        <v>154</v>
      </c>
      <c r="G72" s="58" t="str">
        <f t="shared" si="17"/>
        <v>AudBBSW1M</v>
      </c>
      <c r="H72" s="56" t="str">
        <f t="shared" si="18"/>
        <v>AUDQM3AB18Y_S1BR3BR_Quote</v>
      </c>
      <c r="I72" s="126" t="str">
        <f t="shared" si="19"/>
        <v>AUD1BR3BR18Y_Quote</v>
      </c>
      <c r="J72" s="167" t="str">
        <f>IF(P68,_xll.qlSwapRateHelper2(,H72,1,B72,Calendar,D72,E72,F72,G72,I72,C72,Discounting,PillarDate,,Permanent,Trigger,ObjectOverwrite),"--")</f>
        <v>--</v>
      </c>
      <c r="L72" s="173" t="str">
        <f t="shared" si="15"/>
        <v>BasSw</v>
      </c>
      <c r="M72" s="169" t="str">
        <f t="shared" si="16"/>
        <v>AUDQM3AB22Y_S1BR3BR_Quote</v>
      </c>
      <c r="N72" s="174">
        <f>IFERROR(_xll.qlQuoteValue(H76),"--")</f>
        <v>2.3737444411083899E-2</v>
      </c>
      <c r="O72" s="174" t="str">
        <f>IFERROR(_xll.qlQuoteValue(I76),"--")</f>
        <v>--</v>
      </c>
      <c r="P72" s="123" t="b">
        <v>0</v>
      </c>
      <c r="Q72" s="88">
        <v>50</v>
      </c>
      <c r="R72" s="88">
        <v>1</v>
      </c>
      <c r="S72" s="88" t="str">
        <f t="shared" si="14"/>
        <v>--</v>
      </c>
      <c r="T72" s="92" t="str">
        <f>IFERROR(_xll.qlRateHelperEarliestDate(S72,Trigger),"--")</f>
        <v>--</v>
      </c>
      <c r="U72" s="92" t="str">
        <f>IFERROR(_xll.qlRateHelperPillarDate(S72,Trigger),"--")</f>
        <v>--</v>
      </c>
      <c r="W72" s="3" t="str">
        <f t="shared" si="20"/>
        <v/>
      </c>
      <c r="X72" s="3" t="e">
        <v>#N/A</v>
      </c>
      <c r="Y72" s="3" t="str">
        <f>IFERROR(_xll.qlRateHelperQuoteName(X72,Trigger),"")</f>
        <v/>
      </c>
      <c r="Z72" s="65" t="str">
        <f>IFERROR(_xll.qlRateHelperRate(X72,Trigger),"")</f>
        <v/>
      </c>
      <c r="AA72" s="9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1" t="e">
        <v>#N/A</v>
      </c>
    </row>
    <row r="73" spans="1:30" ht="11.25" customHeight="1" x14ac:dyDescent="0.2">
      <c r="A73" s="56" t="s">
        <v>116</v>
      </c>
      <c r="B73" s="57" t="s">
        <v>103</v>
      </c>
      <c r="C73" s="58" t="s">
        <v>6</v>
      </c>
      <c r="D73" s="58" t="s">
        <v>156</v>
      </c>
      <c r="E73" s="58" t="s">
        <v>7</v>
      </c>
      <c r="F73" s="58" t="s">
        <v>154</v>
      </c>
      <c r="G73" s="58" t="str">
        <f t="shared" si="17"/>
        <v>AudBBSW1M</v>
      </c>
      <c r="H73" s="56" t="str">
        <f t="shared" si="18"/>
        <v>AUDQM3AB19Y_S1BR3BR_Quote</v>
      </c>
      <c r="I73" s="126" t="str">
        <f t="shared" si="19"/>
        <v>AUD1BR3BR19Y_Quote</v>
      </c>
      <c r="J73" s="167" t="str">
        <f>IF(P69,_xll.qlSwapRateHelper2(,H73,1,B73,Calendar,D73,E73,F73,G73,I73,C73,Discounting,PillarDate,,Permanent,Trigger,ObjectOverwrite),"--")</f>
        <v>--</v>
      </c>
      <c r="L73" s="173" t="str">
        <f t="shared" si="15"/>
        <v>BasSw</v>
      </c>
      <c r="M73" s="169" t="str">
        <f t="shared" si="16"/>
        <v>AUDQM3AB23Y_S1BR3BR_Quote</v>
      </c>
      <c r="N73" s="174">
        <f>IFERROR(_xll.qlQuoteValue(H77),"--")</f>
        <v>2.3863518952597543E-2</v>
      </c>
      <c r="O73" s="174" t="str">
        <f>IFERROR(_xll.qlQuoteValue(I77),"--")</f>
        <v>--</v>
      </c>
      <c r="P73" s="123" t="b">
        <v>0</v>
      </c>
      <c r="Q73" s="88">
        <v>50</v>
      </c>
      <c r="R73" s="88">
        <v>1</v>
      </c>
      <c r="S73" s="88" t="str">
        <f t="shared" si="14"/>
        <v>--</v>
      </c>
      <c r="T73" s="92" t="str">
        <f>IFERROR(_xll.qlRateHelperEarliestDate(S73,Trigger),"--")</f>
        <v>--</v>
      </c>
      <c r="U73" s="92" t="str">
        <f>IFERROR(_xll.qlRateHelperPillarDate(S73,Trigger),"--")</f>
        <v>--</v>
      </c>
      <c r="W73" s="3" t="str">
        <f t="shared" si="20"/>
        <v/>
      </c>
      <c r="X73" s="3" t="e">
        <v>#N/A</v>
      </c>
      <c r="Y73" s="3" t="str">
        <f>IFERROR(_xll.qlRateHelperQuoteName(X73,Trigger),"")</f>
        <v/>
      </c>
      <c r="Z73" s="65" t="str">
        <f>IFERROR(_xll.qlRateHelperRate(X73,Trigger),"")</f>
        <v/>
      </c>
      <c r="AA73" s="9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1" t="e">
        <v>#N/A</v>
      </c>
    </row>
    <row r="74" spans="1:30" ht="11.25" customHeight="1" x14ac:dyDescent="0.2">
      <c r="A74" s="56" t="s">
        <v>116</v>
      </c>
      <c r="B74" s="57" t="s">
        <v>63</v>
      </c>
      <c r="C74" s="58" t="s">
        <v>6</v>
      </c>
      <c r="D74" s="58" t="s">
        <v>156</v>
      </c>
      <c r="E74" s="58" t="s">
        <v>7</v>
      </c>
      <c r="F74" s="58" t="s">
        <v>154</v>
      </c>
      <c r="G74" s="58" t="str">
        <f t="shared" si="17"/>
        <v>AudBBSW1M</v>
      </c>
      <c r="H74" s="56" t="str">
        <f t="shared" si="18"/>
        <v>AUDQM3AB20Y_S1BR3BR_Quote</v>
      </c>
      <c r="I74" s="126" t="str">
        <f t="shared" si="19"/>
        <v>AUD1BR3BR20Y_Quote</v>
      </c>
      <c r="J74" s="167" t="str">
        <f>IF(P70,_xll.qlSwapRateHelper2(,H74,1,B74,Calendar,D74,E74,F74,G74,I74,C74,Discounting,PillarDate,,Permanent,Trigger,ObjectOverwrite),"--")</f>
        <v>obj_0024b#0003</v>
      </c>
      <c r="L74" s="173" t="str">
        <f t="shared" si="15"/>
        <v>BasSw</v>
      </c>
      <c r="M74" s="169" t="str">
        <f t="shared" si="16"/>
        <v>AUDQM3AB24Y_S1BR3BR_Quote</v>
      </c>
      <c r="N74" s="174">
        <f>IFERROR(_xll.qlQuoteValue(H78),"--")</f>
        <v>2.3967937692593151E-2</v>
      </c>
      <c r="O74" s="174" t="str">
        <f>IFERROR(_xll.qlQuoteValue(I78),"--")</f>
        <v>--</v>
      </c>
      <c r="P74" s="123" t="b">
        <v>0</v>
      </c>
      <c r="Q74" s="88">
        <v>50</v>
      </c>
      <c r="R74" s="88">
        <v>1</v>
      </c>
      <c r="S74" s="88" t="str">
        <f t="shared" si="14"/>
        <v>--</v>
      </c>
      <c r="T74" s="92" t="str">
        <f>IFERROR(_xll.qlRateHelperEarliestDate(S74,Trigger),"--")</f>
        <v>--</v>
      </c>
      <c r="U74" s="92" t="str">
        <f>IFERROR(_xll.qlRateHelperPillarDate(S74,Trigger),"--")</f>
        <v>--</v>
      </c>
      <c r="W74" s="3" t="str">
        <f t="shared" si="20"/>
        <v/>
      </c>
      <c r="X74" s="3" t="e">
        <v>#N/A</v>
      </c>
      <c r="Y74" s="3" t="str">
        <f>IFERROR(_xll.qlRateHelperQuoteName(X74,Trigger),"")</f>
        <v/>
      </c>
      <c r="Z74" s="65" t="str">
        <f>IFERROR(_xll.qlRateHelperRate(X74,Trigger),"")</f>
        <v/>
      </c>
      <c r="AA74" s="9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1" t="e">
        <v>#N/A</v>
      </c>
    </row>
    <row r="75" spans="1:30" ht="11.25" customHeight="1" x14ac:dyDescent="0.2">
      <c r="A75" s="56" t="s">
        <v>116</v>
      </c>
      <c r="B75" s="57" t="s">
        <v>104</v>
      </c>
      <c r="C75" s="58" t="s">
        <v>6</v>
      </c>
      <c r="D75" s="58" t="s">
        <v>156</v>
      </c>
      <c r="E75" s="58" t="s">
        <v>7</v>
      </c>
      <c r="F75" s="58" t="s">
        <v>154</v>
      </c>
      <c r="G75" s="58" t="str">
        <f t="shared" si="17"/>
        <v>AudBBSW1M</v>
      </c>
      <c r="H75" s="56" t="str">
        <f t="shared" si="18"/>
        <v>AUDQM3AB21Y_S1BR3BR_Quote</v>
      </c>
      <c r="I75" s="126" t="str">
        <f t="shared" si="19"/>
        <v>AUD1BR3BR21Y_Quote</v>
      </c>
      <c r="J75" s="167" t="str">
        <f>IF(P71,_xll.qlSwapRateHelper2(,H75,1,B75,Calendar,D75,E75,F75,G75,I75,C75,Discounting,PillarDate,,Permanent,Trigger,ObjectOverwrite),"--")</f>
        <v>--</v>
      </c>
      <c r="L75" s="173" t="str">
        <f t="shared" si="15"/>
        <v>BasSw</v>
      </c>
      <c r="M75" s="169" t="str">
        <f t="shared" si="16"/>
        <v>AUDQM3AB25Y_S1BR3BR_Quote</v>
      </c>
      <c r="N75" s="174">
        <f>IFERROR(_xll.qlQuoteValue(H79),"--")</f>
        <v>2.4046003525118573E-2</v>
      </c>
      <c r="O75" s="174">
        <f>IFERROR(_xll.qlQuoteValue(I79),"--")</f>
        <v>1.075E-3</v>
      </c>
      <c r="P75" s="123" t="b">
        <v>1</v>
      </c>
      <c r="Q75" s="88">
        <v>50</v>
      </c>
      <c r="R75" s="88">
        <v>1</v>
      </c>
      <c r="S75" s="88" t="str">
        <f t="shared" si="14"/>
        <v>obj_00242#0003</v>
      </c>
      <c r="T75" s="92">
        <f>IFERROR(_xll.qlRateHelperEarliestDate(S75,Trigger),"--")</f>
        <v>42682</v>
      </c>
      <c r="U75" s="92">
        <f>IFERROR(_xll.qlRateHelperPillarDate(S75,Trigger),"--")</f>
        <v>51813</v>
      </c>
      <c r="W75" s="3" t="str">
        <f t="shared" si="20"/>
        <v/>
      </c>
      <c r="X75" s="3" t="e">
        <v>#N/A</v>
      </c>
      <c r="Y75" s="3" t="str">
        <f>IFERROR(_xll.qlRateHelperQuoteName(X75,Trigger),"")</f>
        <v/>
      </c>
      <c r="Z75" s="65" t="str">
        <f>IFERROR(_xll.qlRateHelperRate(X75,Trigger),"")</f>
        <v/>
      </c>
      <c r="AA75" s="9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1" t="e">
        <v>#N/A</v>
      </c>
    </row>
    <row r="76" spans="1:30" ht="11.25" customHeight="1" x14ac:dyDescent="0.2">
      <c r="A76" s="56" t="s">
        <v>116</v>
      </c>
      <c r="B76" s="57" t="s">
        <v>105</v>
      </c>
      <c r="C76" s="58" t="s">
        <v>6</v>
      </c>
      <c r="D76" s="58" t="s">
        <v>156</v>
      </c>
      <c r="E76" s="58" t="s">
        <v>7</v>
      </c>
      <c r="F76" s="58" t="s">
        <v>154</v>
      </c>
      <c r="G76" s="58" t="str">
        <f t="shared" si="17"/>
        <v>AudBBSW1M</v>
      </c>
      <c r="H76" s="56" t="str">
        <f t="shared" si="18"/>
        <v>AUDQM3AB22Y_S1BR3BR_Quote</v>
      </c>
      <c r="I76" s="126" t="str">
        <f t="shared" si="19"/>
        <v>AUD1BR3BR22Y_Quote</v>
      </c>
      <c r="J76" s="167" t="str">
        <f>IF(P72,_xll.qlSwapRateHelper2(,H76,1,B76,Calendar,D76,E76,F76,G76,I76,C76,Discounting,PillarDate,,Permanent,Trigger,ObjectOverwrite),"--")</f>
        <v>--</v>
      </c>
      <c r="L76" s="173" t="str">
        <f t="shared" si="15"/>
        <v>BasSw</v>
      </c>
      <c r="M76" s="169" t="str">
        <f t="shared" si="16"/>
        <v>AUDQM3AB26Y_S1BR3BR_Quote</v>
      </c>
      <c r="N76" s="174">
        <f>IFERROR(_xll.qlQuoteValue(H80),"--")</f>
        <v>2.4097859787375282E-2</v>
      </c>
      <c r="O76" s="174" t="str">
        <f>IFERROR(_xll.qlQuoteValue(I80),"--")</f>
        <v>--</v>
      </c>
      <c r="P76" s="123" t="b">
        <v>0</v>
      </c>
      <c r="Q76" s="88">
        <v>50</v>
      </c>
      <c r="R76" s="88">
        <v>1</v>
      </c>
      <c r="S76" s="88" t="str">
        <f t="shared" si="14"/>
        <v>--</v>
      </c>
      <c r="T76" s="92" t="str">
        <f>IFERROR(_xll.qlRateHelperEarliestDate(S76,Trigger),"--")</f>
        <v>--</v>
      </c>
      <c r="U76" s="92" t="str">
        <f>IFERROR(_xll.qlRateHelperPillarDate(S76,Trigger),"--")</f>
        <v>--</v>
      </c>
      <c r="W76" s="3" t="str">
        <f t="shared" si="20"/>
        <v/>
      </c>
      <c r="X76" s="3" t="e">
        <v>#N/A</v>
      </c>
      <c r="Y76" s="3" t="str">
        <f>IFERROR(_xll.qlRateHelperQuoteName(X76,Trigger),"")</f>
        <v/>
      </c>
      <c r="Z76" s="65" t="str">
        <f>IFERROR(_xll.qlRateHelperRate(X76,Trigger),"")</f>
        <v/>
      </c>
      <c r="AA76" s="9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1" t="e">
        <v>#N/A</v>
      </c>
    </row>
    <row r="77" spans="1:30" ht="11.25" customHeight="1" x14ac:dyDescent="0.2">
      <c r="A77" s="56" t="s">
        <v>116</v>
      </c>
      <c r="B77" s="57" t="s">
        <v>106</v>
      </c>
      <c r="C77" s="58" t="s">
        <v>6</v>
      </c>
      <c r="D77" s="58" t="s">
        <v>156</v>
      </c>
      <c r="E77" s="58" t="s">
        <v>7</v>
      </c>
      <c r="F77" s="58" t="s">
        <v>154</v>
      </c>
      <c r="G77" s="58" t="str">
        <f t="shared" si="17"/>
        <v>AudBBSW1M</v>
      </c>
      <c r="H77" s="56" t="str">
        <f t="shared" si="18"/>
        <v>AUDQM3AB23Y_S1BR3BR_Quote</v>
      </c>
      <c r="I77" s="126" t="str">
        <f t="shared" si="19"/>
        <v>AUD1BR3BR23Y_Quote</v>
      </c>
      <c r="J77" s="167" t="str">
        <f>IF(P73,_xll.qlSwapRateHelper2(,H77,1,B77,Calendar,D77,E77,F77,G77,I77,C77,Discounting,PillarDate,,Permanent,Trigger,ObjectOverwrite),"--")</f>
        <v>--</v>
      </c>
      <c r="L77" s="173" t="str">
        <f t="shared" si="15"/>
        <v>BasSw</v>
      </c>
      <c r="M77" s="169" t="str">
        <f t="shared" si="16"/>
        <v>AUDQM3AB27Y_S1BR3BR_Quote</v>
      </c>
      <c r="N77" s="174">
        <f>IFERROR(_xll.qlQuoteValue(H81),"--")</f>
        <v>2.4129040671015407E-2</v>
      </c>
      <c r="O77" s="174" t="str">
        <f>IFERROR(_xll.qlQuoteValue(I81),"--")</f>
        <v>--</v>
      </c>
      <c r="P77" s="123" t="b">
        <v>0</v>
      </c>
      <c r="Q77" s="88">
        <v>50</v>
      </c>
      <c r="R77" s="88">
        <v>1</v>
      </c>
      <c r="S77" s="88" t="str">
        <f t="shared" si="14"/>
        <v>--</v>
      </c>
      <c r="T77" s="92" t="str">
        <f>IFERROR(_xll.qlRateHelperEarliestDate(S77,Trigger),"--")</f>
        <v>--</v>
      </c>
      <c r="U77" s="92" t="str">
        <f>IFERROR(_xll.qlRateHelperPillarDate(S77,Trigger),"--")</f>
        <v>--</v>
      </c>
      <c r="W77" s="3" t="str">
        <f t="shared" si="20"/>
        <v/>
      </c>
      <c r="X77" s="3" t="e">
        <v>#N/A</v>
      </c>
      <c r="Y77" s="3" t="str">
        <f>IFERROR(_xll.qlRateHelperQuoteName(X77,Trigger),"")</f>
        <v/>
      </c>
      <c r="Z77" s="65" t="str">
        <f>IFERROR(_xll.qlRateHelperRate(X77,Trigger),"")</f>
        <v/>
      </c>
      <c r="AA77" s="9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1" t="e">
        <v>#N/A</v>
      </c>
    </row>
    <row r="78" spans="1:30" ht="11.25" customHeight="1" x14ac:dyDescent="0.2">
      <c r="A78" s="56" t="s">
        <v>116</v>
      </c>
      <c r="B78" s="57" t="s">
        <v>107</v>
      </c>
      <c r="C78" s="58" t="s">
        <v>6</v>
      </c>
      <c r="D78" s="58" t="s">
        <v>156</v>
      </c>
      <c r="E78" s="58" t="s">
        <v>7</v>
      </c>
      <c r="F78" s="58" t="s">
        <v>154</v>
      </c>
      <c r="G78" s="58" t="str">
        <f t="shared" si="17"/>
        <v>AudBBSW1M</v>
      </c>
      <c r="H78" s="56" t="str">
        <f t="shared" si="18"/>
        <v>AUDQM3AB24Y_S1BR3BR_Quote</v>
      </c>
      <c r="I78" s="126" t="str">
        <f t="shared" si="19"/>
        <v>AUD1BR3BR24Y_Quote</v>
      </c>
      <c r="J78" s="167" t="str">
        <f>IF(P74,_xll.qlSwapRateHelper2(,H78,1,B78,Calendar,D78,E78,F78,G78,I78,C78,Discounting,PillarDate,,Permanent,Trigger,ObjectOverwrite),"--")</f>
        <v>--</v>
      </c>
      <c r="L78" s="173" t="str">
        <f t="shared" si="15"/>
        <v>BasSw</v>
      </c>
      <c r="M78" s="169" t="str">
        <f t="shared" si="16"/>
        <v>AUDQM3AB28Y_S1BR3BR_Quote</v>
      </c>
      <c r="N78" s="174">
        <f>IFERROR(_xll.qlQuoteValue(H82),"--")</f>
        <v>2.4146013206094795E-2</v>
      </c>
      <c r="O78" s="174" t="str">
        <f>IFERROR(_xll.qlQuoteValue(I82),"--")</f>
        <v>--</v>
      </c>
      <c r="P78" s="123" t="b">
        <v>0</v>
      </c>
      <c r="Q78" s="88">
        <v>50</v>
      </c>
      <c r="R78" s="88">
        <v>1</v>
      </c>
      <c r="S78" s="88" t="str">
        <f t="shared" si="14"/>
        <v>--</v>
      </c>
      <c r="T78" s="92" t="str">
        <f>IFERROR(_xll.qlRateHelperEarliestDate(S78,Trigger),"--")</f>
        <v>--</v>
      </c>
      <c r="U78" s="92" t="str">
        <f>IFERROR(_xll.qlRateHelperPillarDate(S78,Trigger),"--")</f>
        <v>--</v>
      </c>
      <c r="W78" s="3" t="str">
        <f t="shared" si="20"/>
        <v/>
      </c>
      <c r="X78" s="3" t="e">
        <v>#N/A</v>
      </c>
      <c r="Y78" s="3" t="str">
        <f>IFERROR(_xll.qlRateHelperQuoteName(X78,Trigger),"")</f>
        <v/>
      </c>
      <c r="Z78" s="65" t="str">
        <f>IFERROR(_xll.qlRateHelperRate(X78,Trigger),"")</f>
        <v/>
      </c>
      <c r="AA78" s="9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1" t="e">
        <v>#N/A</v>
      </c>
    </row>
    <row r="79" spans="1:30" ht="11.25" customHeight="1" x14ac:dyDescent="0.2">
      <c r="A79" s="56" t="s">
        <v>116</v>
      </c>
      <c r="B79" s="57" t="s">
        <v>64</v>
      </c>
      <c r="C79" s="58" t="s">
        <v>6</v>
      </c>
      <c r="D79" s="58" t="s">
        <v>156</v>
      </c>
      <c r="E79" s="58" t="s">
        <v>7</v>
      </c>
      <c r="F79" s="58" t="s">
        <v>154</v>
      </c>
      <c r="G79" s="58" t="str">
        <f t="shared" si="17"/>
        <v>AudBBSW1M</v>
      </c>
      <c r="H79" s="56" t="str">
        <f t="shared" si="18"/>
        <v>AUDQM3AB25Y_S1BR3BR_Quote</v>
      </c>
      <c r="I79" s="126" t="str">
        <f t="shared" si="19"/>
        <v>AUD1BR3BR25Y_Quote</v>
      </c>
      <c r="J79" s="167" t="str">
        <f>IF(P75,_xll.qlSwapRateHelper2(,H79,1,B79,Calendar,D79,E79,F79,G79,I79,C79,Discounting,PillarDate,,Permanent,Trigger,ObjectOverwrite),"--")</f>
        <v>obj_00242#0003</v>
      </c>
      <c r="L79" s="173" t="str">
        <f t="shared" si="15"/>
        <v>BasSw</v>
      </c>
      <c r="M79" s="169" t="str">
        <f t="shared" si="16"/>
        <v>AUDQM3AB29Y_S1BR3BR_Quote</v>
      </c>
      <c r="N79" s="174">
        <f>IFERROR(_xll.qlQuoteValue(H83),"--")</f>
        <v>2.4154150006535254E-2</v>
      </c>
      <c r="O79" s="174" t="str">
        <f>IFERROR(_xll.qlQuoteValue(I83),"--")</f>
        <v>--</v>
      </c>
      <c r="P79" s="123" t="b">
        <v>0</v>
      </c>
      <c r="Q79" s="88">
        <v>50</v>
      </c>
      <c r="R79" s="88">
        <v>1</v>
      </c>
      <c r="S79" s="88" t="str">
        <f t="shared" si="14"/>
        <v>--</v>
      </c>
      <c r="T79" s="92" t="str">
        <f>IFERROR(_xll.qlRateHelperEarliestDate(S79,Trigger),"--")</f>
        <v>--</v>
      </c>
      <c r="U79" s="92" t="str">
        <f>IFERROR(_xll.qlRateHelperPillarDate(S79,Trigger),"--")</f>
        <v>--</v>
      </c>
      <c r="W79" s="3" t="str">
        <f t="shared" si="20"/>
        <v/>
      </c>
      <c r="X79" s="3" t="e">
        <v>#N/A</v>
      </c>
      <c r="Y79" s="3" t="str">
        <f>IFERROR(_xll.qlRateHelperQuoteName(X79,Trigger),"")</f>
        <v/>
      </c>
      <c r="Z79" s="65" t="str">
        <f>IFERROR(_xll.qlRateHelperRate(X79,Trigger),"")</f>
        <v/>
      </c>
      <c r="AA79" s="9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1" t="e">
        <v>#N/A</v>
      </c>
    </row>
    <row r="80" spans="1:30" ht="11.25" customHeight="1" x14ac:dyDescent="0.2">
      <c r="A80" s="56" t="s">
        <v>116</v>
      </c>
      <c r="B80" s="57" t="s">
        <v>108</v>
      </c>
      <c r="C80" s="58" t="s">
        <v>6</v>
      </c>
      <c r="D80" s="58" t="s">
        <v>156</v>
      </c>
      <c r="E80" s="58" t="s">
        <v>7</v>
      </c>
      <c r="F80" s="58" t="s">
        <v>154</v>
      </c>
      <c r="G80" s="58" t="str">
        <f t="shared" si="17"/>
        <v>AudBBSW1M</v>
      </c>
      <c r="H80" s="56" t="str">
        <f t="shared" si="18"/>
        <v>AUDQM3AB26Y_S1BR3BR_Quote</v>
      </c>
      <c r="I80" s="126" t="str">
        <f t="shared" si="19"/>
        <v>AUD1BR3BR26Y_Quote</v>
      </c>
      <c r="J80" s="167" t="str">
        <f>IF(P76,_xll.qlSwapRateHelper2(,H80,1,B80,Calendar,D80,E80,F80,G80,I80,C80,Discounting,PillarDate,,Permanent,Trigger,ObjectOverwrite),"--")</f>
        <v>--</v>
      </c>
      <c r="L80" s="173" t="str">
        <f t="shared" si="15"/>
        <v>BasSw</v>
      </c>
      <c r="M80" s="169" t="str">
        <f t="shared" si="16"/>
        <v>AUDQM3AB30Y_S1BR3BR_Quote</v>
      </c>
      <c r="N80" s="174">
        <f>IFERROR(_xll.qlQuoteValue(H84),"--")</f>
        <v>2.4158023321636808E-2</v>
      </c>
      <c r="O80" s="174">
        <f>IFERROR(_xll.qlQuoteValue(I84),"--")</f>
        <v>1.075E-3</v>
      </c>
      <c r="P80" s="123" t="b">
        <v>1</v>
      </c>
      <c r="Q80" s="88">
        <v>50</v>
      </c>
      <c r="R80" s="88">
        <v>1</v>
      </c>
      <c r="S80" s="88" t="str">
        <f t="shared" si="14"/>
        <v>obj_00245#0003</v>
      </c>
      <c r="T80" s="92">
        <f>IFERROR(_xll.qlRateHelperEarliestDate(S80,Trigger),"--")</f>
        <v>42682</v>
      </c>
      <c r="U80" s="92">
        <f>IFERROR(_xll.qlRateHelperPillarDate(S80,Trigger),"--")</f>
        <v>53639</v>
      </c>
      <c r="W80" s="3" t="str">
        <f t="shared" si="20"/>
        <v/>
      </c>
      <c r="X80" s="3" t="e">
        <v>#N/A</v>
      </c>
      <c r="Y80" s="3" t="str">
        <f>IFERROR(_xll.qlRateHelperQuoteName(X80,Trigger),"")</f>
        <v/>
      </c>
      <c r="Z80" s="65" t="str">
        <f>IFERROR(_xll.qlRateHelperRate(X80,Trigger),"")</f>
        <v/>
      </c>
      <c r="AA80" s="9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1" t="e">
        <v>#N/A</v>
      </c>
    </row>
    <row r="81" spans="1:30" x14ac:dyDescent="0.2">
      <c r="A81" s="56" t="s">
        <v>116</v>
      </c>
      <c r="B81" s="57" t="s">
        <v>65</v>
      </c>
      <c r="C81" s="58" t="s">
        <v>6</v>
      </c>
      <c r="D81" s="58" t="s">
        <v>156</v>
      </c>
      <c r="E81" s="58" t="s">
        <v>7</v>
      </c>
      <c r="F81" s="58" t="s">
        <v>154</v>
      </c>
      <c r="G81" s="58" t="str">
        <f t="shared" si="17"/>
        <v>AudBBSW1M</v>
      </c>
      <c r="H81" s="56" t="str">
        <f t="shared" si="18"/>
        <v>AUDQM3AB27Y_S1BR3BR_Quote</v>
      </c>
      <c r="I81" s="126" t="str">
        <f t="shared" si="19"/>
        <v>AUD1BR3BR27Y_Quote</v>
      </c>
      <c r="J81" s="167" t="str">
        <f>IF(P77,_xll.qlSwapRateHelper2(,H81,1,B81,Calendar,D81,E81,F81,G81,I81,C81,Discounting,PillarDate,,Permanent,Trigger,ObjectOverwrite),"--")</f>
        <v>--</v>
      </c>
      <c r="L81" s="173" t="str">
        <f t="shared" si="15"/>
        <v>BasSw</v>
      </c>
      <c r="M81" s="169" t="str">
        <f t="shared" si="16"/>
        <v>AUDQM3AB35Y_S1BR3BR_Quote</v>
      </c>
      <c r="N81" s="174" t="str">
        <f>IFERROR(_xll.qlQuoteValue(H85),"--")</f>
        <v>--</v>
      </c>
      <c r="O81" s="174" t="str">
        <f>IFERROR(_xll.qlQuoteValue(I85),"--")</f>
        <v>--</v>
      </c>
      <c r="P81" s="123" t="b">
        <v>0</v>
      </c>
      <c r="Q81" s="88">
        <v>50</v>
      </c>
      <c r="R81" s="88">
        <v>1</v>
      </c>
      <c r="S81" s="88" t="str">
        <f t="shared" si="14"/>
        <v>--</v>
      </c>
      <c r="T81" s="92" t="str">
        <f>IFERROR(_xll.qlRateHelperEarliestDate(S81,Trigger),"--")</f>
        <v>--</v>
      </c>
      <c r="U81" s="92" t="str">
        <f>IFERROR(_xll.qlRateHelperPillarDate(S81,Trigger),"--")</f>
        <v>--</v>
      </c>
      <c r="W81" s="3" t="str">
        <f t="shared" si="20"/>
        <v/>
      </c>
      <c r="X81" s="3" t="e">
        <v>#N/A</v>
      </c>
      <c r="Y81" s="3" t="str">
        <f>IFERROR(_xll.qlRateHelperQuoteName(X81,Trigger),"")</f>
        <v/>
      </c>
      <c r="Z81" s="65" t="str">
        <f>IFERROR(_xll.qlRateHelperRate(X81,Trigger),"")</f>
        <v/>
      </c>
      <c r="AA81" s="9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1" t="e">
        <v>#N/A</v>
      </c>
    </row>
    <row r="82" spans="1:30" x14ac:dyDescent="0.2">
      <c r="A82" s="56" t="s">
        <v>116</v>
      </c>
      <c r="B82" s="57" t="s">
        <v>109</v>
      </c>
      <c r="C82" s="58" t="s">
        <v>6</v>
      </c>
      <c r="D82" s="58" t="s">
        <v>156</v>
      </c>
      <c r="E82" s="58" t="s">
        <v>7</v>
      </c>
      <c r="F82" s="58" t="s">
        <v>154</v>
      </c>
      <c r="G82" s="58" t="str">
        <f t="shared" si="17"/>
        <v>AudBBSW1M</v>
      </c>
      <c r="H82" s="56" t="str">
        <f t="shared" si="18"/>
        <v>AUDQM3AB28Y_S1BR3BR_Quote</v>
      </c>
      <c r="I82" s="126" t="str">
        <f t="shared" si="19"/>
        <v>AUD1BR3BR28Y_Quote</v>
      </c>
      <c r="J82" s="167" t="str">
        <f>IF(P78,_xll.qlSwapRateHelper2(,H82,1,B82,Calendar,D82,E82,F82,G82,I82,C82,Discounting,PillarDate,,Permanent,Trigger,ObjectOverwrite),"--")</f>
        <v>--</v>
      </c>
      <c r="L82" s="173" t="str">
        <f t="shared" si="15"/>
        <v>BasSw</v>
      </c>
      <c r="M82" s="169" t="str">
        <f t="shared" si="16"/>
        <v>AUDQM3AB40Y_S1BR3BR_Quote</v>
      </c>
      <c r="N82" s="174" t="str">
        <f>IFERROR(_xll.qlQuoteValue(H86),"--")</f>
        <v>--</v>
      </c>
      <c r="O82" s="174" t="str">
        <f>IFERROR(_xll.qlQuoteValue(I86),"--")</f>
        <v>--</v>
      </c>
      <c r="P82" s="123" t="b">
        <v>0</v>
      </c>
      <c r="Q82" s="88">
        <v>50</v>
      </c>
      <c r="R82" s="88">
        <v>1</v>
      </c>
      <c r="S82" s="88" t="str">
        <f t="shared" si="14"/>
        <v>--</v>
      </c>
      <c r="T82" s="92" t="str">
        <f>IFERROR(_xll.qlRateHelperEarliestDate(S82,Trigger),"--")</f>
        <v>--</v>
      </c>
      <c r="U82" s="92" t="str">
        <f>IFERROR(_xll.qlRateHelperPillarDate(S82,Trigger),"--")</f>
        <v>--</v>
      </c>
      <c r="W82" s="3" t="str">
        <f t="shared" si="20"/>
        <v/>
      </c>
      <c r="X82" s="3" t="e">
        <v>#N/A</v>
      </c>
      <c r="Y82" s="3" t="str">
        <f>IFERROR(_xll.qlRateHelperQuoteName(X82,Trigger),"")</f>
        <v/>
      </c>
      <c r="Z82" s="65" t="str">
        <f>IFERROR(_xll.qlRateHelperRate(X82,Trigger),"")</f>
        <v/>
      </c>
      <c r="AA82" s="9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1" t="e">
        <v>#N/A</v>
      </c>
    </row>
    <row r="83" spans="1:30" x14ac:dyDescent="0.2">
      <c r="A83" s="56" t="s">
        <v>116</v>
      </c>
      <c r="B83" s="57" t="s">
        <v>110</v>
      </c>
      <c r="C83" s="58" t="s">
        <v>6</v>
      </c>
      <c r="D83" s="58" t="s">
        <v>156</v>
      </c>
      <c r="E83" s="58" t="s">
        <v>7</v>
      </c>
      <c r="F83" s="58" t="s">
        <v>154</v>
      </c>
      <c r="G83" s="58" t="str">
        <f t="shared" si="17"/>
        <v>AudBBSW1M</v>
      </c>
      <c r="H83" s="56" t="str">
        <f t="shared" si="18"/>
        <v>AUDQM3AB29Y_S1BR3BR_Quote</v>
      </c>
      <c r="I83" s="126" t="str">
        <f t="shared" si="19"/>
        <v>AUD1BR3BR29Y_Quote</v>
      </c>
      <c r="J83" s="167" t="str">
        <f>IF(P79,_xll.qlSwapRateHelper2(,H83,1,B83,Calendar,D83,E83,F83,G83,I83,C83,Discounting,PillarDate,,Permanent,Trigger,ObjectOverwrite),"--")</f>
        <v>--</v>
      </c>
      <c r="L83" s="173" t="str">
        <f t="shared" si="15"/>
        <v>BasSw</v>
      </c>
      <c r="M83" s="169" t="str">
        <f t="shared" si="16"/>
        <v>AUDQM3AB50Y_S1BR3BR_Quote</v>
      </c>
      <c r="N83" s="174" t="str">
        <f>IFERROR(_xll.qlQuoteValue(H87),"--")</f>
        <v>--</v>
      </c>
      <c r="O83" s="174" t="str">
        <f>IFERROR(_xll.qlQuoteValue(I87),"--")</f>
        <v>--</v>
      </c>
      <c r="P83" s="123" t="b">
        <v>0</v>
      </c>
      <c r="Q83" s="88">
        <v>50</v>
      </c>
      <c r="R83" s="88">
        <v>1</v>
      </c>
      <c r="S83" s="88" t="str">
        <f t="shared" si="14"/>
        <v>--</v>
      </c>
      <c r="T83" s="92" t="str">
        <f>IFERROR(_xll.qlRateHelperEarliestDate(S83,Trigger),"--")</f>
        <v>--</v>
      </c>
      <c r="U83" s="92" t="str">
        <f>IFERROR(_xll.qlRateHelperPillarDate(S83,Trigger),"--")</f>
        <v>--</v>
      </c>
      <c r="W83" s="3" t="str">
        <f t="shared" si="20"/>
        <v/>
      </c>
      <c r="X83" s="3" t="e">
        <v>#N/A</v>
      </c>
      <c r="Y83" s="3" t="str">
        <f>IFERROR(_xll.qlRateHelperQuoteName(X83,Trigger),"")</f>
        <v/>
      </c>
      <c r="Z83" s="65" t="str">
        <f>IFERROR(_xll.qlRateHelperRate(X83,Trigger),"")</f>
        <v/>
      </c>
      <c r="AA83" s="9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1" t="e">
        <v>#N/A</v>
      </c>
    </row>
    <row r="84" spans="1:30" x14ac:dyDescent="0.2">
      <c r="A84" s="56" t="s">
        <v>116</v>
      </c>
      <c r="B84" s="57" t="s">
        <v>66</v>
      </c>
      <c r="C84" s="58" t="s">
        <v>6</v>
      </c>
      <c r="D84" s="58" t="s">
        <v>156</v>
      </c>
      <c r="E84" s="58" t="s">
        <v>7</v>
      </c>
      <c r="F84" s="58" t="s">
        <v>154</v>
      </c>
      <c r="G84" s="58" t="str">
        <f t="shared" si="17"/>
        <v>AudBBSW1M</v>
      </c>
      <c r="H84" s="56" t="str">
        <f t="shared" si="18"/>
        <v>AUDQM3AB30Y_S1BR3BR_Quote</v>
      </c>
      <c r="I84" s="126" t="str">
        <f t="shared" si="19"/>
        <v>AUD1BR3BR30Y_Quote</v>
      </c>
      <c r="J84" s="167" t="str">
        <f>IF(P80,_xll.qlSwapRateHelper2(,H84,1,B84,Calendar,D84,E84,F84,G84,I84,C84,Discounting,PillarDate,,Permanent,Trigger,ObjectOverwrite),"--")</f>
        <v>obj_00245#0003</v>
      </c>
      <c r="L84" s="175" t="str">
        <f t="shared" si="15"/>
        <v>BasSw</v>
      </c>
      <c r="M84" s="176" t="str">
        <f t="shared" si="16"/>
        <v>AUDQM3AB60Y_S1BR3BR_Quote</v>
      </c>
      <c r="N84" s="177" t="str">
        <f>IFERROR(_xll.qlQuoteValue(H88),"--")</f>
        <v>--</v>
      </c>
      <c r="O84" s="177" t="str">
        <f>IFERROR(_xll.qlQuoteValue(I88),"--")</f>
        <v>--</v>
      </c>
      <c r="P84" s="124" t="b">
        <v>0</v>
      </c>
      <c r="Q84" s="89">
        <v>50</v>
      </c>
      <c r="R84" s="89">
        <v>1</v>
      </c>
      <c r="S84" s="89" t="str">
        <f t="shared" si="14"/>
        <v>--</v>
      </c>
      <c r="T84" s="94" t="str">
        <f>IFERROR(_xll.qlRateHelperEarliestDate(S84,Trigger),"--")</f>
        <v>--</v>
      </c>
      <c r="U84" s="94" t="str">
        <f>IFERROR(_xll.qlRateHelperPillarDate(S84,Trigger),"--")</f>
        <v>--</v>
      </c>
      <c r="W84" s="5" t="str">
        <f t="shared" si="20"/>
        <v/>
      </c>
      <c r="X84" s="5" t="e">
        <v>#N/A</v>
      </c>
      <c r="Y84" s="5" t="str">
        <f>IFERROR(_xll.qlRateHelperQuoteName(X84,Trigger),"")</f>
        <v/>
      </c>
      <c r="Z84" s="73" t="str">
        <f>IFERROR(_xll.qlRateHelperRate(X84,Trigger),"")</f>
        <v/>
      </c>
      <c r="AA84" s="97" t="str">
        <f>IF(ISERROR(_xll.qlSwapRateHelperSpread($X84)),IF(ISERROR(_xll.qlFuturesRateHelperConvexityAdjustment($X84)),"",_xll.qlFuturesRateHelperConvexityAdjustment($X84)),_xll.qlSwapRateHelperSpread($X84))</f>
        <v/>
      </c>
      <c r="AB84" s="9" t="str">
        <f>IFERROR(_xll.qlRateHelperEarliestDate(X84,Trigger),"")</f>
        <v/>
      </c>
      <c r="AC84" s="9" t="str">
        <f>IFERROR(_xll.qlRateHelperPillarDate(X84,Trigger),"")</f>
        <v/>
      </c>
      <c r="AD84" s="72" t="e">
        <v>#N/A</v>
      </c>
    </row>
    <row r="85" spans="1:30" x14ac:dyDescent="0.2">
      <c r="A85" s="56" t="s">
        <v>116</v>
      </c>
      <c r="B85" s="57" t="s">
        <v>67</v>
      </c>
      <c r="C85" s="58" t="s">
        <v>6</v>
      </c>
      <c r="D85" s="58" t="s">
        <v>156</v>
      </c>
      <c r="E85" s="58" t="s">
        <v>7</v>
      </c>
      <c r="F85" s="58" t="s">
        <v>154</v>
      </c>
      <c r="G85" s="58" t="str">
        <f t="shared" si="17"/>
        <v>AudBBSW1M</v>
      </c>
      <c r="H85" s="56" t="str">
        <f t="shared" si="18"/>
        <v>AUDQM3AB35Y_S1BR3BR_Quote</v>
      </c>
      <c r="I85" s="126" t="str">
        <f t="shared" si="19"/>
        <v>AUD1BR3BR35Y_Quote</v>
      </c>
      <c r="J85" s="167" t="str">
        <f>IF(P81,_xll.qlSwapRateHelper2(,H85,1,B85,Calendar,D85,E85,F85,G85,I85,C85,Discounting,PillarDate,,Permanent,Trigger,ObjectOverwrite),"--")</f>
        <v>--</v>
      </c>
      <c r="L85" s="145"/>
      <c r="Y85" s="187" t="str">
        <f>_xll.ohGroup("AUD1M_instruments",_xll.ohPack(Y3:Y84),Permanent,Trigger,ObjectOverwrite)</f>
        <v>AUD1M_instruments#0003</v>
      </c>
    </row>
    <row r="86" spans="1:30" x14ac:dyDescent="0.2">
      <c r="A86" s="56" t="s">
        <v>116</v>
      </c>
      <c r="B86" s="57" t="s">
        <v>68</v>
      </c>
      <c r="C86" s="58" t="s">
        <v>6</v>
      </c>
      <c r="D86" s="58" t="s">
        <v>156</v>
      </c>
      <c r="E86" s="58" t="s">
        <v>7</v>
      </c>
      <c r="F86" s="58" t="s">
        <v>154</v>
      </c>
      <c r="G86" s="58" t="str">
        <f t="shared" si="17"/>
        <v>AudBBSW1M</v>
      </c>
      <c r="H86" s="56" t="str">
        <f t="shared" si="18"/>
        <v>AUDQM3AB40Y_S1BR3BR_Quote</v>
      </c>
      <c r="I86" s="126" t="str">
        <f t="shared" si="19"/>
        <v>AUD1BR3BR40Y_Quote</v>
      </c>
      <c r="J86" s="167" t="str">
        <f>IF(P82,_xll.qlSwapRateHelper2(,H86,1,B86,Calendar,D86,E86,F86,G86,I86,C86,Discounting,PillarDate,,Permanent,Trigger,ObjectOverwrite),"--")</f>
        <v>--</v>
      </c>
    </row>
    <row r="87" spans="1:30" x14ac:dyDescent="0.2">
      <c r="A87" s="56" t="s">
        <v>116</v>
      </c>
      <c r="B87" s="57" t="s">
        <v>69</v>
      </c>
      <c r="C87" s="58" t="s">
        <v>6</v>
      </c>
      <c r="D87" s="58" t="s">
        <v>156</v>
      </c>
      <c r="E87" s="58" t="s">
        <v>7</v>
      </c>
      <c r="F87" s="58" t="s">
        <v>154</v>
      </c>
      <c r="G87" s="58" t="str">
        <f t="shared" si="17"/>
        <v>AudBBSW1M</v>
      </c>
      <c r="H87" s="56" t="str">
        <f t="shared" si="18"/>
        <v>AUDQM3AB50Y_S1BR3BR_Quote</v>
      </c>
      <c r="I87" s="126" t="str">
        <f t="shared" si="19"/>
        <v>AUD1BR3BR50Y_Quote</v>
      </c>
      <c r="J87" s="167" t="str">
        <f>IF(P83,_xll.qlSwapRateHelper2(,H87,1,B87,Calendar,D87,E87,F87,G87,I87,C87,Discounting,PillarDate,,Permanent,Trigger,ObjectOverwrite),"--")</f>
        <v>--</v>
      </c>
    </row>
    <row r="88" spans="1:30" x14ac:dyDescent="0.2">
      <c r="A88" s="1" t="s">
        <v>116</v>
      </c>
      <c r="B88" s="7" t="s">
        <v>111</v>
      </c>
      <c r="C88" s="6" t="s">
        <v>6</v>
      </c>
      <c r="D88" s="6" t="s">
        <v>156</v>
      </c>
      <c r="E88" s="6" t="s">
        <v>7</v>
      </c>
      <c r="F88" s="6" t="s">
        <v>154</v>
      </c>
      <c r="G88" s="6" t="str">
        <f t="shared" si="17"/>
        <v>AudBBSW1M</v>
      </c>
      <c r="H88" s="1" t="str">
        <f t="shared" si="18"/>
        <v>AUDQM3AB60Y_S1BR3BR_Quote</v>
      </c>
      <c r="I88" s="127" t="str">
        <f t="shared" si="19"/>
        <v>AUD1BR3BR60Y_Quote</v>
      </c>
      <c r="J88" s="166" t="str">
        <f>IF(P84,_xll.qlSwapRateHelper2(,H88,1,B88,Calendar,D88,E88,F88,G88,I88,C88,Discounting,PillarDate,,Permanent,Trigger,ObjectOverwrite),"--")</f>
        <v>--</v>
      </c>
    </row>
    <row r="90" spans="1:30" x14ac:dyDescent="0.2">
      <c r="K90" s="44" t="s">
        <v>35</v>
      </c>
    </row>
  </sheetData>
  <dataValidations count="5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D10:D46 D49:D88">
      <formula1>"Annual,Semiannual,EveryFourthMonth,Quarterly,Bimonthly,Monthly,Biweekly,Weekly,Daily,Once,NoFrequency"</formula1>
    </dataValidation>
    <dataValidation type="list" allowBlank="1" showInputMessage="1" showErrorMessage="1" sqref="E10:E46 E3:E6 E49:E88">
      <formula1>"Following,Modified Following,Preceding,Modified Preceding,Unadjusted,Half-Month Modified Following"</formula1>
    </dataValidation>
    <dataValidation type="list" allowBlank="1" showInputMessage="1" showErrorMessage="1" sqref="F10:F46 F3:F6 F49:F8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:P84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GeneralSettings</vt:lpstr>
      <vt:lpstr>AUDON</vt:lpstr>
      <vt:lpstr>AUD3M</vt:lpstr>
      <vt:lpstr>AUD6M</vt:lpstr>
      <vt:lpstr>AUD1M</vt:lpstr>
      <vt:lpstr>Calendar</vt:lpstr>
      <vt:lpstr>Currency</vt:lpstr>
      <vt:lpstr>Discounting</vt:lpstr>
      <vt:lpstr>Evaluationdate</vt:lpstr>
      <vt:lpstr>FamilyName</vt:lpstr>
      <vt:lpstr>AUD1M!IncludeFlag</vt:lpstr>
      <vt:lpstr>AUD3M!IncludeFlag</vt:lpstr>
      <vt:lpstr>AUD6M!IncludeFlag</vt:lpstr>
      <vt:lpstr>AUDON!IncludeFlag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AUD1M!MinDistance</vt:lpstr>
      <vt:lpstr>AUD3M!MinDistance</vt:lpstr>
      <vt:lpstr>AUD6M!MinDistance</vt:lpstr>
      <vt:lpstr>AUDON!MinDistance</vt:lpstr>
      <vt:lpstr>ObjectOverwrite</vt:lpstr>
      <vt:lpstr>Permanent</vt:lpstr>
      <vt:lpstr>PillarDate</vt:lpstr>
      <vt:lpstr>AUD1M!Priority</vt:lpstr>
      <vt:lpstr>AUD3M!Priority</vt:lpstr>
      <vt:lpstr>AUD6M!Priority</vt:lpstr>
      <vt:lpstr>AUDON!Priority</vt:lpstr>
      <vt:lpstr>QuoteSuffix</vt:lpstr>
      <vt:lpstr>AUD1M!RateHelpers</vt:lpstr>
      <vt:lpstr>AUD3M!RateHelpers</vt:lpstr>
      <vt:lpstr>AUD6M!RateHelpers</vt:lpstr>
      <vt:lpstr>AUDON!RateHelpers</vt:lpstr>
      <vt:lpstr>RateHelpers1M</vt:lpstr>
      <vt:lpstr>RateHelpers3M</vt:lpstr>
      <vt:lpstr>RateHelpers6M</vt:lpstr>
      <vt:lpstr>RateHelpersON</vt:lpstr>
      <vt:lpstr>Settlementdate</vt:lpstr>
      <vt:lpstr>AUD1M!Tenor</vt:lpstr>
      <vt:lpstr>AUD3M!Tenor</vt:lpstr>
      <vt:lpstr>AUD6M!Tenor</vt:lpstr>
      <vt:lpstr>Trigger</vt:lpstr>
      <vt:lpstr>YieldCurve_1M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2016-11-04T15:03:02Z</dcterms:modified>
</cp:coreProperties>
</file>